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765" windowWidth="9675" windowHeight="3795"/>
  </bookViews>
  <sheets>
    <sheet name="Consolidated income statement" sheetId="9" r:id="rId1"/>
    <sheet name="Segments" sheetId="18" r:id="rId2"/>
    <sheet name="Consolidated balance sheet" sheetId="4" r:id="rId3"/>
    <sheet name="Consolidated CF" sheetId="6" r:id="rId4"/>
    <sheet name="KPI_B2B&amp;B2C segment" sheetId="17" r:id="rId5"/>
    <sheet name="KPI - TV segment" sheetId="16" r:id="rId6"/>
  </sheets>
  <definedNames>
    <definedName name="_Toc377043859" localSheetId="5">'KPI - TV segment'!$C$58</definedName>
    <definedName name="_Toc377043860" localSheetId="5">'KPI - TV segment'!$D$58</definedName>
    <definedName name="_Toc377043862" localSheetId="5">'KPI - TV segment'!#REF!</definedName>
    <definedName name="_Toc377043863" localSheetId="5">'KPI - TV segment'!#REF!</definedName>
    <definedName name="_xlnm.Print_Area" localSheetId="2">'Consolidated balance sheet'!$A$1:$Q$73</definedName>
    <definedName name="_xlnm.Print_Area" localSheetId="3">'Consolidated CF'!$A$1:$Q$69</definedName>
    <definedName name="_xlnm.Print_Area" localSheetId="0">'Consolidated income statement'!$A$1:$S$33</definedName>
    <definedName name="_xlnm.Print_Area" localSheetId="5">'KPI - TV segment'!$A$1:$E$108</definedName>
    <definedName name="OLE_LINK3" localSheetId="3">'Consolidated CF'!$A$21</definedName>
  </definedNames>
  <calcPr calcId="145621"/>
</workbook>
</file>

<file path=xl/calcChain.xml><?xml version="1.0" encoding="utf-8"?>
<calcChain xmlns="http://schemas.openxmlformats.org/spreadsheetml/2006/main">
  <c r="AL60" i="6" l="1"/>
  <c r="AK60" i="6"/>
  <c r="AJ60" i="6"/>
  <c r="AI60" i="6"/>
  <c r="AL47" i="6"/>
  <c r="AK47" i="6"/>
  <c r="AJ47" i="6"/>
  <c r="AI47" i="6"/>
  <c r="AL5" i="6"/>
  <c r="AL28" i="6" s="1"/>
  <c r="AL31" i="6" s="1"/>
  <c r="AK5" i="6"/>
  <c r="AK28" i="6" s="1"/>
  <c r="AK31" i="6" s="1"/>
  <c r="AJ5" i="6"/>
  <c r="AJ28" i="6" s="1"/>
  <c r="AJ31" i="6" s="1"/>
  <c r="AI5" i="6"/>
  <c r="AI28" i="6" s="1"/>
  <c r="AI31" i="6" s="1"/>
  <c r="AJ61" i="6" l="1"/>
  <c r="AJ64" i="6" s="1"/>
  <c r="AK61" i="6"/>
  <c r="AK64" i="6" s="1"/>
  <c r="AL61" i="6"/>
  <c r="AL64" i="6" s="1"/>
  <c r="AI61" i="6"/>
  <c r="AI64" i="6" s="1"/>
  <c r="AL24" i="17"/>
  <c r="AM24" i="17"/>
  <c r="AN24" i="17"/>
  <c r="AO24" i="17"/>
  <c r="AK24" i="17"/>
  <c r="AI24" i="17"/>
  <c r="AK29" i="17"/>
  <c r="AL29" i="17"/>
  <c r="AM29" i="17"/>
  <c r="AN29" i="17"/>
  <c r="AO29" i="17"/>
  <c r="AK17" i="17"/>
  <c r="AL17" i="17"/>
  <c r="AM17" i="17"/>
  <c r="AN17" i="17"/>
  <c r="AO17" i="17"/>
  <c r="AK7" i="17"/>
  <c r="AK5" i="17" s="1"/>
  <c r="AL7" i="17"/>
  <c r="AM7" i="17"/>
  <c r="AM5" i="17" s="1"/>
  <c r="AN7" i="17"/>
  <c r="AO7" i="17"/>
  <c r="AO5" i="17" s="1"/>
  <c r="AH7" i="17"/>
  <c r="AI7" i="17"/>
  <c r="AN5" i="17" l="1"/>
  <c r="AL5" i="17"/>
  <c r="AE60" i="6"/>
  <c r="AF60" i="6"/>
  <c r="AG60" i="6"/>
  <c r="AD60" i="6"/>
  <c r="AE47" i="6"/>
  <c r="AF47" i="6"/>
  <c r="AG47" i="6"/>
  <c r="AD47" i="6"/>
  <c r="AE5" i="6"/>
  <c r="AE28" i="6" s="1"/>
  <c r="AE31" i="6" s="1"/>
  <c r="AF5" i="6"/>
  <c r="AF28" i="6" s="1"/>
  <c r="AF31" i="6" s="1"/>
  <c r="AG5" i="6"/>
  <c r="AG28" i="6" s="1"/>
  <c r="AG31" i="6" s="1"/>
  <c r="AD5" i="6"/>
  <c r="AD28" i="6" s="1"/>
  <c r="AD31" i="6" s="1"/>
  <c r="AD61" i="6" l="1"/>
  <c r="AE61" i="6"/>
  <c r="AE64" i="6" s="1"/>
  <c r="AG61" i="6"/>
  <c r="AG64" i="6" s="1"/>
  <c r="AF61" i="6"/>
  <c r="AF64" i="6" s="1"/>
  <c r="AD66" i="4"/>
  <c r="AD67" i="4" s="1"/>
  <c r="AD68" i="4" s="1"/>
  <c r="AE66" i="4"/>
  <c r="AF66" i="4"/>
  <c r="AG66" i="4"/>
  <c r="AD55" i="4"/>
  <c r="AE55" i="4"/>
  <c r="AF55" i="4"/>
  <c r="AG55" i="4"/>
  <c r="AD46" i="4"/>
  <c r="AD44" i="4"/>
  <c r="AE44" i="4"/>
  <c r="AE46" i="4" s="1"/>
  <c r="AF44" i="4"/>
  <c r="AF46" i="4" s="1"/>
  <c r="AG44" i="4"/>
  <c r="AG46" i="4" s="1"/>
  <c r="AD34" i="4"/>
  <c r="AD33" i="4"/>
  <c r="AE33" i="4"/>
  <c r="AF33" i="4"/>
  <c r="AG33" i="4"/>
  <c r="AE20" i="4"/>
  <c r="AD20" i="4"/>
  <c r="AF20" i="4"/>
  <c r="AG20" i="4"/>
  <c r="AG67" i="4" l="1"/>
  <c r="AG68" i="4" s="1"/>
  <c r="AF67" i="4"/>
  <c r="AF68" i="4" s="1"/>
  <c r="AE67" i="4"/>
  <c r="AE68" i="4"/>
  <c r="AG34" i="4"/>
  <c r="AF34" i="4"/>
  <c r="AE34" i="4"/>
  <c r="K20" i="4"/>
  <c r="L20" i="4"/>
  <c r="M20" i="4"/>
  <c r="N20" i="4"/>
  <c r="O20" i="4"/>
  <c r="P20" i="4"/>
  <c r="Q20" i="4"/>
  <c r="R20" i="4"/>
  <c r="S20" i="4"/>
  <c r="T20" i="4"/>
  <c r="U20" i="4"/>
  <c r="W20" i="4"/>
  <c r="V20" i="4"/>
  <c r="X20" i="4"/>
  <c r="Y20" i="4"/>
  <c r="Z20" i="4"/>
  <c r="AA20" i="4"/>
  <c r="AB20" i="4"/>
  <c r="AC20" i="4"/>
  <c r="R13" i="18"/>
  <c r="L5" i="18" l="1"/>
  <c r="BA29" i="9"/>
  <c r="BA28" i="9"/>
  <c r="BA27" i="9"/>
  <c r="AU29" i="9"/>
  <c r="AU18" i="9"/>
  <c r="AU28" i="9"/>
  <c r="AU27" i="9"/>
  <c r="AU25" i="9"/>
  <c r="AU23" i="9"/>
  <c r="AU22" i="9"/>
  <c r="AU21" i="9"/>
  <c r="AU20" i="9"/>
  <c r="AU17" i="9"/>
  <c r="AU16" i="9"/>
  <c r="AU15" i="9"/>
  <c r="AU14" i="9"/>
  <c r="AU13" i="9"/>
  <c r="AU12" i="9"/>
  <c r="AU11" i="9"/>
  <c r="AU10" i="9"/>
  <c r="AU9" i="9"/>
  <c r="AU8" i="9"/>
  <c r="AU7" i="9"/>
  <c r="AU6" i="9"/>
  <c r="AU5" i="9"/>
  <c r="AU4" i="9"/>
  <c r="AU19" i="9" s="1"/>
  <c r="BA25" i="9"/>
  <c r="BA21" i="9"/>
  <c r="BA22" i="9"/>
  <c r="BA23" i="9"/>
  <c r="BA20" i="9"/>
  <c r="BA11" i="9"/>
  <c r="BA12" i="9"/>
  <c r="BA13" i="9"/>
  <c r="BA14" i="9"/>
  <c r="BA15" i="9"/>
  <c r="BA16" i="9"/>
  <c r="BA17" i="9"/>
  <c r="BA18" i="9"/>
  <c r="BA19" i="9" s="1"/>
  <c r="BA10" i="9"/>
  <c r="BA6" i="9"/>
  <c r="BA7" i="9"/>
  <c r="BA8" i="9"/>
  <c r="BA5" i="9"/>
  <c r="AP5" i="9"/>
  <c r="AQ4" i="9"/>
  <c r="AP4" i="9"/>
  <c r="AQ9" i="9"/>
  <c r="AQ19" i="9" s="1"/>
  <c r="AQ24" i="9" s="1"/>
  <c r="AQ26" i="9" s="1"/>
  <c r="AW9" i="9"/>
  <c r="AW4" i="9"/>
  <c r="AW19" i="9" s="1"/>
  <c r="AU30" i="9" l="1"/>
  <c r="AU31" i="9" s="1"/>
  <c r="AU24" i="9"/>
  <c r="AU26" i="9" s="1"/>
  <c r="AW30" i="9"/>
  <c r="AW31" i="9" s="1"/>
  <c r="AW24" i="9"/>
  <c r="AW26" i="9" s="1"/>
  <c r="BA30" i="9"/>
  <c r="BA31" i="9" s="1"/>
  <c r="BA24" i="9"/>
  <c r="BA26" i="9" s="1"/>
  <c r="AQ30" i="9"/>
  <c r="AC40" i="6"/>
  <c r="AI30" i="9"/>
  <c r="AI31" i="9" s="1"/>
  <c r="AI19" i="9"/>
  <c r="AI24" i="9" s="1"/>
  <c r="AI26" i="9" s="1"/>
  <c r="AI9" i="9"/>
  <c r="AO9" i="9"/>
  <c r="AI4" i="9"/>
  <c r="AG29" i="17" l="1"/>
  <c r="AG24" i="17"/>
  <c r="AG7" i="17"/>
  <c r="AG17" i="17"/>
  <c r="AG5" i="17" l="1"/>
  <c r="AB60" i="6"/>
  <c r="AA60" i="6"/>
  <c r="AB47" i="6"/>
  <c r="AB5" i="6"/>
  <c r="AB28" i="6" s="1"/>
  <c r="AB66" i="4"/>
  <c r="AB31" i="6" l="1"/>
  <c r="AB44" i="4"/>
  <c r="AB46" i="4" s="1"/>
  <c r="AB33" i="4"/>
  <c r="AA33" i="4"/>
  <c r="R8" i="18"/>
  <c r="AH17" i="17"/>
  <c r="AH29" i="17"/>
  <c r="AB61" i="6" l="1"/>
  <c r="AB34" i="4"/>
  <c r="AJ28" i="9"/>
  <c r="AN9" i="9"/>
  <c r="AH9" i="9"/>
  <c r="AN4" i="9" l="1"/>
  <c r="AN19" i="9" s="1"/>
  <c r="AN24" i="9" s="1"/>
  <c r="AH4" i="9"/>
  <c r="AH19" i="9" l="1"/>
  <c r="AG9" i="9"/>
  <c r="AH30" i="9" l="1"/>
  <c r="AH24" i="9"/>
  <c r="AJ29" i="17"/>
  <c r="AJ24" i="17"/>
  <c r="AJ17" i="17"/>
  <c r="AJ7" i="17"/>
  <c r="AH26" i="9" l="1"/>
  <c r="AJ5" i="17"/>
  <c r="AJ5" i="9"/>
  <c r="AH29" i="9" l="1"/>
  <c r="AP22" i="9" l="1"/>
  <c r="AJ22" i="9"/>
  <c r="AI29" i="17" l="1"/>
  <c r="AF29" i="17"/>
  <c r="AI5" i="17"/>
  <c r="AH24" i="17"/>
  <c r="AF24" i="17"/>
  <c r="AF5" i="17" s="1"/>
  <c r="AI17" i="17"/>
  <c r="AF17" i="17"/>
  <c r="AF7" i="17"/>
  <c r="AH5" i="17" l="1"/>
  <c r="Q7" i="18"/>
  <c r="AC60" i="6"/>
  <c r="Z60" i="6"/>
  <c r="AC47" i="6"/>
  <c r="AA47" i="6"/>
  <c r="Z47" i="6"/>
  <c r="AC5" i="6"/>
  <c r="AA5" i="6"/>
  <c r="AA28" i="6" s="1"/>
  <c r="Z5" i="6"/>
  <c r="Z28" i="6" s="1"/>
  <c r="AC66" i="4"/>
  <c r="AA66" i="4"/>
  <c r="Z66" i="4"/>
  <c r="AC55" i="4"/>
  <c r="AB55" i="4"/>
  <c r="AA55" i="4"/>
  <c r="Z55" i="4"/>
  <c r="AC44" i="4"/>
  <c r="AC46" i="4" s="1"/>
  <c r="AA44" i="4"/>
  <c r="AA46" i="4" s="1"/>
  <c r="Z44" i="4"/>
  <c r="Z46" i="4" s="1"/>
  <c r="AC33" i="4"/>
  <c r="Z33" i="4"/>
  <c r="AP28" i="9"/>
  <c r="AP27" i="9"/>
  <c r="AP25" i="9"/>
  <c r="AP23" i="9"/>
  <c r="AP21" i="9"/>
  <c r="AP20" i="9"/>
  <c r="AP18" i="9"/>
  <c r="AP17" i="9"/>
  <c r="AP16" i="9"/>
  <c r="AP15" i="9"/>
  <c r="AP14" i="9"/>
  <c r="AP13" i="9"/>
  <c r="AP12" i="9"/>
  <c r="AP11" i="9"/>
  <c r="AP10" i="9"/>
  <c r="AM9" i="9"/>
  <c r="AL9" i="9"/>
  <c r="AP8" i="9"/>
  <c r="AP7" i="9"/>
  <c r="AP6" i="9"/>
  <c r="AO4" i="9"/>
  <c r="AO19" i="9" s="1"/>
  <c r="AM4" i="9"/>
  <c r="AL4" i="9"/>
  <c r="AJ27" i="9"/>
  <c r="AJ25" i="9"/>
  <c r="AJ23" i="9"/>
  <c r="AJ21" i="9"/>
  <c r="AJ20" i="9"/>
  <c r="AJ18" i="9"/>
  <c r="AJ17" i="9"/>
  <c r="AJ16" i="9"/>
  <c r="AJ15" i="9"/>
  <c r="AJ14" i="9"/>
  <c r="AJ13" i="9"/>
  <c r="AJ12" i="9"/>
  <c r="AJ11" i="9"/>
  <c r="AJ10" i="9"/>
  <c r="AF9" i="9"/>
  <c r="AJ8" i="9"/>
  <c r="AJ7" i="9"/>
  <c r="AJ6" i="9"/>
  <c r="AG4" i="9"/>
  <c r="AG19" i="9" s="1"/>
  <c r="AG24" i="9" s="1"/>
  <c r="AF4" i="9"/>
  <c r="AF19" i="9" s="1"/>
  <c r="AF24" i="9" s="1"/>
  <c r="AF26" i="9" s="1"/>
  <c r="AF29" i="9" s="1"/>
  <c r="AO30" i="9" l="1"/>
  <c r="AO31" i="9" s="1"/>
  <c r="AO24" i="9"/>
  <c r="AO26" i="9" s="1"/>
  <c r="AB67" i="4"/>
  <c r="AB68" i="4" s="1"/>
  <c r="AL19" i="9"/>
  <c r="AL30" i="9" s="1"/>
  <c r="AL31" i="9" s="1"/>
  <c r="AM19" i="9"/>
  <c r="AC34" i="4"/>
  <c r="AN30" i="9"/>
  <c r="AN31" i="9" s="1"/>
  <c r="AP9" i="9"/>
  <c r="AA67" i="4"/>
  <c r="AA68" i="4" s="1"/>
  <c r="Z67" i="4"/>
  <c r="Z68" i="4" s="1"/>
  <c r="AC67" i="4"/>
  <c r="AC68" i="4" s="1"/>
  <c r="Z34" i="4"/>
  <c r="AA34" i="4"/>
  <c r="AJ9" i="9"/>
  <c r="AJ4" i="9"/>
  <c r="AG30" i="9"/>
  <c r="AG31" i="9" s="1"/>
  <c r="AG26" i="9"/>
  <c r="AG29" i="9" s="1"/>
  <c r="AH31" i="9"/>
  <c r="AF30" i="9"/>
  <c r="AF31" i="9" s="1"/>
  <c r="AL24" i="9" l="1"/>
  <c r="AL26" i="9" s="1"/>
  <c r="AL29" i="9" s="1"/>
  <c r="AM24" i="9"/>
  <c r="AM26" i="9" s="1"/>
  <c r="AM29" i="9" s="1"/>
  <c r="AM30" i="9"/>
  <c r="AM31" i="9" s="1"/>
  <c r="AN26" i="9"/>
  <c r="AJ19" i="9"/>
  <c r="AJ30" i="9" s="1"/>
  <c r="AJ31" i="9" s="1"/>
  <c r="AP19" i="9"/>
  <c r="Z22" i="9"/>
  <c r="U22" i="9"/>
  <c r="P22" i="9"/>
  <c r="K22" i="9"/>
  <c r="F22" i="9"/>
  <c r="AP30" i="9" l="1"/>
  <c r="AP31" i="9" s="1"/>
  <c r="AJ24" i="9"/>
  <c r="AJ26" i="9" s="1"/>
  <c r="AJ29" i="9" s="1"/>
  <c r="AP24" i="9"/>
  <c r="AP26" i="9" s="1"/>
  <c r="AP29" i="9" s="1"/>
  <c r="AA31" i="6"/>
  <c r="AA61" i="6" s="1"/>
  <c r="AC28" i="6"/>
  <c r="AC31" i="6" l="1"/>
  <c r="AC61" i="6" s="1"/>
  <c r="Z31" i="6"/>
  <c r="Z61" i="6" s="1"/>
  <c r="AE29" i="17" l="1"/>
  <c r="AD29" i="17"/>
  <c r="AE27" i="17"/>
  <c r="AE26" i="17"/>
  <c r="AE25" i="17"/>
  <c r="AD24" i="17"/>
  <c r="AD5" i="17" s="1"/>
  <c r="AE17" i="17"/>
  <c r="AD17" i="17"/>
  <c r="AE12" i="17"/>
  <c r="AE11" i="17"/>
  <c r="AE10" i="17"/>
  <c r="AE9" i="17"/>
  <c r="AE8" i="17"/>
  <c r="Y66" i="4"/>
  <c r="Y55" i="4"/>
  <c r="Y44" i="4"/>
  <c r="Y46" i="4" s="1"/>
  <c r="Y33" i="4"/>
  <c r="AE28" i="9"/>
  <c r="AE27" i="9"/>
  <c r="AE25" i="9"/>
  <c r="AE23" i="9"/>
  <c r="AE21" i="9"/>
  <c r="AE20" i="9"/>
  <c r="AE18" i="9"/>
  <c r="AE17" i="9"/>
  <c r="AE16" i="9"/>
  <c r="AE15" i="9"/>
  <c r="AE14" i="9"/>
  <c r="AE13" i="9"/>
  <c r="AE12" i="9"/>
  <c r="AE11" i="9"/>
  <c r="AE10" i="9"/>
  <c r="AE8" i="9"/>
  <c r="AE7" i="9"/>
  <c r="AE6" i="9"/>
  <c r="AE5" i="9"/>
  <c r="AD9" i="9"/>
  <c r="AD4" i="9"/>
  <c r="AE9" i="9" l="1"/>
  <c r="Y67" i="4"/>
  <c r="Y68" i="4"/>
  <c r="Y34" i="4"/>
  <c r="AD19" i="9"/>
  <c r="AD24" i="9" s="1"/>
  <c r="AD26" i="9" s="1"/>
  <c r="AD29" i="9" s="1"/>
  <c r="AE4" i="9"/>
  <c r="AE24" i="17"/>
  <c r="AE7" i="17"/>
  <c r="AC29" i="17"/>
  <c r="AC24" i="17"/>
  <c r="AC17" i="17"/>
  <c r="AC7" i="17"/>
  <c r="X66" i="4"/>
  <c r="X55" i="4"/>
  <c r="X44" i="4"/>
  <c r="X46" i="4" s="1"/>
  <c r="X33" i="4"/>
  <c r="X34" i="4"/>
  <c r="AC9" i="9"/>
  <c r="AC4" i="9"/>
  <c r="AC19" i="9" s="1"/>
  <c r="X67" i="4" l="1"/>
  <c r="X68" i="4" s="1"/>
  <c r="AD30" i="9"/>
  <c r="AD31" i="9" s="1"/>
  <c r="AC24" i="9"/>
  <c r="AC26" i="9" s="1"/>
  <c r="AC29" i="9" s="1"/>
  <c r="AC30" i="9"/>
  <c r="AC31" i="9" s="1"/>
  <c r="AE19" i="9"/>
  <c r="AE24" i="9" s="1"/>
  <c r="AE26" i="9" s="1"/>
  <c r="AE29" i="9" s="1"/>
  <c r="AE5" i="17"/>
  <c r="AC5" i="17"/>
  <c r="AE30" i="9" l="1"/>
  <c r="AE31" i="9" s="1"/>
  <c r="AB17" i="17"/>
  <c r="AB7" i="17"/>
  <c r="AB24" i="17"/>
  <c r="AB29" i="17"/>
  <c r="W66" i="4"/>
  <c r="W55" i="4"/>
  <c r="W44" i="4"/>
  <c r="W46" i="4" s="1"/>
  <c r="W33" i="4"/>
  <c r="AB9" i="9"/>
  <c r="AB4" i="9"/>
  <c r="AB5" i="17" l="1"/>
  <c r="W67" i="4"/>
  <c r="W68" i="4" s="1"/>
  <c r="AB19" i="9"/>
  <c r="W34" i="4"/>
  <c r="V58" i="6"/>
  <c r="AB30" i="9" l="1"/>
  <c r="AB31" i="9" s="1"/>
  <c r="AB24" i="9"/>
  <c r="AB26" i="9" s="1"/>
  <c r="AB29" i="9"/>
  <c r="AA24" i="17"/>
  <c r="AA29" i="17"/>
  <c r="AA17" i="17"/>
  <c r="AA7" i="17"/>
  <c r="Y60" i="6"/>
  <c r="X60" i="6"/>
  <c r="W60" i="6"/>
  <c r="V60" i="6"/>
  <c r="Y47" i="6"/>
  <c r="X47" i="6"/>
  <c r="W47" i="6"/>
  <c r="V47" i="6"/>
  <c r="Y5" i="6"/>
  <c r="Y28" i="6" s="1"/>
  <c r="Y31" i="6" s="1"/>
  <c r="X5" i="6"/>
  <c r="W5" i="6"/>
  <c r="V5" i="6"/>
  <c r="V66" i="4"/>
  <c r="V55" i="4"/>
  <c r="V44" i="4"/>
  <c r="V46" i="4" s="1"/>
  <c r="V33" i="4"/>
  <c r="V34" i="4" s="1"/>
  <c r="Z28" i="9"/>
  <c r="AA9" i="9"/>
  <c r="AA4" i="9"/>
  <c r="Z12" i="9"/>
  <c r="Y9" i="9"/>
  <c r="X9" i="9"/>
  <c r="W9" i="9"/>
  <c r="V9" i="9"/>
  <c r="U9" i="9"/>
  <c r="T9" i="9"/>
  <c r="S9" i="9"/>
  <c r="R9" i="9"/>
  <c r="Q9" i="9"/>
  <c r="O9" i="9"/>
  <c r="N9" i="9"/>
  <c r="M9" i="9"/>
  <c r="L9" i="9"/>
  <c r="J9" i="9"/>
  <c r="I9" i="9"/>
  <c r="H9" i="9"/>
  <c r="G9" i="9"/>
  <c r="E9" i="9"/>
  <c r="D9" i="9"/>
  <c r="C9" i="9"/>
  <c r="B9" i="9"/>
  <c r="P12" i="9"/>
  <c r="K12" i="9"/>
  <c r="F12" i="9"/>
  <c r="Z11" i="9"/>
  <c r="P11" i="9"/>
  <c r="K11" i="9"/>
  <c r="F11" i="9"/>
  <c r="Z10" i="9"/>
  <c r="P10" i="9"/>
  <c r="K10" i="9"/>
  <c r="F10" i="9"/>
  <c r="AA19" i="9" l="1"/>
  <c r="V67" i="4"/>
  <c r="V68" i="4" s="1"/>
  <c r="AA5" i="17"/>
  <c r="Y61" i="6"/>
  <c r="AA24" i="9" l="1"/>
  <c r="AA26" i="9" s="1"/>
  <c r="AA30" i="9"/>
  <c r="AA31" i="9" s="1"/>
  <c r="X4" i="6" l="1"/>
  <c r="X28" i="6" s="1"/>
  <c r="X31" i="6" s="1"/>
  <c r="X61" i="6" s="1"/>
  <c r="AA29" i="9"/>
  <c r="V4" i="6"/>
  <c r="V28" i="6" s="1"/>
  <c r="V31" i="6" s="1"/>
  <c r="V61" i="6" s="1"/>
  <c r="W4" i="6"/>
  <c r="W28" i="6" s="1"/>
  <c r="W31" i="6" s="1"/>
  <c r="W61" i="6" s="1"/>
  <c r="Z29" i="17"/>
  <c r="Y29" i="17"/>
  <c r="Z27" i="17"/>
  <c r="Z26" i="17"/>
  <c r="Z25" i="17"/>
  <c r="Y24" i="17"/>
  <c r="Z17" i="17"/>
  <c r="Y17" i="17"/>
  <c r="Z12" i="17"/>
  <c r="Z11" i="17"/>
  <c r="Z10" i="17"/>
  <c r="Z9" i="17"/>
  <c r="Z8" i="17"/>
  <c r="Y7" i="17"/>
  <c r="Y5" i="17" s="1"/>
  <c r="U60" i="6"/>
  <c r="U47" i="6"/>
  <c r="U5" i="6"/>
  <c r="U66" i="4"/>
  <c r="U55" i="4"/>
  <c r="U44" i="4"/>
  <c r="U46" i="4" s="1"/>
  <c r="U33" i="4"/>
  <c r="U34" i="4" s="1"/>
  <c r="Z25" i="9"/>
  <c r="Z23" i="9"/>
  <c r="Z21" i="9"/>
  <c r="Z20" i="9"/>
  <c r="Z18" i="9"/>
  <c r="Z17" i="9"/>
  <c r="Z16" i="9"/>
  <c r="Z15" i="9"/>
  <c r="Z14" i="9"/>
  <c r="Z13" i="9"/>
  <c r="Z6" i="9"/>
  <c r="Z7" i="9"/>
  <c r="Z8" i="9"/>
  <c r="Z5" i="9"/>
  <c r="Y4" i="9"/>
  <c r="U67" i="4" l="1"/>
  <c r="U68" i="4" s="1"/>
  <c r="Z9" i="9"/>
  <c r="Y19" i="9"/>
  <c r="Y24" i="9" s="1"/>
  <c r="Z4" i="9"/>
  <c r="Z7" i="17"/>
  <c r="Z24" i="17"/>
  <c r="Z19" i="9" l="1"/>
  <c r="Z24" i="9" s="1"/>
  <c r="Z26" i="9" s="1"/>
  <c r="Z29" i="9" s="1"/>
  <c r="Y26" i="9"/>
  <c r="Y29" i="9" s="1"/>
  <c r="Y30" i="9"/>
  <c r="Y31" i="9" s="1"/>
  <c r="Z5" i="17"/>
  <c r="Z30" i="9" l="1"/>
  <c r="Z31" i="9" s="1"/>
  <c r="X29" i="17"/>
  <c r="X24" i="17"/>
  <c r="X17" i="17"/>
  <c r="X7" i="17"/>
  <c r="T62" i="6"/>
  <c r="T60" i="6"/>
  <c r="T47" i="6"/>
  <c r="T5" i="6"/>
  <c r="T66" i="4"/>
  <c r="S66" i="4"/>
  <c r="T55" i="4"/>
  <c r="T44" i="4"/>
  <c r="T46" i="4" s="1"/>
  <c r="T33" i="4"/>
  <c r="X4" i="9"/>
  <c r="X5" i="17" l="1"/>
  <c r="X19" i="9"/>
  <c r="X24" i="9" s="1"/>
  <c r="T67" i="4"/>
  <c r="T68" i="4" s="1"/>
  <c r="T34" i="4"/>
  <c r="S47" i="6"/>
  <c r="X26" i="9" l="1"/>
  <c r="X29" i="9" s="1"/>
  <c r="X30" i="9"/>
  <c r="X31" i="9" s="1"/>
  <c r="W29" i="17"/>
  <c r="W24" i="17"/>
  <c r="W17" i="17"/>
  <c r="W7" i="17"/>
  <c r="S60" i="6"/>
  <c r="S5" i="6"/>
  <c r="S55" i="4"/>
  <c r="S44" i="4"/>
  <c r="S46" i="4" s="1"/>
  <c r="S33" i="4"/>
  <c r="W4" i="9"/>
  <c r="W5" i="17" l="1"/>
  <c r="S67" i="4"/>
  <c r="S68" i="4" s="1"/>
  <c r="S34" i="4"/>
  <c r="W19" i="9"/>
  <c r="W24" i="9" s="1"/>
  <c r="B47" i="4"/>
  <c r="W26" i="9" l="1"/>
  <c r="W29" i="9" s="1"/>
  <c r="W30" i="9"/>
  <c r="W31" i="9" s="1"/>
  <c r="V29" i="17"/>
  <c r="V24" i="17"/>
  <c r="V17" i="17"/>
  <c r="V7" i="17"/>
  <c r="V5" i="17" s="1"/>
  <c r="R60" i="6"/>
  <c r="R47" i="6"/>
  <c r="R5" i="6"/>
  <c r="R33" i="4"/>
  <c r="R66" i="4"/>
  <c r="R55" i="4"/>
  <c r="R44" i="4"/>
  <c r="R46" i="4" s="1"/>
  <c r="V27" i="9"/>
  <c r="Z27" i="9" s="1"/>
  <c r="V4" i="9"/>
  <c r="V19" i="9" s="1"/>
  <c r="V30" i="9" l="1"/>
  <c r="V31" i="9" s="1"/>
  <c r="V24" i="9"/>
  <c r="V26" i="9" s="1"/>
  <c r="R34" i="4"/>
  <c r="R67" i="4"/>
  <c r="R68" i="4" s="1"/>
  <c r="U25" i="9"/>
  <c r="U21" i="9"/>
  <c r="U20" i="9"/>
  <c r="V29" i="9" l="1"/>
  <c r="T4" i="6"/>
  <c r="R4" i="6"/>
  <c r="R28" i="6" s="1"/>
  <c r="R31" i="6" s="1"/>
  <c r="R61" i="6" s="1"/>
  <c r="S4" i="6"/>
  <c r="S28" i="6" s="1"/>
  <c r="S31" i="6" s="1"/>
  <c r="S61" i="6" s="1"/>
  <c r="U29" i="17"/>
  <c r="T29" i="17"/>
  <c r="U27" i="17"/>
  <c r="U26" i="17"/>
  <c r="U25" i="17"/>
  <c r="U24" i="17" s="1"/>
  <c r="T24" i="17"/>
  <c r="U17" i="17"/>
  <c r="T17" i="17"/>
  <c r="U12" i="17"/>
  <c r="U11" i="17"/>
  <c r="U10" i="17"/>
  <c r="U9" i="17"/>
  <c r="U8" i="17"/>
  <c r="T7" i="17"/>
  <c r="T5" i="17" s="1"/>
  <c r="Q60" i="6"/>
  <c r="Q47" i="6"/>
  <c r="Q5" i="6"/>
  <c r="Q66" i="4"/>
  <c r="Q55" i="4"/>
  <c r="Q44" i="4"/>
  <c r="Q46" i="4" s="1"/>
  <c r="Q33" i="4"/>
  <c r="U4" i="9"/>
  <c r="T4" i="9"/>
  <c r="U7" i="17" l="1"/>
  <c r="U5" i="17" s="1"/>
  <c r="U4" i="6"/>
  <c r="U28" i="6" s="1"/>
  <c r="U31" i="6" s="1"/>
  <c r="U61" i="6" s="1"/>
  <c r="U64" i="6" s="1"/>
  <c r="T28" i="6"/>
  <c r="T31" i="6" s="1"/>
  <c r="T61" i="6" s="1"/>
  <c r="T64" i="6" s="1"/>
  <c r="Q34" i="4"/>
  <c r="Q67" i="4"/>
  <c r="Q68" i="4" s="1"/>
  <c r="T19" i="9"/>
  <c r="T24" i="9" s="1"/>
  <c r="U19" i="9"/>
  <c r="U30" i="9" l="1"/>
  <c r="U24" i="9"/>
  <c r="X62" i="6"/>
  <c r="X64" i="6" s="1"/>
  <c r="Y62" i="6"/>
  <c r="Y64" i="6" s="1"/>
  <c r="T30" i="9"/>
  <c r="T31" i="9" s="1"/>
  <c r="V62" i="6"/>
  <c r="V64" i="6" s="1"/>
  <c r="W62" i="6"/>
  <c r="W64" i="6" s="1"/>
  <c r="T26" i="9"/>
  <c r="U31" i="9"/>
  <c r="U26" i="9"/>
  <c r="U29" i="9" s="1"/>
  <c r="AB62" i="6" l="1"/>
  <c r="AA62" i="6"/>
  <c r="Z62" i="6"/>
  <c r="Z64" i="6" s="1"/>
  <c r="T27" i="9"/>
  <c r="T29" i="9"/>
  <c r="U27" i="9"/>
  <c r="Q4" i="6"/>
  <c r="Q28" i="6" s="1"/>
  <c r="Q31" i="6" s="1"/>
  <c r="Q61" i="6" s="1"/>
  <c r="Q64" i="6" s="1"/>
  <c r="R62" i="6" s="1"/>
  <c r="R64" i="6" s="1"/>
  <c r="S64" i="6" s="1"/>
  <c r="H27" i="6"/>
  <c r="G27" i="6"/>
  <c r="AB64" i="6" l="1"/>
  <c r="AC62" i="6"/>
  <c r="AA64" i="6"/>
  <c r="T14" i="18"/>
  <c r="R14" i="18"/>
  <c r="Q14" i="18"/>
  <c r="L14" i="18"/>
  <c r="G14" i="18"/>
  <c r="T13" i="18"/>
  <c r="Q13" i="18"/>
  <c r="L13" i="18"/>
  <c r="G13" i="18"/>
  <c r="T11" i="18"/>
  <c r="R11" i="18"/>
  <c r="Q11" i="18"/>
  <c r="L11" i="18"/>
  <c r="G11" i="18"/>
  <c r="T10" i="18"/>
  <c r="R10" i="18"/>
  <c r="Q10" i="18"/>
  <c r="L10" i="18"/>
  <c r="G10" i="18"/>
  <c r="T9" i="18"/>
  <c r="R9" i="18"/>
  <c r="Q9" i="18"/>
  <c r="L9" i="18"/>
  <c r="G9" i="18"/>
  <c r="T8" i="18"/>
  <c r="Q8" i="18"/>
  <c r="L8" i="18"/>
  <c r="G8" i="18"/>
  <c r="T7" i="18"/>
  <c r="R7" i="18"/>
  <c r="L7" i="18"/>
  <c r="G7" i="18"/>
  <c r="T6" i="18"/>
  <c r="R6" i="18"/>
  <c r="Q6" i="18"/>
  <c r="L6" i="18"/>
  <c r="G6" i="18"/>
  <c r="T5" i="18"/>
  <c r="R5" i="18"/>
  <c r="Q5" i="18"/>
  <c r="G5" i="18"/>
  <c r="K32" i="17"/>
  <c r="K31" i="17"/>
  <c r="K29" i="17" s="1"/>
  <c r="K30" i="17"/>
  <c r="S29" i="17"/>
  <c r="R29" i="17"/>
  <c r="Q29" i="17"/>
  <c r="P29" i="17"/>
  <c r="O29" i="17"/>
  <c r="N29" i="17"/>
  <c r="M29" i="17"/>
  <c r="L29" i="17"/>
  <c r="J29" i="17"/>
  <c r="I29" i="17"/>
  <c r="H29" i="17"/>
  <c r="G29" i="17"/>
  <c r="K27" i="17"/>
  <c r="K26" i="17"/>
  <c r="K24" i="17" s="1"/>
  <c r="K25" i="17"/>
  <c r="S24" i="17"/>
  <c r="R24" i="17"/>
  <c r="Q24" i="17"/>
  <c r="P24" i="17"/>
  <c r="O24" i="17"/>
  <c r="N24" i="17"/>
  <c r="M24" i="17"/>
  <c r="L24" i="17"/>
  <c r="J24" i="17"/>
  <c r="I24" i="17"/>
  <c r="H24" i="17"/>
  <c r="G24" i="17"/>
  <c r="K22" i="17"/>
  <c r="F22" i="17"/>
  <c r="K21" i="17"/>
  <c r="F21" i="17"/>
  <c r="K20" i="17"/>
  <c r="F20" i="17"/>
  <c r="K19" i="17"/>
  <c r="F19" i="17"/>
  <c r="K18" i="17"/>
  <c r="K17" i="17" s="1"/>
  <c r="F18" i="17"/>
  <c r="F17" i="17" s="1"/>
  <c r="S17" i="17"/>
  <c r="R17" i="17"/>
  <c r="Q17" i="17"/>
  <c r="P17" i="17"/>
  <c r="O17" i="17"/>
  <c r="N17" i="17"/>
  <c r="M17" i="17"/>
  <c r="L17" i="17"/>
  <c r="J17" i="17"/>
  <c r="I17" i="17"/>
  <c r="H17" i="17"/>
  <c r="G17" i="17"/>
  <c r="E17" i="17"/>
  <c r="D17" i="17"/>
  <c r="C17" i="17"/>
  <c r="B17" i="17"/>
  <c r="H16" i="17"/>
  <c r="G16" i="17"/>
  <c r="N15" i="17"/>
  <c r="K15" i="17"/>
  <c r="F15" i="17"/>
  <c r="K12" i="17"/>
  <c r="F12" i="17"/>
  <c r="K11" i="17"/>
  <c r="F11" i="17"/>
  <c r="K10" i="17"/>
  <c r="F10" i="17"/>
  <c r="K9" i="17"/>
  <c r="F9" i="17"/>
  <c r="K8" i="17"/>
  <c r="F8" i="17"/>
  <c r="S7" i="17"/>
  <c r="S5" i="17" s="1"/>
  <c r="R7" i="17"/>
  <c r="Q7" i="17"/>
  <c r="Q16" i="17" s="1"/>
  <c r="P7" i="17"/>
  <c r="P5" i="17" s="1"/>
  <c r="O7" i="17"/>
  <c r="O5" i="17" s="1"/>
  <c r="N7" i="17"/>
  <c r="M7" i="17"/>
  <c r="M16" i="17" s="1"/>
  <c r="L7" i="17"/>
  <c r="L16" i="17" s="1"/>
  <c r="J7" i="17"/>
  <c r="J16" i="17" s="1"/>
  <c r="I7" i="17"/>
  <c r="I16" i="17" s="1"/>
  <c r="H7" i="17"/>
  <c r="H5" i="17" s="1"/>
  <c r="G7" i="17"/>
  <c r="G5" i="17" s="1"/>
  <c r="F7" i="17"/>
  <c r="F16" i="17" s="1"/>
  <c r="E7" i="17"/>
  <c r="E16" i="17" s="1"/>
  <c r="D7" i="17"/>
  <c r="D16" i="17" s="1"/>
  <c r="C7" i="17"/>
  <c r="C16" i="17" s="1"/>
  <c r="B7" i="17"/>
  <c r="B16" i="17" s="1"/>
  <c r="L5" i="17"/>
  <c r="K7" i="17" l="1"/>
  <c r="K16" i="17" s="1"/>
  <c r="N5" i="17"/>
  <c r="R5" i="17"/>
  <c r="V5" i="18"/>
  <c r="AC64" i="6"/>
  <c r="AD62" i="6" s="1"/>
  <c r="AD64" i="6" s="1"/>
  <c r="V9" i="18"/>
  <c r="V13" i="18"/>
  <c r="V6" i="18"/>
  <c r="V10" i="18"/>
  <c r="V7" i="18"/>
  <c r="V8" i="18"/>
  <c r="V11" i="18"/>
  <c r="V14" i="18"/>
  <c r="K5" i="17"/>
  <c r="I5" i="17"/>
  <c r="M5" i="17"/>
  <c r="Q5" i="17"/>
  <c r="J5" i="17"/>
  <c r="B60" i="6" l="1"/>
  <c r="I60" i="6"/>
  <c r="J60" i="6"/>
  <c r="K60" i="6"/>
  <c r="L60" i="6"/>
  <c r="M60" i="6"/>
  <c r="N60" i="6"/>
  <c r="O60" i="6"/>
  <c r="P60" i="6"/>
  <c r="J65" i="4"/>
  <c r="I65" i="4"/>
  <c r="H65" i="4"/>
  <c r="G65" i="4"/>
  <c r="F65" i="4"/>
  <c r="E65" i="4"/>
  <c r="D65" i="4"/>
  <c r="C65" i="4"/>
  <c r="J64" i="4"/>
  <c r="I64" i="4"/>
  <c r="H64" i="4"/>
  <c r="G64" i="4"/>
  <c r="F64" i="4"/>
  <c r="E64" i="4"/>
  <c r="D64" i="4"/>
  <c r="C64" i="4"/>
  <c r="J63" i="4"/>
  <c r="I63" i="4"/>
  <c r="H63" i="4"/>
  <c r="G63" i="4"/>
  <c r="F63" i="4"/>
  <c r="E63" i="4"/>
  <c r="D63" i="4"/>
  <c r="C63" i="4"/>
  <c r="J61" i="4"/>
  <c r="I61" i="4"/>
  <c r="H61" i="4"/>
  <c r="G61" i="4"/>
  <c r="F61" i="4"/>
  <c r="E61" i="4"/>
  <c r="D61" i="4"/>
  <c r="C61" i="4"/>
  <c r="J58" i="4"/>
  <c r="I58" i="4"/>
  <c r="H58" i="4"/>
  <c r="G58" i="4"/>
  <c r="F58" i="4"/>
  <c r="E58" i="4"/>
  <c r="D58" i="4"/>
  <c r="C58" i="4"/>
  <c r="J57" i="4"/>
  <c r="I57" i="4"/>
  <c r="H57" i="4"/>
  <c r="G57" i="4"/>
  <c r="F57" i="4"/>
  <c r="E57" i="4"/>
  <c r="D57" i="4"/>
  <c r="C57" i="4"/>
  <c r="J56" i="4"/>
  <c r="I56" i="4"/>
  <c r="I66" i="4" s="1"/>
  <c r="H56" i="4"/>
  <c r="G56" i="4"/>
  <c r="F56" i="4"/>
  <c r="E56" i="4"/>
  <c r="D56" i="4"/>
  <c r="C56" i="4"/>
  <c r="J53" i="4"/>
  <c r="I53" i="4"/>
  <c r="H53" i="4"/>
  <c r="G53" i="4"/>
  <c r="F53" i="4"/>
  <c r="E53" i="4"/>
  <c r="D53" i="4"/>
  <c r="C53" i="4"/>
  <c r="J52" i="4"/>
  <c r="I52" i="4"/>
  <c r="H52" i="4"/>
  <c r="G52" i="4"/>
  <c r="F52" i="4"/>
  <c r="E52" i="4"/>
  <c r="D52" i="4"/>
  <c r="C52" i="4"/>
  <c r="J51" i="4"/>
  <c r="I51" i="4"/>
  <c r="H51" i="4"/>
  <c r="G51" i="4"/>
  <c r="F51" i="4"/>
  <c r="E51" i="4"/>
  <c r="D51" i="4"/>
  <c r="C51" i="4"/>
  <c r="J49" i="4"/>
  <c r="I49" i="4"/>
  <c r="H49" i="4"/>
  <c r="G49" i="4"/>
  <c r="F49" i="4"/>
  <c r="E49" i="4"/>
  <c r="D49" i="4"/>
  <c r="C49" i="4"/>
  <c r="J48" i="4"/>
  <c r="I48" i="4"/>
  <c r="H48" i="4"/>
  <c r="G48" i="4"/>
  <c r="F48" i="4"/>
  <c r="E48" i="4"/>
  <c r="D48" i="4"/>
  <c r="C48" i="4"/>
  <c r="J47" i="4"/>
  <c r="I47" i="4"/>
  <c r="H47" i="4"/>
  <c r="G47" i="4"/>
  <c r="F47" i="4"/>
  <c r="E47" i="4"/>
  <c r="D47" i="4"/>
  <c r="C47" i="4"/>
  <c r="J43" i="4"/>
  <c r="I43" i="4"/>
  <c r="H43" i="4"/>
  <c r="G43" i="4"/>
  <c r="F43" i="4"/>
  <c r="E43" i="4"/>
  <c r="D43" i="4"/>
  <c r="C43" i="4"/>
  <c r="I42" i="4"/>
  <c r="H42" i="4"/>
  <c r="G42" i="4"/>
  <c r="F42" i="4"/>
  <c r="E42" i="4"/>
  <c r="D42" i="4"/>
  <c r="C42" i="4"/>
  <c r="J39" i="4"/>
  <c r="I39" i="4"/>
  <c r="H39" i="4"/>
  <c r="G39" i="4"/>
  <c r="F39" i="4"/>
  <c r="E39" i="4"/>
  <c r="D39" i="4"/>
  <c r="C39" i="4"/>
  <c r="J36" i="4"/>
  <c r="I36" i="4"/>
  <c r="H36" i="4"/>
  <c r="G36" i="4"/>
  <c r="F36" i="4"/>
  <c r="E36" i="4"/>
  <c r="D36" i="4"/>
  <c r="C36" i="4"/>
  <c r="J31" i="4"/>
  <c r="I31" i="4"/>
  <c r="H31" i="4"/>
  <c r="G31" i="4"/>
  <c r="F31" i="4"/>
  <c r="E31" i="4"/>
  <c r="D31" i="4"/>
  <c r="C31" i="4"/>
  <c r="J28" i="4"/>
  <c r="I28" i="4"/>
  <c r="H28" i="4"/>
  <c r="G28" i="4"/>
  <c r="F28" i="4"/>
  <c r="E28" i="4"/>
  <c r="D28" i="4"/>
  <c r="C28" i="4"/>
  <c r="J27" i="4"/>
  <c r="I27" i="4"/>
  <c r="H27" i="4"/>
  <c r="G27" i="4"/>
  <c r="F27" i="4"/>
  <c r="E27" i="4"/>
  <c r="D27" i="4"/>
  <c r="C27" i="4"/>
  <c r="J26" i="4"/>
  <c r="I26" i="4"/>
  <c r="H26" i="4"/>
  <c r="G26" i="4"/>
  <c r="F26" i="4"/>
  <c r="E26" i="4"/>
  <c r="D26" i="4"/>
  <c r="C26" i="4"/>
  <c r="J25" i="4"/>
  <c r="I25" i="4"/>
  <c r="H25" i="4"/>
  <c r="G25" i="4"/>
  <c r="F25" i="4"/>
  <c r="E25" i="4"/>
  <c r="D25" i="4"/>
  <c r="C25" i="4"/>
  <c r="J23" i="4"/>
  <c r="I23" i="4"/>
  <c r="H23" i="4"/>
  <c r="G23" i="4"/>
  <c r="F23" i="4"/>
  <c r="E23" i="4"/>
  <c r="D23" i="4"/>
  <c r="C23" i="4"/>
  <c r="J21" i="4"/>
  <c r="I21" i="4"/>
  <c r="H21" i="4"/>
  <c r="G21" i="4"/>
  <c r="F21" i="4"/>
  <c r="E21" i="4"/>
  <c r="D21" i="4"/>
  <c r="C21" i="4"/>
  <c r="J19" i="4"/>
  <c r="I19" i="4"/>
  <c r="H19" i="4"/>
  <c r="G19" i="4"/>
  <c r="F19" i="4"/>
  <c r="E19" i="4"/>
  <c r="D19" i="4"/>
  <c r="C19" i="4"/>
  <c r="J16" i="4"/>
  <c r="I16" i="4"/>
  <c r="H16" i="4"/>
  <c r="G16" i="4"/>
  <c r="F16" i="4"/>
  <c r="E16" i="4"/>
  <c r="D16" i="4"/>
  <c r="C16" i="4"/>
  <c r="J14" i="4"/>
  <c r="I14" i="4"/>
  <c r="H14" i="4"/>
  <c r="G14" i="4"/>
  <c r="F14" i="4"/>
  <c r="E14" i="4"/>
  <c r="D14" i="4"/>
  <c r="C14" i="4"/>
  <c r="J13" i="4"/>
  <c r="I13" i="4"/>
  <c r="H13" i="4"/>
  <c r="G13" i="4"/>
  <c r="F13" i="4"/>
  <c r="E13" i="4"/>
  <c r="D13" i="4"/>
  <c r="C13" i="4"/>
  <c r="J12" i="4"/>
  <c r="I12" i="4"/>
  <c r="H12" i="4"/>
  <c r="G12" i="4"/>
  <c r="F12" i="4"/>
  <c r="E12" i="4"/>
  <c r="D12" i="4"/>
  <c r="C12"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I20" i="4" s="1"/>
  <c r="H5" i="4"/>
  <c r="G5" i="4"/>
  <c r="F5" i="4"/>
  <c r="E5" i="4"/>
  <c r="E20" i="4" s="1"/>
  <c r="D5" i="4"/>
  <c r="C7" i="4"/>
  <c r="C6" i="4"/>
  <c r="C5" i="4"/>
  <c r="C20" i="4" s="1"/>
  <c r="D8" i="4"/>
  <c r="F8" i="4"/>
  <c r="G8" i="4"/>
  <c r="H8" i="4"/>
  <c r="I8" i="4"/>
  <c r="H32" i="4"/>
  <c r="H30" i="4"/>
  <c r="H29" i="4"/>
  <c r="H24" i="4"/>
  <c r="G54" i="4"/>
  <c r="G50" i="4"/>
  <c r="G24" i="4"/>
  <c r="F32" i="4"/>
  <c r="F30" i="4"/>
  <c r="F29" i="4"/>
  <c r="F24" i="4"/>
  <c r="E29" i="4"/>
  <c r="E24" i="4"/>
  <c r="D54" i="4"/>
  <c r="D50" i="4"/>
  <c r="D32" i="4"/>
  <c r="D24" i="4"/>
  <c r="C54" i="4"/>
  <c r="C50" i="4"/>
  <c r="C32" i="4"/>
  <c r="C30" i="4"/>
  <c r="C29" i="4"/>
  <c r="C24" i="4"/>
  <c r="B65" i="4"/>
  <c r="B64" i="4"/>
  <c r="B63" i="4"/>
  <c r="B61" i="4"/>
  <c r="B58" i="4"/>
  <c r="B57" i="4"/>
  <c r="B56" i="4"/>
  <c r="L54" i="4"/>
  <c r="K54" i="4"/>
  <c r="B54" i="4"/>
  <c r="B53" i="4"/>
  <c r="B51" i="4"/>
  <c r="B50" i="4"/>
  <c r="B49" i="4"/>
  <c r="B48" i="4"/>
  <c r="B43" i="4"/>
  <c r="B41" i="4"/>
  <c r="B40" i="4"/>
  <c r="B38" i="4"/>
  <c r="B37" i="4"/>
  <c r="B36" i="4"/>
  <c r="B31" i="4"/>
  <c r="B28" i="4"/>
  <c r="B26" i="4"/>
  <c r="B25" i="4"/>
  <c r="B24" i="4"/>
  <c r="B23" i="4"/>
  <c r="B21" i="4"/>
  <c r="B19" i="4"/>
  <c r="B16" i="4"/>
  <c r="B13" i="4"/>
  <c r="B12" i="4"/>
  <c r="B10" i="4"/>
  <c r="B9" i="4"/>
  <c r="B8" i="4"/>
  <c r="B7" i="4"/>
  <c r="B6" i="4"/>
  <c r="B5" i="4"/>
  <c r="L33" i="4"/>
  <c r="O33" i="4"/>
  <c r="P33" i="4"/>
  <c r="L29" i="4"/>
  <c r="K29" i="4"/>
  <c r="K33" i="4" s="1"/>
  <c r="J20" i="4" l="1"/>
  <c r="G20" i="4"/>
  <c r="F20" i="4"/>
  <c r="B20" i="4"/>
  <c r="D20" i="4"/>
  <c r="H20" i="4"/>
  <c r="G33" i="4"/>
  <c r="B55" i="4"/>
  <c r="B33" i="4"/>
  <c r="J33" i="4"/>
  <c r="I33" i="4"/>
  <c r="H33" i="4"/>
  <c r="F33" i="4"/>
  <c r="E33" i="4"/>
  <c r="D33" i="4"/>
  <c r="C33" i="4"/>
  <c r="P47" i="6" l="1"/>
  <c r="P5" i="6"/>
  <c r="P66" i="4"/>
  <c r="P55" i="4"/>
  <c r="P44" i="4"/>
  <c r="P46" i="4" s="1"/>
  <c r="P67" i="4" l="1"/>
  <c r="P68" i="4" s="1"/>
  <c r="P34" i="4"/>
  <c r="S4" i="9" l="1"/>
  <c r="S19" i="9" l="1"/>
  <c r="S24" i="9" s="1"/>
  <c r="O47" i="6"/>
  <c r="O5" i="6"/>
  <c r="O28" i="6" s="1"/>
  <c r="O31" i="6" s="1"/>
  <c r="O55" i="4"/>
  <c r="O66" i="4"/>
  <c r="O44" i="4"/>
  <c r="O46" i="4" s="1"/>
  <c r="R4" i="9"/>
  <c r="N66" i="4"/>
  <c r="M66" i="4"/>
  <c r="N55" i="4"/>
  <c r="M55" i="4"/>
  <c r="N47" i="6"/>
  <c r="N5" i="6"/>
  <c r="N28" i="6" s="1"/>
  <c r="N31" i="6" s="1"/>
  <c r="N44" i="4"/>
  <c r="N46" i="4" s="1"/>
  <c r="Q4" i="9"/>
  <c r="S26" i="9" l="1"/>
  <c r="S27" i="9" s="1"/>
  <c r="S30" i="9"/>
  <c r="S31" i="9" s="1"/>
  <c r="O67" i="4"/>
  <c r="O61" i="6"/>
  <c r="O64" i="6" s="1"/>
  <c r="R19" i="9"/>
  <c r="R24" i="9" s="1"/>
  <c r="O34" i="4"/>
  <c r="N61" i="6"/>
  <c r="N64" i="6" s="1"/>
  <c r="N67" i="4"/>
  <c r="Q19" i="9"/>
  <c r="Q24" i="9" s="1"/>
  <c r="M47" i="6"/>
  <c r="M5" i="6"/>
  <c r="M44" i="4"/>
  <c r="M46" i="4" s="1"/>
  <c r="O4" i="9"/>
  <c r="P25" i="9"/>
  <c r="P21" i="9"/>
  <c r="P20" i="9"/>
  <c r="P18" i="9"/>
  <c r="P17" i="9"/>
  <c r="P16" i="9"/>
  <c r="P15" i="9"/>
  <c r="P14" i="9"/>
  <c r="P13" i="9"/>
  <c r="P8" i="9"/>
  <c r="P7" i="9"/>
  <c r="P6" i="9"/>
  <c r="P5" i="9"/>
  <c r="S29" i="9" l="1"/>
  <c r="Q26" i="9"/>
  <c r="Q27" i="9" s="1"/>
  <c r="Q30" i="9"/>
  <c r="Q31" i="9" s="1"/>
  <c r="R26" i="9"/>
  <c r="R29" i="9" s="1"/>
  <c r="R30" i="9"/>
  <c r="R31" i="9" s="1"/>
  <c r="P9" i="9"/>
  <c r="O68" i="4"/>
  <c r="N68" i="4"/>
  <c r="M67" i="4"/>
  <c r="O19" i="9"/>
  <c r="O24" i="9" s="1"/>
  <c r="P4" i="9"/>
  <c r="N4" i="9"/>
  <c r="L47" i="6"/>
  <c r="L5" i="6"/>
  <c r="L66" i="4"/>
  <c r="L55" i="4"/>
  <c r="L44" i="4"/>
  <c r="L46" i="4" s="1"/>
  <c r="F16" i="9"/>
  <c r="K16" i="9"/>
  <c r="R27" i="9" l="1"/>
  <c r="Q29" i="9"/>
  <c r="P4" i="6"/>
  <c r="P28" i="6" s="1"/>
  <c r="P31" i="6" s="1"/>
  <c r="P61" i="6" s="1"/>
  <c r="P64" i="6" s="1"/>
  <c r="O30" i="9"/>
  <c r="O31" i="9" s="1"/>
  <c r="M68" i="4"/>
  <c r="N19" i="9"/>
  <c r="N24" i="9" s="1"/>
  <c r="O26" i="9"/>
  <c r="P19" i="9"/>
  <c r="P24" i="9" s="1"/>
  <c r="L28" i="6"/>
  <c r="L31" i="6" s="1"/>
  <c r="L61" i="6" s="1"/>
  <c r="L64" i="6" s="1"/>
  <c r="L67" i="4"/>
  <c r="L34" i="4"/>
  <c r="P30" i="9" l="1"/>
  <c r="N30" i="9"/>
  <c r="N31" i="9" s="1"/>
  <c r="O27" i="9"/>
  <c r="O29" i="9"/>
  <c r="L68" i="4"/>
  <c r="N26" i="9"/>
  <c r="N27" i="9" l="1"/>
  <c r="N29" i="9"/>
  <c r="P31" i="9"/>
  <c r="P26" i="9"/>
  <c r="P27" i="9" l="1"/>
  <c r="P29" i="9"/>
  <c r="M4" i="6"/>
  <c r="M28" i="6" s="1"/>
  <c r="D5" i="6"/>
  <c r="C5" i="6"/>
  <c r="B5" i="6"/>
  <c r="H53" i="6"/>
  <c r="H60" i="6" s="1"/>
  <c r="G53" i="6"/>
  <c r="G60" i="6" s="1"/>
  <c r="F53" i="6"/>
  <c r="F60" i="6" s="1"/>
  <c r="E53" i="6"/>
  <c r="E60" i="6" s="1"/>
  <c r="D53" i="6"/>
  <c r="D60" i="6" s="1"/>
  <c r="C53" i="6"/>
  <c r="C60" i="6" s="1"/>
  <c r="M31" i="6" l="1"/>
  <c r="I45" i="4"/>
  <c r="J45" i="4"/>
  <c r="H45" i="4"/>
  <c r="B47" i="6"/>
  <c r="C47" i="6"/>
  <c r="D47" i="6"/>
  <c r="E47" i="6"/>
  <c r="F47" i="6"/>
  <c r="G47" i="6"/>
  <c r="H47" i="6"/>
  <c r="I47" i="6"/>
  <c r="J47" i="6"/>
  <c r="K47" i="6"/>
  <c r="N24" i="4" l="1"/>
  <c r="N33" i="4" s="1"/>
  <c r="M24" i="4"/>
  <c r="M30" i="4"/>
  <c r="M61" i="6"/>
  <c r="K5" i="6"/>
  <c r="K66" i="4"/>
  <c r="K55" i="4"/>
  <c r="K44" i="4"/>
  <c r="K46" i="4" s="1"/>
  <c r="M4" i="9"/>
  <c r="H4" i="9"/>
  <c r="I4" i="9"/>
  <c r="J4" i="9"/>
  <c r="G4" i="9"/>
  <c r="K25" i="9"/>
  <c r="F25" i="9"/>
  <c r="K21" i="9"/>
  <c r="K20" i="9"/>
  <c r="F21" i="9"/>
  <c r="F20" i="9"/>
  <c r="K14" i="9"/>
  <c r="K15" i="9"/>
  <c r="K17" i="9"/>
  <c r="K18" i="9"/>
  <c r="K13" i="9"/>
  <c r="F14" i="9"/>
  <c r="F15" i="9"/>
  <c r="F17" i="9"/>
  <c r="F18" i="9"/>
  <c r="F13" i="9"/>
  <c r="K6" i="9"/>
  <c r="K7" i="9"/>
  <c r="K8" i="9"/>
  <c r="K5" i="9"/>
  <c r="F6" i="9"/>
  <c r="F7" i="9"/>
  <c r="F8" i="9"/>
  <c r="F5" i="9"/>
  <c r="C4" i="9"/>
  <c r="D4" i="9"/>
  <c r="E4" i="9"/>
  <c r="B4" i="9"/>
  <c r="F9" i="9" l="1"/>
  <c r="K9" i="9"/>
  <c r="M33" i="4"/>
  <c r="H44" i="4"/>
  <c r="H46" i="4" s="1"/>
  <c r="D66" i="4"/>
  <c r="C55" i="4"/>
  <c r="G44" i="4"/>
  <c r="G46" i="4" s="1"/>
  <c r="H55" i="4"/>
  <c r="I44" i="4"/>
  <c r="I46" i="4" s="1"/>
  <c r="C66" i="4"/>
  <c r="E66" i="4"/>
  <c r="I55" i="4"/>
  <c r="F44" i="4"/>
  <c r="F46" i="4" s="1"/>
  <c r="D44" i="4"/>
  <c r="D46" i="4" s="1"/>
  <c r="J66" i="4"/>
  <c r="E55" i="4"/>
  <c r="B44" i="4"/>
  <c r="B46" i="4" s="1"/>
  <c r="D55" i="4"/>
  <c r="G66" i="4"/>
  <c r="F66" i="4"/>
  <c r="J55" i="4"/>
  <c r="G55" i="4"/>
  <c r="B66" i="4"/>
  <c r="E44" i="4"/>
  <c r="E46" i="4" s="1"/>
  <c r="H66" i="4"/>
  <c r="F55" i="4"/>
  <c r="C44" i="4"/>
  <c r="C46" i="4" s="1"/>
  <c r="J44" i="4"/>
  <c r="J46" i="4" s="1"/>
  <c r="M64" i="6"/>
  <c r="L4" i="9"/>
  <c r="K34" i="4"/>
  <c r="K67" i="4"/>
  <c r="B19" i="9"/>
  <c r="B30" i="9" l="1"/>
  <c r="B24" i="9"/>
  <c r="D67" i="4"/>
  <c r="H67" i="4"/>
  <c r="H68" i="4" s="1"/>
  <c r="B67" i="4"/>
  <c r="B68" i="4" s="1"/>
  <c r="J67" i="4"/>
  <c r="J68" i="4" s="1"/>
  <c r="I67" i="4"/>
  <c r="I68" i="4" s="1"/>
  <c r="F34" i="4"/>
  <c r="E67" i="4"/>
  <c r="E68" i="4" s="1"/>
  <c r="C67" i="4"/>
  <c r="C68" i="4" s="1"/>
  <c r="D68" i="4"/>
  <c r="G67" i="4"/>
  <c r="G68" i="4" s="1"/>
  <c r="I34" i="4"/>
  <c r="N34" i="4"/>
  <c r="F67" i="4"/>
  <c r="F68" i="4" s="1"/>
  <c r="G34" i="4"/>
  <c r="M34" i="4"/>
  <c r="D34" i="4"/>
  <c r="B31" i="9"/>
  <c r="C34" i="4"/>
  <c r="K68" i="4"/>
  <c r="B34" i="4"/>
  <c r="E34" i="4"/>
  <c r="J34" i="4"/>
  <c r="H34" i="4"/>
  <c r="M19" i="9" l="1"/>
  <c r="L19" i="9"/>
  <c r="J19" i="9"/>
  <c r="I19" i="9"/>
  <c r="H19" i="9"/>
  <c r="G19" i="9"/>
  <c r="E19" i="9"/>
  <c r="D19" i="9"/>
  <c r="C19" i="9"/>
  <c r="B26" i="9"/>
  <c r="K4" i="9"/>
  <c r="F4" i="9"/>
  <c r="F19" i="9" s="1"/>
  <c r="F24" i="9" s="1"/>
  <c r="I30" i="9" l="1"/>
  <c r="I24" i="9"/>
  <c r="E30" i="9"/>
  <c r="E31" i="9" s="1"/>
  <c r="E24" i="9"/>
  <c r="G30" i="9"/>
  <c r="G24" i="9"/>
  <c r="D30" i="9"/>
  <c r="D24" i="9"/>
  <c r="D26" i="9" s="1"/>
  <c r="J30" i="9"/>
  <c r="J24" i="9"/>
  <c r="J26" i="9" s="1"/>
  <c r="L30" i="9"/>
  <c r="L31" i="9" s="1"/>
  <c r="L24" i="9"/>
  <c r="C30" i="9"/>
  <c r="C24" i="9"/>
  <c r="H30" i="9"/>
  <c r="H31" i="9" s="1"/>
  <c r="H24" i="9"/>
  <c r="M30" i="9"/>
  <c r="M24" i="9"/>
  <c r="F30" i="9"/>
  <c r="F31" i="9" s="1"/>
  <c r="B27" i="9"/>
  <c r="B29" i="9"/>
  <c r="D31" i="9"/>
  <c r="L26" i="9"/>
  <c r="G31" i="9"/>
  <c r="G26" i="9"/>
  <c r="J31" i="9"/>
  <c r="H26" i="9"/>
  <c r="C26" i="9"/>
  <c r="C31" i="9"/>
  <c r="E26" i="9"/>
  <c r="I26" i="9"/>
  <c r="I31" i="9"/>
  <c r="M26" i="9"/>
  <c r="M31" i="9"/>
  <c r="K19" i="9"/>
  <c r="K24" i="9" s="1"/>
  <c r="F26" i="9"/>
  <c r="K30" i="9" l="1"/>
  <c r="G27" i="9"/>
  <c r="G29" i="9"/>
  <c r="M27" i="9"/>
  <c r="M29" i="9"/>
  <c r="D27" i="9"/>
  <c r="D29" i="9"/>
  <c r="J27" i="9"/>
  <c r="J29" i="9"/>
  <c r="E27" i="9"/>
  <c r="E29" i="9"/>
  <c r="H27" i="9"/>
  <c r="H29" i="9"/>
  <c r="I27" i="9"/>
  <c r="I29" i="9"/>
  <c r="C27" i="9"/>
  <c r="C29" i="9"/>
  <c r="L27" i="9"/>
  <c r="L29" i="9"/>
  <c r="F27" i="9"/>
  <c r="F29" i="9"/>
  <c r="K26" i="9"/>
  <c r="K31" i="9"/>
  <c r="K4" i="6"/>
  <c r="K28" i="6" s="1"/>
  <c r="K31" i="6" s="1"/>
  <c r="K61" i="6" s="1"/>
  <c r="K64" i="6" s="1"/>
  <c r="K27" i="9" l="1"/>
  <c r="K29" i="9"/>
  <c r="C28" i="6"/>
  <c r="C31" i="6" s="1"/>
  <c r="C61" i="6" l="1"/>
  <c r="C64" i="6" s="1"/>
  <c r="E5" i="6" l="1"/>
  <c r="E28" i="6" s="1"/>
  <c r="E31" i="6" s="1"/>
  <c r="E61" i="6" s="1"/>
  <c r="E64" i="6" s="1"/>
  <c r="J5" i="6"/>
  <c r="J28" i="6" s="1"/>
  <c r="J31" i="6" s="1"/>
  <c r="J61" i="6" s="1"/>
  <c r="J64" i="6" s="1"/>
  <c r="B28" i="6"/>
  <c r="B31" i="6" s="1"/>
  <c r="B61" i="6" s="1"/>
  <c r="B64" i="6" s="1"/>
  <c r="F5" i="6"/>
  <c r="F28" i="6" s="1"/>
  <c r="F31" i="6" s="1"/>
  <c r="F61" i="6" s="1"/>
  <c r="F64" i="6" s="1"/>
  <c r="G5" i="6"/>
  <c r="G28" i="6" s="1"/>
  <c r="G31" i="6" s="1"/>
  <c r="G61" i="6" s="1"/>
  <c r="G64" i="6" s="1"/>
  <c r="D28" i="6"/>
  <c r="D31" i="6" s="1"/>
  <c r="D61" i="6" s="1"/>
  <c r="D64" i="6" s="1"/>
  <c r="I5" i="6"/>
  <c r="I28" i="6" s="1"/>
  <c r="I31" i="6" s="1"/>
  <c r="I61" i="6" s="1"/>
  <c r="I64" i="6" s="1"/>
  <c r="H5" i="6"/>
  <c r="H28" i="6" s="1"/>
  <c r="H31" i="6" s="1"/>
  <c r="H61" i="6" s="1"/>
  <c r="H64" i="6" s="1"/>
</calcChain>
</file>

<file path=xl/sharedStrings.xml><?xml version="1.0" encoding="utf-8"?>
<sst xmlns="http://schemas.openxmlformats.org/spreadsheetml/2006/main" count="706" uniqueCount="339">
  <si>
    <t>EBITDA</t>
  </si>
  <si>
    <t>2)</t>
  </si>
  <si>
    <t>Q1</t>
  </si>
  <si>
    <t>Q2</t>
  </si>
  <si>
    <t>Q3</t>
  </si>
  <si>
    <t>Q4</t>
  </si>
  <si>
    <t>1Q</t>
  </si>
  <si>
    <t>2Q</t>
  </si>
  <si>
    <t>3Q</t>
  </si>
  <si>
    <t>4Q</t>
  </si>
  <si>
    <t>Multiroom</t>
  </si>
  <si>
    <t>Internet</t>
  </si>
  <si>
    <t xml:space="preserve">Internet </t>
  </si>
  <si>
    <t>Polsat News</t>
  </si>
  <si>
    <t>Polsat Sport</t>
  </si>
  <si>
    <t>Polsat Sport Extra</t>
  </si>
  <si>
    <t>Polsat Film</t>
  </si>
  <si>
    <t>Polsat Cafe</t>
  </si>
  <si>
    <t>Polsat Play</t>
  </si>
  <si>
    <t>CI Polsat</t>
  </si>
  <si>
    <t>Polsat Viasat History</t>
  </si>
  <si>
    <t>Polsat Viasat Nature</t>
  </si>
  <si>
    <t>Polsat Romans</t>
  </si>
  <si>
    <t>Polsat</t>
  </si>
  <si>
    <t>CYFROWY POLSAT S.A. CAPITAL GROUP</t>
  </si>
  <si>
    <t xml:space="preserve">BROADCASTING AND TELEVISION PRODUCTION SEGMENT </t>
  </si>
  <si>
    <r>
      <t>Audience share</t>
    </r>
    <r>
      <rPr>
        <b/>
        <vertAlign val="superscript"/>
        <sz val="11"/>
        <color theme="1"/>
        <rFont val="Calibri"/>
        <family val="2"/>
        <charset val="238"/>
        <scheme val="minor"/>
      </rPr>
      <t>(1) (2)</t>
    </r>
    <r>
      <rPr>
        <b/>
        <sz val="11"/>
        <color theme="1"/>
        <rFont val="Calibri"/>
        <family val="2"/>
        <charset val="238"/>
        <scheme val="minor"/>
      </rPr>
      <t>, including:</t>
    </r>
  </si>
  <si>
    <t>n/a</t>
  </si>
  <si>
    <r>
      <t>Polsat channel; technical reach</t>
    </r>
    <r>
      <rPr>
        <b/>
        <vertAlign val="superscript"/>
        <sz val="11"/>
        <rFont val="Calibri"/>
        <family val="2"/>
        <charset val="238"/>
        <scheme val="minor"/>
      </rPr>
      <t>(1)</t>
    </r>
  </si>
  <si>
    <r>
      <t>SEGMENT OF SERVICES TO INDIVIDUAL AND BUSINESS CUSTOMERS</t>
    </r>
    <r>
      <rPr>
        <b/>
        <vertAlign val="superscript"/>
        <sz val="9"/>
        <color rgb="FF000000"/>
        <rFont val="Calibri"/>
        <family val="2"/>
        <charset val="238"/>
        <scheme val="minor"/>
      </rPr>
      <t>1)</t>
    </r>
  </si>
  <si>
    <t>CONTRACT SERVICES</t>
  </si>
  <si>
    <t>Total number of RGUs, including:</t>
  </si>
  <si>
    <t>Pay TV, including:</t>
  </si>
  <si>
    <t>Mobile telephony</t>
  </si>
  <si>
    <t>Number of customers</t>
  </si>
  <si>
    <r>
      <t>Churn per customer</t>
    </r>
    <r>
      <rPr>
        <vertAlign val="superscript"/>
        <sz val="9"/>
        <color rgb="FF000000"/>
        <rFont val="Calibri"/>
        <family val="2"/>
        <charset val="238"/>
        <scheme val="minor"/>
      </rPr>
      <t>4)</t>
    </r>
  </si>
  <si>
    <t xml:space="preserve">RGU saturation per one cusotmer </t>
  </si>
  <si>
    <t>Average number of RGUs, including:</t>
  </si>
  <si>
    <t>Average number of customers</t>
  </si>
  <si>
    <t>PREPAID SERVICES</t>
  </si>
  <si>
    <t>Pay TV</t>
  </si>
  <si>
    <t xml:space="preserve">Mobile telephony </t>
  </si>
  <si>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</si>
  <si>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 xml:space="preserve">1) Customer - natural person, legal entity or an organizational unit without legal personality who has at least one active service provided in a contract model. </t>
  </si>
  <si>
    <t xml:space="preserve">2) RGU (revenue generating unit) - single, active service of pay TV, Interneet Access or mobile telephony provided in contract or prepaid model. </t>
  </si>
  <si>
    <t xml:space="preserve">3) ARPU per customer - average monthly revenue per customer generated in a given settlement period (including interconnect revenue).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</si>
  <si>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</si>
  <si>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per total prepaid RGU - average monthly revenue per prepaid RGU generated in a given settlement period (including interconnect revenue)</t>
  </si>
  <si>
    <t>CONSOLIDATED INCOME STATEMENT</t>
  </si>
  <si>
    <t>(in millions of PLN)</t>
  </si>
  <si>
    <t>Revenue</t>
  </si>
  <si>
    <t>Retail revenue</t>
  </si>
  <si>
    <t>Wholesale revenue</t>
  </si>
  <si>
    <t xml:space="preserve">Sale of equipment </t>
  </si>
  <si>
    <t>Other revenue</t>
  </si>
  <si>
    <t>Operating costs</t>
  </si>
  <si>
    <t>Content costs</t>
  </si>
  <si>
    <t>Distribution, marketing, customer relation management and retention costs</t>
  </si>
  <si>
    <t>Depreciation, amortization, impairment and liquidation</t>
  </si>
  <si>
    <t>Technical costs and cost of settlements with telecommunication operators</t>
  </si>
  <si>
    <t>Salaries and employee-related costs</t>
  </si>
  <si>
    <t>Cost of equipment sold</t>
  </si>
  <si>
    <t>Cost of debt collection services and bad debt allowance and receivables written off</t>
  </si>
  <si>
    <t>Other costs</t>
  </si>
  <si>
    <t>Other operating income, net</t>
  </si>
  <si>
    <t>Profit from operating activities</t>
  </si>
  <si>
    <t>Gain/loss on investment activities, net</t>
  </si>
  <si>
    <t>Finance costs</t>
  </si>
  <si>
    <t>Gross profit for the period</t>
  </si>
  <si>
    <t>Income tax</t>
  </si>
  <si>
    <t>Net profit for the period</t>
  </si>
  <si>
    <t>SEGMENT OF SERVICES TO INDIVIDUAL AND BUSINESS CUSTOMERS</t>
  </si>
  <si>
    <t>BROADCASTING AND TELEVISION PRODUCTION SEGMENT</t>
  </si>
  <si>
    <t>CONSOLIDATION ADJUSTMENTS</t>
  </si>
  <si>
    <t>TOTAL</t>
  </si>
  <si>
    <t>Change</t>
  </si>
  <si>
    <t xml:space="preserve">Revenues from sales to third parties </t>
  </si>
  <si>
    <t>Inter-segment revenues</t>
  </si>
  <si>
    <t>Revenues</t>
  </si>
  <si>
    <t xml:space="preserve">Profit from operating activities </t>
  </si>
  <si>
    <t xml:space="preserve">Acquisition of property, plant and equipment, reception equipment and other intangible assets </t>
  </si>
  <si>
    <t>Assets, including:</t>
  </si>
  <si>
    <t>Investments in joint ventures</t>
  </si>
  <si>
    <t>March 31</t>
  </si>
  <si>
    <t>June 30</t>
  </si>
  <si>
    <t xml:space="preserve"> September 30</t>
  </si>
  <si>
    <t>December 31</t>
  </si>
  <si>
    <t>CONSOLIDATED BALANCE SHEET</t>
  </si>
  <si>
    <t>ASSETS</t>
  </si>
  <si>
    <t>Reception equipment</t>
  </si>
  <si>
    <t>Other property, plant and equipment</t>
  </si>
  <si>
    <t xml:space="preserve">Goodwill </t>
  </si>
  <si>
    <t>Brands</t>
  </si>
  <si>
    <t xml:space="preserve">Other intangible assets </t>
  </si>
  <si>
    <t>Non-current programming assets</t>
  </si>
  <si>
    <t>Investment property</t>
  </si>
  <si>
    <t>includes derivative instruments assets</t>
  </si>
  <si>
    <t>Deferred tax assets</t>
  </si>
  <si>
    <t>Total non-current assets</t>
  </si>
  <si>
    <t>Current programming assets</t>
  </si>
  <si>
    <t>Inventories</t>
  </si>
  <si>
    <t>Loans granted to related parties</t>
  </si>
  <si>
    <t>Income tax receivable</t>
  </si>
  <si>
    <t>Short-term deposits</t>
  </si>
  <si>
    <t>Cash and cash equivalents</t>
  </si>
  <si>
    <t>Restricted cash</t>
  </si>
  <si>
    <t>Total current assets</t>
  </si>
  <si>
    <t>TOTAL ASSETS</t>
  </si>
  <si>
    <t>EQUITY AND LIABILITIES</t>
  </si>
  <si>
    <t>Share capital</t>
  </si>
  <si>
    <t>Reserve capital</t>
  </si>
  <si>
    <t>Other reserves</t>
  </si>
  <si>
    <t>Hedge valuation reserve</t>
  </si>
  <si>
    <t>Currency translation adjustmnet</t>
  </si>
  <si>
    <t>Retained earnings</t>
  </si>
  <si>
    <t>Equity attributable to equity holders of the Parent</t>
  </si>
  <si>
    <t>Non-controlling interests</t>
  </si>
  <si>
    <t>Total equity</t>
  </si>
  <si>
    <t>Loans and borrowings</t>
  </si>
  <si>
    <t>Issued bonds</t>
  </si>
  <si>
    <t>Finance lease liabilities</t>
  </si>
  <si>
    <t>Deferred tax liabilities</t>
  </si>
  <si>
    <t>Other non-current liabilities and provisions</t>
  </si>
  <si>
    <t>includes derivative instruments liabilities</t>
  </si>
  <si>
    <t xml:space="preserve">Total non-current liabilities </t>
  </si>
  <si>
    <t xml:space="preserve">Trade and other payables </t>
  </si>
  <si>
    <t>Income tax liability</t>
  </si>
  <si>
    <t>Deposits for equipment</t>
  </si>
  <si>
    <t>Total current liabilities</t>
  </si>
  <si>
    <t>Total liabilities</t>
  </si>
  <si>
    <t>CONSOLIDATED CASH FLOW STATEMENT</t>
  </si>
  <si>
    <t>Net profit</t>
  </si>
  <si>
    <t>Adjustments for:</t>
  </si>
  <si>
    <t>Payments for film licenses and sports rights</t>
  </si>
  <si>
    <t>Amortization of film licenses and sports rights</t>
  </si>
  <si>
    <t>(Gain)/loss on the sale of property, plant and equipment and intangible assets</t>
  </si>
  <si>
    <t>Cost of programming rights sold</t>
  </si>
  <si>
    <t>Interest expense</t>
  </si>
  <si>
    <t>Change in inventories</t>
  </si>
  <si>
    <t>Change in receivables and other assets</t>
  </si>
  <si>
    <t>Change in liabilities, provisions and deferred income</t>
  </si>
  <si>
    <t>Change in internal production and advance payments</t>
  </si>
  <si>
    <t>Valuation of hedging instruments</t>
  </si>
  <si>
    <t>Foreign exchange losses/(gains), net</t>
  </si>
  <si>
    <t>Net additions of reception equipment provided under operating lease</t>
  </si>
  <si>
    <t>Other adjustments</t>
  </si>
  <si>
    <t>Income tax paid</t>
  </si>
  <si>
    <t>Interest received from operating activities</t>
  </si>
  <si>
    <t>Acquisition of property, plant and equipment</t>
  </si>
  <si>
    <t>Acquisition of intangible assets</t>
  </si>
  <si>
    <t>Concession payments</t>
  </si>
  <si>
    <t>Acquisition of subsidiaries, net of cash acquired</t>
  </si>
  <si>
    <t>Proceeds from sale of property, plant and equipment</t>
  </si>
  <si>
    <t>Granted loans</t>
  </si>
  <si>
    <t>Repayment of loans granted</t>
  </si>
  <si>
    <t>Other investing activities - derivatives</t>
  </si>
  <si>
    <t>Dividends received</t>
  </si>
  <si>
    <t>Repayment of loans and borrowings</t>
  </si>
  <si>
    <t>Loans and  borrowings inflows</t>
  </si>
  <si>
    <t>Dividends paid</t>
  </si>
  <si>
    <t>Payment of share issuance-related consulting costs</t>
  </si>
  <si>
    <t>Net cash from/ (used in) financing activities</t>
  </si>
  <si>
    <t>Net cash from/ (used in) investing activities</t>
  </si>
  <si>
    <t>Net cash from/ (used in) operating activities</t>
  </si>
  <si>
    <t>Cash from/ (used in) operating activities</t>
  </si>
  <si>
    <t>Net increase/(decrease) in cash and cash equivalents</t>
  </si>
  <si>
    <t>Cash and cash equivalents at the beginning of the period</t>
  </si>
  <si>
    <t>Effect of exchange rate fluctuations on cash and cash equivalents</t>
  </si>
  <si>
    <t>Cash and cash equivalents at the end of the period</t>
  </si>
  <si>
    <t>3 months ended
March 31</t>
  </si>
  <si>
    <t>6 months ended
June 30</t>
  </si>
  <si>
    <t>9 months ended
September 30</t>
  </si>
  <si>
    <t>12 months ended
December 31</t>
  </si>
  <si>
    <t>Net profit attributable to equity holders of the Parent</t>
  </si>
  <si>
    <t>Basic and diluted earnings per share (in PLN)</t>
  </si>
  <si>
    <t>EBITDA margin</t>
  </si>
  <si>
    <t>Early redemption option</t>
  </si>
  <si>
    <t>Early redemption fee</t>
  </si>
  <si>
    <t>Hedging instrument effect – principal</t>
  </si>
  <si>
    <t xml:space="preserve">TV4 </t>
  </si>
  <si>
    <t xml:space="preserve">TV6 </t>
  </si>
  <si>
    <t>Polsat 2</t>
  </si>
  <si>
    <t xml:space="preserve">Polsat JimJam </t>
  </si>
  <si>
    <t>Disco Polo Music</t>
  </si>
  <si>
    <t>Polsat Viasat Explore</t>
  </si>
  <si>
    <t>Polsat News 2</t>
  </si>
  <si>
    <r>
      <t xml:space="preserve">Q1 </t>
    </r>
    <r>
      <rPr>
        <b/>
        <vertAlign val="superscript"/>
        <sz val="10"/>
        <color indexed="8"/>
        <rFont val="Calibri"/>
        <family val="2"/>
        <charset val="238"/>
      </rPr>
      <t>1)</t>
    </r>
  </si>
  <si>
    <t>1) Results of Midas Group consolidated from February 29, 2016</t>
  </si>
  <si>
    <t>Acquisition of bonds</t>
  </si>
  <si>
    <t>Share of the profit of jointly controlled entity accounted for using the equity method</t>
  </si>
  <si>
    <t>Net profit/(loss) attributable to non-controlling interest</t>
  </si>
  <si>
    <t>EBITDA (unaudited)</t>
  </si>
  <si>
    <t>Customer relationships</t>
  </si>
  <si>
    <t>Non-current deferred distribution fees</t>
  </si>
  <si>
    <t>Trade and other receivables</t>
  </si>
  <si>
    <t>Current deferred distribution fees</t>
  </si>
  <si>
    <t>Other current assets</t>
  </si>
  <si>
    <t>Share premium</t>
  </si>
  <si>
    <t>Deferred income</t>
  </si>
  <si>
    <t>UMTS license liabilities</t>
  </si>
  <si>
    <t>31 December restated 1)</t>
  </si>
  <si>
    <t>1) Restatement due to final purchase price allocation of Metelem</t>
  </si>
  <si>
    <t>2) From June 30, 2015 the item "Deposits for equipment" is accounted for in the item "Trade and other payables"</t>
  </si>
  <si>
    <t>Proceeds from sale of shares in subsidaries</t>
  </si>
  <si>
    <t>2) Item included in "Other adjustments".</t>
  </si>
  <si>
    <t>September 30</t>
  </si>
  <si>
    <t>Bonds (redemption)/issue</t>
  </si>
  <si>
    <r>
      <t xml:space="preserve">2016 </t>
    </r>
    <r>
      <rPr>
        <b/>
        <vertAlign val="superscript"/>
        <sz val="10"/>
        <color indexed="8"/>
        <rFont val="Calibri"/>
        <family val="2"/>
        <charset val="238"/>
      </rPr>
      <t>1)</t>
    </r>
  </si>
  <si>
    <t>Cumulative catch-up and early redemption costs</t>
  </si>
  <si>
    <r>
      <t>Other outflows</t>
    </r>
    <r>
      <rPr>
        <vertAlign val="superscript"/>
        <sz val="10"/>
        <color indexed="8"/>
        <rFont val="Calibri"/>
        <family val="2"/>
        <charset val="238"/>
      </rPr>
      <t>(3)</t>
    </r>
  </si>
  <si>
    <t xml:space="preserve">    Thematic channels</t>
  </si>
  <si>
    <r>
      <t>Total number of RGUs</t>
    </r>
    <r>
      <rPr>
        <b/>
        <vertAlign val="superscript"/>
        <sz val="9"/>
        <rFont val="Calibri"/>
        <family val="2"/>
        <charset val="238"/>
        <scheme val="minor"/>
      </rPr>
      <t>2)</t>
    </r>
    <r>
      <rPr>
        <b/>
        <sz val="9"/>
        <rFont val="Calibri"/>
        <family val="2"/>
        <charset val="238"/>
        <scheme val="minor"/>
      </rPr>
      <t xml:space="preserve"> (contract + prepaid), EOP</t>
    </r>
  </si>
  <si>
    <t>Total number of RGUs (EOP), including:</t>
  </si>
  <si>
    <t>Average number of RGUs (EOP), including:</t>
  </si>
  <si>
    <t>Change / p.p.</t>
  </si>
  <si>
    <t>DISCLAIMER
Key performance indicators (KPI) presented below starting from 2Q 2016 include the operating results of Polsat Group comprising Aero2 Group (formerly Midas Group), acquired on February 29, 2016. In light of the above, the operating results for periods starting from 2Q 2016 are not fully comparable with the operating results for earlier periods. However, the effect of consolidation of the operating results of Aero2 Group on the overall reported operating results of Polsat Group is immaterial. 
When assessing our operating results in the segment of services to individual and business customers, we analyze contract services and prepaid services separately. In the case of contract services we consider the number of unique, active services provided in the contract model (RGUs), the number of customers, churn rate and average revenue per customer (ARPU). When analyzing prepaid services we consider the number of unique, active services provided in the prepaid model (prepaid RGUs) as well as average revenue per prepaid RGU. The number of reported RGUs of prepaid services of mobile telephony and Internet access refers to the number of SIM cards which received or answered calls, sent or received SMS/MMS or used data transmission services within the last 90 days. In the case of free of charge Internet access services provided by Aero2, the Internet prepaid RGUs were calculated based on only those SIM cards, which used data transmission services under paid packages within the last 90 days.</t>
  </si>
  <si>
    <t>4)</t>
  </si>
  <si>
    <t>Net (gain)/loss on derivatives</t>
  </si>
  <si>
    <t>Other inflows/(outflows)</t>
  </si>
  <si>
    <t>4) Item included in "Other inflows/(outflows)".</t>
  </si>
  <si>
    <t>Polo TV</t>
  </si>
  <si>
    <t>Eska TV</t>
  </si>
  <si>
    <t>Eska TV Extra</t>
  </si>
  <si>
    <t>Vox Music TV</t>
  </si>
  <si>
    <t>Eska Rock TV</t>
  </si>
  <si>
    <r>
      <t>Eska TV</t>
    </r>
    <r>
      <rPr>
        <vertAlign val="superscript"/>
        <sz val="9"/>
        <color theme="1"/>
        <rFont val="Arial Narrow"/>
        <family val="2"/>
        <charset val="238"/>
      </rPr>
      <t>(2)</t>
    </r>
  </si>
  <si>
    <r>
      <t>Polo TV</t>
    </r>
    <r>
      <rPr>
        <vertAlign val="superscript"/>
        <sz val="9"/>
        <color theme="1"/>
        <rFont val="Arial Narrow"/>
        <family val="2"/>
        <charset val="238"/>
      </rPr>
      <t>(2)</t>
    </r>
  </si>
  <si>
    <r>
      <t>Eska TV Extra</t>
    </r>
    <r>
      <rPr>
        <vertAlign val="superscript"/>
        <sz val="9"/>
        <color theme="1"/>
        <rFont val="Arial Narrow"/>
        <family val="2"/>
        <charset val="238"/>
      </rPr>
      <t>(2)</t>
    </r>
  </si>
  <si>
    <r>
      <t>Vox Music TV</t>
    </r>
    <r>
      <rPr>
        <vertAlign val="superscript"/>
        <sz val="9"/>
        <color theme="1"/>
        <rFont val="Arial Narrow"/>
        <family val="2"/>
        <charset val="238"/>
      </rPr>
      <t>(2)</t>
    </r>
  </si>
  <si>
    <r>
      <t>Eska Rock TV</t>
    </r>
    <r>
      <rPr>
        <vertAlign val="superscript"/>
        <sz val="9"/>
        <color theme="1"/>
        <rFont val="Arial Narrow"/>
        <family val="2"/>
        <charset val="238"/>
      </rPr>
      <t>(2)</t>
    </r>
  </si>
  <si>
    <r>
      <t>Polsat Doku</t>
    </r>
    <r>
      <rPr>
        <vertAlign val="superscript"/>
        <sz val="9"/>
        <color theme="1"/>
        <rFont val="Arial Narrow"/>
        <family val="2"/>
        <charset val="238"/>
      </rPr>
      <t>(6)</t>
    </r>
  </si>
  <si>
    <t>Share of the profit of associates accounted for using the equity method</t>
  </si>
  <si>
    <t>Early redemption costs</t>
  </si>
  <si>
    <t>Acquisition of bonds issued by Midas</t>
  </si>
  <si>
    <r>
      <t>Share of the profit of a joint venture</t>
    </r>
    <r>
      <rPr>
        <sz val="10"/>
        <color indexed="8"/>
        <rFont val="Calibri"/>
        <family val="2"/>
        <charset val="238"/>
      </rPr>
      <t xml:space="preserve"> accounted for using the equity method</t>
    </r>
  </si>
  <si>
    <t>YTD 2018</t>
  </si>
  <si>
    <r>
      <t xml:space="preserve">2) Data presented in accordance with IAS 18 standard - they do not include the impact of the standards IFRS 9 </t>
    </r>
    <r>
      <rPr>
        <i/>
        <sz val="10"/>
        <color indexed="8"/>
        <rFont val="Calibri"/>
        <family val="2"/>
        <charset val="238"/>
      </rPr>
      <t>Financial Instruments</t>
    </r>
    <r>
      <rPr>
        <sz val="10"/>
        <color indexed="8"/>
        <rFont val="Calibri"/>
        <family val="2"/>
        <charset val="238"/>
      </rPr>
      <t xml:space="preserve"> and IFRS 15 </t>
    </r>
    <r>
      <rPr>
        <i/>
        <sz val="10"/>
        <color indexed="8"/>
        <rFont val="Calibri"/>
        <family val="2"/>
        <charset val="238"/>
      </rPr>
      <t>Revenue from Contracts with Customers</t>
    </r>
    <r>
      <rPr>
        <sz val="10"/>
        <color indexed="8"/>
        <rFont val="Calibri"/>
        <family val="2"/>
        <charset val="238"/>
      </rPr>
      <t xml:space="preserve">, applicable from January 1, 2018.  </t>
    </r>
  </si>
  <si>
    <t xml:space="preserve">3) Data presented in accordance with standards IFRS 9 Financial Instruments and IFRS 15 Revenue from Contracts with Customers. Data is not comparable to data for previous periods. </t>
  </si>
  <si>
    <t>3 months ended March 31</t>
  </si>
  <si>
    <t>Contract assets</t>
  </si>
  <si>
    <t>Contract liabilities</t>
  </si>
  <si>
    <t>Change in contract assets</t>
  </si>
  <si>
    <t>Change in contract liabilities</t>
  </si>
  <si>
    <t>Acquisition of shares in associates and other entities</t>
  </si>
  <si>
    <r>
      <t>Super Polsat</t>
    </r>
    <r>
      <rPr>
        <vertAlign val="superscript"/>
        <sz val="9"/>
        <color theme="1"/>
        <rFont val="Arial Narrow"/>
        <family val="2"/>
        <charset val="238"/>
      </rPr>
      <t>(3)</t>
    </r>
  </si>
  <si>
    <t>Fokus TV</t>
  </si>
  <si>
    <t>Nowa TV</t>
  </si>
  <si>
    <t>Channels cooperating with Cyfrowy Polsat Group (non-consolidated)</t>
  </si>
  <si>
    <t>Other non-current assets, includes:</t>
  </si>
  <si>
    <t>shares in associates accounted for using the equity method</t>
  </si>
  <si>
    <t>derivative instruments assets</t>
  </si>
  <si>
    <t xml:space="preserve">    POLSAT (main channel)</t>
  </si>
  <si>
    <r>
      <t xml:space="preserve">2017 </t>
    </r>
    <r>
      <rPr>
        <i/>
        <sz val="10"/>
        <color theme="1"/>
        <rFont val="Calibri"/>
        <family val="2"/>
        <charset val="238"/>
        <scheme val="minor"/>
      </rPr>
      <t>(IAS 18 basis)</t>
    </r>
  </si>
  <si>
    <r>
      <t>ARPU per customer</t>
    </r>
    <r>
      <rPr>
        <vertAlign val="superscript"/>
        <sz val="9"/>
        <color rgb="FF000000"/>
        <rFont val="Calibri"/>
        <family val="2"/>
        <charset val="238"/>
        <scheme val="minor"/>
      </rPr>
      <t>3)</t>
    </r>
    <r>
      <rPr>
        <sz val="9"/>
        <color rgb="FF000000"/>
        <rFont val="Calibri"/>
        <family val="2"/>
        <charset val="238"/>
        <scheme val="minor"/>
      </rPr>
      <t xml:space="preserve"> acc. to IFRS 15 [PLN]</t>
    </r>
  </si>
  <si>
    <r>
      <t>ARPU per customer</t>
    </r>
    <r>
      <rPr>
        <vertAlign val="superscript"/>
        <sz val="9"/>
        <color rgb="FF000000"/>
        <rFont val="Calibri"/>
        <family val="2"/>
        <charset val="238"/>
        <scheme val="minor"/>
      </rPr>
      <t xml:space="preserve">3) </t>
    </r>
    <r>
      <rPr>
        <sz val="9"/>
        <color rgb="FF000000"/>
        <rFont val="Calibri"/>
        <family val="2"/>
        <charset val="238"/>
        <scheme val="minor"/>
      </rPr>
      <t>acc. to IAS 18 [PLN]</t>
    </r>
  </si>
  <si>
    <t>Investment funds inflows/(outflows)</t>
  </si>
  <si>
    <r>
      <t>Polsat Sport News HD</t>
    </r>
    <r>
      <rPr>
        <vertAlign val="superscript"/>
        <sz val="9"/>
        <color theme="1"/>
        <rFont val="Arial Narrow"/>
        <family val="2"/>
        <charset val="238"/>
      </rPr>
      <t>(5)</t>
    </r>
  </si>
  <si>
    <t>Polsat Sport Fight</t>
  </si>
  <si>
    <r>
      <t>Polsat 1</t>
    </r>
    <r>
      <rPr>
        <vertAlign val="superscript"/>
        <sz val="9"/>
        <color theme="1"/>
        <rFont val="Arial Narrow"/>
        <family val="2"/>
        <charset val="238"/>
      </rPr>
      <t>(7)</t>
    </r>
  </si>
  <si>
    <t>n/d</t>
  </si>
  <si>
    <r>
      <t>Channels acquired in 2018</t>
    </r>
    <r>
      <rPr>
        <b/>
        <vertAlign val="superscript"/>
        <sz val="11"/>
        <rFont val="Calibri"/>
        <family val="2"/>
        <charset val="238"/>
        <scheme val="minor"/>
      </rPr>
      <t>(9)</t>
    </r>
  </si>
  <si>
    <r>
      <t>Channels acquired in 2017</t>
    </r>
    <r>
      <rPr>
        <b/>
        <vertAlign val="superscript"/>
        <sz val="11"/>
        <rFont val="Calibri"/>
        <family val="2"/>
        <charset val="238"/>
        <scheme val="minor"/>
      </rPr>
      <t>(8)</t>
    </r>
  </si>
  <si>
    <t>Eleven Sports 1</t>
  </si>
  <si>
    <t>Superstacja</t>
  </si>
  <si>
    <t>Eleven Sports 2</t>
  </si>
  <si>
    <r>
      <t>Eleven Sports 3</t>
    </r>
    <r>
      <rPr>
        <vertAlign val="superscript"/>
        <sz val="9"/>
        <color theme="1"/>
        <rFont val="Arial Narrow"/>
        <family val="2"/>
        <charset val="238"/>
      </rPr>
      <t>(7)</t>
    </r>
  </si>
  <si>
    <r>
      <t>Eleven Sports 4</t>
    </r>
    <r>
      <rPr>
        <vertAlign val="superscript"/>
        <sz val="9"/>
        <color theme="1"/>
        <rFont val="Arial Narrow"/>
        <family val="2"/>
        <charset val="238"/>
      </rPr>
      <t>(7)</t>
    </r>
  </si>
  <si>
    <r>
      <t>TV Okazje</t>
    </r>
    <r>
      <rPr>
        <vertAlign val="superscript"/>
        <sz val="9"/>
        <color theme="1"/>
        <rFont val="Arial Narrow"/>
        <family val="2"/>
        <charset val="238"/>
      </rPr>
      <t>(7)</t>
    </r>
  </si>
  <si>
    <r>
      <t>Eleven Sports 3</t>
    </r>
    <r>
      <rPr>
        <vertAlign val="superscript"/>
        <sz val="9"/>
        <color theme="1"/>
        <rFont val="Arial Narrow"/>
        <family val="2"/>
        <charset val="238"/>
      </rPr>
      <t>(8)</t>
    </r>
  </si>
  <si>
    <r>
      <t>Eleven Sports 4</t>
    </r>
    <r>
      <rPr>
        <vertAlign val="superscript"/>
        <sz val="9"/>
        <color theme="1"/>
        <rFont val="Arial Narrow"/>
        <family val="2"/>
        <charset val="238"/>
      </rPr>
      <t>(8)</t>
    </r>
  </si>
  <si>
    <r>
      <t>TV Okazje</t>
    </r>
    <r>
      <rPr>
        <vertAlign val="superscript"/>
        <sz val="9"/>
        <color theme="1"/>
        <rFont val="Arial Narrow"/>
        <family val="2"/>
        <charset val="238"/>
      </rPr>
      <t>(8)</t>
    </r>
  </si>
  <si>
    <r>
      <t>2018</t>
    </r>
    <r>
      <rPr>
        <b/>
        <vertAlign val="superscript"/>
        <sz val="11"/>
        <color theme="1"/>
        <rFont val="Calibri"/>
        <family val="2"/>
        <charset val="238"/>
      </rPr>
      <t>2)</t>
    </r>
    <r>
      <rPr>
        <b/>
        <sz val="11"/>
        <color theme="1"/>
        <rFont val="Calibri"/>
        <family val="2"/>
        <charset val="238"/>
      </rPr>
      <t xml:space="preserve"> (IAS 18 basis,
excl. consolidation of Netia Group)</t>
    </r>
  </si>
  <si>
    <r>
      <t>2Q</t>
    </r>
    <r>
      <rPr>
        <b/>
        <vertAlign val="superscript"/>
        <sz val="9"/>
        <color indexed="8"/>
        <rFont val="Calibri"/>
        <family val="2"/>
        <charset val="238"/>
        <scheme val="minor"/>
      </rPr>
      <t>6</t>
    </r>
  </si>
  <si>
    <t>Share of the profit/(loss) of associates accounted for using the equity method</t>
  </si>
  <si>
    <r>
      <t xml:space="preserve">2018 </t>
    </r>
    <r>
      <rPr>
        <i/>
        <sz val="10"/>
        <color theme="1"/>
        <rFont val="Calibri"/>
        <family val="2"/>
        <charset val="238"/>
        <scheme val="minor"/>
      </rPr>
      <t>(IFRS 15 basis,
Netia Group consolidated as of May 22, 2018)</t>
    </r>
  </si>
  <si>
    <r>
      <t xml:space="preserve">2018 </t>
    </r>
    <r>
      <rPr>
        <i/>
        <sz val="10"/>
        <color theme="1"/>
        <rFont val="Calibri"/>
        <family val="2"/>
        <charset val="238"/>
        <scheme val="minor"/>
      </rPr>
      <t>(IFRS 15 basis, 
Netia Group consolidated as of May 22, 2018)</t>
    </r>
  </si>
  <si>
    <t>1) Includes impact of hedging instruments, premium paid for early bonds’ repayment and amount paid for costs related to new financing.</t>
  </si>
  <si>
    <t>6) Operational indicators excluding the results of Netia Group.</t>
  </si>
  <si>
    <t>-</t>
  </si>
  <si>
    <r>
      <t>Polsat Music HD</t>
    </r>
    <r>
      <rPr>
        <vertAlign val="superscript"/>
        <sz val="9"/>
        <color theme="1"/>
        <rFont val="Arial Narrow"/>
        <family val="2"/>
        <charset val="238"/>
      </rPr>
      <t>(4)</t>
    </r>
  </si>
  <si>
    <r>
      <t>Polsat Doku</t>
    </r>
    <r>
      <rPr>
        <vertAlign val="superscript"/>
        <sz val="9"/>
        <color theme="1"/>
        <rFont val="Arial Narrow"/>
        <family val="2"/>
        <charset val="238"/>
      </rPr>
      <t>(5)</t>
    </r>
  </si>
  <si>
    <r>
      <t>Polsat Sport News HD</t>
    </r>
    <r>
      <rPr>
        <vertAlign val="superscript"/>
        <sz val="9"/>
        <color theme="1"/>
        <rFont val="Arial Narrow"/>
        <family val="2"/>
        <charset val="238"/>
      </rPr>
      <t>(6)</t>
    </r>
  </si>
  <si>
    <r>
      <t>Polsat Sport Premium 1</t>
    </r>
    <r>
      <rPr>
        <vertAlign val="superscript"/>
        <sz val="9"/>
        <color theme="1"/>
        <rFont val="Arial Narrow"/>
        <family val="2"/>
        <charset val="238"/>
      </rPr>
      <t>(7)</t>
    </r>
  </si>
  <si>
    <r>
      <t>Polsat Sport Premium 2</t>
    </r>
    <r>
      <rPr>
        <vertAlign val="superscript"/>
        <sz val="9"/>
        <color theme="1"/>
        <rFont val="Arial Narrow"/>
        <family val="2"/>
        <charset val="238"/>
      </rPr>
      <t>(7)</t>
    </r>
  </si>
  <si>
    <r>
      <t>Polsat Games</t>
    </r>
    <r>
      <rPr>
        <vertAlign val="superscript"/>
        <sz val="9"/>
        <color theme="1"/>
        <rFont val="Arial Narrow"/>
        <family val="2"/>
        <charset val="238"/>
      </rPr>
      <t>(8)</t>
    </r>
  </si>
  <si>
    <r>
      <t>Polsat Rodzina</t>
    </r>
    <r>
      <rPr>
        <vertAlign val="superscript"/>
        <sz val="9"/>
        <color theme="1"/>
        <rFont val="Arial Narrow"/>
        <family val="2"/>
        <charset val="238"/>
      </rPr>
      <t>(8)</t>
    </r>
  </si>
  <si>
    <r>
      <t>Udział w rynku reklamy</t>
    </r>
    <r>
      <rPr>
        <b/>
        <vertAlign val="superscript"/>
        <sz val="9"/>
        <color theme="1"/>
        <rFont val="Arial Narrow"/>
        <family val="2"/>
        <charset val="238"/>
      </rPr>
      <t>(11)</t>
    </r>
  </si>
  <si>
    <r>
      <t>Polsat Sport Premium 1</t>
    </r>
    <r>
      <rPr>
        <vertAlign val="superscript"/>
        <sz val="9"/>
        <color theme="1"/>
        <rFont val="Arial Narrow"/>
        <family val="2"/>
        <charset val="238"/>
      </rPr>
      <t>(8)</t>
    </r>
  </si>
  <si>
    <r>
      <t>Polsat Sport Premium 2</t>
    </r>
    <r>
      <rPr>
        <vertAlign val="superscript"/>
        <sz val="9"/>
        <color theme="1"/>
        <rFont val="Arial Narrow"/>
        <family val="2"/>
        <charset val="238"/>
      </rPr>
      <t>(8)</t>
    </r>
  </si>
  <si>
    <r>
      <t>Polsat Games</t>
    </r>
    <r>
      <rPr>
        <vertAlign val="superscript"/>
        <sz val="9"/>
        <color theme="1"/>
        <rFont val="Arial Narrow"/>
        <family val="2"/>
        <charset val="238"/>
      </rPr>
      <t>(9)</t>
    </r>
  </si>
  <si>
    <r>
      <t>Polsat Rodzina</t>
    </r>
    <r>
      <rPr>
        <vertAlign val="superscript"/>
        <sz val="9"/>
        <color theme="1"/>
        <rFont val="Arial Narrow"/>
        <family val="2"/>
        <charset val="238"/>
      </rPr>
      <t>(9)</t>
    </r>
  </si>
  <si>
    <t>[mln PLN]</t>
  </si>
  <si>
    <t>Usługi dla klientów indywidualnych i biznesowych</t>
  </si>
  <si>
    <t>Nadawanie i produkcja telewizyjna</t>
  </si>
  <si>
    <t>Wyłączenia i korekty konsolidacyjne</t>
  </si>
  <si>
    <t>Razem</t>
  </si>
  <si>
    <t>Sprzedaż do stron trzecich</t>
  </si>
  <si>
    <t>Sprzedaż pomiędzy segmentami</t>
  </si>
  <si>
    <t>Przychody ze sprzedaży</t>
  </si>
  <si>
    <t>EBITDA (niebadana)</t>
  </si>
  <si>
    <t>Amortyzacja, utrata wartości i likwidacja</t>
  </si>
  <si>
    <t>Zysk z działalności operacyjnej</t>
  </si>
  <si>
    <t xml:space="preserve">Nabycie rzeczowych aktywów trwałych, zestawów odbiorczych i innych wartości niematerialnych </t>
  </si>
  <si>
    <t>*</t>
  </si>
  <si>
    <t>Aktywa segmentu, w tym:</t>
  </si>
  <si>
    <t>**</t>
  </si>
  <si>
    <t>Balance as at September 30</t>
  </si>
  <si>
    <r>
      <t xml:space="preserve">okres 9 miesięcy zakończony 30 września 2017 roku (niebadany) - </t>
    </r>
    <r>
      <rPr>
        <i/>
        <sz val="9"/>
        <color rgb="FFFFFFFF"/>
        <rFont val="Arial Narrow"/>
        <family val="2"/>
        <charset val="238"/>
      </rPr>
      <t>dane według MSR 18</t>
    </r>
  </si>
  <si>
    <t>7.249,4</t>
  </si>
  <si>
    <t>2.744,3</t>
  </si>
  <si>
    <t>1.348,2</t>
  </si>
  <si>
    <t>1.396,1</t>
  </si>
  <si>
    <t>Na dzień 30 września 2017 (niebadany)</t>
  </si>
  <si>
    <t>26.892,6</t>
  </si>
  <si>
    <t>Inwestycje we wspólne przedsięwzięcia</t>
  </si>
  <si>
    <t>1) Nielsen Audience Measurement, All day ages 16-49 audience share, including Live+2 (viewership results include 2 additional days of time-shifted viewing).
2) When calculating the total audience share of Polsat Group and audience share of thematic channels, we take into account the moment of including the channel in our portfolio. 
3) Channel broadcasting in DTT since January 2, 2017, replaced Polsat Sport News.
4) Until May 26, 2017, channel broadcast under the name “MUZO.TV”.
5) Channel broadcast since February 10, 2017, data for the broadcasting period. 
6) Channel available only in cable and satellite networks since January 2, 2017 under the name “Polsat Sport News HD”.
7) Channel not included in the telemetric panel. 
8) Channel not included in the telemetric panel. 
9) Channels included in Polsat Group’s portfolio from March 4, 2017, data for the entire analyzed period.
10) Channels included in Polsat Group’s portfolio in June 2018.
11) Our estimates based on Starcom data.</t>
  </si>
  <si>
    <t>1) Nielsen Audience Measurement, percentage of TV households able to receive a given channel; arithmetical average of monthly technical reach.
2) Channel included in Polsat Group’s portfolio from December 4, 2017. 
3) Channel broadcasting in DTT since January 2, 2017, replaced Polsat Sport News
4) Channel broadcast since May 26, 2017, replaced MUZO.TV.
5) Channel available only in cable and satellite networks since January 2, 2017 under the name “Polsat Sport News HD”.
6) Channel broadcast since February 10, 2017, data for the broadcasting period.
7) Channel broadcast since August 1, 2016, included in the telemetric panel since January 1, 2017. 
8) Channel broadcast outside of Poland, not included in the telemetric survey.
9) Channel included into Polsat Group’s portfolio in October 2018.</t>
  </si>
  <si>
    <t xml:space="preserve">CI Polsat </t>
  </si>
  <si>
    <t>for the 3-month period ended</t>
  </si>
  <si>
    <t>March 31, 2019
(IFRS 16)</t>
  </si>
  <si>
    <t>December 31, 2017
(IAS 17 basis)</t>
  </si>
  <si>
    <t>1) This item also includes the acquisition of reception equipment for operating lease purposes.</t>
  </si>
  <si>
    <t>2) Includes non-current assets located outside of Poland in the amount of PLN 11.8 million.</t>
  </si>
  <si>
    <t>3) Includes non-current assets located outside of Poland in the amount of PLN 12.1 million.</t>
  </si>
  <si>
    <r>
      <t xml:space="preserve">Payment of interest on loans, borrowings, bonds,  lease and commissions </t>
    </r>
    <r>
      <rPr>
        <vertAlign val="superscript"/>
        <sz val="9"/>
        <color indexed="8"/>
        <rFont val="Calibri"/>
        <family val="2"/>
        <charset val="238"/>
      </rPr>
      <t>1)</t>
    </r>
  </si>
  <si>
    <t>2019 (IFRS 15 and IFRS 16 basis)</t>
  </si>
  <si>
    <r>
      <t>2019</t>
    </r>
    <r>
      <rPr>
        <b/>
        <vertAlign val="superscript"/>
        <sz val="11"/>
        <color theme="1"/>
        <rFont val="Calibri"/>
        <family val="2"/>
        <charset val="238"/>
      </rPr>
      <t>4)</t>
    </r>
    <r>
      <rPr>
        <b/>
        <sz val="11"/>
        <color theme="1"/>
        <rFont val="Calibri"/>
        <family val="2"/>
        <charset val="238"/>
      </rPr>
      <t xml:space="preserve"> (IFRS 15 and IAS 17 basis)</t>
    </r>
  </si>
  <si>
    <r>
      <t>2018</t>
    </r>
    <r>
      <rPr>
        <b/>
        <vertAlign val="superscript"/>
        <sz val="11"/>
        <color theme="1"/>
        <rFont val="Calibri"/>
        <family val="2"/>
        <charset val="238"/>
      </rPr>
      <t>3)</t>
    </r>
    <r>
      <rPr>
        <b/>
        <sz val="11"/>
        <color theme="1"/>
        <rFont val="Calibri"/>
        <family val="2"/>
        <charset val="238"/>
      </rPr>
      <t xml:space="preserve"> (IFRS 15 and IAS 17 basis,
Netia Group consolidated as of May 22, 2018)</t>
    </r>
  </si>
  <si>
    <r>
      <t xml:space="preserve">2019 </t>
    </r>
    <r>
      <rPr>
        <sz val="10"/>
        <color theme="1"/>
        <rFont val="Calibri"/>
        <family val="2"/>
        <charset val="238"/>
        <scheme val="minor"/>
      </rPr>
      <t>(IAS 17 basis)</t>
    </r>
  </si>
  <si>
    <r>
      <t xml:space="preserve">2019 </t>
    </r>
    <r>
      <rPr>
        <sz val="10"/>
        <color theme="1"/>
        <rFont val="Calibri"/>
        <family val="2"/>
        <charset val="238"/>
        <scheme val="minor"/>
      </rPr>
      <t>(IFRS 15 i IFRS 16 basis)</t>
    </r>
  </si>
  <si>
    <t>4) Data exckuding the impact of IFRS 16</t>
  </si>
  <si>
    <r>
      <t>Spłata odsetek od leasingu</t>
    </r>
    <r>
      <rPr>
        <vertAlign val="superscript"/>
        <sz val="10"/>
        <color indexed="8"/>
        <rFont val="Calibri"/>
        <family val="2"/>
        <charset val="238"/>
      </rPr>
      <t xml:space="preserve"> 5)</t>
    </r>
  </si>
  <si>
    <r>
      <t>Spłata zobowiązań z tytułu leasingu</t>
    </r>
    <r>
      <rPr>
        <vertAlign val="superscript"/>
        <sz val="10"/>
        <color indexed="8"/>
        <rFont val="Calibri"/>
        <family val="2"/>
        <charset val="238"/>
      </rPr>
      <t xml:space="preserve"> 6)</t>
    </r>
  </si>
  <si>
    <t>3) Item includes Finance lease – principal repayments.</t>
  </si>
  <si>
    <t>5) Until December 31, 2019 this item was included in "Payment of interest on loans, borrowings, bonds,  lease and commissions".</t>
  </si>
  <si>
    <t>6) Until December 31, 2019 this item was included in "Other outflows".</t>
  </si>
  <si>
    <r>
      <t xml:space="preserve">2019 </t>
    </r>
    <r>
      <rPr>
        <sz val="10"/>
        <color theme="1"/>
        <rFont val="Calibri"/>
        <family val="2"/>
        <charset val="238"/>
        <scheme val="minor"/>
      </rPr>
      <t>IFRS 16 basis)</t>
    </r>
  </si>
  <si>
    <t>1,0 p.p.</t>
  </si>
  <si>
    <t xml:space="preserve">CYFROWY POLSAT S.A. CAPITAL GROUP  </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</si>
</sst>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_);_(* \(#,##0.00\);_(* &quot;-&quot;??_);_(@_)"/>
    <numFmt numFmtId="165" formatCode="0.0"/>
    <numFmt numFmtId="166" formatCode="0.000"/>
    <numFmt numFmtId="167" formatCode="0.0%"/>
    <numFmt numFmtId="168" formatCode="#,##0.0"/>
    <numFmt numFmtId="169" formatCode="_-* #,##0.00\ [$€-1]_-;\-* #,##0.00\ [$€-1]_-;_-* &quot;-&quot;??\ [$€-1]_-"/>
    <numFmt numFmtId="170" formatCode="#,##0.0;\(#,##0.0\);\-"/>
    <numFmt numFmtId="171" formatCode="#,##0.000;\(#,##0.000\);\-"/>
    <numFmt numFmtId="172" formatCode="#,##0;\(#,##0\);\-"/>
    <numFmt numFmtId="173" formatCode="#,##0.0\ ;\(#,##0.0\);\-"/>
    <numFmt numFmtId="174" formatCode="0.00;\(0.00\);\-"/>
    <numFmt numFmtId="175" formatCode="0.0;\(0.0\);\-"/>
    <numFmt numFmtId="176" formatCode="\-"/>
    <numFmt numFmtId="177" formatCode="General;\ \(General\)"/>
    <numFmt numFmtId="178" formatCode="#,##0.0;\-#,##0.0"/>
    <numFmt numFmtId="179" formatCode="#,##0.0;\(#,##0.0\)"/>
    <numFmt numFmtId="180" formatCode="#,##0.00;\(#,##0.00\)"/>
    <numFmt numFmtId="181" formatCode="_(* #,##0.0_);_(* \(#,##0.0\);_(* &quot;-&quot;??_);_(@_)"/>
    <numFmt numFmtId="182" formatCode="#,##0.00;\(#,##0.00\);\-"/>
    <numFmt numFmtId="183" formatCode="_([$€]* #,##0.00_);_([$€]* \(#,##0.00\);_([$€]* &quot;-&quot;??_);_(@_)"/>
    <numFmt numFmtId="184" formatCode="[$-415]mmm\ yy;@"/>
    <numFmt numFmtId="185" formatCode="_ &quot;kr&quot;\ * #,##0.00_ ;_ &quot;kr&quot;\ * \-#,##0.00_ ;_ &quot;kr&quot;\ * &quot;-&quot;??_ ;_ @_ "/>
    <numFmt numFmtId="186" formatCode="_ * #,##0.00_ ;_ * \-#,##0.00_ ;_ * &quot;-&quot;??_ ;_ @_ "/>
    <numFmt numFmtId="187" formatCode="&quot;$&quot;#,##0;[Red]\-&quot;$&quot;#,##0"/>
    <numFmt numFmtId="188" formatCode="d/m/yy\ h:mm"/>
    <numFmt numFmtId="189" formatCode="General_)"/>
    <numFmt numFmtId="190" formatCode="0.000000000"/>
    <numFmt numFmtId="191" formatCode="\k\$#"/>
    <numFmt numFmtId="192" formatCode="\H\U\F\ 0.000"/>
    <numFmt numFmtId="193" formatCode="&quot;$&quot;#,##0.00\ ;\(&quot;$&quot;#,##0.00\)"/>
    <numFmt numFmtId="194" formatCode="\k\$\ 0.000"/>
    <numFmt numFmtId="195" formatCode="\k\E\C\U\ 0.000"/>
    <numFmt numFmtId="196" formatCode="\k\H\U\F\ 0.000"/>
    <numFmt numFmtId="197" formatCode="\k\L\E\ 0.000"/>
    <numFmt numFmtId="198" formatCode="_-* #,##0.00\ &quot;Sk&quot;_-;\-* #,##0.00\ &quot;Sk&quot;_-;_-* &quot;-&quot;??\ &quot;Sk&quot;_-;_-@_-"/>
    <numFmt numFmtId="199" formatCode="_ * #,##0_)\ _$_ ;_ * \(#,##0\)\ _$_ ;_ * &quot;-&quot;_)\ _$_ ;_ @_ "/>
    <numFmt numFmtId="200" formatCode="_ * #,##0.00_)\ _$_ ;_ * \(#,##0.00\)\ _$_ ;_ * &quot;-&quot;??_)\ _$_ ;_ @_ "/>
    <numFmt numFmtId="201" formatCode="_ * #,##0_)\ &quot;$&quot;_ ;_ * \(#,##0\)\ &quot;$&quot;_ ;_ * &quot;-&quot;_)\ &quot;$&quot;_ ;_ @_ "/>
    <numFmt numFmtId="202" formatCode="_ * #,##0.00_)\ &quot;$&quot;_ ;_ * \(#,##0.00\)\ &quot;$&quot;_ ;_ * &quot;-&quot;??_)\ &quot;$&quot;_ ;_ @_ "/>
    <numFmt numFmtId="203" formatCode="&quot;Note&quot;\ #"/>
    <numFmt numFmtId="204" formatCode="&quot;See Note &quot;\ #"/>
    <numFmt numFmtId="205" formatCode="\$\ #,##0"/>
    <numFmt numFmtId="206" formatCode="&quot;L.&quot;\ #,##0;[Red]\-&quot;L.&quot;\ #,##0"/>
    <numFmt numFmtId="207" formatCode="_-&quot;£&quot;* #,##0_-;\-&quot;£&quot;* #,##0_-;_-&quot;£&quot;* &quot;-&quot;_-;_-@_-"/>
    <numFmt numFmtId="208" formatCode="_-&quot;£&quot;* #,##0.00_-;\-&quot;£&quot;* #,##0.00_-;_-&quot;£&quot;* &quot;-&quot;??_-;_-@_-"/>
  </numFmts>
  <fonts count="206">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vertAlign val="superscript"/>
      <sz val="9"/>
      <color indexed="8"/>
      <name val="Calibri"/>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sz val="10"/>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i/>
      <sz val="11"/>
      <color theme="1"/>
      <name val="Czcionka tekstu podstawowego"/>
      <family val="2"/>
      <charset val="238"/>
    </font>
    <font>
      <sz val="9"/>
      <color theme="1"/>
      <name val="Calibri"/>
      <family val="2"/>
      <charset val="238"/>
      <scheme val="minor"/>
    </font>
    <font>
      <vertAlign val="superscript"/>
      <sz val="9"/>
      <color theme="1"/>
      <name val="Calibri"/>
      <family val="2"/>
      <charset val="238"/>
      <scheme val="minor"/>
    </font>
    <font>
      <i/>
      <sz val="10"/>
      <color theme="1"/>
      <name val="Calibri"/>
      <family val="2"/>
      <charset val="238"/>
      <scheme val="minor"/>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name val="Calibri"/>
      <family val="2"/>
      <charset val="238"/>
      <scheme val="minor"/>
    </font>
    <font>
      <sz val="10"/>
      <color indexed="8"/>
      <name val="Calibri"/>
      <family val="2"/>
      <charset val="238"/>
      <scheme val="minor"/>
    </font>
    <font>
      <i/>
      <sz val="10"/>
      <color indexed="8"/>
      <name val="Calibri"/>
      <family val="2"/>
      <charset val="238"/>
      <scheme val="minor"/>
    </font>
    <font>
      <b/>
      <sz val="10"/>
      <name val="Calibri"/>
      <family val="2"/>
      <charset val="238"/>
      <scheme val="minor"/>
    </font>
    <font>
      <vertAlign val="superscript"/>
      <sz val="10"/>
      <name val="Calibri"/>
      <family val="2"/>
      <charset val="238"/>
      <scheme val="minor"/>
    </font>
    <font>
      <sz val="9"/>
      <name val="Arial Narrow"/>
      <family val="2"/>
      <charset val="238"/>
    </font>
    <font>
      <b/>
      <vertAlign val="superscript"/>
      <sz val="10"/>
      <color indexed="8"/>
      <name val="Calibri"/>
      <family val="2"/>
      <charset val="238"/>
    </font>
    <font>
      <i/>
      <sz val="10"/>
      <color indexed="8"/>
      <name val="Calibri"/>
      <family val="2"/>
      <charset val="238"/>
    </font>
    <font>
      <sz val="11"/>
      <color theme="1"/>
      <name val="Calibri"/>
      <family val="2"/>
      <charset val="238"/>
    </font>
    <font>
      <b/>
      <sz val="11"/>
      <color theme="1"/>
      <name val="Calibri"/>
      <family val="2"/>
      <charset val="238"/>
    </font>
    <font>
      <sz val="10"/>
      <name val="Calibri"/>
      <family val="2"/>
      <charset val="238"/>
    </font>
    <font>
      <b/>
      <sz val="10"/>
      <color theme="1"/>
      <name val="Calibri"/>
      <family val="2"/>
      <charset val="238"/>
    </font>
    <font>
      <b/>
      <sz val="10"/>
      <name val="Calibri"/>
      <family val="2"/>
      <charset val="238"/>
    </font>
    <font>
      <vertAlign val="superscript"/>
      <sz val="9"/>
      <color theme="1"/>
      <name val="Arial Narrow"/>
      <family val="2"/>
      <charset val="238"/>
    </font>
    <font>
      <b/>
      <vertAlign val="superscript"/>
      <sz val="11"/>
      <color theme="1"/>
      <name val="Calibri"/>
      <family val="2"/>
      <charset val="238"/>
    </font>
    <font>
      <b/>
      <vertAlign val="superscript"/>
      <sz val="9"/>
      <color indexed="8"/>
      <name val="Calibri"/>
      <family val="2"/>
      <charset val="238"/>
      <scheme val="minor"/>
    </font>
    <font>
      <b/>
      <vertAlign val="superscript"/>
      <sz val="9"/>
      <color theme="1"/>
      <name val="Arial Narrow"/>
      <family val="2"/>
      <charset val="238"/>
    </font>
    <font>
      <sz val="10"/>
      <color theme="1"/>
      <name val="Times New Roman"/>
      <family val="1"/>
      <charset val="238"/>
    </font>
    <font>
      <b/>
      <sz val="9"/>
      <color rgb="FFFFFFFF"/>
      <name val="Arial Narrow"/>
      <family val="2"/>
      <charset val="238"/>
    </font>
    <font>
      <i/>
      <sz val="9"/>
      <color rgb="FFFFFFFF"/>
      <name val="Arial Narrow"/>
      <family val="2"/>
      <charset val="238"/>
    </font>
    <font>
      <sz val="9"/>
      <color rgb="FF000000"/>
      <name val="Arial Narrow"/>
      <family val="2"/>
      <charset val="238"/>
    </font>
    <font>
      <b/>
      <sz val="9"/>
      <color rgb="FF000000"/>
      <name val="Arial Narrow"/>
      <family val="2"/>
      <charset val="238"/>
    </font>
    <font>
      <sz val="10"/>
      <color rgb="FFFF0000"/>
      <name val="Calibri"/>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1"/>
      <color theme="1"/>
      <name val="Arial Narrow"/>
      <family val="2"/>
      <charset val="238"/>
    </font>
    <font>
      <sz val="10"/>
      <color rgb="FF000000"/>
      <name val="Arial"/>
      <family val="2"/>
      <charset val="238"/>
    </font>
    <font>
      <sz val="9"/>
      <color theme="1"/>
      <name val="Arial"/>
      <family val="2"/>
      <charset val="238"/>
    </font>
    <font>
      <sz val="10"/>
      <name val="Arial CE"/>
      <charset val="238"/>
    </font>
    <font>
      <sz val="10"/>
      <name val="Times New Roman CE"/>
      <charset val="238"/>
    </font>
    <font>
      <sz val="9"/>
      <name val="Arial CE"/>
      <charset val="238"/>
    </font>
    <font>
      <sz val="9"/>
      <name val="Helv"/>
    </font>
    <font>
      <sz val="10"/>
      <name val="Arial"/>
      <family val="2"/>
      <charset val="238"/>
    </font>
    <font>
      <sz val="10"/>
      <name val="Courier"/>
      <family val="3"/>
    </font>
    <font>
      <sz val="8"/>
      <name val="Tms Rmn"/>
    </font>
    <font>
      <sz val="9"/>
      <name val="Courier"/>
      <family val="3"/>
    </font>
    <font>
      <sz val="10"/>
      <name val="Dutch"/>
    </font>
    <font>
      <sz val="10"/>
      <name val="MS Sans Serif"/>
      <family val="2"/>
      <charset val="238"/>
    </font>
    <font>
      <sz val="11"/>
      <color indexed="8"/>
      <name val="Calibri"/>
      <family val="2"/>
      <charset val="238"/>
    </font>
    <font>
      <sz val="11"/>
      <color indexed="9"/>
      <name val="Czcionka tekstu podstawowego"/>
      <family val="2"/>
      <charset val="238"/>
    </font>
    <font>
      <sz val="11"/>
      <color theme="0"/>
      <name val="Czcionka tekstu podstawowego"/>
      <family val="2"/>
      <charset val="238"/>
    </font>
    <font>
      <b/>
      <sz val="12"/>
      <name val="Arial"/>
      <family val="2"/>
      <charset val="238"/>
    </font>
    <font>
      <sz val="11"/>
      <color indexed="62"/>
      <name val="Czcionka tekstu podstawowego"/>
      <family val="2"/>
      <charset val="238"/>
    </font>
    <font>
      <sz val="11"/>
      <color rgb="FF3F3F76"/>
      <name val="Czcionka tekstu podstawowego"/>
      <family val="2"/>
      <charset val="238"/>
    </font>
    <font>
      <b/>
      <sz val="11"/>
      <color indexed="63"/>
      <name val="Czcionka tekstu podstawowego"/>
      <family val="2"/>
      <charset val="238"/>
    </font>
    <font>
      <b/>
      <sz val="11"/>
      <color rgb="FF3F3F3F"/>
      <name val="Czcionka tekstu podstawowego"/>
      <family val="2"/>
      <charset val="238"/>
    </font>
    <font>
      <sz val="11"/>
      <color rgb="FF3F3F3F"/>
      <name val="Czcionka tekstu podstawowego"/>
      <family val="2"/>
      <charset val="238"/>
    </font>
    <font>
      <sz val="11"/>
      <color indexed="17"/>
      <name val="Czcionka tekstu podstawowego"/>
      <family val="2"/>
      <charset val="238"/>
    </font>
    <font>
      <sz val="11"/>
      <color rgb="FF006100"/>
      <name val="Czcionka tekstu podstawowego"/>
      <family val="2"/>
      <charset val="238"/>
    </font>
    <font>
      <i/>
      <sz val="10"/>
      <name val="Arial"/>
      <family val="2"/>
      <charset val="238"/>
    </font>
    <font>
      <sz val="10"/>
      <color theme="1"/>
      <name val="Tahoma"/>
      <family val="2"/>
      <charset val="238"/>
    </font>
    <font>
      <sz val="10"/>
      <name val="Arial"/>
      <family val="2"/>
    </font>
    <font>
      <sz val="11"/>
      <color theme="1"/>
      <name val="Czcionka tekstu podstawowego"/>
      <family val="2"/>
    </font>
    <font>
      <sz val="12"/>
      <name val="Tms Rmn"/>
    </font>
    <font>
      <i/>
      <sz val="10"/>
      <name val="Times New Roman"/>
      <family val="1"/>
      <charset val="238"/>
    </font>
    <font>
      <b/>
      <sz val="8"/>
      <color indexed="18"/>
      <name val="PL Arial"/>
      <charset val="238"/>
    </font>
    <font>
      <sz val="8"/>
      <name val="Arial"/>
      <family val="2"/>
    </font>
    <font>
      <b/>
      <sz val="12"/>
      <color indexed="10"/>
      <name val="Arial"/>
      <family val="2"/>
      <charset val="238"/>
    </font>
    <font>
      <b/>
      <sz val="12"/>
      <name val="Arial"/>
      <family val="2"/>
    </font>
    <font>
      <b/>
      <sz val="18"/>
      <name val="Helv"/>
    </font>
    <font>
      <b/>
      <sz val="12"/>
      <name val="Helv"/>
    </font>
    <font>
      <b/>
      <sz val="12"/>
      <name val="Geneva"/>
      <family val="2"/>
    </font>
    <font>
      <u/>
      <sz val="12"/>
      <name val="Geneva"/>
      <family val="2"/>
    </font>
    <font>
      <b/>
      <sz val="10"/>
      <name val="Helv"/>
    </font>
    <font>
      <u/>
      <sz val="7"/>
      <color indexed="12"/>
      <name val="Arial"/>
      <family val="2"/>
      <charset val="238"/>
    </font>
    <font>
      <sz val="8"/>
      <name val="Geneva"/>
      <family val="2"/>
    </font>
    <font>
      <u/>
      <sz val="10"/>
      <color indexed="12"/>
      <name val="Arial"/>
      <family val="2"/>
      <charset val="238"/>
    </font>
    <font>
      <sz val="10"/>
      <name val="Arial CE"/>
    </font>
    <font>
      <sz val="10"/>
      <name val="AA Normal"/>
    </font>
    <font>
      <sz val="10"/>
      <name val="Geneva"/>
      <family val="2"/>
    </font>
    <font>
      <sz val="11"/>
      <color indexed="52"/>
      <name val="Czcionka tekstu podstawowego"/>
      <family val="2"/>
      <charset val="238"/>
    </font>
    <font>
      <sz val="11"/>
      <color rgb="FFFA7D00"/>
      <name val="Czcionka tekstu podstawowego"/>
      <family val="2"/>
      <charset val="238"/>
    </font>
    <font>
      <b/>
      <sz val="11"/>
      <color indexed="8"/>
      <name val="Czcionka tekstu podstawowego"/>
      <family val="2"/>
      <charset val="238"/>
    </font>
    <font>
      <b/>
      <sz val="11"/>
      <color indexed="9"/>
      <name val="Czcionka tekstu podstawowego"/>
      <family val="2"/>
      <charset val="238"/>
    </font>
    <font>
      <b/>
      <sz val="11"/>
      <color theme="0"/>
      <name val="Czcionka tekstu podstawowego"/>
      <family val="2"/>
      <charset val="238"/>
    </font>
    <font>
      <sz val="8"/>
      <name val="Courier"/>
      <family val="3"/>
    </font>
    <font>
      <sz val="8"/>
      <name val="Swiss"/>
      <charset val="238"/>
    </font>
    <font>
      <sz val="11"/>
      <name val="Arial"/>
      <family val="2"/>
      <charset val="238"/>
    </font>
    <font>
      <b/>
      <sz val="15"/>
      <color indexed="62"/>
      <name val="Czcionka tekstu podstawowego"/>
      <family val="2"/>
      <charset val="238"/>
    </font>
    <font>
      <b/>
      <sz val="15"/>
      <color indexed="56"/>
      <name val="Czcionka tekstu podstawowego"/>
      <family val="2"/>
      <charset val="238"/>
    </font>
    <font>
      <b/>
      <sz val="15"/>
      <color theme="3"/>
      <name val="Czcionka tekstu podstawowego"/>
      <family val="2"/>
      <charset val="238"/>
    </font>
    <font>
      <sz val="11"/>
      <color theme="3"/>
      <name val="Czcionka tekstu podstawowego"/>
      <family val="2"/>
      <charset val="238"/>
    </font>
    <font>
      <b/>
      <sz val="13"/>
      <color indexed="62"/>
      <name val="Czcionka tekstu podstawowego"/>
      <family val="2"/>
      <charset val="238"/>
    </font>
    <font>
      <b/>
      <sz val="13"/>
      <color indexed="56"/>
      <name val="Czcionka tekstu podstawowego"/>
      <family val="2"/>
      <charset val="238"/>
    </font>
    <font>
      <b/>
      <sz val="13"/>
      <color theme="3"/>
      <name val="Czcionka tekstu podstawowego"/>
      <family val="2"/>
      <charset val="238"/>
    </font>
    <font>
      <b/>
      <sz val="11"/>
      <color indexed="62"/>
      <name val="Czcionka tekstu podstawowego"/>
      <family val="2"/>
      <charset val="238"/>
    </font>
    <font>
      <b/>
      <sz val="11"/>
      <color indexed="56"/>
      <name val="Czcionka tekstu podstawowego"/>
      <family val="2"/>
      <charset val="238"/>
    </font>
    <font>
      <b/>
      <sz val="11"/>
      <color theme="3"/>
      <name val="Czcionka tekstu podstawowego"/>
      <family val="2"/>
      <charset val="238"/>
    </font>
    <font>
      <sz val="11"/>
      <color indexed="60"/>
      <name val="Czcionka tekstu podstawowego"/>
      <family val="2"/>
      <charset val="238"/>
    </font>
    <font>
      <sz val="11"/>
      <color rgb="FF9C6500"/>
      <name val="Czcionka tekstu podstawowego"/>
      <family val="2"/>
      <charset val="238"/>
    </font>
    <font>
      <sz val="10"/>
      <name val="Times New Roman"/>
      <family val="1"/>
      <charset val="238"/>
    </font>
    <font>
      <sz val="9"/>
      <color indexed="0"/>
      <name val="Arial"/>
      <family val="2"/>
      <charset val="238"/>
    </font>
    <font>
      <sz val="11"/>
      <color theme="1"/>
      <name val="Calibri"/>
      <family val="2"/>
      <scheme val="minor"/>
    </font>
    <font>
      <sz val="11"/>
      <color theme="1"/>
      <name val="Tahoma"/>
      <family val="2"/>
      <charset val="238"/>
    </font>
    <font>
      <sz val="11"/>
      <color theme="1"/>
      <name val="Cambria"/>
      <family val="2"/>
      <charset val="238"/>
      <scheme val="major"/>
    </font>
    <font>
      <sz val="8"/>
      <name val="Times New Roman"/>
      <family val="1"/>
      <charset val="238"/>
    </font>
    <font>
      <b/>
      <sz val="8"/>
      <name val="Times New Roman"/>
      <family val="1"/>
      <charset val="238"/>
    </font>
    <font>
      <b/>
      <sz val="11"/>
      <color indexed="52"/>
      <name val="Czcionka tekstu podstawowego"/>
      <family val="2"/>
      <charset val="238"/>
    </font>
    <font>
      <b/>
      <sz val="11"/>
      <color rgb="FFFA7D00"/>
      <name val="Czcionka tekstu podstawowego"/>
      <family val="2"/>
      <charset val="238"/>
    </font>
    <font>
      <sz val="8"/>
      <name val="Helv"/>
    </font>
    <font>
      <sz val="11"/>
      <color indexed="8"/>
      <name val="Times New Roman"/>
      <family val="1"/>
      <charset val="238"/>
    </font>
    <font>
      <b/>
      <i/>
      <sz val="11"/>
      <color indexed="8"/>
      <name val="Times New Roman"/>
      <family val="1"/>
      <charset val="238"/>
    </font>
    <font>
      <b/>
      <sz val="11"/>
      <color indexed="16"/>
      <name val="Times New Roman"/>
      <family val="1"/>
      <charset val="238"/>
    </font>
    <font>
      <b/>
      <sz val="22"/>
      <color indexed="8"/>
      <name val="Times New Roman"/>
      <family val="1"/>
      <charset val="238"/>
    </font>
    <font>
      <sz val="10"/>
      <name val="Lohit Hindi"/>
      <family val="2"/>
    </font>
    <font>
      <sz val="10"/>
      <name val="Tms Rmn PL"/>
      <family val="1"/>
    </font>
    <font>
      <sz val="12"/>
      <color theme="1"/>
      <name val="Calibri"/>
      <family val="2"/>
      <scheme val="minor"/>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Helv"/>
      <charset val="204"/>
    </font>
    <font>
      <b/>
      <sz val="8"/>
      <name val="Tms Rmn"/>
    </font>
    <font>
      <b/>
      <sz val="11"/>
      <color theme="1"/>
      <name val="Czcionka tekstu podstawowego"/>
      <family val="2"/>
      <charset val="238"/>
    </font>
    <font>
      <i/>
      <sz val="11"/>
      <color indexed="23"/>
      <name val="Czcionka tekstu podstawowego"/>
      <family val="2"/>
      <charset val="238"/>
    </font>
    <font>
      <i/>
      <sz val="11"/>
      <color rgb="FF7F7F7F"/>
      <name val="Czcionka tekstu podstawowego"/>
      <family val="2"/>
      <charset val="238"/>
    </font>
    <font>
      <sz val="11"/>
      <color rgb="FF7F7F7F"/>
      <name val="Czcionka tekstu podstawowego"/>
      <family val="2"/>
      <charset val="238"/>
    </font>
    <font>
      <sz val="11"/>
      <color indexed="11"/>
      <name val="Czcionka tekstu podstawowego"/>
      <family val="2"/>
      <charset val="238"/>
    </font>
    <font>
      <sz val="11"/>
      <color indexed="10"/>
      <name val="Czcionka tekstu podstawowego"/>
      <family val="2"/>
      <charset val="238"/>
    </font>
    <font>
      <sz val="11"/>
      <color rgb="FFFF0000"/>
      <name val="Czcionka tekstu podstawowego"/>
      <family val="2"/>
      <charset val="238"/>
    </font>
    <font>
      <b/>
      <sz val="18"/>
      <color indexed="62"/>
      <name val="Cambria"/>
      <family val="2"/>
      <charset val="238"/>
    </font>
    <font>
      <b/>
      <sz val="18"/>
      <color indexed="56"/>
      <name val="Cambria"/>
      <family val="2"/>
      <charset val="238"/>
    </font>
    <font>
      <sz val="11"/>
      <color theme="3"/>
      <name val="Cambria"/>
      <family val="2"/>
      <charset val="238"/>
      <scheme val="major"/>
    </font>
    <font>
      <sz val="18"/>
      <color theme="3"/>
      <name val="Cambria"/>
      <family val="2"/>
      <charset val="238"/>
      <scheme val="major"/>
    </font>
    <font>
      <b/>
      <sz val="9"/>
      <color indexed="12"/>
      <name val="Arial"/>
      <family val="2"/>
      <charset val="238"/>
    </font>
    <font>
      <sz val="11"/>
      <color indexed="20"/>
      <name val="Czcionka tekstu podstawowego"/>
      <family val="2"/>
      <charset val="238"/>
    </font>
    <font>
      <sz val="11"/>
      <color rgb="FF9C0006"/>
      <name val="Czcionka tekstu podstawowego"/>
      <family val="2"/>
      <charset val="238"/>
    </font>
    <font>
      <b/>
      <sz val="11"/>
      <name val="Calibri"/>
      <family val="2"/>
      <charset val="238"/>
    </font>
  </fonts>
  <fills count="9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mediumGray">
        <fgColor rgb="FFFFC000"/>
      </patternFill>
    </fill>
    <fill>
      <patternFill patternType="solid">
        <fgColor rgb="FFFFC00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
      <patternFill patternType="mediumGray">
        <fgColor theme="0" tint="-0.24994659260841701"/>
        <bgColor rgb="FFF7A833"/>
      </patternFill>
    </fill>
    <fill>
      <patternFill patternType="mediumGray">
        <fgColor theme="0" tint="-0.24994659260841701"/>
        <bgColor rgb="FFFFC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8"/>
      </patternFill>
    </fill>
    <fill>
      <patternFill patternType="solid">
        <fgColor indexed="47"/>
      </patternFill>
    </fill>
    <fill>
      <patternFill patternType="solid">
        <fgColor indexed="26"/>
      </patternFill>
    </fill>
    <fill>
      <patternFill patternType="solid">
        <fgColor indexed="10"/>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gray0625">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solid">
        <fgColor indexed="15"/>
      </patternFill>
    </fill>
  </fills>
  <borders count="71">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right/>
      <top style="dotted">
        <color rgb="FFF7A833"/>
      </top>
      <bottom style="dotted">
        <color rgb="FFF7A833"/>
      </bottom>
      <diagonal/>
    </border>
    <border>
      <left/>
      <right/>
      <top/>
      <bottom style="medium">
        <color rgb="FFF8A83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10"/>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bottom/>
      <diagonal/>
    </border>
    <border>
      <left/>
      <right/>
      <top style="thin">
        <color indexed="49"/>
      </top>
      <bottom style="double">
        <color indexed="49"/>
      </bottom>
      <diagonal/>
    </border>
    <border>
      <left/>
      <right/>
      <top style="thin">
        <color indexed="62"/>
      </top>
      <bottom style="double">
        <color indexed="62"/>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right/>
      <top style="thin">
        <color auto="1"/>
      </top>
      <bottom style="medium">
        <color auto="1"/>
      </bottom>
      <diagonal/>
    </border>
  </borders>
  <cellStyleXfs count="42851">
    <xf numFmtId="0" fontId="0" fillId="0" borderId="0"/>
    <xf numFmtId="164" fontId="17" fillId="0" borderId="0" applyFont="0" applyFill="0" applyBorder="0" applyAlignment="0" applyProtection="0"/>
    <xf numFmtId="9" fontId="15" fillId="0" borderId="0" applyFont="0" applyFill="0" applyBorder="0" applyAlignment="0" applyProtection="0"/>
    <xf numFmtId="169" fontId="23" fillId="0" borderId="0"/>
    <xf numFmtId="169" fontId="23" fillId="0" borderId="0"/>
    <xf numFmtId="169" fontId="23" fillId="0" borderId="0"/>
    <xf numFmtId="9" fontId="23"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99" fillId="0" borderId="0"/>
    <xf numFmtId="43" fontId="99" fillId="0" borderId="0" applyFont="0" applyFill="0" applyBorder="0" applyAlignment="0" applyProtection="0"/>
    <xf numFmtId="183" fontId="23" fillId="0" borderId="0"/>
    <xf numFmtId="0" fontId="100" fillId="0" borderId="0"/>
    <xf numFmtId="0" fontId="100" fillId="0" borderId="0"/>
    <xf numFmtId="0" fontId="100" fillId="0" borderId="0"/>
    <xf numFmtId="183" fontId="23" fillId="0" borderId="0"/>
    <xf numFmtId="0" fontId="1" fillId="0" borderId="0"/>
    <xf numFmtId="43" fontId="1" fillId="0" borderId="0" applyFont="0" applyFill="0" applyBorder="0" applyAlignment="0" applyProtection="0"/>
    <xf numFmtId="0" fontId="102" fillId="0" borderId="0"/>
    <xf numFmtId="0" fontId="1" fillId="0" borderId="0"/>
    <xf numFmtId="0" fontId="23" fillId="0" borderId="0"/>
    <xf numFmtId="0" fontId="103" fillId="0" borderId="0"/>
    <xf numFmtId="0" fontId="104" fillId="0" borderId="0"/>
    <xf numFmtId="166" fontId="105" fillId="0" borderId="0"/>
    <xf numFmtId="185" fontId="106" fillId="0" borderId="0" applyFont="0" applyFill="0" applyBorder="0" applyAlignment="0" applyProtection="0"/>
    <xf numFmtId="0" fontId="107" fillId="0" borderId="0">
      <alignment vertical="center"/>
    </xf>
    <xf numFmtId="1" fontId="105" fillId="0" borderId="0"/>
    <xf numFmtId="165" fontId="108" fillId="0" borderId="0"/>
    <xf numFmtId="2" fontId="105" fillId="0" borderId="0"/>
    <xf numFmtId="1" fontId="108" fillId="0" borderId="0"/>
    <xf numFmtId="1" fontId="109" fillId="0" borderId="0"/>
    <xf numFmtId="1" fontId="109" fillId="0" borderId="0"/>
    <xf numFmtId="1" fontId="109" fillId="0" borderId="0"/>
    <xf numFmtId="1" fontId="109" fillId="0" borderId="0"/>
    <xf numFmtId="186" fontId="110" fillId="0" borderId="0" applyFont="0" applyFill="0" applyBorder="0" applyAlignment="0" applyProtection="0"/>
    <xf numFmtId="38" fontId="111" fillId="0" borderId="0" applyFont="0" applyFill="0" applyBorder="0" applyAlignment="0" applyProtection="0"/>
    <xf numFmtId="0" fontId="112" fillId="56" borderId="0" applyNumberFormat="0" applyBorder="0" applyAlignment="0" applyProtection="0"/>
    <xf numFmtId="0" fontId="112" fillId="57" borderId="0" applyNumberFormat="0" applyBorder="0" applyAlignment="0" applyProtection="0"/>
    <xf numFmtId="0" fontId="112" fillId="58" borderId="0" applyNumberFormat="0" applyBorder="0" applyAlignment="0" applyProtection="0"/>
    <xf numFmtId="0" fontId="112" fillId="59" borderId="0" applyNumberFormat="0" applyBorder="0" applyAlignment="0" applyProtection="0"/>
    <xf numFmtId="0" fontId="112" fillId="60" borderId="0" applyNumberFormat="0" applyBorder="0" applyAlignment="0" applyProtection="0"/>
    <xf numFmtId="0" fontId="23"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3"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3"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183" fontId="113" fillId="61" borderId="0" applyNumberFormat="0" applyBorder="0" applyAlignment="0" applyProtection="0"/>
    <xf numFmtId="0" fontId="23" fillId="3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13" fillId="61" borderId="0" applyNumberFormat="0" applyBorder="0" applyAlignment="0" applyProtection="0"/>
    <xf numFmtId="0" fontId="15" fillId="56" borderId="0" applyNumberFormat="0" applyBorder="0" applyAlignment="0" applyProtection="0"/>
    <xf numFmtId="0" fontId="23" fillId="3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13" fillId="61" borderId="0" applyNumberFormat="0" applyBorder="0" applyAlignment="0" applyProtection="0"/>
    <xf numFmtId="0" fontId="15" fillId="56" borderId="0" applyNumberFormat="0" applyBorder="0" applyAlignment="0" applyProtection="0"/>
    <xf numFmtId="0" fontId="113" fillId="61" borderId="0" applyNumberFormat="0" applyBorder="0" applyAlignment="0" applyProtection="0"/>
    <xf numFmtId="0" fontId="15" fillId="56" borderId="0" applyNumberFormat="0" applyBorder="0" applyAlignment="0" applyProtection="0"/>
    <xf numFmtId="0" fontId="113" fillId="61" borderId="0" applyNumberFormat="0" applyBorder="0" applyAlignment="0" applyProtection="0"/>
    <xf numFmtId="0" fontId="15" fillId="56"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23" fillId="3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13" fillId="61"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183" fontId="113" fillId="61" borderId="0" applyNumberFormat="0" applyBorder="0" applyAlignment="0" applyProtection="0"/>
    <xf numFmtId="0" fontId="23" fillId="33" borderId="0" applyNumberFormat="0" applyBorder="0" applyAlignment="0" applyProtection="0"/>
    <xf numFmtId="0" fontId="113" fillId="61" borderId="0" applyNumberFormat="0" applyBorder="0" applyAlignment="0" applyProtection="0"/>
    <xf numFmtId="0" fontId="23" fillId="33" borderId="0" applyNumberFormat="0" applyBorder="0" applyAlignment="0" applyProtection="0"/>
    <xf numFmtId="0" fontId="113" fillId="61" borderId="0" applyNumberFormat="0" applyBorder="0" applyAlignment="0" applyProtection="0"/>
    <xf numFmtId="0" fontId="23" fillId="33"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23" fillId="33" borderId="0" applyNumberFormat="0" applyBorder="0" applyAlignment="0" applyProtection="0"/>
    <xf numFmtId="0" fontId="113" fillId="6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83" fontId="113" fillId="61" borderId="0" applyNumberFormat="0" applyBorder="0" applyAlignment="0" applyProtection="0"/>
    <xf numFmtId="0" fontId="23" fillId="33" borderId="0" applyNumberFormat="0" applyBorder="0" applyAlignment="0" applyProtection="0"/>
    <xf numFmtId="0" fontId="113" fillId="61" borderId="0" applyNumberFormat="0" applyBorder="0" applyAlignment="0" applyProtection="0"/>
    <xf numFmtId="0" fontId="23" fillId="33" borderId="0" applyNumberFormat="0" applyBorder="0" applyAlignment="0" applyProtection="0"/>
    <xf numFmtId="0" fontId="113" fillId="61" borderId="0" applyNumberFormat="0" applyBorder="0" applyAlignment="0" applyProtection="0"/>
    <xf numFmtId="0" fontId="23" fillId="33"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23" fillId="33" borderId="0" applyNumberFormat="0" applyBorder="0" applyAlignment="0" applyProtection="0"/>
    <xf numFmtId="0" fontId="113" fillId="6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3"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3"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3"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3"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3"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3"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3"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183" fontId="113" fillId="62"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23" fillId="3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13" fillId="62" borderId="0" applyNumberFormat="0" applyBorder="0" applyAlignment="0" applyProtection="0"/>
    <xf numFmtId="0" fontId="15" fillId="57" borderId="0" applyNumberFormat="0" applyBorder="0" applyAlignment="0" applyProtection="0"/>
    <xf numFmtId="0" fontId="23" fillId="3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13" fillId="62" borderId="0" applyNumberFormat="0" applyBorder="0" applyAlignment="0" applyProtection="0"/>
    <xf numFmtId="0" fontId="15" fillId="57" borderId="0" applyNumberFormat="0" applyBorder="0" applyAlignment="0" applyProtection="0"/>
    <xf numFmtId="0" fontId="113" fillId="62" borderId="0" applyNumberFormat="0" applyBorder="0" applyAlignment="0" applyProtection="0"/>
    <xf numFmtId="0" fontId="15" fillId="57" borderId="0" applyNumberFormat="0" applyBorder="0" applyAlignment="0" applyProtection="0"/>
    <xf numFmtId="0" fontId="113" fillId="62" borderId="0" applyNumberFormat="0" applyBorder="0" applyAlignment="0" applyProtection="0"/>
    <xf numFmtId="0" fontId="15" fillId="57"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23" fillId="3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183" fontId="113" fillId="62" borderId="0" applyNumberFormat="0" applyBorder="0" applyAlignment="0" applyProtection="0"/>
    <xf numFmtId="0" fontId="23" fillId="37" borderId="0" applyNumberFormat="0" applyBorder="0" applyAlignment="0" applyProtection="0"/>
    <xf numFmtId="0" fontId="113" fillId="62" borderId="0" applyNumberFormat="0" applyBorder="0" applyAlignment="0" applyProtection="0"/>
    <xf numFmtId="0" fontId="23" fillId="37" borderId="0" applyNumberFormat="0" applyBorder="0" applyAlignment="0" applyProtection="0"/>
    <xf numFmtId="0" fontId="113" fillId="62" borderId="0" applyNumberFormat="0" applyBorder="0" applyAlignment="0" applyProtection="0"/>
    <xf numFmtId="0" fontId="23" fillId="37"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23" fillId="37" borderId="0" applyNumberFormat="0" applyBorder="0" applyAlignment="0" applyProtection="0"/>
    <xf numFmtId="0" fontId="113" fillId="6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83" fontId="113" fillId="62" borderId="0" applyNumberFormat="0" applyBorder="0" applyAlignment="0" applyProtection="0"/>
    <xf numFmtId="0" fontId="23" fillId="37" borderId="0" applyNumberFormat="0" applyBorder="0" applyAlignment="0" applyProtection="0"/>
    <xf numFmtId="0" fontId="113" fillId="62" borderId="0" applyNumberFormat="0" applyBorder="0" applyAlignment="0" applyProtection="0"/>
    <xf numFmtId="0" fontId="23" fillId="37" borderId="0" applyNumberFormat="0" applyBorder="0" applyAlignment="0" applyProtection="0"/>
    <xf numFmtId="0" fontId="113" fillId="62" borderId="0" applyNumberFormat="0" applyBorder="0" applyAlignment="0" applyProtection="0"/>
    <xf numFmtId="0" fontId="23" fillId="37"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23" fillId="37" borderId="0" applyNumberFormat="0" applyBorder="0" applyAlignment="0" applyProtection="0"/>
    <xf numFmtId="0" fontId="113" fillId="6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3"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3"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3"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3"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3"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3"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3"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183" fontId="113" fillId="63"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23" fillId="41"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13" fillId="63" borderId="0" applyNumberFormat="0" applyBorder="0" applyAlignment="0" applyProtection="0"/>
    <xf numFmtId="0" fontId="15" fillId="58" borderId="0" applyNumberFormat="0" applyBorder="0" applyAlignment="0" applyProtection="0"/>
    <xf numFmtId="0" fontId="23" fillId="41"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13" fillId="63" borderId="0" applyNumberFormat="0" applyBorder="0" applyAlignment="0" applyProtection="0"/>
    <xf numFmtId="0" fontId="15" fillId="58" borderId="0" applyNumberFormat="0" applyBorder="0" applyAlignment="0" applyProtection="0"/>
    <xf numFmtId="0" fontId="113" fillId="63" borderId="0" applyNumberFormat="0" applyBorder="0" applyAlignment="0" applyProtection="0"/>
    <xf numFmtId="0" fontId="15" fillId="58" borderId="0" applyNumberFormat="0" applyBorder="0" applyAlignment="0" applyProtection="0"/>
    <xf numFmtId="0" fontId="113" fillId="63" borderId="0" applyNumberFormat="0" applyBorder="0" applyAlignment="0" applyProtection="0"/>
    <xf numFmtId="0" fontId="15" fillId="58" borderId="0" applyNumberFormat="0" applyBorder="0" applyAlignment="0" applyProtection="0"/>
    <xf numFmtId="0" fontId="113" fillId="63" borderId="0" applyNumberFormat="0" applyBorder="0" applyAlignment="0" applyProtection="0"/>
    <xf numFmtId="0" fontId="113" fillId="63" borderId="0" applyNumberFormat="0" applyBorder="0" applyAlignment="0" applyProtection="0"/>
    <xf numFmtId="0" fontId="113" fillId="63" borderId="0" applyNumberFormat="0" applyBorder="0" applyAlignment="0" applyProtection="0"/>
    <xf numFmtId="0" fontId="113" fillId="63" borderId="0" applyNumberFormat="0" applyBorder="0" applyAlignment="0" applyProtection="0"/>
    <xf numFmtId="0" fontId="113" fillId="63" borderId="0" applyNumberFormat="0" applyBorder="0" applyAlignment="0" applyProtection="0"/>
    <xf numFmtId="0" fontId="113" fillId="63" borderId="0" applyNumberFormat="0" applyBorder="0" applyAlignment="0" applyProtection="0"/>
    <xf numFmtId="0" fontId="113" fillId="63" borderId="0" applyNumberFormat="0" applyBorder="0" applyAlignment="0" applyProtection="0"/>
    <xf numFmtId="0" fontId="23" fillId="41"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13" fillId="63" borderId="0" applyNumberFormat="0" applyBorder="0" applyAlignment="0" applyProtection="0"/>
    <xf numFmtId="0" fontId="113" fillId="63" borderId="0" applyNumberFormat="0" applyBorder="0" applyAlignment="0" applyProtection="0"/>
    <xf numFmtId="0" fontId="113" fillId="63" borderId="0" applyNumberFormat="0" applyBorder="0" applyAlignment="0" applyProtection="0"/>
    <xf numFmtId="0" fontId="113" fillId="63" borderId="0" applyNumberFormat="0" applyBorder="0" applyAlignment="0" applyProtection="0"/>
    <xf numFmtId="0" fontId="113" fillId="63" borderId="0" applyNumberFormat="0" applyBorder="0" applyAlignment="0" applyProtection="0"/>
    <xf numFmtId="0" fontId="113" fillId="63" borderId="0" applyNumberFormat="0" applyBorder="0" applyAlignment="0" applyProtection="0"/>
    <xf numFmtId="0" fontId="113" fillId="63" borderId="0" applyNumberFormat="0" applyBorder="0" applyAlignment="0" applyProtection="0"/>
    <xf numFmtId="0" fontId="113" fillId="63" borderId="0" applyNumberFormat="0" applyBorder="0" applyAlignment="0" applyProtection="0"/>
    <xf numFmtId="0" fontId="113" fillId="63"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183" fontId="113" fillId="63" borderId="0" applyNumberFormat="0" applyBorder="0" applyAlignment="0" applyProtection="0"/>
    <xf numFmtId="0" fontId="23" fillId="41" borderId="0" applyNumberFormat="0" applyBorder="0" applyAlignment="0" applyProtection="0"/>
    <xf numFmtId="0" fontId="113" fillId="63" borderId="0" applyNumberFormat="0" applyBorder="0" applyAlignment="0" applyProtection="0"/>
    <xf numFmtId="0" fontId="23" fillId="41" borderId="0" applyNumberFormat="0" applyBorder="0" applyAlignment="0" applyProtection="0"/>
    <xf numFmtId="0" fontId="113" fillId="63" borderId="0" applyNumberFormat="0" applyBorder="0" applyAlignment="0" applyProtection="0"/>
    <xf numFmtId="0" fontId="23" fillId="41" borderId="0" applyNumberFormat="0" applyBorder="0" applyAlignment="0" applyProtection="0"/>
    <xf numFmtId="0" fontId="113" fillId="63" borderId="0" applyNumberFormat="0" applyBorder="0" applyAlignment="0" applyProtection="0"/>
    <xf numFmtId="0" fontId="113" fillId="63" borderId="0" applyNumberFormat="0" applyBorder="0" applyAlignment="0" applyProtection="0"/>
    <xf numFmtId="0" fontId="113" fillId="63" borderId="0" applyNumberFormat="0" applyBorder="0" applyAlignment="0" applyProtection="0"/>
    <xf numFmtId="0" fontId="23" fillId="41" borderId="0" applyNumberFormat="0" applyBorder="0" applyAlignment="0" applyProtection="0"/>
    <xf numFmtId="0" fontId="113" fillId="6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83" fontId="113" fillId="63" borderId="0" applyNumberFormat="0" applyBorder="0" applyAlignment="0" applyProtection="0"/>
    <xf numFmtId="0" fontId="23" fillId="41" borderId="0" applyNumberFormat="0" applyBorder="0" applyAlignment="0" applyProtection="0"/>
    <xf numFmtId="0" fontId="113" fillId="63" borderId="0" applyNumberFormat="0" applyBorder="0" applyAlignment="0" applyProtection="0"/>
    <xf numFmtId="0" fontId="23" fillId="41" borderId="0" applyNumberFormat="0" applyBorder="0" applyAlignment="0" applyProtection="0"/>
    <xf numFmtId="0" fontId="113" fillId="63" borderId="0" applyNumberFormat="0" applyBorder="0" applyAlignment="0" applyProtection="0"/>
    <xf numFmtId="0" fontId="23" fillId="41" borderId="0" applyNumberFormat="0" applyBorder="0" applyAlignment="0" applyProtection="0"/>
    <xf numFmtId="0" fontId="113" fillId="63" borderId="0" applyNumberFormat="0" applyBorder="0" applyAlignment="0" applyProtection="0"/>
    <xf numFmtId="0" fontId="113" fillId="63" borderId="0" applyNumberFormat="0" applyBorder="0" applyAlignment="0" applyProtection="0"/>
    <xf numFmtId="0" fontId="113" fillId="63" borderId="0" applyNumberFormat="0" applyBorder="0" applyAlignment="0" applyProtection="0"/>
    <xf numFmtId="0" fontId="23" fillId="41" borderId="0" applyNumberFormat="0" applyBorder="0" applyAlignment="0" applyProtection="0"/>
    <xf numFmtId="0" fontId="113" fillId="6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3"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3"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3"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3"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3"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3"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3"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183" fontId="113" fillId="61"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23" fillId="45"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13" fillId="61" borderId="0" applyNumberFormat="0" applyBorder="0" applyAlignment="0" applyProtection="0"/>
    <xf numFmtId="0" fontId="15" fillId="59" borderId="0" applyNumberFormat="0" applyBorder="0" applyAlignment="0" applyProtection="0"/>
    <xf numFmtId="0" fontId="23" fillId="45"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13" fillId="61" borderId="0" applyNumberFormat="0" applyBorder="0" applyAlignment="0" applyProtection="0"/>
    <xf numFmtId="0" fontId="15" fillId="59" borderId="0" applyNumberFormat="0" applyBorder="0" applyAlignment="0" applyProtection="0"/>
    <xf numFmtId="0" fontId="113" fillId="61" borderId="0" applyNumberFormat="0" applyBorder="0" applyAlignment="0" applyProtection="0"/>
    <xf numFmtId="0" fontId="15" fillId="59" borderId="0" applyNumberFormat="0" applyBorder="0" applyAlignment="0" applyProtection="0"/>
    <xf numFmtId="0" fontId="113" fillId="61" borderId="0" applyNumberFormat="0" applyBorder="0" applyAlignment="0" applyProtection="0"/>
    <xf numFmtId="0" fontId="15" fillId="59"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23" fillId="45"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183" fontId="113" fillId="61" borderId="0" applyNumberFormat="0" applyBorder="0" applyAlignment="0" applyProtection="0"/>
    <xf numFmtId="0" fontId="23" fillId="45" borderId="0" applyNumberFormat="0" applyBorder="0" applyAlignment="0" applyProtection="0"/>
    <xf numFmtId="0" fontId="113" fillId="61" borderId="0" applyNumberFormat="0" applyBorder="0" applyAlignment="0" applyProtection="0"/>
    <xf numFmtId="0" fontId="23" fillId="45" borderId="0" applyNumberFormat="0" applyBorder="0" applyAlignment="0" applyProtection="0"/>
    <xf numFmtId="0" fontId="113" fillId="61" borderId="0" applyNumberFormat="0" applyBorder="0" applyAlignment="0" applyProtection="0"/>
    <xf numFmtId="0" fontId="23" fillId="45"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23" fillId="45" borderId="0" applyNumberFormat="0" applyBorder="0" applyAlignment="0" applyProtection="0"/>
    <xf numFmtId="0" fontId="113" fillId="6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183" fontId="113" fillId="61" borderId="0" applyNumberFormat="0" applyBorder="0" applyAlignment="0" applyProtection="0"/>
    <xf numFmtId="0" fontId="23" fillId="45" borderId="0" applyNumberFormat="0" applyBorder="0" applyAlignment="0" applyProtection="0"/>
    <xf numFmtId="0" fontId="113" fillId="61" borderId="0" applyNumberFormat="0" applyBorder="0" applyAlignment="0" applyProtection="0"/>
    <xf numFmtId="0" fontId="23" fillId="45" borderId="0" applyNumberFormat="0" applyBorder="0" applyAlignment="0" applyProtection="0"/>
    <xf numFmtId="0" fontId="113" fillId="61" borderId="0" applyNumberFormat="0" applyBorder="0" applyAlignment="0" applyProtection="0"/>
    <xf numFmtId="0" fontId="23" fillId="45"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113" fillId="61" borderId="0" applyNumberFormat="0" applyBorder="0" applyAlignment="0" applyProtection="0"/>
    <xf numFmtId="0" fontId="23" fillId="45" borderId="0" applyNumberFormat="0" applyBorder="0" applyAlignment="0" applyProtection="0"/>
    <xf numFmtId="0" fontId="113" fillId="6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3"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3"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3"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3"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3"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23"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23"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183" fontId="113"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23" fillId="49"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13" fillId="60" borderId="0" applyNumberFormat="0" applyBorder="0" applyAlignment="0" applyProtection="0"/>
    <xf numFmtId="0" fontId="15" fillId="60" borderId="0" applyNumberFormat="0" applyBorder="0" applyAlignment="0" applyProtection="0"/>
    <xf numFmtId="0" fontId="23" fillId="49"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13" fillId="60" borderId="0" applyNumberFormat="0" applyBorder="0" applyAlignment="0" applyProtection="0"/>
    <xf numFmtId="0" fontId="15" fillId="60" borderId="0" applyNumberFormat="0" applyBorder="0" applyAlignment="0" applyProtection="0"/>
    <xf numFmtId="0" fontId="113" fillId="60" borderId="0" applyNumberFormat="0" applyBorder="0" applyAlignment="0" applyProtection="0"/>
    <xf numFmtId="0" fontId="15" fillId="60" borderId="0" applyNumberFormat="0" applyBorder="0" applyAlignment="0" applyProtection="0"/>
    <xf numFmtId="0" fontId="113" fillId="60" borderId="0" applyNumberFormat="0" applyBorder="0" applyAlignment="0" applyProtection="0"/>
    <xf numFmtId="0" fontId="15" fillId="60" borderId="0" applyNumberFormat="0" applyBorder="0" applyAlignment="0" applyProtection="0"/>
    <xf numFmtId="0" fontId="113" fillId="60" borderId="0" applyNumberFormat="0" applyBorder="0" applyAlignment="0" applyProtection="0"/>
    <xf numFmtId="0" fontId="113" fillId="60" borderId="0" applyNumberFormat="0" applyBorder="0" applyAlignment="0" applyProtection="0"/>
    <xf numFmtId="0" fontId="113" fillId="60" borderId="0" applyNumberFormat="0" applyBorder="0" applyAlignment="0" applyProtection="0"/>
    <xf numFmtId="0" fontId="113" fillId="60" borderId="0" applyNumberFormat="0" applyBorder="0" applyAlignment="0" applyProtection="0"/>
    <xf numFmtId="0" fontId="113" fillId="60" borderId="0" applyNumberFormat="0" applyBorder="0" applyAlignment="0" applyProtection="0"/>
    <xf numFmtId="0" fontId="113" fillId="60" borderId="0" applyNumberFormat="0" applyBorder="0" applyAlignment="0" applyProtection="0"/>
    <xf numFmtId="0" fontId="113" fillId="60" borderId="0" applyNumberFormat="0" applyBorder="0" applyAlignment="0" applyProtection="0"/>
    <xf numFmtId="0" fontId="23" fillId="49"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13" fillId="60" borderId="0" applyNumberFormat="0" applyBorder="0" applyAlignment="0" applyProtection="0"/>
    <xf numFmtId="0" fontId="113" fillId="60" borderId="0" applyNumberFormat="0" applyBorder="0" applyAlignment="0" applyProtection="0"/>
    <xf numFmtId="0" fontId="113" fillId="60" borderId="0" applyNumberFormat="0" applyBorder="0" applyAlignment="0" applyProtection="0"/>
    <xf numFmtId="0" fontId="113" fillId="60" borderId="0" applyNumberFormat="0" applyBorder="0" applyAlignment="0" applyProtection="0"/>
    <xf numFmtId="0" fontId="113" fillId="60" borderId="0" applyNumberFormat="0" applyBorder="0" applyAlignment="0" applyProtection="0"/>
    <xf numFmtId="0" fontId="113" fillId="60" borderId="0" applyNumberFormat="0" applyBorder="0" applyAlignment="0" applyProtection="0"/>
    <xf numFmtId="0" fontId="113" fillId="60" borderId="0" applyNumberFormat="0" applyBorder="0" applyAlignment="0" applyProtection="0"/>
    <xf numFmtId="0" fontId="113" fillId="60" borderId="0" applyNumberFormat="0" applyBorder="0" applyAlignment="0" applyProtection="0"/>
    <xf numFmtId="0" fontId="113"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183" fontId="113" fillId="60" borderId="0" applyNumberFormat="0" applyBorder="0" applyAlignment="0" applyProtection="0"/>
    <xf numFmtId="0" fontId="23" fillId="49" borderId="0" applyNumberFormat="0" applyBorder="0" applyAlignment="0" applyProtection="0"/>
    <xf numFmtId="0" fontId="113" fillId="60" borderId="0" applyNumberFormat="0" applyBorder="0" applyAlignment="0" applyProtection="0"/>
    <xf numFmtId="0" fontId="23" fillId="49" borderId="0" applyNumberFormat="0" applyBorder="0" applyAlignment="0" applyProtection="0"/>
    <xf numFmtId="0" fontId="113" fillId="60" borderId="0" applyNumberFormat="0" applyBorder="0" applyAlignment="0" applyProtection="0"/>
    <xf numFmtId="0" fontId="23" fillId="49" borderId="0" applyNumberFormat="0" applyBorder="0" applyAlignment="0" applyProtection="0"/>
    <xf numFmtId="0" fontId="113" fillId="60" borderId="0" applyNumberFormat="0" applyBorder="0" applyAlignment="0" applyProtection="0"/>
    <xf numFmtId="0" fontId="113" fillId="60" borderId="0" applyNumberFormat="0" applyBorder="0" applyAlignment="0" applyProtection="0"/>
    <xf numFmtId="0" fontId="113" fillId="60" borderId="0" applyNumberFormat="0" applyBorder="0" applyAlignment="0" applyProtection="0"/>
    <xf numFmtId="0" fontId="23" fillId="49" borderId="0" applyNumberFormat="0" applyBorder="0" applyAlignment="0" applyProtection="0"/>
    <xf numFmtId="0" fontId="113" fillId="6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183" fontId="113" fillId="60" borderId="0" applyNumberFormat="0" applyBorder="0" applyAlignment="0" applyProtection="0"/>
    <xf numFmtId="0" fontId="23" fillId="49" borderId="0" applyNumberFormat="0" applyBorder="0" applyAlignment="0" applyProtection="0"/>
    <xf numFmtId="0" fontId="113" fillId="60" borderId="0" applyNumberFormat="0" applyBorder="0" applyAlignment="0" applyProtection="0"/>
    <xf numFmtId="0" fontId="23" fillId="49" borderId="0" applyNumberFormat="0" applyBorder="0" applyAlignment="0" applyProtection="0"/>
    <xf numFmtId="0" fontId="113" fillId="60" borderId="0" applyNumberFormat="0" applyBorder="0" applyAlignment="0" applyProtection="0"/>
    <xf numFmtId="0" fontId="23" fillId="49" borderId="0" applyNumberFormat="0" applyBorder="0" applyAlignment="0" applyProtection="0"/>
    <xf numFmtId="0" fontId="113" fillId="60" borderId="0" applyNumberFormat="0" applyBorder="0" applyAlignment="0" applyProtection="0"/>
    <xf numFmtId="0" fontId="113" fillId="60" borderId="0" applyNumberFormat="0" applyBorder="0" applyAlignment="0" applyProtection="0"/>
    <xf numFmtId="0" fontId="113" fillId="60" borderId="0" applyNumberFormat="0" applyBorder="0" applyAlignment="0" applyProtection="0"/>
    <xf numFmtId="0" fontId="23" fillId="49" borderId="0" applyNumberFormat="0" applyBorder="0" applyAlignment="0" applyProtection="0"/>
    <xf numFmtId="0" fontId="113" fillId="6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23"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23"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23"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23"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23"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23"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23"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183" fontId="113"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23" fillId="53"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13" fillId="62" borderId="0" applyNumberFormat="0" applyBorder="0" applyAlignment="0" applyProtection="0"/>
    <xf numFmtId="0" fontId="15" fillId="62" borderId="0" applyNumberFormat="0" applyBorder="0" applyAlignment="0" applyProtection="0"/>
    <xf numFmtId="0" fontId="23" fillId="53"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13" fillId="62" borderId="0" applyNumberFormat="0" applyBorder="0" applyAlignment="0" applyProtection="0"/>
    <xf numFmtId="0" fontId="15" fillId="62" borderId="0" applyNumberFormat="0" applyBorder="0" applyAlignment="0" applyProtection="0"/>
    <xf numFmtId="0" fontId="113" fillId="62" borderId="0" applyNumberFormat="0" applyBorder="0" applyAlignment="0" applyProtection="0"/>
    <xf numFmtId="0" fontId="15" fillId="62" borderId="0" applyNumberFormat="0" applyBorder="0" applyAlignment="0" applyProtection="0"/>
    <xf numFmtId="0" fontId="113" fillId="62" borderId="0" applyNumberFormat="0" applyBorder="0" applyAlignment="0" applyProtection="0"/>
    <xf numFmtId="0" fontId="15"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23" fillId="53"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183" fontId="113" fillId="62" borderId="0" applyNumberFormat="0" applyBorder="0" applyAlignment="0" applyProtection="0"/>
    <xf numFmtId="0" fontId="23" fillId="53" borderId="0" applyNumberFormat="0" applyBorder="0" applyAlignment="0" applyProtection="0"/>
    <xf numFmtId="0" fontId="113" fillId="62" borderId="0" applyNumberFormat="0" applyBorder="0" applyAlignment="0" applyProtection="0"/>
    <xf numFmtId="0" fontId="23" fillId="53" borderId="0" applyNumberFormat="0" applyBorder="0" applyAlignment="0" applyProtection="0"/>
    <xf numFmtId="0" fontId="113" fillId="62" borderId="0" applyNumberFormat="0" applyBorder="0" applyAlignment="0" applyProtection="0"/>
    <xf numFmtId="0" fontId="23" fillId="53"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23" fillId="53" borderId="0" applyNumberFormat="0" applyBorder="0" applyAlignment="0" applyProtection="0"/>
    <xf numFmtId="0" fontId="113" fillId="6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183" fontId="113" fillId="62" borderId="0" applyNumberFormat="0" applyBorder="0" applyAlignment="0" applyProtection="0"/>
    <xf numFmtId="0" fontId="23" fillId="53" borderId="0" applyNumberFormat="0" applyBorder="0" applyAlignment="0" applyProtection="0"/>
    <xf numFmtId="0" fontId="113" fillId="62" borderId="0" applyNumberFormat="0" applyBorder="0" applyAlignment="0" applyProtection="0"/>
    <xf numFmtId="0" fontId="23" fillId="53" borderId="0" applyNumberFormat="0" applyBorder="0" applyAlignment="0" applyProtection="0"/>
    <xf numFmtId="0" fontId="113" fillId="62" borderId="0" applyNumberFormat="0" applyBorder="0" applyAlignment="0" applyProtection="0"/>
    <xf numFmtId="0" fontId="23" fillId="53"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23" fillId="53" borderId="0" applyNumberFormat="0" applyBorder="0" applyAlignment="0" applyProtection="0"/>
    <xf numFmtId="0" fontId="113" fillId="6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23"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23"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23"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23"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2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183" fontId="113" fillId="64"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23" fillId="34"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13" fillId="64" borderId="0" applyNumberFormat="0" applyBorder="0" applyAlignment="0" applyProtection="0"/>
    <xf numFmtId="0" fontId="15" fillId="65" borderId="0" applyNumberFormat="0" applyBorder="0" applyAlignment="0" applyProtection="0"/>
    <xf numFmtId="0" fontId="23" fillId="34"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13" fillId="64" borderId="0" applyNumberFormat="0" applyBorder="0" applyAlignment="0" applyProtection="0"/>
    <xf numFmtId="0" fontId="15" fillId="65" borderId="0" applyNumberFormat="0" applyBorder="0" applyAlignment="0" applyProtection="0"/>
    <xf numFmtId="0" fontId="113" fillId="64" borderId="0" applyNumberFormat="0" applyBorder="0" applyAlignment="0" applyProtection="0"/>
    <xf numFmtId="0" fontId="15" fillId="65" borderId="0" applyNumberFormat="0" applyBorder="0" applyAlignment="0" applyProtection="0"/>
    <xf numFmtId="0" fontId="113" fillId="64" borderId="0" applyNumberFormat="0" applyBorder="0" applyAlignment="0" applyProtection="0"/>
    <xf numFmtId="0" fontId="15" fillId="65"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23" fillId="34"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183" fontId="113" fillId="64" borderId="0" applyNumberFormat="0" applyBorder="0" applyAlignment="0" applyProtection="0"/>
    <xf numFmtId="0" fontId="23" fillId="34" borderId="0" applyNumberFormat="0" applyBorder="0" applyAlignment="0" applyProtection="0"/>
    <xf numFmtId="0" fontId="113" fillId="64" borderId="0" applyNumberFormat="0" applyBorder="0" applyAlignment="0" applyProtection="0"/>
    <xf numFmtId="0" fontId="23" fillId="34" borderId="0" applyNumberFormat="0" applyBorder="0" applyAlignment="0" applyProtection="0"/>
    <xf numFmtId="0" fontId="113" fillId="64" borderId="0" applyNumberFormat="0" applyBorder="0" applyAlignment="0" applyProtection="0"/>
    <xf numFmtId="0" fontId="23" fillId="3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23" fillId="34" borderId="0" applyNumberFormat="0" applyBorder="0" applyAlignment="0" applyProtection="0"/>
    <xf numFmtId="0" fontId="113" fillId="6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83" fontId="113" fillId="64" borderId="0" applyNumberFormat="0" applyBorder="0" applyAlignment="0" applyProtection="0"/>
    <xf numFmtId="0" fontId="23" fillId="34" borderId="0" applyNumberFormat="0" applyBorder="0" applyAlignment="0" applyProtection="0"/>
    <xf numFmtId="0" fontId="113" fillId="64" borderId="0" applyNumberFormat="0" applyBorder="0" applyAlignment="0" applyProtection="0"/>
    <xf numFmtId="0" fontId="23" fillId="34" borderId="0" applyNumberFormat="0" applyBorder="0" applyAlignment="0" applyProtection="0"/>
    <xf numFmtId="0" fontId="113" fillId="64" borderId="0" applyNumberFormat="0" applyBorder="0" applyAlignment="0" applyProtection="0"/>
    <xf numFmtId="0" fontId="23" fillId="3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23" fillId="34" borderId="0" applyNumberFormat="0" applyBorder="0" applyAlignment="0" applyProtection="0"/>
    <xf numFmtId="0" fontId="113" fillId="6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183" fontId="113"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23" fillId="38"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13" fillId="66" borderId="0" applyNumberFormat="0" applyBorder="0" applyAlignment="0" applyProtection="0"/>
    <xf numFmtId="0" fontId="15" fillId="66" borderId="0" applyNumberFormat="0" applyBorder="0" applyAlignment="0" applyProtection="0"/>
    <xf numFmtId="0" fontId="23" fillId="38"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13" fillId="66" borderId="0" applyNumberFormat="0" applyBorder="0" applyAlignment="0" applyProtection="0"/>
    <xf numFmtId="0" fontId="15" fillId="66" borderId="0" applyNumberFormat="0" applyBorder="0" applyAlignment="0" applyProtection="0"/>
    <xf numFmtId="0" fontId="113" fillId="66" borderId="0" applyNumberFormat="0" applyBorder="0" applyAlignment="0" applyProtection="0"/>
    <xf numFmtId="0" fontId="15" fillId="66" borderId="0" applyNumberFormat="0" applyBorder="0" applyAlignment="0" applyProtection="0"/>
    <xf numFmtId="0" fontId="113" fillId="66" borderId="0" applyNumberFormat="0" applyBorder="0" applyAlignment="0" applyProtection="0"/>
    <xf numFmtId="0" fontId="15"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23" fillId="38"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183" fontId="113" fillId="66" borderId="0" applyNumberFormat="0" applyBorder="0" applyAlignment="0" applyProtection="0"/>
    <xf numFmtId="0" fontId="23" fillId="38" borderId="0" applyNumberFormat="0" applyBorder="0" applyAlignment="0" applyProtection="0"/>
    <xf numFmtId="0" fontId="113" fillId="66" borderId="0" applyNumberFormat="0" applyBorder="0" applyAlignment="0" applyProtection="0"/>
    <xf numFmtId="0" fontId="23" fillId="38" borderId="0" applyNumberFormat="0" applyBorder="0" applyAlignment="0" applyProtection="0"/>
    <xf numFmtId="0" fontId="113" fillId="66" borderId="0" applyNumberFormat="0" applyBorder="0" applyAlignment="0" applyProtection="0"/>
    <xf numFmtId="0" fontId="23" fillId="38"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23" fillId="38" borderId="0" applyNumberFormat="0" applyBorder="0" applyAlignment="0" applyProtection="0"/>
    <xf numFmtId="0" fontId="113" fillId="6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83" fontId="113" fillId="66" borderId="0" applyNumberFormat="0" applyBorder="0" applyAlignment="0" applyProtection="0"/>
    <xf numFmtId="0" fontId="23" fillId="38" borderId="0" applyNumberFormat="0" applyBorder="0" applyAlignment="0" applyProtection="0"/>
    <xf numFmtId="0" fontId="113" fillId="66" borderId="0" applyNumberFormat="0" applyBorder="0" applyAlignment="0" applyProtection="0"/>
    <xf numFmtId="0" fontId="23" fillId="38" borderId="0" applyNumberFormat="0" applyBorder="0" applyAlignment="0" applyProtection="0"/>
    <xf numFmtId="0" fontId="113" fillId="66" borderId="0" applyNumberFormat="0" applyBorder="0" applyAlignment="0" applyProtection="0"/>
    <xf numFmtId="0" fontId="23" fillId="38"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23" fillId="38" borderId="0" applyNumberFormat="0" applyBorder="0" applyAlignment="0" applyProtection="0"/>
    <xf numFmtId="0" fontId="113" fillId="6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183" fontId="113" fillId="67"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23" fillId="42"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13" fillId="67" borderId="0" applyNumberFormat="0" applyBorder="0" applyAlignment="0" applyProtection="0"/>
    <xf numFmtId="0" fontId="15" fillId="68" borderId="0" applyNumberFormat="0" applyBorder="0" applyAlignment="0" applyProtection="0"/>
    <xf numFmtId="0" fontId="23" fillId="42"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13" fillId="67" borderId="0" applyNumberFormat="0" applyBorder="0" applyAlignment="0" applyProtection="0"/>
    <xf numFmtId="0" fontId="15" fillId="68" borderId="0" applyNumberFormat="0" applyBorder="0" applyAlignment="0" applyProtection="0"/>
    <xf numFmtId="0" fontId="113" fillId="67" borderId="0" applyNumberFormat="0" applyBorder="0" applyAlignment="0" applyProtection="0"/>
    <xf numFmtId="0" fontId="15" fillId="68" borderId="0" applyNumberFormat="0" applyBorder="0" applyAlignment="0" applyProtection="0"/>
    <xf numFmtId="0" fontId="113" fillId="67" borderId="0" applyNumberFormat="0" applyBorder="0" applyAlignment="0" applyProtection="0"/>
    <xf numFmtId="0" fontId="15" fillId="68" borderId="0" applyNumberFormat="0" applyBorder="0" applyAlignment="0" applyProtection="0"/>
    <xf numFmtId="0" fontId="113" fillId="67" borderId="0" applyNumberFormat="0" applyBorder="0" applyAlignment="0" applyProtection="0"/>
    <xf numFmtId="0" fontId="113" fillId="67" borderId="0" applyNumberFormat="0" applyBorder="0" applyAlignment="0" applyProtection="0"/>
    <xf numFmtId="0" fontId="113" fillId="67" borderId="0" applyNumberFormat="0" applyBorder="0" applyAlignment="0" applyProtection="0"/>
    <xf numFmtId="0" fontId="113" fillId="67" borderId="0" applyNumberFormat="0" applyBorder="0" applyAlignment="0" applyProtection="0"/>
    <xf numFmtId="0" fontId="113" fillId="67" borderId="0" applyNumberFormat="0" applyBorder="0" applyAlignment="0" applyProtection="0"/>
    <xf numFmtId="0" fontId="113" fillId="67" borderId="0" applyNumberFormat="0" applyBorder="0" applyAlignment="0" applyProtection="0"/>
    <xf numFmtId="0" fontId="113" fillId="67" borderId="0" applyNumberFormat="0" applyBorder="0" applyAlignment="0" applyProtection="0"/>
    <xf numFmtId="0" fontId="23" fillId="42"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13" fillId="67" borderId="0" applyNumberFormat="0" applyBorder="0" applyAlignment="0" applyProtection="0"/>
    <xf numFmtId="0" fontId="113" fillId="67" borderId="0" applyNumberFormat="0" applyBorder="0" applyAlignment="0" applyProtection="0"/>
    <xf numFmtId="0" fontId="113" fillId="67" borderId="0" applyNumberFormat="0" applyBorder="0" applyAlignment="0" applyProtection="0"/>
    <xf numFmtId="0" fontId="113" fillId="67" borderId="0" applyNumberFormat="0" applyBorder="0" applyAlignment="0" applyProtection="0"/>
    <xf numFmtId="0" fontId="113" fillId="67" borderId="0" applyNumberFormat="0" applyBorder="0" applyAlignment="0" applyProtection="0"/>
    <xf numFmtId="0" fontId="113" fillId="67" borderId="0" applyNumberFormat="0" applyBorder="0" applyAlignment="0" applyProtection="0"/>
    <xf numFmtId="0" fontId="113" fillId="67" borderId="0" applyNumberFormat="0" applyBorder="0" applyAlignment="0" applyProtection="0"/>
    <xf numFmtId="0" fontId="113" fillId="67" borderId="0" applyNumberFormat="0" applyBorder="0" applyAlignment="0" applyProtection="0"/>
    <xf numFmtId="0" fontId="113" fillId="67"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183" fontId="113" fillId="67" borderId="0" applyNumberFormat="0" applyBorder="0" applyAlignment="0" applyProtection="0"/>
    <xf numFmtId="0" fontId="23" fillId="42" borderId="0" applyNumberFormat="0" applyBorder="0" applyAlignment="0" applyProtection="0"/>
    <xf numFmtId="0" fontId="113" fillId="67" borderId="0" applyNumberFormat="0" applyBorder="0" applyAlignment="0" applyProtection="0"/>
    <xf numFmtId="0" fontId="23" fillId="42" borderId="0" applyNumberFormat="0" applyBorder="0" applyAlignment="0" applyProtection="0"/>
    <xf numFmtId="0" fontId="113" fillId="67" borderId="0" applyNumberFormat="0" applyBorder="0" applyAlignment="0" applyProtection="0"/>
    <xf numFmtId="0" fontId="23" fillId="42" borderId="0" applyNumberFormat="0" applyBorder="0" applyAlignment="0" applyProtection="0"/>
    <xf numFmtId="0" fontId="113" fillId="67" borderId="0" applyNumberFormat="0" applyBorder="0" applyAlignment="0" applyProtection="0"/>
    <xf numFmtId="0" fontId="113" fillId="67" borderId="0" applyNumberFormat="0" applyBorder="0" applyAlignment="0" applyProtection="0"/>
    <xf numFmtId="0" fontId="113" fillId="67" borderId="0" applyNumberFormat="0" applyBorder="0" applyAlignment="0" applyProtection="0"/>
    <xf numFmtId="0" fontId="23" fillId="42" borderId="0" applyNumberFormat="0" applyBorder="0" applyAlignment="0" applyProtection="0"/>
    <xf numFmtId="0" fontId="113" fillId="67"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83" fontId="113" fillId="67" borderId="0" applyNumberFormat="0" applyBorder="0" applyAlignment="0" applyProtection="0"/>
    <xf numFmtId="0" fontId="23" fillId="42" borderId="0" applyNumberFormat="0" applyBorder="0" applyAlignment="0" applyProtection="0"/>
    <xf numFmtId="0" fontId="113" fillId="67" borderId="0" applyNumberFormat="0" applyBorder="0" applyAlignment="0" applyProtection="0"/>
    <xf numFmtId="0" fontId="23" fillId="42" borderId="0" applyNumberFormat="0" applyBorder="0" applyAlignment="0" applyProtection="0"/>
    <xf numFmtId="0" fontId="113" fillId="67" borderId="0" applyNumberFormat="0" applyBorder="0" applyAlignment="0" applyProtection="0"/>
    <xf numFmtId="0" fontId="23" fillId="42" borderId="0" applyNumberFormat="0" applyBorder="0" applyAlignment="0" applyProtection="0"/>
    <xf numFmtId="0" fontId="113" fillId="67" borderId="0" applyNumberFormat="0" applyBorder="0" applyAlignment="0" applyProtection="0"/>
    <xf numFmtId="0" fontId="113" fillId="67" borderId="0" applyNumberFormat="0" applyBorder="0" applyAlignment="0" applyProtection="0"/>
    <xf numFmtId="0" fontId="113" fillId="67" borderId="0" applyNumberFormat="0" applyBorder="0" applyAlignment="0" applyProtection="0"/>
    <xf numFmtId="0" fontId="23" fillId="42" borderId="0" applyNumberFormat="0" applyBorder="0" applyAlignment="0" applyProtection="0"/>
    <xf numFmtId="0" fontId="113" fillId="67"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183" fontId="113" fillId="64"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23" fillId="46"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13" fillId="64" borderId="0" applyNumberFormat="0" applyBorder="0" applyAlignment="0" applyProtection="0"/>
    <xf numFmtId="0" fontId="15" fillId="59" borderId="0" applyNumberFormat="0" applyBorder="0" applyAlignment="0" applyProtection="0"/>
    <xf numFmtId="0" fontId="23" fillId="46"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13" fillId="64" borderId="0" applyNumberFormat="0" applyBorder="0" applyAlignment="0" applyProtection="0"/>
    <xf numFmtId="0" fontId="15" fillId="59" borderId="0" applyNumberFormat="0" applyBorder="0" applyAlignment="0" applyProtection="0"/>
    <xf numFmtId="0" fontId="113" fillId="64" borderId="0" applyNumberFormat="0" applyBorder="0" applyAlignment="0" applyProtection="0"/>
    <xf numFmtId="0" fontId="15" fillId="59" borderId="0" applyNumberFormat="0" applyBorder="0" applyAlignment="0" applyProtection="0"/>
    <xf numFmtId="0" fontId="113" fillId="64" borderId="0" applyNumberFormat="0" applyBorder="0" applyAlignment="0" applyProtection="0"/>
    <xf numFmtId="0" fontId="15" fillId="59"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23" fillId="46"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183" fontId="113" fillId="64" borderId="0" applyNumberFormat="0" applyBorder="0" applyAlignment="0" applyProtection="0"/>
    <xf numFmtId="0" fontId="23" fillId="46" borderId="0" applyNumberFormat="0" applyBorder="0" applyAlignment="0" applyProtection="0"/>
    <xf numFmtId="0" fontId="113" fillId="64" borderId="0" applyNumberFormat="0" applyBorder="0" applyAlignment="0" applyProtection="0"/>
    <xf numFmtId="0" fontId="23" fillId="46" borderId="0" applyNumberFormat="0" applyBorder="0" applyAlignment="0" applyProtection="0"/>
    <xf numFmtId="0" fontId="113" fillId="64" borderId="0" applyNumberFormat="0" applyBorder="0" applyAlignment="0" applyProtection="0"/>
    <xf numFmtId="0" fontId="23" fillId="46"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23" fillId="46" borderId="0" applyNumberFormat="0" applyBorder="0" applyAlignment="0" applyProtection="0"/>
    <xf numFmtId="0" fontId="113" fillId="6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183" fontId="113" fillId="64" borderId="0" applyNumberFormat="0" applyBorder="0" applyAlignment="0" applyProtection="0"/>
    <xf numFmtId="0" fontId="23" fillId="46" borderId="0" applyNumberFormat="0" applyBorder="0" applyAlignment="0" applyProtection="0"/>
    <xf numFmtId="0" fontId="113" fillId="64" borderId="0" applyNumberFormat="0" applyBorder="0" applyAlignment="0" applyProtection="0"/>
    <xf numFmtId="0" fontId="23" fillId="46" borderId="0" applyNumberFormat="0" applyBorder="0" applyAlignment="0" applyProtection="0"/>
    <xf numFmtId="0" fontId="113" fillId="64" borderId="0" applyNumberFormat="0" applyBorder="0" applyAlignment="0" applyProtection="0"/>
    <xf numFmtId="0" fontId="23" fillId="46"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23" fillId="46" borderId="0" applyNumberFormat="0" applyBorder="0" applyAlignment="0" applyProtection="0"/>
    <xf numFmtId="0" fontId="113" fillId="6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3"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23"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23"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183" fontId="113"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23" fillId="50"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13" fillId="65" borderId="0" applyNumberFormat="0" applyBorder="0" applyAlignment="0" applyProtection="0"/>
    <xf numFmtId="0" fontId="15" fillId="65" borderId="0" applyNumberFormat="0" applyBorder="0" applyAlignment="0" applyProtection="0"/>
    <xf numFmtId="0" fontId="23" fillId="50"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13" fillId="65" borderId="0" applyNumberFormat="0" applyBorder="0" applyAlignment="0" applyProtection="0"/>
    <xf numFmtId="0" fontId="15" fillId="65" borderId="0" applyNumberFormat="0" applyBorder="0" applyAlignment="0" applyProtection="0"/>
    <xf numFmtId="0" fontId="113" fillId="65" borderId="0" applyNumberFormat="0" applyBorder="0" applyAlignment="0" applyProtection="0"/>
    <xf numFmtId="0" fontId="15" fillId="65" borderId="0" applyNumberFormat="0" applyBorder="0" applyAlignment="0" applyProtection="0"/>
    <xf numFmtId="0" fontId="113" fillId="65" borderId="0" applyNumberFormat="0" applyBorder="0" applyAlignment="0" applyProtection="0"/>
    <xf numFmtId="0" fontId="15" fillId="65" borderId="0" applyNumberFormat="0" applyBorder="0" applyAlignment="0" applyProtection="0"/>
    <xf numFmtId="0" fontId="113" fillId="65" borderId="0" applyNumberFormat="0" applyBorder="0" applyAlignment="0" applyProtection="0"/>
    <xf numFmtId="0" fontId="113" fillId="65" borderId="0" applyNumberFormat="0" applyBorder="0" applyAlignment="0" applyProtection="0"/>
    <xf numFmtId="0" fontId="113" fillId="65" borderId="0" applyNumberFormat="0" applyBorder="0" applyAlignment="0" applyProtection="0"/>
    <xf numFmtId="0" fontId="113" fillId="65" borderId="0" applyNumberFormat="0" applyBorder="0" applyAlignment="0" applyProtection="0"/>
    <xf numFmtId="0" fontId="113" fillId="65" borderId="0" applyNumberFormat="0" applyBorder="0" applyAlignment="0" applyProtection="0"/>
    <xf numFmtId="0" fontId="113" fillId="65" borderId="0" applyNumberFormat="0" applyBorder="0" applyAlignment="0" applyProtection="0"/>
    <xf numFmtId="0" fontId="113" fillId="65" borderId="0" applyNumberFormat="0" applyBorder="0" applyAlignment="0" applyProtection="0"/>
    <xf numFmtId="0" fontId="23" fillId="50"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13" fillId="65" borderId="0" applyNumberFormat="0" applyBorder="0" applyAlignment="0" applyProtection="0"/>
    <xf numFmtId="0" fontId="113" fillId="65" borderId="0" applyNumberFormat="0" applyBorder="0" applyAlignment="0" applyProtection="0"/>
    <xf numFmtId="0" fontId="113" fillId="65" borderId="0" applyNumberFormat="0" applyBorder="0" applyAlignment="0" applyProtection="0"/>
    <xf numFmtId="0" fontId="113" fillId="65" borderId="0" applyNumberFormat="0" applyBorder="0" applyAlignment="0" applyProtection="0"/>
    <xf numFmtId="0" fontId="113" fillId="65" borderId="0" applyNumberFormat="0" applyBorder="0" applyAlignment="0" applyProtection="0"/>
    <xf numFmtId="0" fontId="113" fillId="65" borderId="0" applyNumberFormat="0" applyBorder="0" applyAlignment="0" applyProtection="0"/>
    <xf numFmtId="0" fontId="113" fillId="65" borderId="0" applyNumberFormat="0" applyBorder="0" applyAlignment="0" applyProtection="0"/>
    <xf numFmtId="0" fontId="113" fillId="65" borderId="0" applyNumberFormat="0" applyBorder="0" applyAlignment="0" applyProtection="0"/>
    <xf numFmtId="0" fontId="113"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183" fontId="113" fillId="65" borderId="0" applyNumberFormat="0" applyBorder="0" applyAlignment="0" applyProtection="0"/>
    <xf numFmtId="0" fontId="23" fillId="50" borderId="0" applyNumberFormat="0" applyBorder="0" applyAlignment="0" applyProtection="0"/>
    <xf numFmtId="0" fontId="113" fillId="65" borderId="0" applyNumberFormat="0" applyBorder="0" applyAlignment="0" applyProtection="0"/>
    <xf numFmtId="0" fontId="23" fillId="50" borderId="0" applyNumberFormat="0" applyBorder="0" applyAlignment="0" applyProtection="0"/>
    <xf numFmtId="0" fontId="113" fillId="65" borderId="0" applyNumberFormat="0" applyBorder="0" applyAlignment="0" applyProtection="0"/>
    <xf numFmtId="0" fontId="23" fillId="50" borderId="0" applyNumberFormat="0" applyBorder="0" applyAlignment="0" applyProtection="0"/>
    <xf numFmtId="0" fontId="113" fillId="65" borderId="0" applyNumberFormat="0" applyBorder="0" applyAlignment="0" applyProtection="0"/>
    <xf numFmtId="0" fontId="113" fillId="65" borderId="0" applyNumberFormat="0" applyBorder="0" applyAlignment="0" applyProtection="0"/>
    <xf numFmtId="0" fontId="113" fillId="65" borderId="0" applyNumberFormat="0" applyBorder="0" applyAlignment="0" applyProtection="0"/>
    <xf numFmtId="0" fontId="23" fillId="50" borderId="0" applyNumberFormat="0" applyBorder="0" applyAlignment="0" applyProtection="0"/>
    <xf numFmtId="0" fontId="113" fillId="65"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183" fontId="113" fillId="65" borderId="0" applyNumberFormat="0" applyBorder="0" applyAlignment="0" applyProtection="0"/>
    <xf numFmtId="0" fontId="23" fillId="50" borderId="0" applyNumberFormat="0" applyBorder="0" applyAlignment="0" applyProtection="0"/>
    <xf numFmtId="0" fontId="113" fillId="65" borderId="0" applyNumberFormat="0" applyBorder="0" applyAlignment="0" applyProtection="0"/>
    <xf numFmtId="0" fontId="23" fillId="50" borderId="0" applyNumberFormat="0" applyBorder="0" applyAlignment="0" applyProtection="0"/>
    <xf numFmtId="0" fontId="113" fillId="65" borderId="0" applyNumberFormat="0" applyBorder="0" applyAlignment="0" applyProtection="0"/>
    <xf numFmtId="0" fontId="23" fillId="50" borderId="0" applyNumberFormat="0" applyBorder="0" applyAlignment="0" applyProtection="0"/>
    <xf numFmtId="0" fontId="113" fillId="65" borderId="0" applyNumberFormat="0" applyBorder="0" applyAlignment="0" applyProtection="0"/>
    <xf numFmtId="0" fontId="113" fillId="65" borderId="0" applyNumberFormat="0" applyBorder="0" applyAlignment="0" applyProtection="0"/>
    <xf numFmtId="0" fontId="113" fillId="65" borderId="0" applyNumberFormat="0" applyBorder="0" applyAlignment="0" applyProtection="0"/>
    <xf numFmtId="0" fontId="23" fillId="50" borderId="0" applyNumberFormat="0" applyBorder="0" applyAlignment="0" applyProtection="0"/>
    <xf numFmtId="0" fontId="113" fillId="65"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23"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23"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23"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23"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23"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23"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23"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183" fontId="113" fillId="62"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23" fillId="54"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13" fillId="62" borderId="0" applyNumberFormat="0" applyBorder="0" applyAlignment="0" applyProtection="0"/>
    <xf numFmtId="0" fontId="15" fillId="69" borderId="0" applyNumberFormat="0" applyBorder="0" applyAlignment="0" applyProtection="0"/>
    <xf numFmtId="0" fontId="23" fillId="54"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13" fillId="62" borderId="0" applyNumberFormat="0" applyBorder="0" applyAlignment="0" applyProtection="0"/>
    <xf numFmtId="0" fontId="15" fillId="69" borderId="0" applyNumberFormat="0" applyBorder="0" applyAlignment="0" applyProtection="0"/>
    <xf numFmtId="0" fontId="113" fillId="62" borderId="0" applyNumberFormat="0" applyBorder="0" applyAlignment="0" applyProtection="0"/>
    <xf numFmtId="0" fontId="15" fillId="69" borderId="0" applyNumberFormat="0" applyBorder="0" applyAlignment="0" applyProtection="0"/>
    <xf numFmtId="0" fontId="113" fillId="62" borderId="0" applyNumberFormat="0" applyBorder="0" applyAlignment="0" applyProtection="0"/>
    <xf numFmtId="0" fontId="15" fillId="69"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23" fillId="54"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183" fontId="113" fillId="62" borderId="0" applyNumberFormat="0" applyBorder="0" applyAlignment="0" applyProtection="0"/>
    <xf numFmtId="0" fontId="23" fillId="54" borderId="0" applyNumberFormat="0" applyBorder="0" applyAlignment="0" applyProtection="0"/>
    <xf numFmtId="0" fontId="113" fillId="62" borderId="0" applyNumberFormat="0" applyBorder="0" applyAlignment="0" applyProtection="0"/>
    <xf numFmtId="0" fontId="23" fillId="54" borderId="0" applyNumberFormat="0" applyBorder="0" applyAlignment="0" applyProtection="0"/>
    <xf numFmtId="0" fontId="113" fillId="62" borderId="0" applyNumberFormat="0" applyBorder="0" applyAlignment="0" applyProtection="0"/>
    <xf numFmtId="0" fontId="23" fillId="54"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23" fillId="54" borderId="0" applyNumberFormat="0" applyBorder="0" applyAlignment="0" applyProtection="0"/>
    <xf numFmtId="0" fontId="113" fillId="6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183" fontId="113" fillId="62" borderId="0" applyNumberFormat="0" applyBorder="0" applyAlignment="0" applyProtection="0"/>
    <xf numFmtId="0" fontId="23" fillId="54" borderId="0" applyNumberFormat="0" applyBorder="0" applyAlignment="0" applyProtection="0"/>
    <xf numFmtId="0" fontId="113" fillId="62" borderId="0" applyNumberFormat="0" applyBorder="0" applyAlignment="0" applyProtection="0"/>
    <xf numFmtId="0" fontId="23" fillId="54" borderId="0" applyNumberFormat="0" applyBorder="0" applyAlignment="0" applyProtection="0"/>
    <xf numFmtId="0" fontId="113" fillId="62" borderId="0" applyNumberFormat="0" applyBorder="0" applyAlignment="0" applyProtection="0"/>
    <xf numFmtId="0" fontId="23" fillId="54"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113" fillId="62" borderId="0" applyNumberFormat="0" applyBorder="0" applyAlignment="0" applyProtection="0"/>
    <xf numFmtId="0" fontId="23" fillId="54" borderId="0" applyNumberFormat="0" applyBorder="0" applyAlignment="0" applyProtection="0"/>
    <xf numFmtId="0" fontId="113" fillId="6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23"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23"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23"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23"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183" fontId="15" fillId="70"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98" fillId="35"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5" fillId="70"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5" fillId="70" borderId="0" applyNumberFormat="0" applyBorder="0" applyAlignment="0" applyProtection="0"/>
    <xf numFmtId="0" fontId="113" fillId="71" borderId="0" applyNumberFormat="0" applyBorder="0" applyAlignment="0" applyProtection="0"/>
    <xf numFmtId="0" fontId="15" fillId="70" borderId="0" applyNumberFormat="0" applyBorder="0" applyAlignment="0" applyProtection="0"/>
    <xf numFmtId="0" fontId="113" fillId="71" borderId="0" applyNumberFormat="0" applyBorder="0" applyAlignment="0" applyProtection="0"/>
    <xf numFmtId="0" fontId="15" fillId="70" borderId="0" applyNumberFormat="0" applyBorder="0" applyAlignment="0" applyProtection="0"/>
    <xf numFmtId="0" fontId="113" fillId="71"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4" fillId="35"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0" fontId="113" fillId="71" borderId="0" applyNumberFormat="0" applyBorder="0" applyAlignment="0" applyProtection="0"/>
    <xf numFmtId="183" fontId="15" fillId="70" borderId="0" applyNumberFormat="0" applyBorder="0" applyAlignment="0" applyProtection="0"/>
    <xf numFmtId="0" fontId="113" fillId="71"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14" fillId="35" borderId="0" applyNumberFormat="0" applyBorder="0" applyAlignment="0" applyProtection="0"/>
    <xf numFmtId="0" fontId="15" fillId="70" borderId="0" applyNumberFormat="0" applyBorder="0" applyAlignment="0" applyProtection="0"/>
    <xf numFmtId="183"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14" fillId="35" borderId="0" applyNumberFormat="0" applyBorder="0" applyAlignment="0" applyProtection="0"/>
    <xf numFmtId="0" fontId="15" fillId="70" borderId="0" applyNumberFormat="0" applyBorder="0" applyAlignment="0" applyProtection="0"/>
    <xf numFmtId="0" fontId="98"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183" fontId="15"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98" fillId="39"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5"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5" fillId="66" borderId="0" applyNumberFormat="0" applyBorder="0" applyAlignment="0" applyProtection="0"/>
    <xf numFmtId="0" fontId="113" fillId="66" borderId="0" applyNumberFormat="0" applyBorder="0" applyAlignment="0" applyProtection="0"/>
    <xf numFmtId="0" fontId="15" fillId="66" borderId="0" applyNumberFormat="0" applyBorder="0" applyAlignment="0" applyProtection="0"/>
    <xf numFmtId="0" fontId="113" fillId="66" borderId="0" applyNumberFormat="0" applyBorder="0" applyAlignment="0" applyProtection="0"/>
    <xf numFmtId="0" fontId="15" fillId="66" borderId="0" applyNumberFormat="0" applyBorder="0" applyAlignment="0" applyProtection="0"/>
    <xf numFmtId="0" fontId="113"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4" fillId="39"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0" fontId="113" fillId="66" borderId="0" applyNumberFormat="0" applyBorder="0" applyAlignment="0" applyProtection="0"/>
    <xf numFmtId="183" fontId="15" fillId="66" borderId="0" applyNumberFormat="0" applyBorder="0" applyAlignment="0" applyProtection="0"/>
    <xf numFmtId="0" fontId="113"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14" fillId="39" borderId="0" applyNumberFormat="0" applyBorder="0" applyAlignment="0" applyProtection="0"/>
    <xf numFmtId="0" fontId="15" fillId="66" borderId="0" applyNumberFormat="0" applyBorder="0" applyAlignment="0" applyProtection="0"/>
    <xf numFmtId="183"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14" fillId="39" borderId="0" applyNumberFormat="0" applyBorder="0" applyAlignment="0" applyProtection="0"/>
    <xf numFmtId="0" fontId="15" fillId="66" borderId="0" applyNumberFormat="0" applyBorder="0" applyAlignment="0" applyProtection="0"/>
    <xf numFmtId="0" fontId="98"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183" fontId="15" fillId="67"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98" fillId="43"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5" fillId="67"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5" fillId="67" borderId="0" applyNumberFormat="0" applyBorder="0" applyAlignment="0" applyProtection="0"/>
    <xf numFmtId="0" fontId="113" fillId="68" borderId="0" applyNumberFormat="0" applyBorder="0" applyAlignment="0" applyProtection="0"/>
    <xf numFmtId="0" fontId="15" fillId="67" borderId="0" applyNumberFormat="0" applyBorder="0" applyAlignment="0" applyProtection="0"/>
    <xf numFmtId="0" fontId="113" fillId="68" borderId="0" applyNumberFormat="0" applyBorder="0" applyAlignment="0" applyProtection="0"/>
    <xf numFmtId="0" fontId="15" fillId="67" borderId="0" applyNumberFormat="0" applyBorder="0" applyAlignment="0" applyProtection="0"/>
    <xf numFmtId="0" fontId="113" fillId="68"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4" fillId="43"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0" fontId="113" fillId="68" borderId="0" applyNumberFormat="0" applyBorder="0" applyAlignment="0" applyProtection="0"/>
    <xf numFmtId="183" fontId="15" fillId="67" borderId="0" applyNumberFormat="0" applyBorder="0" applyAlignment="0" applyProtection="0"/>
    <xf numFmtId="0" fontId="113" fillId="68"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14" fillId="43" borderId="0" applyNumberFormat="0" applyBorder="0" applyAlignment="0" applyProtection="0"/>
    <xf numFmtId="0" fontId="15" fillId="67" borderId="0" applyNumberFormat="0" applyBorder="0" applyAlignment="0" applyProtection="0"/>
    <xf numFmtId="183" fontId="15" fillId="67"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14" fillId="43" borderId="0" applyNumberFormat="0" applyBorder="0" applyAlignment="0" applyProtection="0"/>
    <xf numFmtId="0" fontId="15" fillId="67" borderId="0" applyNumberFormat="0" applyBorder="0" applyAlignment="0" applyProtection="0"/>
    <xf numFmtId="0" fontId="98"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183" fontId="15" fillId="64"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98" fillId="47"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5" fillId="64"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5" fillId="64" borderId="0" applyNumberFormat="0" applyBorder="0" applyAlignment="0" applyProtection="0"/>
    <xf numFmtId="0" fontId="113" fillId="72" borderId="0" applyNumberFormat="0" applyBorder="0" applyAlignment="0" applyProtection="0"/>
    <xf numFmtId="0" fontId="15" fillId="64" borderId="0" applyNumberFormat="0" applyBorder="0" applyAlignment="0" applyProtection="0"/>
    <xf numFmtId="0" fontId="113" fillId="72" borderId="0" applyNumberFormat="0" applyBorder="0" applyAlignment="0" applyProtection="0"/>
    <xf numFmtId="0" fontId="15" fillId="64" borderId="0" applyNumberFormat="0" applyBorder="0" applyAlignment="0" applyProtection="0"/>
    <xf numFmtId="0" fontId="113" fillId="72"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4" fillId="47"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183" fontId="15" fillId="64" borderId="0" applyNumberFormat="0" applyBorder="0" applyAlignment="0" applyProtection="0"/>
    <xf numFmtId="0" fontId="113" fillId="72"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14" fillId="47" borderId="0" applyNumberFormat="0" applyBorder="0" applyAlignment="0" applyProtection="0"/>
    <xf numFmtId="0" fontId="15" fillId="64" borderId="0" applyNumberFormat="0" applyBorder="0" applyAlignment="0" applyProtection="0"/>
    <xf numFmtId="183" fontId="15" fillId="64"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14" fillId="47" borderId="0" applyNumberFormat="0" applyBorder="0" applyAlignment="0" applyProtection="0"/>
    <xf numFmtId="0" fontId="15" fillId="64" borderId="0" applyNumberFormat="0" applyBorder="0" applyAlignment="0" applyProtection="0"/>
    <xf numFmtId="0" fontId="98"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183" fontId="15"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98" fillId="51"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5"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5" fillId="70" borderId="0" applyNumberFormat="0" applyBorder="0" applyAlignment="0" applyProtection="0"/>
    <xf numFmtId="0" fontId="113" fillId="70" borderId="0" applyNumberFormat="0" applyBorder="0" applyAlignment="0" applyProtection="0"/>
    <xf numFmtId="0" fontId="15" fillId="70" borderId="0" applyNumberFormat="0" applyBorder="0" applyAlignment="0" applyProtection="0"/>
    <xf numFmtId="0" fontId="113" fillId="70" borderId="0" applyNumberFormat="0" applyBorder="0" applyAlignment="0" applyProtection="0"/>
    <xf numFmtId="0" fontId="15" fillId="70" borderId="0" applyNumberFormat="0" applyBorder="0" applyAlignment="0" applyProtection="0"/>
    <xf numFmtId="0" fontId="113"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4" fillId="51"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183" fontId="15" fillId="70" borderId="0" applyNumberFormat="0" applyBorder="0" applyAlignment="0" applyProtection="0"/>
    <xf numFmtId="0" fontId="113"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14" fillId="51" borderId="0" applyNumberFormat="0" applyBorder="0" applyAlignment="0" applyProtection="0"/>
    <xf numFmtId="0" fontId="15" fillId="70" borderId="0" applyNumberFormat="0" applyBorder="0" applyAlignment="0" applyProtection="0"/>
    <xf numFmtId="183"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14" fillId="51" borderId="0" applyNumberFormat="0" applyBorder="0" applyAlignment="0" applyProtection="0"/>
    <xf numFmtId="0" fontId="15" fillId="70" borderId="0" applyNumberFormat="0" applyBorder="0" applyAlignment="0" applyProtection="0"/>
    <xf numFmtId="0" fontId="98"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183" fontId="15" fillId="62"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98" fillId="55"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5" fillId="62"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5" fillId="62" borderId="0" applyNumberFormat="0" applyBorder="0" applyAlignment="0" applyProtection="0"/>
    <xf numFmtId="0" fontId="113" fillId="73" borderId="0" applyNumberFormat="0" applyBorder="0" applyAlignment="0" applyProtection="0"/>
    <xf numFmtId="0" fontId="15" fillId="62" borderId="0" applyNumberFormat="0" applyBorder="0" applyAlignment="0" applyProtection="0"/>
    <xf numFmtId="0" fontId="113" fillId="73" borderId="0" applyNumberFormat="0" applyBorder="0" applyAlignment="0" applyProtection="0"/>
    <xf numFmtId="0" fontId="15" fillId="62" borderId="0" applyNumberFormat="0" applyBorder="0" applyAlignment="0" applyProtection="0"/>
    <xf numFmtId="0" fontId="113" fillId="73"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4" fillId="55"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0" fontId="113" fillId="73" borderId="0" applyNumberFormat="0" applyBorder="0" applyAlignment="0" applyProtection="0"/>
    <xf numFmtId="183" fontId="15" fillId="62" borderId="0" applyNumberFormat="0" applyBorder="0" applyAlignment="0" applyProtection="0"/>
    <xf numFmtId="0" fontId="113" fillId="73"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14" fillId="55" borderId="0" applyNumberFormat="0" applyBorder="0" applyAlignment="0" applyProtection="0"/>
    <xf numFmtId="0" fontId="15" fillId="62" borderId="0" applyNumberFormat="0" applyBorder="0" applyAlignment="0" applyProtection="0"/>
    <xf numFmtId="183"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14" fillId="55" borderId="0" applyNumberFormat="0" applyBorder="0" applyAlignment="0" applyProtection="0"/>
    <xf numFmtId="0" fontId="15" fillId="62" borderId="0" applyNumberFormat="0" applyBorder="0" applyAlignment="0" applyProtection="0"/>
    <xf numFmtId="0" fontId="98"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5" fillId="74" borderId="0">
      <alignment horizontal="left" vertical="top"/>
    </xf>
    <xf numFmtId="187" fontId="111" fillId="0" borderId="0" applyFont="0" applyFill="0" applyBorder="0" applyAlignment="0" applyProtection="0"/>
    <xf numFmtId="183" fontId="15" fillId="70"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98" fillId="32"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5" fillId="70"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5" fillId="70" borderId="0" applyNumberFormat="0" applyBorder="0" applyAlignment="0" applyProtection="0"/>
    <xf numFmtId="0" fontId="113" fillId="75" borderId="0" applyNumberFormat="0" applyBorder="0" applyAlignment="0" applyProtection="0"/>
    <xf numFmtId="0" fontId="15" fillId="70" borderId="0" applyNumberFormat="0" applyBorder="0" applyAlignment="0" applyProtection="0"/>
    <xf numFmtId="0" fontId="113" fillId="75" borderId="0" applyNumberFormat="0" applyBorder="0" applyAlignment="0" applyProtection="0"/>
    <xf numFmtId="0" fontId="15" fillId="70" borderId="0" applyNumberFormat="0" applyBorder="0" applyAlignment="0" applyProtection="0"/>
    <xf numFmtId="0" fontId="113" fillId="75"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4" fillId="32"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0" fontId="113" fillId="75" borderId="0" applyNumberFormat="0" applyBorder="0" applyAlignment="0" applyProtection="0"/>
    <xf numFmtId="183" fontId="15" fillId="70" borderId="0" applyNumberFormat="0" applyBorder="0" applyAlignment="0" applyProtection="0"/>
    <xf numFmtId="0" fontId="113" fillId="75"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14" fillId="32" borderId="0" applyNumberFormat="0" applyBorder="0" applyAlignment="0" applyProtection="0"/>
    <xf numFmtId="0" fontId="15" fillId="70" borderId="0" applyNumberFormat="0" applyBorder="0" applyAlignment="0" applyProtection="0"/>
    <xf numFmtId="183"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14" fillId="32" borderId="0" applyNumberFormat="0" applyBorder="0" applyAlignment="0" applyProtection="0"/>
    <xf numFmtId="0" fontId="15" fillId="70" borderId="0" applyNumberFormat="0" applyBorder="0" applyAlignment="0" applyProtection="0"/>
    <xf numFmtId="0" fontId="98"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183" fontId="15" fillId="68"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98" fillId="36"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5" fillId="68"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5" fillId="68" borderId="0" applyNumberFormat="0" applyBorder="0" applyAlignment="0" applyProtection="0"/>
    <xf numFmtId="0" fontId="113" fillId="64" borderId="0" applyNumberFormat="0" applyBorder="0" applyAlignment="0" applyProtection="0"/>
    <xf numFmtId="0" fontId="15" fillId="68" borderId="0" applyNumberFormat="0" applyBorder="0" applyAlignment="0" applyProtection="0"/>
    <xf numFmtId="0" fontId="113" fillId="64" borderId="0" applyNumberFormat="0" applyBorder="0" applyAlignment="0" applyProtection="0"/>
    <xf numFmtId="0" fontId="15" fillId="68" borderId="0" applyNumberFormat="0" applyBorder="0" applyAlignment="0" applyProtection="0"/>
    <xf numFmtId="0" fontId="113" fillId="64"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4" fillId="36"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0" fontId="113" fillId="64" borderId="0" applyNumberFormat="0" applyBorder="0" applyAlignment="0" applyProtection="0"/>
    <xf numFmtId="183" fontId="15" fillId="68" borderId="0" applyNumberFormat="0" applyBorder="0" applyAlignment="0" applyProtection="0"/>
    <xf numFmtId="0" fontId="113" fillId="64"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14" fillId="36" borderId="0" applyNumberFormat="0" applyBorder="0" applyAlignment="0" applyProtection="0"/>
    <xf numFmtId="0" fontId="15" fillId="68" borderId="0" applyNumberFormat="0" applyBorder="0" applyAlignment="0" applyProtection="0"/>
    <xf numFmtId="183"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14" fillId="36" borderId="0" applyNumberFormat="0" applyBorder="0" applyAlignment="0" applyProtection="0"/>
    <xf numFmtId="0" fontId="15" fillId="68" borderId="0" applyNumberFormat="0" applyBorder="0" applyAlignment="0" applyProtection="0"/>
    <xf numFmtId="0" fontId="98" fillId="36" borderId="0" applyNumberFormat="0" applyBorder="0" applyAlignment="0" applyProtection="0"/>
    <xf numFmtId="0" fontId="114" fillId="36" borderId="0" applyNumberFormat="0" applyBorder="0" applyAlignment="0" applyProtection="0"/>
    <xf numFmtId="0" fontId="114" fillId="36" borderId="0" applyNumberFormat="0" applyBorder="0" applyAlignment="0" applyProtection="0"/>
    <xf numFmtId="0" fontId="114" fillId="36" borderId="0" applyNumberFormat="0" applyBorder="0" applyAlignment="0" applyProtection="0"/>
    <xf numFmtId="183" fontId="15"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98" fillId="40"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5"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5" fillId="76" borderId="0" applyNumberFormat="0" applyBorder="0" applyAlignment="0" applyProtection="0"/>
    <xf numFmtId="0" fontId="113" fillId="76" borderId="0" applyNumberFormat="0" applyBorder="0" applyAlignment="0" applyProtection="0"/>
    <xf numFmtId="0" fontId="15" fillId="76" borderId="0" applyNumberFormat="0" applyBorder="0" applyAlignment="0" applyProtection="0"/>
    <xf numFmtId="0" fontId="113" fillId="76" borderId="0" applyNumberFormat="0" applyBorder="0" applyAlignment="0" applyProtection="0"/>
    <xf numFmtId="0" fontId="15" fillId="76" borderId="0" applyNumberFormat="0" applyBorder="0" applyAlignment="0" applyProtection="0"/>
    <xf numFmtId="0" fontId="113" fillId="76" borderId="0" applyNumberFormat="0" applyBorder="0" applyAlignment="0" applyProtection="0"/>
    <xf numFmtId="0" fontId="15" fillId="76" borderId="0" applyNumberFormat="0" applyBorder="0" applyAlignment="0" applyProtection="0"/>
    <xf numFmtId="0" fontId="15" fillId="76" borderId="0" applyNumberFormat="0" applyBorder="0" applyAlignment="0" applyProtection="0"/>
    <xf numFmtId="0" fontId="15" fillId="76" borderId="0" applyNumberFormat="0" applyBorder="0" applyAlignment="0" applyProtection="0"/>
    <xf numFmtId="0" fontId="15" fillId="76" borderId="0" applyNumberFormat="0" applyBorder="0" applyAlignment="0" applyProtection="0"/>
    <xf numFmtId="0" fontId="15" fillId="76" borderId="0" applyNumberFormat="0" applyBorder="0" applyAlignment="0" applyProtection="0"/>
    <xf numFmtId="0" fontId="15" fillId="76" borderId="0" applyNumberFormat="0" applyBorder="0" applyAlignment="0" applyProtection="0"/>
    <xf numFmtId="0" fontId="15"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5" fillId="76" borderId="0" applyNumberFormat="0" applyBorder="0" applyAlignment="0" applyProtection="0"/>
    <xf numFmtId="0" fontId="15" fillId="76" borderId="0" applyNumberFormat="0" applyBorder="0" applyAlignment="0" applyProtection="0"/>
    <xf numFmtId="0" fontId="15" fillId="76" borderId="0" applyNumberFormat="0" applyBorder="0" applyAlignment="0" applyProtection="0"/>
    <xf numFmtId="0" fontId="15" fillId="76" borderId="0" applyNumberFormat="0" applyBorder="0" applyAlignment="0" applyProtection="0"/>
    <xf numFmtId="0" fontId="15" fillId="76" borderId="0" applyNumberFormat="0" applyBorder="0" applyAlignment="0" applyProtection="0"/>
    <xf numFmtId="0" fontId="15" fillId="76" borderId="0" applyNumberFormat="0" applyBorder="0" applyAlignment="0" applyProtection="0"/>
    <xf numFmtId="0" fontId="15" fillId="76" borderId="0" applyNumberFormat="0" applyBorder="0" applyAlignment="0" applyProtection="0"/>
    <xf numFmtId="0" fontId="15" fillId="76" borderId="0" applyNumberFormat="0" applyBorder="0" applyAlignment="0" applyProtection="0"/>
    <xf numFmtId="0" fontId="15"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4" fillId="40"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0" fontId="113" fillId="76" borderId="0" applyNumberFormat="0" applyBorder="0" applyAlignment="0" applyProtection="0"/>
    <xf numFmtId="183" fontId="15" fillId="76" borderId="0" applyNumberFormat="0" applyBorder="0" applyAlignment="0" applyProtection="0"/>
    <xf numFmtId="0" fontId="113" fillId="76" borderId="0" applyNumberFormat="0" applyBorder="0" applyAlignment="0" applyProtection="0"/>
    <xf numFmtId="0" fontId="15" fillId="76" borderId="0" applyNumberFormat="0" applyBorder="0" applyAlignment="0" applyProtection="0"/>
    <xf numFmtId="0" fontId="15" fillId="76" borderId="0" applyNumberFormat="0" applyBorder="0" applyAlignment="0" applyProtection="0"/>
    <xf numFmtId="0" fontId="15" fillId="76" borderId="0" applyNumberFormat="0" applyBorder="0" applyAlignment="0" applyProtection="0"/>
    <xf numFmtId="0" fontId="15" fillId="76" borderId="0" applyNumberFormat="0" applyBorder="0" applyAlignment="0" applyProtection="0"/>
    <xf numFmtId="0" fontId="15" fillId="76" borderId="0" applyNumberFormat="0" applyBorder="0" applyAlignment="0" applyProtection="0"/>
    <xf numFmtId="0" fontId="114" fillId="40" borderId="0" applyNumberFormat="0" applyBorder="0" applyAlignment="0" applyProtection="0"/>
    <xf numFmtId="0" fontId="15" fillId="76" borderId="0" applyNumberFormat="0" applyBorder="0" applyAlignment="0" applyProtection="0"/>
    <xf numFmtId="183" fontId="15" fillId="76" borderId="0" applyNumberFormat="0" applyBorder="0" applyAlignment="0" applyProtection="0"/>
    <xf numFmtId="0" fontId="15" fillId="76" borderId="0" applyNumberFormat="0" applyBorder="0" applyAlignment="0" applyProtection="0"/>
    <xf numFmtId="0" fontId="15" fillId="76" borderId="0" applyNumberFormat="0" applyBorder="0" applyAlignment="0" applyProtection="0"/>
    <xf numFmtId="0" fontId="15" fillId="76" borderId="0" applyNumberFormat="0" applyBorder="0" applyAlignment="0" applyProtection="0"/>
    <xf numFmtId="0" fontId="15" fillId="76" borderId="0" applyNumberFormat="0" applyBorder="0" applyAlignment="0" applyProtection="0"/>
    <xf numFmtId="0" fontId="15" fillId="76" borderId="0" applyNumberFormat="0" applyBorder="0" applyAlignment="0" applyProtection="0"/>
    <xf numFmtId="0" fontId="114" fillId="40" borderId="0" applyNumberFormat="0" applyBorder="0" applyAlignment="0" applyProtection="0"/>
    <xf numFmtId="0" fontId="15" fillId="76" borderId="0" applyNumberFormat="0" applyBorder="0" applyAlignment="0" applyProtection="0"/>
    <xf numFmtId="0" fontId="98" fillId="40" borderId="0" applyNumberFormat="0" applyBorder="0" applyAlignment="0" applyProtection="0"/>
    <xf numFmtId="0" fontId="114" fillId="40" borderId="0" applyNumberFormat="0" applyBorder="0" applyAlignment="0" applyProtection="0"/>
    <xf numFmtId="0" fontId="114" fillId="40" borderId="0" applyNumberFormat="0" applyBorder="0" applyAlignment="0" applyProtection="0"/>
    <xf numFmtId="0" fontId="114" fillId="40" borderId="0" applyNumberFormat="0" applyBorder="0" applyAlignment="0" applyProtection="0"/>
    <xf numFmtId="183" fontId="15" fillId="77"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98" fillId="44"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5" fillId="77"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5" fillId="77" borderId="0" applyNumberFormat="0" applyBorder="0" applyAlignment="0" applyProtection="0"/>
    <xf numFmtId="0" fontId="113" fillId="72" borderId="0" applyNumberFormat="0" applyBorder="0" applyAlignment="0" applyProtection="0"/>
    <xf numFmtId="0" fontId="15" fillId="77" borderId="0" applyNumberFormat="0" applyBorder="0" applyAlignment="0" applyProtection="0"/>
    <xf numFmtId="0" fontId="113" fillId="72" borderId="0" applyNumberFormat="0" applyBorder="0" applyAlignment="0" applyProtection="0"/>
    <xf numFmtId="0" fontId="15" fillId="77" borderId="0" applyNumberFormat="0" applyBorder="0" applyAlignment="0" applyProtection="0"/>
    <xf numFmtId="0" fontId="113" fillId="72" borderId="0" applyNumberFormat="0" applyBorder="0" applyAlignment="0" applyProtection="0"/>
    <xf numFmtId="0" fontId="15" fillId="77" borderId="0" applyNumberFormat="0" applyBorder="0" applyAlignment="0" applyProtection="0"/>
    <xf numFmtId="0" fontId="15" fillId="77" borderId="0" applyNumberFormat="0" applyBorder="0" applyAlignment="0" applyProtection="0"/>
    <xf numFmtId="0" fontId="15" fillId="77" borderId="0" applyNumberFormat="0" applyBorder="0" applyAlignment="0" applyProtection="0"/>
    <xf numFmtId="0" fontId="15" fillId="77" borderId="0" applyNumberFormat="0" applyBorder="0" applyAlignment="0" applyProtection="0"/>
    <xf numFmtId="0" fontId="15" fillId="77" borderId="0" applyNumberFormat="0" applyBorder="0" applyAlignment="0" applyProtection="0"/>
    <xf numFmtId="0" fontId="15" fillId="77" borderId="0" applyNumberFormat="0" applyBorder="0" applyAlignment="0" applyProtection="0"/>
    <xf numFmtId="0" fontId="15" fillId="77"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5" fillId="77" borderId="0" applyNumberFormat="0" applyBorder="0" applyAlignment="0" applyProtection="0"/>
    <xf numFmtId="0" fontId="15" fillId="77" borderId="0" applyNumberFormat="0" applyBorder="0" applyAlignment="0" applyProtection="0"/>
    <xf numFmtId="0" fontId="15" fillId="77" borderId="0" applyNumberFormat="0" applyBorder="0" applyAlignment="0" applyProtection="0"/>
    <xf numFmtId="0" fontId="15" fillId="77" borderId="0" applyNumberFormat="0" applyBorder="0" applyAlignment="0" applyProtection="0"/>
    <xf numFmtId="0" fontId="15" fillId="77" borderId="0" applyNumberFormat="0" applyBorder="0" applyAlignment="0" applyProtection="0"/>
    <xf numFmtId="0" fontId="15" fillId="77" borderId="0" applyNumberFormat="0" applyBorder="0" applyAlignment="0" applyProtection="0"/>
    <xf numFmtId="0" fontId="15" fillId="77" borderId="0" applyNumberFormat="0" applyBorder="0" applyAlignment="0" applyProtection="0"/>
    <xf numFmtId="0" fontId="15" fillId="77" borderId="0" applyNumberFormat="0" applyBorder="0" applyAlignment="0" applyProtection="0"/>
    <xf numFmtId="0" fontId="15" fillId="77"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4" fillId="44"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0" fontId="113" fillId="72" borderId="0" applyNumberFormat="0" applyBorder="0" applyAlignment="0" applyProtection="0"/>
    <xf numFmtId="183" fontId="15" fillId="77" borderId="0" applyNumberFormat="0" applyBorder="0" applyAlignment="0" applyProtection="0"/>
    <xf numFmtId="0" fontId="113" fillId="72" borderId="0" applyNumberFormat="0" applyBorder="0" applyAlignment="0" applyProtection="0"/>
    <xf numFmtId="0" fontId="15" fillId="77" borderId="0" applyNumberFormat="0" applyBorder="0" applyAlignment="0" applyProtection="0"/>
    <xf numFmtId="0" fontId="15" fillId="77" borderId="0" applyNumberFormat="0" applyBorder="0" applyAlignment="0" applyProtection="0"/>
    <xf numFmtId="0" fontId="15" fillId="77" borderId="0" applyNumberFormat="0" applyBorder="0" applyAlignment="0" applyProtection="0"/>
    <xf numFmtId="0" fontId="15" fillId="77" borderId="0" applyNumberFormat="0" applyBorder="0" applyAlignment="0" applyProtection="0"/>
    <xf numFmtId="0" fontId="15" fillId="77" borderId="0" applyNumberFormat="0" applyBorder="0" applyAlignment="0" applyProtection="0"/>
    <xf numFmtId="0" fontId="114" fillId="44" borderId="0" applyNumberFormat="0" applyBorder="0" applyAlignment="0" applyProtection="0"/>
    <xf numFmtId="0" fontId="15" fillId="77" borderId="0" applyNumberFormat="0" applyBorder="0" applyAlignment="0" applyProtection="0"/>
    <xf numFmtId="183" fontId="15" fillId="77" borderId="0" applyNumberFormat="0" applyBorder="0" applyAlignment="0" applyProtection="0"/>
    <xf numFmtId="0" fontId="15" fillId="77" borderId="0" applyNumberFormat="0" applyBorder="0" applyAlignment="0" applyProtection="0"/>
    <xf numFmtId="0" fontId="15" fillId="77" borderId="0" applyNumberFormat="0" applyBorder="0" applyAlignment="0" applyProtection="0"/>
    <xf numFmtId="0" fontId="15" fillId="77" borderId="0" applyNumberFormat="0" applyBorder="0" applyAlignment="0" applyProtection="0"/>
    <xf numFmtId="0" fontId="15" fillId="77" borderId="0" applyNumberFormat="0" applyBorder="0" applyAlignment="0" applyProtection="0"/>
    <xf numFmtId="0" fontId="15" fillId="77" borderId="0" applyNumberFormat="0" applyBorder="0" applyAlignment="0" applyProtection="0"/>
    <xf numFmtId="0" fontId="114" fillId="44" borderId="0" applyNumberFormat="0" applyBorder="0" applyAlignment="0" applyProtection="0"/>
    <xf numFmtId="0" fontId="15" fillId="77" borderId="0" applyNumberFormat="0" applyBorder="0" applyAlignment="0" applyProtection="0"/>
    <xf numFmtId="0" fontId="98" fillId="44" borderId="0" applyNumberFormat="0" applyBorder="0" applyAlignment="0" applyProtection="0"/>
    <xf numFmtId="0" fontId="114" fillId="44" borderId="0" applyNumberFormat="0" applyBorder="0" applyAlignment="0" applyProtection="0"/>
    <xf numFmtId="0" fontId="114" fillId="44" borderId="0" applyNumberFormat="0" applyBorder="0" applyAlignment="0" applyProtection="0"/>
    <xf numFmtId="0" fontId="114" fillId="44" borderId="0" applyNumberFormat="0" applyBorder="0" applyAlignment="0" applyProtection="0"/>
    <xf numFmtId="183" fontId="15"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98" fillId="48"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5"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5" fillId="70" borderId="0" applyNumberFormat="0" applyBorder="0" applyAlignment="0" applyProtection="0"/>
    <xf numFmtId="0" fontId="113" fillId="70" borderId="0" applyNumberFormat="0" applyBorder="0" applyAlignment="0" applyProtection="0"/>
    <xf numFmtId="0" fontId="15" fillId="70" borderId="0" applyNumberFormat="0" applyBorder="0" applyAlignment="0" applyProtection="0"/>
    <xf numFmtId="0" fontId="113" fillId="70" borderId="0" applyNumberFormat="0" applyBorder="0" applyAlignment="0" applyProtection="0"/>
    <xf numFmtId="0" fontId="15" fillId="70" borderId="0" applyNumberFormat="0" applyBorder="0" applyAlignment="0" applyProtection="0"/>
    <xf numFmtId="0" fontId="113"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4" fillId="48"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0" fontId="113" fillId="70" borderId="0" applyNumberFormat="0" applyBorder="0" applyAlignment="0" applyProtection="0"/>
    <xf numFmtId="183" fontId="15" fillId="70" borderId="0" applyNumberFormat="0" applyBorder="0" applyAlignment="0" applyProtection="0"/>
    <xf numFmtId="0" fontId="113"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14" fillId="48" borderId="0" applyNumberFormat="0" applyBorder="0" applyAlignment="0" applyProtection="0"/>
    <xf numFmtId="0" fontId="15" fillId="70" borderId="0" applyNumberFormat="0" applyBorder="0" applyAlignment="0" applyProtection="0"/>
    <xf numFmtId="183"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14" fillId="48" borderId="0" applyNumberFormat="0" applyBorder="0" applyAlignment="0" applyProtection="0"/>
    <xf numFmtId="0" fontId="15" fillId="70" borderId="0" applyNumberFormat="0" applyBorder="0" applyAlignment="0" applyProtection="0"/>
    <xf numFmtId="0" fontId="98" fillId="48" borderId="0" applyNumberFormat="0" applyBorder="0" applyAlignment="0" applyProtection="0"/>
    <xf numFmtId="0" fontId="114" fillId="48" borderId="0" applyNumberFormat="0" applyBorder="0" applyAlignment="0" applyProtection="0"/>
    <xf numFmtId="0" fontId="114" fillId="48" borderId="0" applyNumberFormat="0" applyBorder="0" applyAlignment="0" applyProtection="0"/>
    <xf numFmtId="0" fontId="114" fillId="48" borderId="0" applyNumberFormat="0" applyBorder="0" applyAlignment="0" applyProtection="0"/>
    <xf numFmtId="183" fontId="15"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98" fillId="52"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5"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5" fillId="78" borderId="0" applyNumberFormat="0" applyBorder="0" applyAlignment="0" applyProtection="0"/>
    <xf numFmtId="0" fontId="113" fillId="78" borderId="0" applyNumberFormat="0" applyBorder="0" applyAlignment="0" applyProtection="0"/>
    <xf numFmtId="0" fontId="15" fillId="78" borderId="0" applyNumberFormat="0" applyBorder="0" applyAlignment="0" applyProtection="0"/>
    <xf numFmtId="0" fontId="113" fillId="78" borderId="0" applyNumberFormat="0" applyBorder="0" applyAlignment="0" applyProtection="0"/>
    <xf numFmtId="0" fontId="15" fillId="78" borderId="0" applyNumberFormat="0" applyBorder="0" applyAlignment="0" applyProtection="0"/>
    <xf numFmtId="0" fontId="113" fillId="78" borderId="0" applyNumberFormat="0" applyBorder="0" applyAlignment="0" applyProtection="0"/>
    <xf numFmtId="0" fontId="15" fillId="78" borderId="0" applyNumberFormat="0" applyBorder="0" applyAlignment="0" applyProtection="0"/>
    <xf numFmtId="0" fontId="15" fillId="78" borderId="0" applyNumberFormat="0" applyBorder="0" applyAlignment="0" applyProtection="0"/>
    <xf numFmtId="0" fontId="15" fillId="78" borderId="0" applyNumberFormat="0" applyBorder="0" applyAlignment="0" applyProtection="0"/>
    <xf numFmtId="0" fontId="15" fillId="78" borderId="0" applyNumberFormat="0" applyBorder="0" applyAlignment="0" applyProtection="0"/>
    <xf numFmtId="0" fontId="15" fillId="78" borderId="0" applyNumberFormat="0" applyBorder="0" applyAlignment="0" applyProtection="0"/>
    <xf numFmtId="0" fontId="15" fillId="78" borderId="0" applyNumberFormat="0" applyBorder="0" applyAlignment="0" applyProtection="0"/>
    <xf numFmtId="0" fontId="15"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5" fillId="78" borderId="0" applyNumberFormat="0" applyBorder="0" applyAlignment="0" applyProtection="0"/>
    <xf numFmtId="0" fontId="15" fillId="78" borderId="0" applyNumberFormat="0" applyBorder="0" applyAlignment="0" applyProtection="0"/>
    <xf numFmtId="0" fontId="15" fillId="78" borderId="0" applyNumberFormat="0" applyBorder="0" applyAlignment="0" applyProtection="0"/>
    <xf numFmtId="0" fontId="15" fillId="78" borderId="0" applyNumberFormat="0" applyBorder="0" applyAlignment="0" applyProtection="0"/>
    <xf numFmtId="0" fontId="15" fillId="78" borderId="0" applyNumberFormat="0" applyBorder="0" applyAlignment="0" applyProtection="0"/>
    <xf numFmtId="0" fontId="15" fillId="78" borderId="0" applyNumberFormat="0" applyBorder="0" applyAlignment="0" applyProtection="0"/>
    <xf numFmtId="0" fontId="15" fillId="78" borderId="0" applyNumberFormat="0" applyBorder="0" applyAlignment="0" applyProtection="0"/>
    <xf numFmtId="0" fontId="15" fillId="78" borderId="0" applyNumberFormat="0" applyBorder="0" applyAlignment="0" applyProtection="0"/>
    <xf numFmtId="0" fontId="15"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4" fillId="52"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0" fontId="113" fillId="78" borderId="0" applyNumberFormat="0" applyBorder="0" applyAlignment="0" applyProtection="0"/>
    <xf numFmtId="183" fontId="15" fillId="78" borderId="0" applyNumberFormat="0" applyBorder="0" applyAlignment="0" applyProtection="0"/>
    <xf numFmtId="0" fontId="113" fillId="78" borderId="0" applyNumberFormat="0" applyBorder="0" applyAlignment="0" applyProtection="0"/>
    <xf numFmtId="0" fontId="15" fillId="78" borderId="0" applyNumberFormat="0" applyBorder="0" applyAlignment="0" applyProtection="0"/>
    <xf numFmtId="0" fontId="15" fillId="78" borderId="0" applyNumberFormat="0" applyBorder="0" applyAlignment="0" applyProtection="0"/>
    <xf numFmtId="0" fontId="15" fillId="78" borderId="0" applyNumberFormat="0" applyBorder="0" applyAlignment="0" applyProtection="0"/>
    <xf numFmtId="0" fontId="15" fillId="78" borderId="0" applyNumberFormat="0" applyBorder="0" applyAlignment="0" applyProtection="0"/>
    <xf numFmtId="0" fontId="15" fillId="78" borderId="0" applyNumberFormat="0" applyBorder="0" applyAlignment="0" applyProtection="0"/>
    <xf numFmtId="0" fontId="114" fillId="52" borderId="0" applyNumberFormat="0" applyBorder="0" applyAlignment="0" applyProtection="0"/>
    <xf numFmtId="0" fontId="15" fillId="78" borderId="0" applyNumberFormat="0" applyBorder="0" applyAlignment="0" applyProtection="0"/>
    <xf numFmtId="183" fontId="15" fillId="78" borderId="0" applyNumberFormat="0" applyBorder="0" applyAlignment="0" applyProtection="0"/>
    <xf numFmtId="0" fontId="15" fillId="78" borderId="0" applyNumberFormat="0" applyBorder="0" applyAlignment="0" applyProtection="0"/>
    <xf numFmtId="0" fontId="15" fillId="78" borderId="0" applyNumberFormat="0" applyBorder="0" applyAlignment="0" applyProtection="0"/>
    <xf numFmtId="0" fontId="15" fillId="78" borderId="0" applyNumberFormat="0" applyBorder="0" applyAlignment="0" applyProtection="0"/>
    <xf numFmtId="0" fontId="15" fillId="78" borderId="0" applyNumberFormat="0" applyBorder="0" applyAlignment="0" applyProtection="0"/>
    <xf numFmtId="0" fontId="15" fillId="78" borderId="0" applyNumberFormat="0" applyBorder="0" applyAlignment="0" applyProtection="0"/>
    <xf numFmtId="0" fontId="114" fillId="52" borderId="0" applyNumberFormat="0" applyBorder="0" applyAlignment="0" applyProtection="0"/>
    <xf numFmtId="0" fontId="15" fillId="78" borderId="0" applyNumberFormat="0" applyBorder="0" applyAlignment="0" applyProtection="0"/>
    <xf numFmtId="0" fontId="98" fillId="52" borderId="0" applyNumberFormat="0" applyBorder="0" applyAlignment="0" applyProtection="0"/>
    <xf numFmtId="0" fontId="114" fillId="52" borderId="0" applyNumberFormat="0" applyBorder="0" applyAlignment="0" applyProtection="0"/>
    <xf numFmtId="0" fontId="114" fillId="52" borderId="0" applyNumberFormat="0" applyBorder="0" applyAlignment="0" applyProtection="0"/>
    <xf numFmtId="0" fontId="114" fillId="52" borderId="0" applyNumberFormat="0" applyBorder="0" applyAlignment="0" applyProtection="0"/>
    <xf numFmtId="188" fontId="102" fillId="0" borderId="0" applyFill="0" applyBorder="0" applyAlignment="0"/>
    <xf numFmtId="43" fontId="102" fillId="0" borderId="0" applyFont="0" applyFill="0" applyBorder="0" applyAlignment="0" applyProtection="0"/>
    <xf numFmtId="183"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91" fillId="28" borderId="44"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7" fillId="28" borderId="44"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6" fillId="62" borderId="50" applyNumberFormat="0" applyAlignment="0" applyProtection="0"/>
    <xf numFmtId="183" fontId="116" fillId="62" borderId="50" applyNumberFormat="0" applyAlignment="0" applyProtection="0"/>
    <xf numFmtId="0"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7" fillId="28" borderId="44" applyNumberFormat="0" applyAlignment="0" applyProtection="0"/>
    <xf numFmtId="0" fontId="15" fillId="0" borderId="0" applyNumberFormat="0" applyFont="0" applyFill="0" applyBorder="0" applyAlignment="0" applyProtection="0"/>
    <xf numFmtId="183" fontId="116" fillId="62" borderId="50"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6" fillId="62" borderId="50" applyNumberFormat="0" applyAlignment="0" applyProtection="0"/>
    <xf numFmtId="0" fontId="116" fillId="62" borderId="50" applyNumberFormat="0" applyAlignment="0" applyProtection="0"/>
    <xf numFmtId="0" fontId="117" fillId="28" borderId="44" applyNumberFormat="0" applyAlignment="0" applyProtection="0"/>
    <xf numFmtId="0" fontId="15" fillId="0" borderId="0" applyNumberFormat="0" applyFont="0" applyFill="0" applyBorder="0" applyAlignment="0" applyProtection="0"/>
    <xf numFmtId="0" fontId="91" fillId="28" borderId="44" applyNumberFormat="0" applyAlignment="0" applyProtection="0"/>
    <xf numFmtId="0" fontId="117" fillId="28" borderId="44" applyNumberFormat="0" applyAlignment="0" applyProtection="0"/>
    <xf numFmtId="0" fontId="117" fillId="28" borderId="44" applyNumberFormat="0" applyAlignment="0" applyProtection="0"/>
    <xf numFmtId="0" fontId="117" fillId="28" borderId="44" applyNumberFormat="0" applyAlignment="0" applyProtection="0"/>
    <xf numFmtId="183" fontId="118" fillId="61"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92" fillId="29" borderId="45"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61"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61"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9" fillId="29" borderId="45" applyNumberFormat="0" applyAlignment="0" applyProtection="0"/>
    <xf numFmtId="0" fontId="120" fillId="0" borderId="45"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18" fillId="79" borderId="51" applyNumberFormat="0" applyAlignment="0" applyProtection="0"/>
    <xf numFmtId="0" fontId="118" fillId="79" borderId="51" applyNumberFormat="0" applyAlignment="0" applyProtection="0"/>
    <xf numFmtId="0" fontId="118" fillId="79" borderId="51" applyNumberFormat="0" applyAlignment="0" applyProtection="0"/>
    <xf numFmtId="183" fontId="118" fillId="61" borderId="51" applyNumberFormat="0" applyAlignment="0" applyProtection="0"/>
    <xf numFmtId="0" fontId="118" fillId="79"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61" borderId="51" applyNumberFormat="0" applyAlignment="0" applyProtection="0"/>
    <xf numFmtId="0" fontId="118" fillId="61" borderId="51" applyNumberFormat="0" applyAlignment="0" applyProtection="0"/>
    <xf numFmtId="0" fontId="119" fillId="29" borderId="45" applyNumberFormat="0" applyAlignment="0" applyProtection="0"/>
    <xf numFmtId="0" fontId="15" fillId="0" borderId="0" applyNumberFormat="0" applyFont="0" applyFill="0" applyBorder="0" applyAlignment="0" applyProtection="0"/>
    <xf numFmtId="183" fontId="118" fillId="61" borderId="51"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18" fillId="61" borderId="51" applyNumberFormat="0" applyAlignment="0" applyProtection="0"/>
    <xf numFmtId="0" fontId="118" fillId="61" borderId="51" applyNumberFormat="0" applyAlignment="0" applyProtection="0"/>
    <xf numFmtId="0" fontId="119" fillId="29" borderId="45" applyNumberFormat="0" applyAlignment="0" applyProtection="0"/>
    <xf numFmtId="0" fontId="15" fillId="0" borderId="0" applyNumberFormat="0" applyFont="0" applyFill="0" applyBorder="0" applyAlignment="0" applyProtection="0"/>
    <xf numFmtId="0" fontId="92" fillId="29" borderId="45" applyNumberFormat="0" applyAlignment="0" applyProtection="0"/>
    <xf numFmtId="0" fontId="119" fillId="29" borderId="45" applyNumberFormat="0" applyAlignment="0" applyProtection="0"/>
    <xf numFmtId="0" fontId="120" fillId="0" borderId="45" applyNumberFormat="0" applyFill="0" applyAlignment="0" applyProtection="0"/>
    <xf numFmtId="0" fontId="120" fillId="0" borderId="45" applyNumberFormat="0" applyFill="0" applyAlignment="0" applyProtection="0"/>
    <xf numFmtId="0" fontId="119" fillId="29" borderId="45" applyNumberFormat="0" applyAlignment="0" applyProtection="0"/>
    <xf numFmtId="0" fontId="120" fillId="0" borderId="45" applyNumberFormat="0" applyFill="0" applyAlignment="0" applyProtection="0"/>
    <xf numFmtId="183"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88" fillId="25"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2" fillId="25" borderId="0" applyNumberFormat="0" applyBorder="0" applyAlignment="0" applyProtection="0"/>
    <xf numFmtId="0" fontId="122"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183" fontId="121" fillId="58" borderId="0" applyNumberFormat="0" applyBorder="0" applyAlignment="0" applyProtection="0"/>
    <xf numFmtId="0"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22" fillId="25" borderId="0" applyNumberFormat="0" applyBorder="0" applyAlignment="0" applyProtection="0"/>
    <xf numFmtId="0" fontId="15" fillId="0" borderId="0" applyNumberFormat="0" applyFont="0" applyFill="0" applyBorder="0" applyAlignment="0" applyProtection="0"/>
    <xf numFmtId="183" fontId="121" fillId="58"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22" fillId="25" borderId="0" applyNumberFormat="0" applyBorder="0" applyAlignment="0" applyProtection="0"/>
    <xf numFmtId="0" fontId="15" fillId="0" borderId="0" applyNumberFormat="0" applyFont="0" applyFill="0" applyBorder="0" applyAlignment="0" applyProtection="0"/>
    <xf numFmtId="0" fontId="88" fillId="25" borderId="0" applyNumberFormat="0" applyBorder="0" applyAlignment="0" applyProtection="0"/>
    <xf numFmtId="0" fontId="122" fillId="25" borderId="0" applyNumberFormat="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25" borderId="0" applyNumberFormat="0" applyBorder="0" applyAlignment="0" applyProtection="0"/>
    <xf numFmtId="0" fontId="122" fillId="0" borderId="0" applyNumberFormat="0" applyFill="0" applyBorder="0" applyAlignment="0" applyProtection="0"/>
    <xf numFmtId="189" fontId="123" fillId="0" borderId="0">
      <alignment horizontal="center"/>
    </xf>
    <xf numFmtId="190" fontId="106" fillId="0" borderId="0" applyFont="0" applyFill="0" applyBorder="0" applyAlignment="0" applyProtection="0"/>
    <xf numFmtId="191" fontId="10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06" fillId="0" borderId="0" applyFont="0" applyFill="0" applyBorder="0" applyAlignment="0" applyProtection="0"/>
    <xf numFmtId="0" fontId="15" fillId="0" borderId="0" applyNumberFormat="0" applyFont="0" applyFill="0" applyBorder="0" applyAlignment="0" applyProtection="0"/>
    <xf numFmtId="43" fontId="106" fillId="0" borderId="0" applyFont="0" applyFill="0" applyBorder="0" applyAlignment="0" applyProtection="0"/>
    <xf numFmtId="0" fontId="15" fillId="0" borderId="0" applyNumberFormat="0" applyFont="0" applyFill="0" applyBorder="0" applyAlignment="0" applyProtection="0"/>
    <xf numFmtId="43" fontId="106" fillId="0" borderId="0" applyFont="0" applyFill="0" applyBorder="0" applyAlignment="0" applyProtection="0"/>
    <xf numFmtId="0" fontId="15" fillId="0" borderId="0" applyNumberFormat="0" applyFont="0" applyFill="0" applyBorder="0" applyAlignment="0" applyProtection="0"/>
    <xf numFmtId="43" fontId="106" fillId="0" borderId="0" applyFont="0" applyFill="0" applyBorder="0" applyAlignment="0" applyProtection="0"/>
    <xf numFmtId="0" fontId="15" fillId="0" borderId="0" applyNumberFormat="0" applyFont="0" applyFill="0" applyBorder="0" applyAlignment="0" applyProtection="0"/>
    <xf numFmtId="43" fontId="106" fillId="0" borderId="0" applyFont="0" applyFill="0" applyBorder="0" applyAlignment="0" applyProtection="0"/>
    <xf numFmtId="0" fontId="15" fillId="0" borderId="0" applyNumberFormat="0" applyFont="0" applyFill="0" applyBorder="0" applyAlignment="0" applyProtection="0"/>
    <xf numFmtId="43" fontId="106" fillId="0" borderId="0" applyFont="0" applyFill="0" applyBorder="0" applyAlignment="0" applyProtection="0"/>
    <xf numFmtId="0" fontId="15" fillId="0" borderId="0" applyNumberFormat="0" applyFont="0" applyFill="0" applyBorder="0" applyAlignment="0" applyProtection="0"/>
    <xf numFmtId="43" fontId="106" fillId="0" borderId="0" applyFont="0" applyFill="0" applyBorder="0" applyAlignment="0" applyProtection="0"/>
    <xf numFmtId="0" fontId="15" fillId="0" borderId="0" applyNumberFormat="0" applyFont="0" applyFill="0" applyBorder="0" applyAlignment="0" applyProtection="0"/>
    <xf numFmtId="43" fontId="106" fillId="0" borderId="0" applyFont="0" applyFill="0" applyBorder="0" applyAlignment="0" applyProtection="0"/>
    <xf numFmtId="0" fontId="15" fillId="0" borderId="0" applyNumberFormat="0" applyFont="0" applyFill="0" applyBorder="0" applyAlignment="0" applyProtection="0"/>
    <xf numFmtId="43" fontId="106" fillId="0" borderId="0" applyFont="0" applyFill="0" applyBorder="0" applyAlignment="0" applyProtection="0"/>
    <xf numFmtId="43" fontId="124" fillId="0" borderId="0" applyFont="0" applyFill="0" applyBorder="0" applyAlignment="0" applyProtection="0"/>
    <xf numFmtId="43" fontId="106" fillId="0" borderId="0" applyFont="0" applyFill="0" applyBorder="0" applyAlignment="0" applyProtection="0"/>
    <xf numFmtId="0" fontId="15" fillId="0" borderId="0" applyNumberFormat="0" applyFont="0" applyFill="0" applyBorder="0" applyAlignment="0" applyProtection="0"/>
    <xf numFmtId="43" fontId="10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43" fontId="103" fillId="0" borderId="0" applyFont="0" applyFill="0" applyBorder="0" applyAlignment="0" applyProtection="0"/>
    <xf numFmtId="0" fontId="15" fillId="0" borderId="0" applyNumberFormat="0" applyFont="0" applyFill="0" applyBorder="0" applyAlignment="0" applyProtection="0"/>
    <xf numFmtId="43" fontId="102" fillId="0" borderId="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43" fontId="103" fillId="0" borderId="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43" fontId="103" fillId="0" borderId="0" applyFont="0" applyFill="0" applyBorder="0" applyAlignment="0" applyProtection="0"/>
    <xf numFmtId="0" fontId="15" fillId="0" borderId="0" applyNumberFormat="0" applyFont="0" applyFill="0" applyBorder="0" applyAlignment="0" applyProtection="0"/>
    <xf numFmtId="43" fontId="103" fillId="0" borderId="0" applyFont="0" applyFill="0" applyBorder="0" applyAlignment="0" applyProtection="0"/>
    <xf numFmtId="43" fontId="124"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5" fillId="0" borderId="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43" fontId="106" fillId="0" borderId="0" applyFont="0" applyFill="0" applyBorder="0" applyAlignment="0" applyProtection="0"/>
    <xf numFmtId="0" fontId="15" fillId="0" borderId="0" applyNumberFormat="0" applyFont="0" applyFill="0" applyBorder="0" applyAlignment="0" applyProtection="0"/>
    <xf numFmtId="43" fontId="106"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164" fontId="106" fillId="0" borderId="0" applyFont="0" applyFill="0" applyBorder="0" applyAlignment="0" applyProtection="0"/>
    <xf numFmtId="43" fontId="102" fillId="0" borderId="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applyNumberFormat="0" applyFont="0" applyFill="0" applyBorder="0" applyAlignment="0" applyProtection="0"/>
    <xf numFmtId="43" fontId="106"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5" fillId="0" borderId="0" applyFont="0" applyFill="0" applyBorder="0" applyAlignment="0" applyProtection="0"/>
    <xf numFmtId="0" fontId="15" fillId="0" borderId="0" applyNumberFormat="0" applyFont="0" applyFill="0" applyBorder="0" applyAlignment="0" applyProtection="0"/>
    <xf numFmtId="43" fontId="10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applyNumberFormat="0" applyFont="0" applyFill="0" applyBorder="0" applyAlignment="0" applyProtection="0"/>
    <xf numFmtId="43" fontId="103" fillId="0" borderId="0" applyFont="0" applyFill="0" applyBorder="0" applyAlignment="0" applyProtection="0"/>
    <xf numFmtId="0" fontId="15" fillId="0" borderId="0" applyNumberFormat="0" applyFont="0" applyFill="0" applyBorder="0" applyAlignment="0" applyProtection="0"/>
    <xf numFmtId="43" fontId="103" fillId="0" borderId="0" applyFont="0" applyFill="0" applyBorder="0" applyAlignment="0" applyProtection="0"/>
    <xf numFmtId="0" fontId="15" fillId="0" borderId="0" applyNumberFormat="0" applyFont="0" applyFill="0" applyBorder="0" applyAlignment="0" applyProtection="0"/>
    <xf numFmtId="43" fontId="106" fillId="0" borderId="0" applyFont="0" applyFill="0" applyBorder="0" applyAlignment="0" applyProtection="0"/>
    <xf numFmtId="0" fontId="15" fillId="0" borderId="0" applyNumberFormat="0" applyFont="0" applyFill="0" applyBorder="0" applyAlignment="0" applyProtection="0"/>
    <xf numFmtId="43" fontId="106" fillId="0" borderId="0" applyFont="0" applyFill="0" applyBorder="0" applyAlignment="0" applyProtection="0"/>
    <xf numFmtId="43" fontId="70" fillId="0" borderId="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43" fontId="23" fillId="0" borderId="0" applyFont="0" applyFill="0" applyBorder="0" applyAlignment="0" applyProtection="0"/>
    <xf numFmtId="43" fontId="15" fillId="0" borderId="0" applyFont="0" applyFill="0" applyBorder="0" applyAlignment="0" applyProtection="0"/>
    <xf numFmtId="43" fontId="70" fillId="0" borderId="0" applyFont="0" applyFill="0" applyBorder="0" applyAlignment="0" applyProtection="0"/>
    <xf numFmtId="43" fontId="106" fillId="0" borderId="0" applyFont="0" applyFill="0" applyBorder="0" applyAlignment="0" applyProtection="0"/>
    <xf numFmtId="0" fontId="15" fillId="0" borderId="0" applyNumberFormat="0" applyFont="0" applyFill="0" applyBorder="0" applyAlignment="0" applyProtection="0"/>
    <xf numFmtId="43" fontId="70" fillId="0" borderId="0" applyFont="0" applyFill="0" applyBorder="0" applyAlignment="0" applyProtection="0"/>
    <xf numFmtId="43" fontId="106" fillId="0" borderId="0" applyFont="0" applyFill="0" applyBorder="0" applyAlignment="0" applyProtection="0"/>
    <xf numFmtId="0" fontId="15" fillId="0" borderId="0" applyNumberFormat="0" applyFont="0" applyFill="0" applyBorder="0" applyAlignment="0" applyProtection="0"/>
    <xf numFmtId="43" fontId="106" fillId="0" borderId="0" applyFont="0" applyFill="0" applyBorder="0" applyAlignment="0" applyProtection="0"/>
    <xf numFmtId="0" fontId="15" fillId="0" borderId="0" applyNumberFormat="0" applyFont="0" applyFill="0" applyBorder="0" applyAlignment="0" applyProtection="0"/>
    <xf numFmtId="43" fontId="1" fillId="0" borderId="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43" fontId="70"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6" fillId="0" borderId="0" applyFont="0" applyFill="0" applyBorder="0" applyAlignment="0" applyProtection="0"/>
    <xf numFmtId="43" fontId="70" fillId="0" borderId="0" applyFont="0" applyFill="0" applyBorder="0" applyAlignment="0" applyProtection="0"/>
    <xf numFmtId="43" fontId="106"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0" fontId="15" fillId="0" borderId="0" applyNumberFormat="0" applyFont="0" applyFill="0" applyBorder="0" applyAlignment="0" applyProtection="0"/>
    <xf numFmtId="164" fontId="106" fillId="0" borderId="0" applyFont="0" applyFill="0" applyBorder="0" applyAlignment="0" applyProtection="0"/>
    <xf numFmtId="43" fontId="106"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26" fillId="0" borderId="0" applyFont="0" applyFill="0" applyBorder="0" applyAlignment="0" applyProtection="0"/>
    <xf numFmtId="0" fontId="127" fillId="0" borderId="0" applyNumberFormat="0" applyFill="0" applyBorder="0" applyAlignment="0" applyProtection="0"/>
    <xf numFmtId="183" fontId="106" fillId="0" borderId="0" applyFont="0" applyFill="0" applyBorder="0" applyAlignment="0" applyProtection="0"/>
    <xf numFmtId="169" fontId="102" fillId="0" borderId="0" applyFont="0" applyFill="0" applyBorder="0" applyAlignment="0" applyProtection="0"/>
    <xf numFmtId="169" fontId="106" fillId="0" borderId="0" applyFont="0" applyFill="0" applyBorder="0" applyAlignment="0" applyProtection="0"/>
    <xf numFmtId="0" fontId="106" fillId="0" borderId="0" applyFont="0" applyFill="0" applyBorder="0" applyAlignment="0" applyProtection="0"/>
    <xf numFmtId="169" fontId="106" fillId="0" borderId="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28" fillId="0" borderId="0" applyNumberFormat="0" applyFill="0" applyBorder="0" applyProtection="0">
      <alignment vertical="top"/>
    </xf>
    <xf numFmtId="3" fontId="129" fillId="80" borderId="0" applyNumberFormat="0" applyFont="0" applyBorder="0" applyAlignment="0">
      <protection hidden="1"/>
    </xf>
    <xf numFmtId="0" fontId="125" fillId="0" borderId="1">
      <alignment horizontal="center"/>
    </xf>
    <xf numFmtId="38" fontId="130" fillId="81" borderId="0" applyNumberFormat="0" applyBorder="0" applyAlignment="0" applyProtection="0"/>
    <xf numFmtId="3" fontId="131" fillId="0" borderId="0"/>
    <xf numFmtId="0" fontId="132" fillId="0" borderId="7" applyNumberFormat="0" applyAlignment="0" applyProtection="0">
      <alignment horizontal="left" vertical="center"/>
    </xf>
    <xf numFmtId="0" fontId="132" fillId="0" borderId="52">
      <alignment horizontal="left" vertical="center"/>
    </xf>
    <xf numFmtId="0" fontId="133" fillId="0" borderId="0"/>
    <xf numFmtId="0" fontId="134" fillId="0" borderId="0"/>
    <xf numFmtId="0" fontId="135" fillId="0" borderId="0"/>
    <xf numFmtId="0" fontId="136" fillId="0" borderId="0"/>
    <xf numFmtId="0" fontId="137" fillId="0" borderId="0"/>
    <xf numFmtId="183" fontId="138" fillId="0" borderId="0" applyNumberFormat="0" applyFill="0" applyBorder="0" applyAlignment="0" applyProtection="0">
      <alignment vertical="top"/>
      <protection locked="0"/>
    </xf>
    <xf numFmtId="192" fontId="139" fillId="0" borderId="0"/>
    <xf numFmtId="0" fontId="140" fillId="0" borderId="0" applyNumberFormat="0" applyFill="0" applyBorder="0" applyAlignment="0" applyProtection="0"/>
    <xf numFmtId="10" fontId="130" fillId="82" borderId="53" applyNumberFormat="0" applyBorder="0" applyAlignment="0" applyProtection="0"/>
    <xf numFmtId="42" fontId="141" fillId="0" borderId="0">
      <alignment horizontal="center"/>
    </xf>
    <xf numFmtId="193" fontId="142" fillId="0" borderId="0" applyFont="0" applyFill="0" applyBorder="0" applyAlignment="0" applyProtection="0"/>
    <xf numFmtId="194" fontId="108" fillId="0" borderId="0"/>
    <xf numFmtId="195" fontId="143" fillId="0" borderId="0"/>
    <xf numFmtId="196" fontId="139" fillId="0" borderId="0"/>
    <xf numFmtId="197" fontId="139" fillId="0" borderId="0"/>
    <xf numFmtId="183"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94" fillId="0" borderId="46"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5" fillId="0" borderId="46"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183" fontId="144" fillId="0" borderId="54" applyNumberFormat="0" applyFill="0" applyAlignment="0" applyProtection="0"/>
    <xf numFmtId="0"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45" fillId="0" borderId="46" applyNumberFormat="0" applyFill="0" applyAlignment="0" applyProtection="0"/>
    <xf numFmtId="0" fontId="15" fillId="0" borderId="0" applyNumberFormat="0" applyFont="0" applyFill="0" applyBorder="0" applyAlignment="0" applyProtection="0"/>
    <xf numFmtId="183" fontId="144" fillId="0" borderId="54"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4" fillId="0" borderId="54" applyNumberFormat="0" applyFill="0" applyAlignment="0" applyProtection="0"/>
    <xf numFmtId="0" fontId="144" fillId="0" borderId="54" applyNumberFormat="0" applyFill="0" applyAlignment="0" applyProtection="0"/>
    <xf numFmtId="0" fontId="145" fillId="0" borderId="46" applyNumberFormat="0" applyFill="0" applyAlignment="0" applyProtection="0"/>
    <xf numFmtId="0" fontId="15" fillId="0" borderId="0" applyNumberFormat="0" applyFont="0" applyFill="0" applyBorder="0" applyAlignment="0" applyProtection="0"/>
    <xf numFmtId="0" fontId="94" fillId="0" borderId="46" applyNumberFormat="0" applyFill="0" applyAlignment="0" applyProtection="0"/>
    <xf numFmtId="0" fontId="145" fillId="0" borderId="46" applyNumberFormat="0" applyFill="0" applyAlignment="0" applyProtection="0"/>
    <xf numFmtId="0" fontId="145" fillId="0" borderId="46" applyNumberFormat="0" applyFill="0" applyAlignment="0" applyProtection="0"/>
    <xf numFmtId="0" fontId="145" fillId="0" borderId="46" applyNumberFormat="0" applyFill="0" applyAlignment="0" applyProtection="0"/>
    <xf numFmtId="183" fontId="146"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95" fillId="30" borderId="47"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47" fillId="83" borderId="55" applyNumberFormat="0" applyAlignment="0" applyProtection="0"/>
    <xf numFmtId="0" fontId="15" fillId="0" borderId="0" applyNumberFormat="0" applyFont="0" applyFill="0" applyBorder="0" applyAlignment="0" applyProtection="0"/>
    <xf numFmtId="0" fontId="147" fillId="83" borderId="55" applyNumberFormat="0" applyAlignment="0" applyProtection="0"/>
    <xf numFmtId="0" fontId="15" fillId="0" borderId="0" applyNumberFormat="0" applyFont="0" applyFill="0" applyBorder="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6" fillId="83" borderId="55" applyNumberFormat="0" applyAlignment="0" applyProtection="0"/>
    <xf numFmtId="0" fontId="146"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8" fillId="30" borderId="47" applyNumberFormat="0" applyAlignment="0" applyProtection="0"/>
    <xf numFmtId="0" fontId="114" fillId="0" borderId="47" applyNumberFormat="0" applyFill="0" applyAlignment="0" applyProtection="0"/>
    <xf numFmtId="183" fontId="146"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7" fillId="83" borderId="55" applyNumberFormat="0" applyAlignment="0" applyProtection="0"/>
    <xf numFmtId="0" fontId="147" fillId="83" borderId="55" applyNumberFormat="0" applyAlignment="0" applyProtection="0"/>
    <xf numFmtId="183" fontId="146" fillId="83" borderId="55" applyNumberFormat="0" applyAlignment="0" applyProtection="0"/>
    <xf numFmtId="183" fontId="146" fillId="83" borderId="55" applyNumberFormat="0" applyAlignment="0" applyProtection="0"/>
    <xf numFmtId="0" fontId="147" fillId="83" borderId="55" applyNumberFormat="0" applyAlignment="0" applyProtection="0"/>
    <xf numFmtId="0" fontId="15" fillId="0" borderId="0" applyNumberFormat="0" applyFont="0" applyFill="0" applyBorder="0" applyAlignment="0" applyProtection="0"/>
    <xf numFmtId="0" fontId="147"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6" fillId="83" borderId="55" applyNumberFormat="0" applyAlignment="0" applyProtection="0"/>
    <xf numFmtId="0" fontId="146" fillId="83" borderId="55" applyNumberFormat="0" applyAlignment="0" applyProtection="0"/>
    <xf numFmtId="0" fontId="148" fillId="30" borderId="47" applyNumberFormat="0" applyAlignment="0" applyProtection="0"/>
    <xf numFmtId="0" fontId="15" fillId="0" borderId="0" applyNumberFormat="0" applyFont="0" applyFill="0" applyBorder="0" applyAlignment="0" applyProtection="0"/>
    <xf numFmtId="183" fontId="146" fillId="83" borderId="55" applyNumberFormat="0" applyAlignment="0" applyProtection="0"/>
    <xf numFmtId="183" fontId="146" fillId="83" borderId="55" applyNumberFormat="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46" fillId="83" borderId="55" applyNumberFormat="0" applyAlignment="0" applyProtection="0"/>
    <xf numFmtId="0" fontId="146" fillId="83" borderId="55" applyNumberFormat="0" applyAlignment="0" applyProtection="0"/>
    <xf numFmtId="0" fontId="148" fillId="30" borderId="47" applyNumberFormat="0" applyAlignment="0" applyProtection="0"/>
    <xf numFmtId="0" fontId="15" fillId="0" borderId="0" applyNumberFormat="0" applyFont="0" applyFill="0" applyBorder="0" applyAlignment="0" applyProtection="0"/>
    <xf numFmtId="0" fontId="95" fillId="30" borderId="47" applyNumberFormat="0" applyAlignment="0" applyProtection="0"/>
    <xf numFmtId="0" fontId="148" fillId="30" borderId="47" applyNumberFormat="0" applyAlignment="0" applyProtection="0"/>
    <xf numFmtId="0" fontId="114" fillId="0" borderId="47" applyNumberFormat="0" applyFill="0" applyAlignment="0" applyProtection="0"/>
    <xf numFmtId="0" fontId="114" fillId="0" borderId="47" applyNumberFormat="0" applyFill="0" applyAlignment="0" applyProtection="0"/>
    <xf numFmtId="0" fontId="148" fillId="30" borderId="47" applyNumberFormat="0" applyAlignment="0" applyProtection="0"/>
    <xf numFmtId="0" fontId="114" fillId="0" borderId="47" applyNumberFormat="0" applyFill="0" applyAlignment="0" applyProtection="0"/>
    <xf numFmtId="1" fontId="149" fillId="84" borderId="0"/>
    <xf numFmtId="198" fontId="102" fillId="0" borderId="0" applyFont="0" applyFill="0" applyBorder="0" applyAlignment="0" applyProtection="0"/>
    <xf numFmtId="189" fontId="150" fillId="0" borderId="0"/>
    <xf numFmtId="38" fontId="111" fillId="0" borderId="0" applyFont="0" applyFill="0" applyBorder="0" applyAlignment="0" applyProtection="0"/>
    <xf numFmtId="199" fontId="151" fillId="0" borderId="0" applyFont="0" applyFill="0" applyBorder="0" applyAlignment="0" applyProtection="0"/>
    <xf numFmtId="200" fontId="151" fillId="0" borderId="0" applyFont="0" applyFill="0" applyBorder="0" applyAlignment="0" applyProtection="0"/>
    <xf numFmtId="201" fontId="151" fillId="0" borderId="0" applyFont="0" applyFill="0" applyBorder="0" applyAlignment="0" applyProtection="0"/>
    <xf numFmtId="202" fontId="151" fillId="0" borderId="0" applyFont="0" applyFill="0" applyBorder="0" applyAlignment="0" applyProtection="0"/>
    <xf numFmtId="183" fontId="152" fillId="0" borderId="56"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85" fillId="0" borderId="4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2" fillId="0" borderId="56" applyNumberFormat="0" applyFill="0" applyAlignment="0" applyProtection="0"/>
    <xf numFmtId="0" fontId="152" fillId="0" borderId="56"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4" fillId="0" borderId="41" applyNumberFormat="0" applyFill="0" applyAlignment="0" applyProtection="0"/>
    <xf numFmtId="0" fontId="155" fillId="0" borderId="4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183" fontId="152" fillId="0" borderId="56" applyNumberFormat="0" applyFill="0" applyAlignment="0" applyProtection="0"/>
    <xf numFmtId="0" fontId="153" fillId="0" borderId="57" applyNumberFormat="0" applyFill="0" applyAlignment="0" applyProtection="0"/>
    <xf numFmtId="0" fontId="152" fillId="0" borderId="56" applyNumberFormat="0" applyFill="0" applyAlignment="0" applyProtection="0"/>
    <xf numFmtId="0" fontId="152" fillId="0" borderId="56" applyNumberFormat="0" applyFill="0" applyAlignment="0" applyProtection="0"/>
    <xf numFmtId="0" fontId="154" fillId="0" borderId="41" applyNumberFormat="0" applyFill="0" applyAlignment="0" applyProtection="0"/>
    <xf numFmtId="0" fontId="15" fillId="0" borderId="0" applyNumberFormat="0" applyFont="0" applyFill="0" applyBorder="0" applyAlignment="0" applyProtection="0"/>
    <xf numFmtId="183" fontId="152" fillId="0" borderId="56" applyNumberFormat="0" applyFill="0" applyAlignment="0" applyProtection="0"/>
    <xf numFmtId="0" fontId="152" fillId="0" borderId="56" applyNumberFormat="0" applyFill="0" applyAlignment="0" applyProtection="0"/>
    <xf numFmtId="0" fontId="152" fillId="0" borderId="56" applyNumberFormat="0" applyFill="0" applyAlignment="0" applyProtection="0"/>
    <xf numFmtId="0" fontId="154" fillId="0" borderId="41" applyNumberFormat="0" applyFill="0" applyAlignment="0" applyProtection="0"/>
    <xf numFmtId="0" fontId="15" fillId="0" borderId="0" applyNumberFormat="0" applyFont="0" applyFill="0" applyBorder="0" applyAlignment="0" applyProtection="0"/>
    <xf numFmtId="0" fontId="85" fillId="0" borderId="41" applyNumberFormat="0" applyFill="0" applyAlignment="0" applyProtection="0"/>
    <xf numFmtId="0" fontId="154" fillId="0" borderId="41" applyNumberFormat="0" applyFill="0" applyAlignment="0" applyProtection="0"/>
    <xf numFmtId="0" fontId="155" fillId="0" borderId="41" applyNumberFormat="0" applyFill="0" applyAlignment="0" applyProtection="0"/>
    <xf numFmtId="0" fontId="155" fillId="0" borderId="41" applyNumberFormat="0" applyFill="0" applyAlignment="0" applyProtection="0"/>
    <xf numFmtId="0" fontId="154" fillId="0" borderId="41" applyNumberFormat="0" applyFill="0" applyAlignment="0" applyProtection="0"/>
    <xf numFmtId="0" fontId="155" fillId="0" borderId="41" applyNumberFormat="0" applyFill="0" applyAlignment="0" applyProtection="0"/>
    <xf numFmtId="183" fontId="156" fillId="0" borderId="58"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86" fillId="0" borderId="42"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6" fillId="0" borderId="58" applyNumberFormat="0" applyFill="0" applyAlignment="0" applyProtection="0"/>
    <xf numFmtId="0" fontId="156" fillId="0" borderId="58"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8" fillId="0" borderId="42" applyNumberFormat="0" applyFill="0" applyAlignment="0" applyProtection="0"/>
    <xf numFmtId="0" fontId="155" fillId="0" borderId="42"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7" fillId="0" borderId="59" applyNumberFormat="0" applyFill="0" applyAlignment="0" applyProtection="0"/>
    <xf numFmtId="0" fontId="157" fillId="0" borderId="59" applyNumberFormat="0" applyFill="0" applyAlignment="0" applyProtection="0"/>
    <xf numFmtId="183" fontId="156" fillId="0" borderId="58" applyNumberFormat="0" applyFill="0" applyAlignment="0" applyProtection="0"/>
    <xf numFmtId="0" fontId="157" fillId="0" borderId="59" applyNumberFormat="0" applyFill="0" applyAlignment="0" applyProtection="0"/>
    <xf numFmtId="0" fontId="156" fillId="0" borderId="58" applyNumberFormat="0" applyFill="0" applyAlignment="0" applyProtection="0"/>
    <xf numFmtId="0" fontId="156" fillId="0" borderId="58" applyNumberFormat="0" applyFill="0" applyAlignment="0" applyProtection="0"/>
    <xf numFmtId="0" fontId="158" fillId="0" borderId="42" applyNumberFormat="0" applyFill="0" applyAlignment="0" applyProtection="0"/>
    <xf numFmtId="0" fontId="15" fillId="0" borderId="0" applyNumberFormat="0" applyFont="0" applyFill="0" applyBorder="0" applyAlignment="0" applyProtection="0"/>
    <xf numFmtId="183" fontId="156" fillId="0" borderId="58" applyNumberFormat="0" applyFill="0" applyAlignment="0" applyProtection="0"/>
    <xf numFmtId="0" fontId="156" fillId="0" borderId="58" applyNumberFormat="0" applyFill="0" applyAlignment="0" applyProtection="0"/>
    <xf numFmtId="0" fontId="156" fillId="0" borderId="58" applyNumberFormat="0" applyFill="0" applyAlignment="0" applyProtection="0"/>
    <xf numFmtId="0" fontId="158" fillId="0" borderId="42" applyNumberFormat="0" applyFill="0" applyAlignment="0" applyProtection="0"/>
    <xf numFmtId="0" fontId="15" fillId="0" borderId="0" applyNumberFormat="0" applyFont="0" applyFill="0" applyBorder="0" applyAlignment="0" applyProtection="0"/>
    <xf numFmtId="0" fontId="86" fillId="0" borderId="42" applyNumberFormat="0" applyFill="0" applyAlignment="0" applyProtection="0"/>
    <xf numFmtId="0" fontId="158" fillId="0" borderId="42" applyNumberFormat="0" applyFill="0" applyAlignment="0" applyProtection="0"/>
    <xf numFmtId="0" fontId="155" fillId="0" borderId="42" applyNumberFormat="0" applyFill="0" applyAlignment="0" applyProtection="0"/>
    <xf numFmtId="0" fontId="155" fillId="0" borderId="42" applyNumberFormat="0" applyFill="0" applyAlignment="0" applyProtection="0"/>
    <xf numFmtId="0" fontId="158" fillId="0" borderId="42" applyNumberFormat="0" applyFill="0" applyAlignment="0" applyProtection="0"/>
    <xf numFmtId="0" fontId="155" fillId="0" borderId="42" applyNumberFormat="0" applyFill="0" applyAlignment="0" applyProtection="0"/>
    <xf numFmtId="183" fontId="159" fillId="0" borderId="60"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87" fillId="0" borderId="43"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9" fillId="0" borderId="60" applyNumberFormat="0" applyFill="0" applyAlignment="0" applyProtection="0"/>
    <xf numFmtId="0" fontId="159" fillId="0" borderId="60"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1" fillId="0" borderId="43" applyNumberFormat="0" applyFill="0" applyAlignment="0" applyProtection="0"/>
    <xf numFmtId="0" fontId="155" fillId="0" borderId="43"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61" applyNumberFormat="0" applyFill="0" applyAlignment="0" applyProtection="0"/>
    <xf numFmtId="0" fontId="160" fillId="0" borderId="61" applyNumberFormat="0" applyFill="0" applyAlignment="0" applyProtection="0"/>
    <xf numFmtId="183" fontId="159" fillId="0" borderId="60" applyNumberFormat="0" applyFill="0" applyAlignment="0" applyProtection="0"/>
    <xf numFmtId="0" fontId="160" fillId="0" borderId="61" applyNumberFormat="0" applyFill="0" applyAlignment="0" applyProtection="0"/>
    <xf numFmtId="0" fontId="159" fillId="0" borderId="60" applyNumberFormat="0" applyFill="0" applyAlignment="0" applyProtection="0"/>
    <xf numFmtId="0" fontId="159" fillId="0" borderId="60" applyNumberFormat="0" applyFill="0" applyAlignment="0" applyProtection="0"/>
    <xf numFmtId="0" fontId="161" fillId="0" borderId="43" applyNumberFormat="0" applyFill="0" applyAlignment="0" applyProtection="0"/>
    <xf numFmtId="0" fontId="15" fillId="0" borderId="0" applyNumberFormat="0" applyFont="0" applyFill="0" applyBorder="0" applyAlignment="0" applyProtection="0"/>
    <xf numFmtId="183" fontId="159" fillId="0" borderId="60" applyNumberFormat="0" applyFill="0" applyAlignment="0" applyProtection="0"/>
    <xf numFmtId="0" fontId="159" fillId="0" borderId="60" applyNumberFormat="0" applyFill="0" applyAlignment="0" applyProtection="0"/>
    <xf numFmtId="0" fontId="159" fillId="0" borderId="60" applyNumberFormat="0" applyFill="0" applyAlignment="0" applyProtection="0"/>
    <xf numFmtId="0" fontId="161" fillId="0" borderId="43" applyNumberFormat="0" applyFill="0" applyAlignment="0" applyProtection="0"/>
    <xf numFmtId="0" fontId="15" fillId="0" borderId="0" applyNumberFormat="0" applyFont="0" applyFill="0" applyBorder="0" applyAlignment="0" applyProtection="0"/>
    <xf numFmtId="0" fontId="87" fillId="0" borderId="43" applyNumberFormat="0" applyFill="0" applyAlignment="0" applyProtection="0"/>
    <xf numFmtId="0" fontId="161" fillId="0" borderId="43" applyNumberFormat="0" applyFill="0" applyAlignment="0" applyProtection="0"/>
    <xf numFmtId="0" fontId="155" fillId="0" borderId="43" applyNumberFormat="0" applyFill="0" applyAlignment="0" applyProtection="0"/>
    <xf numFmtId="0" fontId="155" fillId="0" borderId="43" applyNumberFormat="0" applyFill="0" applyAlignment="0" applyProtection="0"/>
    <xf numFmtId="0" fontId="161" fillId="0" borderId="43" applyNumberFormat="0" applyFill="0" applyAlignment="0" applyProtection="0"/>
    <xf numFmtId="0" fontId="155" fillId="0" borderId="43" applyNumberFormat="0" applyFill="0" applyAlignment="0" applyProtection="0"/>
    <xf numFmtId="183" fontId="159"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87"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1" fillId="0" borderId="0" applyNumberFormat="0" applyFill="0" applyBorder="0" applyAlignment="0" applyProtection="0"/>
    <xf numFmtId="0" fontId="15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183" fontId="159" fillId="0" borderId="0" applyNumberFormat="0" applyFill="0" applyBorder="0" applyAlignment="0" applyProtection="0"/>
    <xf numFmtId="0" fontId="160"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1" fillId="0" borderId="0" applyNumberFormat="0" applyFill="0" applyBorder="0" applyAlignment="0" applyProtection="0"/>
    <xf numFmtId="0" fontId="15" fillId="0" borderId="0" applyNumberFormat="0" applyFont="0" applyFill="0" applyBorder="0" applyAlignment="0" applyProtection="0"/>
    <xf numFmtId="183"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1" fillId="0" borderId="0" applyNumberFormat="0" applyFill="0" applyBorder="0" applyAlignment="0" applyProtection="0"/>
    <xf numFmtId="0" fontId="15" fillId="0" borderId="0" applyNumberFormat="0" applyFont="0" applyFill="0" applyBorder="0" applyAlignment="0" applyProtection="0"/>
    <xf numFmtId="0" fontId="87" fillId="0" borderId="0" applyNumberFormat="0" applyFill="0" applyBorder="0" applyAlignment="0" applyProtection="0"/>
    <xf numFmtId="0" fontId="161"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61" fillId="0" borderId="0" applyNumberFormat="0" applyFill="0" applyBorder="0" applyAlignment="0" applyProtection="0"/>
    <xf numFmtId="0" fontId="155" fillId="0" borderId="0" applyNumberFormat="0" applyFill="0" applyBorder="0" applyAlignment="0" applyProtection="0"/>
    <xf numFmtId="183"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90" fillId="2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3" fillId="27" borderId="0" applyNumberFormat="0" applyBorder="0" applyAlignment="0" applyProtection="0"/>
    <xf numFmtId="0" fontId="163"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183" fontId="162" fillId="67" borderId="0" applyNumberFormat="0" applyBorder="0" applyAlignment="0" applyProtection="0"/>
    <xf numFmtId="0"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63" fillId="27" borderId="0" applyNumberFormat="0" applyBorder="0" applyAlignment="0" applyProtection="0"/>
    <xf numFmtId="0" fontId="15" fillId="0" borderId="0" applyNumberFormat="0" applyFont="0" applyFill="0" applyBorder="0" applyAlignment="0" applyProtection="0"/>
    <xf numFmtId="183" fontId="162" fillId="67" borderId="0" applyNumberFormat="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2" fillId="67" borderId="0" applyNumberFormat="0" applyBorder="0" applyAlignment="0" applyProtection="0"/>
    <xf numFmtId="0" fontId="162" fillId="67" borderId="0" applyNumberFormat="0" applyBorder="0" applyAlignment="0" applyProtection="0"/>
    <xf numFmtId="0" fontId="163" fillId="27" borderId="0" applyNumberFormat="0" applyBorder="0" applyAlignment="0" applyProtection="0"/>
    <xf numFmtId="0" fontId="15" fillId="0" borderId="0" applyNumberFormat="0" applyFont="0" applyFill="0" applyBorder="0" applyAlignment="0" applyProtection="0"/>
    <xf numFmtId="0" fontId="90" fillId="27" borderId="0" applyNumberFormat="0" applyBorder="0" applyAlignment="0" applyProtection="0"/>
    <xf numFmtId="0" fontId="163" fillId="27" borderId="0" applyNumberFormat="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27" borderId="0" applyNumberFormat="0" applyBorder="0" applyAlignment="0" applyProtection="0"/>
    <xf numFmtId="0" fontId="163" fillId="0" borderId="0" applyNumberFormat="0" applyFill="0" applyBorder="0" applyAlignment="0" applyProtection="0"/>
    <xf numFmtId="0" fontId="102" fillId="0" borderId="0"/>
    <xf numFmtId="0" fontId="106" fillId="0" borderId="0"/>
    <xf numFmtId="0" fontId="23" fillId="0" borderId="0"/>
    <xf numFmtId="0" fontId="23" fillId="0" borderId="0"/>
    <xf numFmtId="0" fontId="15" fillId="0" borderId="0" applyNumberFormat="0" applyFont="0" applyFill="0" applyBorder="0" applyAlignment="0" applyProtection="0"/>
    <xf numFmtId="0" fontId="15" fillId="0" borderId="0" applyNumberFormat="0" applyFont="0" applyFill="0" applyBorder="0" applyAlignment="0" applyProtection="0"/>
    <xf numFmtId="0" fontId="102" fillId="0" borderId="0"/>
    <xf numFmtId="0" fontId="164" fillId="0" borderId="0"/>
    <xf numFmtId="0" fontId="165" fillId="0" borderId="0" applyNumberFormat="0" applyFont="0" applyFill="0" applyBorder="0" applyAlignment="0" applyProtection="0">
      <protection locked="0"/>
    </xf>
    <xf numFmtId="183" fontId="70"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183" fontId="70" fillId="0" borderId="0"/>
    <xf numFmtId="0" fontId="106" fillId="0" borderId="0"/>
    <xf numFmtId="0" fontId="106" fillId="0" borderId="0"/>
    <xf numFmtId="0" fontId="23" fillId="0" borderId="0" applyNumberFormat="0" applyFont="0" applyFill="0" applyBorder="0" applyAlignment="0" applyProtection="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106" fillId="0" borderId="0"/>
    <xf numFmtId="0" fontId="106" fillId="0" borderId="0"/>
    <xf numFmtId="0" fontId="23" fillId="0" borderId="0"/>
    <xf numFmtId="0" fontId="106" fillId="0" borderId="0"/>
    <xf numFmtId="0" fontId="106" fillId="0" borderId="0"/>
    <xf numFmtId="0" fontId="23" fillId="0" borderId="0" applyNumberFormat="0" applyFont="0" applyFill="0" applyBorder="0" applyAlignment="0" applyProtection="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23" fillId="0" borderId="0" applyNumberFormat="0" applyFont="0" applyFill="0" applyBorder="0" applyAlignment="0" applyProtection="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23" fillId="0" borderId="0" applyNumberFormat="0" applyFont="0" applyFill="0" applyBorder="0" applyAlignment="0" applyProtection="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23" fillId="0" borderId="0" applyNumberFormat="0" applyFont="0" applyFill="0" applyBorder="0" applyAlignment="0" applyProtection="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23" fillId="0" borderId="0" applyNumberFormat="0" applyFont="0" applyFill="0" applyBorder="0" applyAlignment="0" applyProtection="0"/>
    <xf numFmtId="0" fontId="106" fillId="0" borderId="0"/>
    <xf numFmtId="0" fontId="106" fillId="0" borderId="0"/>
    <xf numFmtId="0" fontId="106" fillId="0" borderId="0"/>
    <xf numFmtId="0" fontId="106" fillId="0" borderId="0"/>
    <xf numFmtId="0" fontId="106" fillId="0" borderId="0"/>
    <xf numFmtId="0" fontId="106" fillId="0" borderId="0"/>
    <xf numFmtId="0" fontId="23" fillId="0" borderId="0" applyNumberFormat="0" applyFont="0" applyFill="0" applyBorder="0" applyAlignment="0" applyProtection="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0" fillId="0" borderId="0"/>
    <xf numFmtId="183" fontId="70" fillId="0" borderId="0"/>
    <xf numFmtId="0" fontId="23" fillId="0" borderId="0"/>
    <xf numFmtId="0" fontId="106" fillId="0" borderId="0"/>
    <xf numFmtId="0" fontId="106" fillId="0" borderId="0"/>
    <xf numFmtId="0" fontId="23" fillId="0" borderId="0"/>
    <xf numFmtId="0" fontId="23" fillId="0" borderId="0"/>
    <xf numFmtId="0" fontId="23"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xf numFmtId="0" fontId="106" fillId="0" borderId="0"/>
    <xf numFmtId="0" fontId="106" fillId="0" borderId="0"/>
    <xf numFmtId="0" fontId="23" fillId="0" borderId="0" applyNumberFormat="0" applyFont="0" applyFill="0" applyBorder="0" applyAlignment="0" applyProtection="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106" fillId="0" borderId="0"/>
    <xf numFmtId="0" fontId="106" fillId="0" borderId="0"/>
    <xf numFmtId="0" fontId="23" fillId="0" borderId="0" applyNumberFormat="0" applyFont="0" applyFill="0" applyBorder="0" applyAlignment="0" applyProtection="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23" fillId="0" borderId="0" applyNumberFormat="0" applyFont="0" applyFill="0" applyBorder="0" applyAlignment="0" applyProtection="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23" fillId="0" borderId="0" applyNumberFormat="0" applyFont="0" applyFill="0" applyBorder="0" applyAlignment="0" applyProtection="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23" fillId="0" borderId="0" applyNumberFormat="0" applyFont="0" applyFill="0" applyBorder="0" applyAlignment="0" applyProtection="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23" fillId="0" borderId="0" applyNumberFormat="0" applyFont="0" applyFill="0" applyBorder="0" applyAlignment="0" applyProtection="0"/>
    <xf numFmtId="0" fontId="106" fillId="0" borderId="0"/>
    <xf numFmtId="0" fontId="106" fillId="0" borderId="0"/>
    <xf numFmtId="0" fontId="106" fillId="0" borderId="0"/>
    <xf numFmtId="0" fontId="106" fillId="0" borderId="0"/>
    <xf numFmtId="0" fontId="106" fillId="0" borderId="0"/>
    <xf numFmtId="0" fontId="106" fillId="0" borderId="0"/>
    <xf numFmtId="0" fontId="23" fillId="0" borderId="0" applyNumberFormat="0" applyFont="0" applyFill="0" applyBorder="0" applyAlignment="0" applyProtection="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106" fillId="0" borderId="0"/>
    <xf numFmtId="0" fontId="1" fillId="0" borderId="0"/>
    <xf numFmtId="0" fontId="1" fillId="0" borderId="0"/>
    <xf numFmtId="0" fontId="166" fillId="0" borderId="0"/>
    <xf numFmtId="0" fontId="1" fillId="0" borderId="0"/>
    <xf numFmtId="0" fontId="1" fillId="0" borderId="0"/>
    <xf numFmtId="0" fontId="1" fillId="0" borderId="0"/>
    <xf numFmtId="0" fontId="1" fillId="0" borderId="0"/>
    <xf numFmtId="0" fontId="1" fillId="0" borderId="0"/>
    <xf numFmtId="0" fontId="126" fillId="0" borderId="0"/>
    <xf numFmtId="0" fontId="1" fillId="0" borderId="0"/>
    <xf numFmtId="0" fontId="1" fillId="0" borderId="0"/>
    <xf numFmtId="183" fontId="70" fillId="0" borderId="0"/>
    <xf numFmtId="183" fontId="70" fillId="0" borderId="0"/>
    <xf numFmtId="0" fontId="23" fillId="0" borderId="0"/>
    <xf numFmtId="0" fontId="106" fillId="0" borderId="0"/>
    <xf numFmtId="0" fontId="23" fillId="0" borderId="0"/>
    <xf numFmtId="0" fontId="106" fillId="0" borderId="0"/>
    <xf numFmtId="0" fontId="23" fillId="0" borderId="0" applyNumberFormat="0" applyFont="0" applyFill="0" applyBorder="0" applyAlignment="0" applyProtection="0"/>
    <xf numFmtId="0" fontId="1" fillId="0" borderId="0"/>
    <xf numFmtId="0" fontId="1" fillId="0" borderId="0"/>
    <xf numFmtId="0" fontId="1" fillId="0" borderId="0"/>
    <xf numFmtId="0" fontId="1" fillId="0" borderId="0"/>
    <xf numFmtId="183" fontId="70" fillId="0" borderId="0"/>
    <xf numFmtId="183" fontId="70" fillId="0" borderId="0"/>
    <xf numFmtId="0" fontId="23" fillId="0" borderId="0"/>
    <xf numFmtId="0" fontId="23" fillId="0" borderId="0"/>
    <xf numFmtId="0" fontId="102" fillId="0" borderId="0"/>
    <xf numFmtId="0" fontId="23" fillId="0" borderId="0" applyNumberFormat="0" applyFill="0" applyBorder="0" applyAlignment="0" applyProtection="0"/>
    <xf numFmtId="183" fontId="106" fillId="0" borderId="0"/>
    <xf numFmtId="0" fontId="23" fillId="0" borderId="0"/>
    <xf numFmtId="0" fontId="23" fillId="0" borderId="0"/>
    <xf numFmtId="0" fontId="106" fillId="0" borderId="0"/>
    <xf numFmtId="0" fontId="106" fillId="0" borderId="0"/>
    <xf numFmtId="0" fontId="23" fillId="0" borderId="0" applyNumberFormat="0" applyFont="0" applyFill="0" applyBorder="0" applyAlignment="0" applyProtection="0"/>
    <xf numFmtId="0" fontId="102" fillId="0" borderId="0"/>
    <xf numFmtId="0" fontId="106" fillId="0" borderId="0"/>
    <xf numFmtId="183" fontId="70" fillId="0" borderId="0"/>
    <xf numFmtId="183" fontId="70" fillId="0" borderId="0"/>
    <xf numFmtId="0" fontId="23" fillId="0" borderId="0"/>
    <xf numFmtId="0" fontId="23" fillId="0" borderId="0"/>
    <xf numFmtId="0" fontId="102" fillId="0" borderId="0"/>
    <xf numFmtId="0" fontId="23" fillId="0" borderId="0" applyNumberFormat="0" applyFill="0" applyBorder="0" applyAlignment="0" applyProtection="0"/>
    <xf numFmtId="0" fontId="23" fillId="0" borderId="0"/>
    <xf numFmtId="0" fontId="23" fillId="0" borderId="0"/>
    <xf numFmtId="0" fontId="102" fillId="0" borderId="0"/>
    <xf numFmtId="0" fontId="23" fillId="0" borderId="0" applyNumberFormat="0" applyFill="0" applyBorder="0" applyAlignment="0" applyProtection="0"/>
    <xf numFmtId="183" fontId="70" fillId="0" borderId="0"/>
    <xf numFmtId="0" fontId="23" fillId="0" borderId="0"/>
    <xf numFmtId="0" fontId="102" fillId="0" borderId="0"/>
    <xf numFmtId="0" fontId="106" fillId="0" borderId="0"/>
    <xf numFmtId="183" fontId="70" fillId="0" borderId="0"/>
    <xf numFmtId="0" fontId="23" fillId="0" borderId="0"/>
    <xf numFmtId="0" fontId="23" fillId="0" borderId="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02" fillId="0" borderId="0"/>
    <xf numFmtId="183" fontId="106" fillId="0" borderId="0"/>
    <xf numFmtId="183" fontId="112" fillId="0" borderId="0" applyFill="0" applyProtection="0"/>
    <xf numFmtId="0" fontId="103" fillId="0" borderId="0"/>
    <xf numFmtId="0" fontId="103" fillId="0" borderId="0"/>
    <xf numFmtId="0" fontId="23" fillId="0" borderId="0" applyNumberFormat="0" applyFont="0" applyFill="0" applyBorder="0" applyAlignment="0" applyProtection="0"/>
    <xf numFmtId="0" fontId="103" fillId="0" borderId="0"/>
    <xf numFmtId="0" fontId="106" fillId="0" borderId="0"/>
    <xf numFmtId="0" fontId="103" fillId="0" borderId="0"/>
    <xf numFmtId="0" fontId="103" fillId="0" borderId="0"/>
    <xf numFmtId="0" fontId="23" fillId="0" borderId="0" applyNumberFormat="0" applyFont="0" applyFill="0" applyBorder="0" applyAlignment="0" applyProtection="0"/>
    <xf numFmtId="184" fontId="106" fillId="0" borderId="0"/>
    <xf numFmtId="0" fontId="103" fillId="0" borderId="0"/>
    <xf numFmtId="0" fontId="103" fillId="0" borderId="0"/>
    <xf numFmtId="0" fontId="23" fillId="0" borderId="0" applyNumberFormat="0" applyFont="0" applyFill="0" applyBorder="0" applyAlignment="0" applyProtection="0"/>
    <xf numFmtId="0" fontId="23" fillId="0" borderId="0" applyNumberFormat="0" applyFont="0" applyFill="0" applyBorder="0" applyAlignment="0" applyProtection="0"/>
    <xf numFmtId="0" fontId="103" fillId="0" borderId="0"/>
    <xf numFmtId="0" fontId="103" fillId="0" borderId="0"/>
    <xf numFmtId="0" fontId="23" fillId="0" borderId="0" applyNumberFormat="0" applyFont="0" applyFill="0" applyBorder="0" applyAlignment="0" applyProtection="0"/>
    <xf numFmtId="0" fontId="103" fillId="0" borderId="0"/>
    <xf numFmtId="0" fontId="103" fillId="0" borderId="0"/>
    <xf numFmtId="0" fontId="23" fillId="0" borderId="0" applyNumberFormat="0" applyFont="0" applyFill="0" applyBorder="0" applyAlignment="0" applyProtection="0"/>
    <xf numFmtId="0" fontId="103" fillId="0" borderId="0"/>
    <xf numFmtId="0" fontId="103" fillId="0" borderId="0"/>
    <xf numFmtId="0" fontId="23" fillId="0" borderId="0" applyNumberFormat="0" applyFont="0" applyFill="0" applyBorder="0" applyAlignment="0" applyProtection="0"/>
    <xf numFmtId="0" fontId="103" fillId="0" borderId="0"/>
    <xf numFmtId="0" fontId="103" fillId="0" borderId="0"/>
    <xf numFmtId="0" fontId="23" fillId="0" borderId="0" applyNumberFormat="0" applyFont="0" applyFill="0" applyBorder="0" applyAlignment="0" applyProtection="0"/>
    <xf numFmtId="0" fontId="103" fillId="0" borderId="0"/>
    <xf numFmtId="0" fontId="103" fillId="0" borderId="0"/>
    <xf numFmtId="0" fontId="23" fillId="0" borderId="0" applyNumberFormat="0" applyFont="0" applyFill="0" applyBorder="0" applyAlignment="0" applyProtection="0"/>
    <xf numFmtId="0" fontId="103" fillId="0" borderId="0"/>
    <xf numFmtId="0" fontId="103" fillId="0" borderId="0"/>
    <xf numFmtId="0" fontId="23" fillId="0" borderId="0" applyNumberFormat="0" applyFont="0" applyFill="0" applyBorder="0" applyAlignment="0" applyProtection="0"/>
    <xf numFmtId="0" fontId="103" fillId="0" borderId="0"/>
    <xf numFmtId="0" fontId="103" fillId="0" borderId="0"/>
    <xf numFmtId="183" fontId="1" fillId="0" borderId="0"/>
    <xf numFmtId="0" fontId="106" fillId="0" borderId="0"/>
    <xf numFmtId="0" fontId="1" fillId="0" borderId="0" applyNumberFormat="0" applyFill="0" applyBorder="0" applyAlignment="0" applyProtection="0"/>
    <xf numFmtId="184" fontId="10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6" fillId="0" borderId="0"/>
    <xf numFmtId="0" fontId="1" fillId="0" borderId="0"/>
    <xf numFmtId="0" fontId="23" fillId="0" borderId="0" applyNumberFormat="0" applyFont="0" applyFill="0" applyBorder="0" applyAlignment="0" applyProtection="0"/>
    <xf numFmtId="183" fontId="1" fillId="0" borderId="0"/>
    <xf numFmtId="183" fontId="23" fillId="0" borderId="0"/>
    <xf numFmtId="183" fontId="23" fillId="0" borderId="0"/>
    <xf numFmtId="0" fontId="1" fillId="0" borderId="0"/>
    <xf numFmtId="0" fontId="1" fillId="0" borderId="0"/>
    <xf numFmtId="0" fontId="102" fillId="0" borderId="0"/>
    <xf numFmtId="0" fontId="1" fillId="0" borderId="0"/>
    <xf numFmtId="0" fontId="1" fillId="0" borderId="0" applyNumberFormat="0" applyFill="0" applyBorder="0" applyAlignment="0" applyProtection="0"/>
    <xf numFmtId="183" fontId="15" fillId="0" borderId="0"/>
    <xf numFmtId="0" fontId="1" fillId="0" borderId="0"/>
    <xf numFmtId="0" fontId="1" fillId="0" borderId="0"/>
    <xf numFmtId="0" fontId="1" fillId="0" borderId="0" applyNumberFormat="0" applyFill="0" applyBorder="0" applyAlignment="0" applyProtection="0"/>
    <xf numFmtId="183" fontId="15" fillId="0" borderId="0"/>
    <xf numFmtId="0" fontId="1" fillId="0" borderId="0" applyNumberFormat="0" applyFill="0" applyBorder="0" applyAlignment="0" applyProtection="0"/>
    <xf numFmtId="183" fontId="15" fillId="0" borderId="0"/>
    <xf numFmtId="0" fontId="1" fillId="0" borderId="0" applyNumberFormat="0" applyFill="0" applyBorder="0" applyAlignment="0" applyProtection="0"/>
    <xf numFmtId="183" fontId="15" fillId="0" borderId="0"/>
    <xf numFmtId="0" fontId="1" fillId="0" borderId="0" applyNumberFormat="0" applyFill="0" applyBorder="0" applyAlignment="0" applyProtection="0"/>
    <xf numFmtId="183" fontId="15" fillId="0" borderId="0"/>
    <xf numFmtId="0" fontId="1" fillId="0" borderId="0" applyNumberFormat="0" applyFill="0" applyBorder="0" applyAlignment="0" applyProtection="0"/>
    <xf numFmtId="183" fontId="15" fillId="0" borderId="0"/>
    <xf numFmtId="0" fontId="1" fillId="0" borderId="0" applyNumberFormat="0" applyFill="0" applyBorder="0" applyAlignment="0" applyProtection="0"/>
    <xf numFmtId="183" fontId="15" fillId="0" borderId="0"/>
    <xf numFmtId="0" fontId="1" fillId="0" borderId="0" applyNumberFormat="0" applyFill="0" applyBorder="0" applyAlignment="0" applyProtection="0"/>
    <xf numFmtId="0" fontId="23" fillId="0" borderId="0" applyNumberFormat="0" applyFont="0" applyFill="0" applyBorder="0" applyAlignment="0" applyProtection="0"/>
    <xf numFmtId="0" fontId="103" fillId="0" borderId="0"/>
    <xf numFmtId="0" fontId="103" fillId="0" borderId="0"/>
    <xf numFmtId="0" fontId="23" fillId="0" borderId="0" applyNumberFormat="0" applyFont="0" applyFill="0" applyBorder="0" applyAlignment="0" applyProtection="0"/>
    <xf numFmtId="0" fontId="103" fillId="0" borderId="0"/>
    <xf numFmtId="0" fontId="103" fillId="0" borderId="0"/>
    <xf numFmtId="0" fontId="23" fillId="0" borderId="0" applyNumberFormat="0" applyFont="0" applyFill="0" applyBorder="0" applyAlignment="0" applyProtection="0"/>
    <xf numFmtId="0" fontId="103" fillId="0" borderId="0"/>
    <xf numFmtId="0" fontId="103" fillId="0" borderId="0"/>
    <xf numFmtId="0" fontId="23" fillId="0" borderId="0" applyNumberFormat="0" applyFont="0" applyFill="0" applyBorder="0" applyAlignment="0" applyProtection="0"/>
    <xf numFmtId="0" fontId="106" fillId="0" borderId="0"/>
    <xf numFmtId="0" fontId="106" fillId="0" borderId="0"/>
    <xf numFmtId="0" fontId="23" fillId="0" borderId="0" applyNumberFormat="0" applyFont="0" applyFill="0" applyBorder="0" applyAlignment="0" applyProtection="0"/>
    <xf numFmtId="0" fontId="106" fillId="0" borderId="0"/>
    <xf numFmtId="0" fontId="106" fillId="0" borderId="0"/>
    <xf numFmtId="0" fontId="23" fillId="0" borderId="0" applyNumberFormat="0" applyFill="0" applyBorder="0" applyAlignment="0" applyProtection="0"/>
    <xf numFmtId="0" fontId="124" fillId="0" borderId="0"/>
    <xf numFmtId="0" fontId="124" fillId="0" borderId="0"/>
    <xf numFmtId="0" fontId="23" fillId="0" borderId="0" applyNumberFormat="0" applyFill="0" applyBorder="0" applyAlignment="0" applyProtection="0"/>
    <xf numFmtId="0" fontId="124" fillId="0" borderId="0"/>
    <xf numFmtId="0" fontId="124" fillId="0" borderId="0"/>
    <xf numFmtId="0" fontId="23" fillId="0" borderId="0" applyNumberFormat="0" applyFont="0" applyFill="0" applyBorder="0" applyAlignment="0" applyProtection="0"/>
    <xf numFmtId="0" fontId="106" fillId="0" borderId="0"/>
    <xf numFmtId="0" fontId="106" fillId="0" borderId="0"/>
    <xf numFmtId="0" fontId="106" fillId="0" borderId="0"/>
    <xf numFmtId="183" fontId="106" fillId="0" borderId="0"/>
    <xf numFmtId="0" fontId="106" fillId="0" borderId="0"/>
    <xf numFmtId="0" fontId="106" fillId="0" borderId="0"/>
    <xf numFmtId="0" fontId="23" fillId="0" borderId="0" applyNumberFormat="0" applyFont="0" applyFill="0" applyBorder="0" applyAlignment="0" applyProtection="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ont="0" applyFill="0" applyBorder="0" applyAlignment="0" applyProtection="0"/>
    <xf numFmtId="0" fontId="106" fillId="0" borderId="0"/>
    <xf numFmtId="0" fontId="23" fillId="0" borderId="0" applyNumberFormat="0" applyFont="0" applyFill="0" applyBorder="0" applyAlignment="0" applyProtection="0"/>
    <xf numFmtId="0" fontId="23" fillId="0" borderId="0" applyNumberFormat="0" applyFont="0" applyFill="0" applyBorder="0" applyAlignment="0" applyProtection="0"/>
    <xf numFmtId="0" fontId="167" fillId="0" borderId="0"/>
    <xf numFmtId="183" fontId="106" fillId="0" borderId="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xf numFmtId="0" fontId="102" fillId="0" borderId="0"/>
    <xf numFmtId="0" fontId="23" fillId="0" borderId="0" applyNumberFormat="0" applyFont="0" applyFill="0" applyBorder="0" applyAlignment="0" applyProtection="0"/>
    <xf numFmtId="0" fontId="102" fillId="0" borderId="0"/>
    <xf numFmtId="0" fontId="102" fillId="0" borderId="0"/>
    <xf numFmtId="0" fontId="103" fillId="0" borderId="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183" fontId="102" fillId="0" borderId="0"/>
    <xf numFmtId="183" fontId="102" fillId="0" borderId="0"/>
    <xf numFmtId="0" fontId="103" fillId="0" borderId="0"/>
    <xf numFmtId="183" fontId="23" fillId="0" borderId="0"/>
    <xf numFmtId="0" fontId="103" fillId="0" borderId="0"/>
    <xf numFmtId="0" fontId="23" fillId="0" borderId="0" applyNumberFormat="0" applyFont="0" applyFill="0" applyBorder="0" applyAlignment="0" applyProtection="0"/>
    <xf numFmtId="183" fontId="102" fillId="0" borderId="0"/>
    <xf numFmtId="0" fontId="103" fillId="0" borderId="0"/>
    <xf numFmtId="0" fontId="103" fillId="0" borderId="0"/>
    <xf numFmtId="0" fontId="23" fillId="0" borderId="0" applyNumberFormat="0" applyFont="0" applyFill="0" applyBorder="0" applyAlignment="0" applyProtection="0"/>
    <xf numFmtId="183" fontId="102" fillId="0" borderId="0"/>
    <xf numFmtId="0" fontId="103" fillId="0" borderId="0"/>
    <xf numFmtId="0" fontId="103" fillId="0" borderId="0"/>
    <xf numFmtId="0" fontId="23" fillId="0" borderId="0" applyNumberFormat="0" applyFont="0" applyFill="0" applyBorder="0" applyAlignment="0" applyProtection="0"/>
    <xf numFmtId="183" fontId="102" fillId="0" borderId="0"/>
    <xf numFmtId="0" fontId="103" fillId="0" borderId="0"/>
    <xf numFmtId="0" fontId="103" fillId="0" borderId="0"/>
    <xf numFmtId="0" fontId="23" fillId="0" borderId="0" applyNumberFormat="0" applyFont="0" applyFill="0" applyBorder="0" applyAlignment="0" applyProtection="0"/>
    <xf numFmtId="183" fontId="102" fillId="0" borderId="0"/>
    <xf numFmtId="0" fontId="103" fillId="0" borderId="0"/>
    <xf numFmtId="0" fontId="103" fillId="0" borderId="0"/>
    <xf numFmtId="0" fontId="23" fillId="0" borderId="0" applyNumberFormat="0" applyFont="0" applyFill="0" applyBorder="0" applyAlignment="0" applyProtection="0"/>
    <xf numFmtId="183" fontId="106" fillId="0" borderId="0"/>
    <xf numFmtId="183" fontId="70" fillId="0" borderId="0"/>
    <xf numFmtId="0" fontId="23" fillId="0" borderId="0"/>
    <xf numFmtId="0" fontId="23" fillId="0" borderId="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02" fillId="0" borderId="0"/>
    <xf numFmtId="0" fontId="70" fillId="0" borderId="0"/>
    <xf numFmtId="0" fontId="1" fillId="0" borderId="0"/>
    <xf numFmtId="0" fontId="106" fillId="0" borderId="0"/>
    <xf numFmtId="0" fontId="23" fillId="0" borderId="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02" fillId="0" borderId="0"/>
    <xf numFmtId="0" fontId="1" fillId="0" borderId="0"/>
    <xf numFmtId="0" fontId="1" fillId="0" borderId="0"/>
    <xf numFmtId="0" fontId="23" fillId="0" borderId="0"/>
    <xf numFmtId="0" fontId="23" fillId="0" borderId="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02" fillId="0" borderId="0"/>
    <xf numFmtId="0" fontId="1" fillId="0" borderId="0"/>
    <xf numFmtId="0" fontId="1" fillId="0" borderId="0"/>
    <xf numFmtId="0" fontId="23" fillId="0" borderId="0"/>
    <xf numFmtId="0" fontId="23" fillId="0" borderId="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02" fillId="0" borderId="0"/>
    <xf numFmtId="0" fontId="1" fillId="0" borderId="0"/>
    <xf numFmtId="0" fontId="1" fillId="0" borderId="0"/>
    <xf numFmtId="0" fontId="23" fillId="0" borderId="0"/>
    <xf numFmtId="0" fontId="23" fillId="0" borderId="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02" fillId="0" borderId="0"/>
    <xf numFmtId="0" fontId="1" fillId="0" borderId="0"/>
    <xf numFmtId="0" fontId="1" fillId="0" borderId="0"/>
    <xf numFmtId="0" fontId="23" fillId="0" borderId="0"/>
    <xf numFmtId="0" fontId="102" fillId="0" borderId="0"/>
    <xf numFmtId="0" fontId="1" fillId="0" borderId="0"/>
    <xf numFmtId="0" fontId="1" fillId="0" borderId="0"/>
    <xf numFmtId="0" fontId="23" fillId="0" borderId="0"/>
    <xf numFmtId="0" fontId="141" fillId="0" borderId="0"/>
    <xf numFmtId="0" fontId="1" fillId="0" borderId="0"/>
    <xf numFmtId="0" fontId="1" fillId="0" borderId="0"/>
    <xf numFmtId="0" fontId="23" fillId="0" borderId="0"/>
    <xf numFmtId="0" fontId="141" fillId="0" borderId="0"/>
    <xf numFmtId="0" fontId="1" fillId="0" borderId="0"/>
    <xf numFmtId="0" fontId="1" fillId="0" borderId="0"/>
    <xf numFmtId="0" fontId="23" fillId="0" borderId="0"/>
    <xf numFmtId="0" fontId="141" fillId="0" borderId="0"/>
    <xf numFmtId="0" fontId="1" fillId="0" borderId="0"/>
    <xf numFmtId="0" fontId="1" fillId="0" borderId="0"/>
    <xf numFmtId="0" fontId="1" fillId="0" borderId="0"/>
    <xf numFmtId="0" fontId="23" fillId="0" borderId="0"/>
    <xf numFmtId="0" fontId="1" fillId="0" borderId="0"/>
    <xf numFmtId="0" fontId="124" fillId="0" borderId="0"/>
    <xf numFmtId="0" fontId="1" fillId="0" borderId="0"/>
    <xf numFmtId="183" fontId="106" fillId="0" borderId="0"/>
    <xf numFmtId="0" fontId="106" fillId="0" borderId="0"/>
    <xf numFmtId="0" fontId="23" fillId="0" borderId="0"/>
    <xf numFmtId="0" fontId="23" fillId="0" borderId="0" applyNumberFormat="0" applyFill="0" applyBorder="0" applyAlignment="0" applyProtection="0"/>
    <xf numFmtId="183"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1" fillId="0" borderId="0" applyNumberFormat="0" applyFill="0" applyBorder="0" applyAlignment="0" applyProtection="0"/>
    <xf numFmtId="0" fontId="1" fillId="0" borderId="0"/>
    <xf numFmtId="0" fontId="1" fillId="0" borderId="0"/>
    <xf numFmtId="0" fontId="106" fillId="0" borderId="0"/>
    <xf numFmtId="0" fontId="23" fillId="0" borderId="0" applyNumberFormat="0" applyFont="0" applyFill="0" applyBorder="0" applyAlignment="0" applyProtection="0"/>
    <xf numFmtId="183"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83" fontId="1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applyNumberFormat="0" applyFill="0" applyBorder="0" applyAlignment="0" applyProtection="0"/>
    <xf numFmtId="0" fontId="106" fillId="0" borderId="0"/>
    <xf numFmtId="0" fontId="23" fillId="0" borderId="0" applyNumberFormat="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83" fontId="15" fillId="0" borderId="0"/>
    <xf numFmtId="0" fontId="106"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25" fillId="0" borderId="0"/>
    <xf numFmtId="0" fontId="23" fillId="0" borderId="0" applyNumberFormat="0" applyFont="0" applyFill="0" applyBorder="0" applyAlignment="0" applyProtection="0"/>
    <xf numFmtId="183" fontId="15" fillId="0" borderId="0"/>
    <xf numFmtId="0" fontId="125" fillId="0" borderId="0"/>
    <xf numFmtId="0" fontId="23" fillId="0" borderId="0" applyNumberFormat="0" applyFont="0" applyFill="0" applyBorder="0" applyAlignment="0" applyProtection="0"/>
    <xf numFmtId="183" fontId="15" fillId="0" borderId="0"/>
    <xf numFmtId="0" fontId="125" fillId="0" borderId="0"/>
    <xf numFmtId="0" fontId="23" fillId="0" borderId="0" applyNumberFormat="0" applyFont="0" applyFill="0" applyBorder="0" applyAlignment="0" applyProtection="0"/>
    <xf numFmtId="183" fontId="15" fillId="0" borderId="0"/>
    <xf numFmtId="0" fontId="125" fillId="0" borderId="0"/>
    <xf numFmtId="0" fontId="23" fillId="0" borderId="0"/>
    <xf numFmtId="183" fontId="15" fillId="0" borderId="0"/>
    <xf numFmtId="0" fontId="125" fillId="0" borderId="0"/>
    <xf numFmtId="0" fontId="23" fillId="0" borderId="0"/>
    <xf numFmtId="183" fontId="15" fillId="0" borderId="0"/>
    <xf numFmtId="183" fontId="106" fillId="0" borderId="0"/>
    <xf numFmtId="0" fontId="1" fillId="0" borderId="0"/>
    <xf numFmtId="0" fontId="23" fillId="0" borderId="0"/>
    <xf numFmtId="0" fontId="141" fillId="0" borderId="0"/>
    <xf numFmtId="0" fontId="1" fillId="0" borderId="0"/>
    <xf numFmtId="183" fontId="23" fillId="0" borderId="0"/>
    <xf numFmtId="0" fontId="1" fillId="0" borderId="0"/>
    <xf numFmtId="0" fontId="23" fillId="0" borderId="0"/>
    <xf numFmtId="0" fontId="1" fillId="0" borderId="0"/>
    <xf numFmtId="0" fontId="141" fillId="0" borderId="0"/>
    <xf numFmtId="0" fontId="1" fillId="0" borderId="0"/>
    <xf numFmtId="0" fontId="23" fillId="0" borderId="0"/>
    <xf numFmtId="0" fontId="102" fillId="0" borderId="0"/>
    <xf numFmtId="0" fontId="1" fillId="0" borderId="0"/>
    <xf numFmtId="0" fontId="1" fillId="0" borderId="0"/>
    <xf numFmtId="0" fontId="23" fillId="0" borderId="0"/>
    <xf numFmtId="0" fontId="102" fillId="0" borderId="0"/>
    <xf numFmtId="0" fontId="1" fillId="0" borderId="0"/>
    <xf numFmtId="0" fontId="1" fillId="0" borderId="0"/>
    <xf numFmtId="0" fontId="23" fillId="0" borderId="0"/>
    <xf numFmtId="0" fontId="102" fillId="0" borderId="0"/>
    <xf numFmtId="0" fontId="1" fillId="0" borderId="0"/>
    <xf numFmtId="0" fontId="1" fillId="0" borderId="0"/>
    <xf numFmtId="0" fontId="23" fillId="0" borderId="0"/>
    <xf numFmtId="0" fontId="106"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06" fillId="0" borderId="0"/>
    <xf numFmtId="0" fontId="1" fillId="0" borderId="0"/>
    <xf numFmtId="0" fontId="23" fillId="0" borderId="0"/>
    <xf numFmtId="0" fontId="1" fillId="0" borderId="0"/>
    <xf numFmtId="0" fontId="23" fillId="0" borderId="0"/>
    <xf numFmtId="183" fontId="70" fillId="0" borderId="0"/>
    <xf numFmtId="0" fontId="23" fillId="0" borderId="0"/>
    <xf numFmtId="0" fontId="23" fillId="0" borderId="0" applyNumberFormat="0" applyFill="0" applyBorder="0" applyAlignment="0" applyProtection="0"/>
    <xf numFmtId="183" fontId="1" fillId="0" borderId="0"/>
    <xf numFmtId="183" fontId="1" fillId="0" borderId="0"/>
    <xf numFmtId="0" fontId="23"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 fillId="0" borderId="0"/>
    <xf numFmtId="0" fontId="1" fillId="0" borderId="0"/>
    <xf numFmtId="0" fontId="106" fillId="0" borderId="0"/>
    <xf numFmtId="0" fontId="1" fillId="0" borderId="0" applyNumberFormat="0" applyFill="0" applyBorder="0" applyAlignment="0" applyProtection="0"/>
    <xf numFmtId="183" fontId="106" fillId="0" borderId="0"/>
    <xf numFmtId="0" fontId="23" fillId="0" borderId="0"/>
    <xf numFmtId="0" fontId="106" fillId="0" borderId="0"/>
    <xf numFmtId="0" fontId="106" fillId="0" borderId="0"/>
    <xf numFmtId="0" fontId="23" fillId="0" borderId="0" applyNumberFormat="0" applyFont="0" applyFill="0" applyBorder="0" applyAlignment="0" applyProtection="0"/>
    <xf numFmtId="183" fontId="106" fillId="0" borderId="0"/>
    <xf numFmtId="0" fontId="106" fillId="0" borderId="0"/>
    <xf numFmtId="0" fontId="106" fillId="0" borderId="0"/>
    <xf numFmtId="0" fontId="23" fillId="0" borderId="0" applyNumberFormat="0" applyFont="0" applyFill="0" applyBorder="0" applyAlignment="0" applyProtection="0"/>
    <xf numFmtId="183" fontId="70" fillId="0" borderId="0"/>
    <xf numFmtId="0" fontId="23" fillId="0" borderId="0"/>
    <xf numFmtId="0" fontId="23" fillId="0" borderId="0"/>
    <xf numFmtId="0" fontId="23" fillId="0" borderId="0" applyNumberFormat="0" applyFill="0" applyBorder="0" applyAlignment="0" applyProtection="0"/>
    <xf numFmtId="183" fontId="70"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ont="0" applyFill="0" applyBorder="0" applyAlignment="0" applyProtection="0"/>
    <xf numFmtId="0" fontId="23" fillId="0" borderId="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xf numFmtId="183" fontId="106" fillId="0" borderId="0"/>
    <xf numFmtId="0" fontId="106" fillId="0" borderId="0"/>
    <xf numFmtId="0" fontId="1" fillId="0" borderId="0"/>
    <xf numFmtId="0" fontId="23" fillId="0" borderId="0"/>
    <xf numFmtId="0" fontId="1" fillId="0" borderId="0"/>
    <xf numFmtId="183" fontId="23" fillId="0" borderId="0"/>
    <xf numFmtId="0" fontId="23" fillId="0" borderId="0"/>
    <xf numFmtId="0" fontId="23"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184" fontId="23" fillId="0" borderId="0"/>
    <xf numFmtId="0" fontId="1" fillId="0" borderId="0"/>
    <xf numFmtId="0" fontId="23" fillId="0" borderId="0"/>
    <xf numFmtId="0" fontId="23" fillId="0" borderId="0"/>
    <xf numFmtId="0" fontId="1" fillId="0" borderId="0"/>
    <xf numFmtId="184" fontId="23" fillId="0" borderId="0"/>
    <xf numFmtId="0" fontId="1" fillId="0" borderId="0"/>
    <xf numFmtId="0" fontId="23" fillId="0" borderId="0"/>
    <xf numFmtId="0" fontId="23" fillId="0" borderId="0"/>
    <xf numFmtId="0" fontId="1" fillId="0" borderId="0"/>
    <xf numFmtId="183" fontId="23"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183" fontId="168" fillId="0" borderId="0"/>
    <xf numFmtId="0" fontId="106" fillId="0" borderId="0"/>
    <xf numFmtId="0" fontId="23" fillId="0" borderId="0"/>
    <xf numFmtId="0" fontId="23" fillId="0" borderId="0" applyNumberFormat="0" applyFont="0" applyFill="0" applyBorder="0" applyAlignment="0" applyProtection="0"/>
    <xf numFmtId="0" fontId="70" fillId="0" borderId="0"/>
    <xf numFmtId="0" fontId="168" fillId="0" borderId="0" applyNumberFormat="0" applyFill="0" applyBorder="0" applyAlignment="0" applyProtection="0"/>
    <xf numFmtId="0" fontId="168"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06" fillId="0" borderId="0"/>
    <xf numFmtId="183"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23" fillId="0" borderId="0" applyNumberFormat="0" applyFont="0" applyFill="0" applyBorder="0" applyAlignment="0" applyProtection="0"/>
    <xf numFmtId="0" fontId="23" fillId="0" borderId="0"/>
    <xf numFmtId="0" fontId="1" fillId="0" borderId="0"/>
    <xf numFmtId="0" fontId="1" fillId="0" borderId="0" applyNumberFormat="0" applyFill="0" applyBorder="0" applyAlignment="0" applyProtection="0"/>
    <xf numFmtId="0" fontId="106" fillId="0" borderId="0"/>
    <xf numFmtId="0" fontId="1" fillId="0" borderId="0"/>
    <xf numFmtId="183"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6" fillId="0" borderId="0"/>
    <xf numFmtId="0" fontId="23" fillId="0" borderId="0" applyNumberFormat="0" applyFont="0" applyFill="0" applyBorder="0" applyAlignment="0" applyProtection="0"/>
    <xf numFmtId="0" fontId="102" fillId="0" borderId="0"/>
    <xf numFmtId="0" fontId="168" fillId="0" borderId="0"/>
    <xf numFmtId="183" fontId="15" fillId="0" borderId="0"/>
    <xf numFmtId="0" fontId="23" fillId="0" borderId="0"/>
    <xf numFmtId="0" fontId="106" fillId="0" borderId="0"/>
    <xf numFmtId="0" fontId="23" fillId="0" borderId="0" applyNumberFormat="0" applyFont="0" applyFill="0" applyBorder="0" applyAlignment="0" applyProtection="0"/>
    <xf numFmtId="183" fontId="15" fillId="0" borderId="0"/>
    <xf numFmtId="0" fontId="168" fillId="0" borderId="0"/>
    <xf numFmtId="0" fontId="23" fillId="0" borderId="0" applyNumberFormat="0" applyFont="0" applyFill="0" applyBorder="0" applyAlignment="0" applyProtection="0"/>
    <xf numFmtId="183" fontId="15" fillId="0" borderId="0"/>
    <xf numFmtId="0" fontId="23" fillId="0" borderId="0" applyNumberFormat="0" applyFont="0" applyFill="0" applyBorder="0" applyAlignment="0" applyProtection="0"/>
    <xf numFmtId="183" fontId="15" fillId="0" borderId="0"/>
    <xf numFmtId="0" fontId="23" fillId="0" borderId="0" applyNumberFormat="0" applyFont="0" applyFill="0" applyBorder="0" applyAlignment="0" applyProtection="0"/>
    <xf numFmtId="183" fontId="15" fillId="0" borderId="0"/>
    <xf numFmtId="0" fontId="23" fillId="0" borderId="0" applyNumberFormat="0" applyFont="0" applyFill="0" applyBorder="0" applyAlignment="0" applyProtection="0"/>
    <xf numFmtId="183" fontId="15" fillId="0" borderId="0"/>
    <xf numFmtId="0" fontId="23" fillId="0" borderId="0" applyNumberFormat="0" applyFont="0" applyFill="0" applyBorder="0" applyAlignment="0" applyProtection="0"/>
    <xf numFmtId="183" fontId="15" fillId="0" borderId="0"/>
    <xf numFmtId="0" fontId="23" fillId="0" borderId="0" applyNumberFormat="0" applyFont="0" applyFill="0" applyBorder="0" applyAlignment="0" applyProtection="0"/>
    <xf numFmtId="183" fontId="106"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183" fontId="70" fillId="0" borderId="0"/>
    <xf numFmtId="183" fontId="70" fillId="0" borderId="0"/>
    <xf numFmtId="0" fontId="106" fillId="0" borderId="0"/>
    <xf numFmtId="0" fontId="23" fillId="0" borderId="0" applyNumberFormat="0" applyFill="0" applyBorder="0" applyAlignment="0" applyProtection="0"/>
    <xf numFmtId="183" fontId="70" fillId="0" borderId="0"/>
    <xf numFmtId="0" fontId="23" fillId="0" borderId="0" applyNumberFormat="0" applyFill="0" applyBorder="0" applyAlignment="0" applyProtection="0"/>
    <xf numFmtId="0" fontId="106" fillId="0" borderId="0"/>
    <xf numFmtId="0" fontId="23" fillId="0" borderId="0"/>
    <xf numFmtId="0" fontId="23" fillId="0" borderId="0" applyNumberFormat="0" applyFill="0" applyBorder="0" applyAlignment="0" applyProtection="0"/>
    <xf numFmtId="184" fontId="70"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83" fontId="1" fillId="0" borderId="0"/>
    <xf numFmtId="0" fontId="1" fillId="0" borderId="0" applyNumberFormat="0" applyFill="0" applyBorder="0" applyAlignment="0" applyProtection="0"/>
    <xf numFmtId="0" fontId="23" fillId="0" borderId="0"/>
    <xf numFmtId="0" fontId="23" fillId="0" borderId="0" applyNumberFormat="0" applyFont="0" applyFill="0" applyBorder="0" applyAlignment="0" applyProtection="0"/>
    <xf numFmtId="0" fontId="23" fillId="0" borderId="0"/>
    <xf numFmtId="0" fontId="23" fillId="0" borderId="0" applyNumberFormat="0" applyFont="0" applyFill="0" applyBorder="0" applyAlignment="0" applyProtection="0"/>
    <xf numFmtId="0" fontId="23" fillId="0" borderId="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183" fontId="70" fillId="0" borderId="0"/>
    <xf numFmtId="183" fontId="70" fillId="0" borderId="0"/>
    <xf numFmtId="0" fontId="23" fillId="0" borderId="0"/>
    <xf numFmtId="0" fontId="23" fillId="0" borderId="0" applyNumberFormat="0" applyFont="0" applyFill="0" applyBorder="0" applyAlignment="0" applyProtection="0"/>
    <xf numFmtId="0" fontId="106" fillId="0" borderId="0"/>
    <xf numFmtId="0" fontId="106" fillId="0" borderId="0"/>
    <xf numFmtId="0" fontId="23" fillId="0" borderId="0"/>
    <xf numFmtId="0" fontId="23" fillId="0" borderId="0" applyNumberFormat="0" applyFill="0" applyBorder="0" applyAlignment="0" applyProtection="0"/>
    <xf numFmtId="183" fontId="1" fillId="0" borderId="0"/>
    <xf numFmtId="0" fontId="23" fillId="0" borderId="0"/>
    <xf numFmtId="0" fontId="23" fillId="0" borderId="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xf numFmtId="0" fontId="23" fillId="0" borderId="0" applyNumberFormat="0" applyFont="0" applyFill="0" applyBorder="0" applyAlignment="0" applyProtection="0"/>
    <xf numFmtId="0" fontId="23" fillId="0" borderId="0"/>
    <xf numFmtId="0" fontId="23" fillId="0" borderId="0" applyNumberFormat="0" applyFont="0" applyFill="0" applyBorder="0" applyAlignment="0" applyProtection="0"/>
    <xf numFmtId="0" fontId="23" fillId="0" borderId="0"/>
    <xf numFmtId="0" fontId="23" fillId="0" borderId="0" applyNumberFormat="0" applyFont="0" applyFill="0" applyBorder="0" applyAlignment="0" applyProtection="0"/>
    <xf numFmtId="0" fontId="23" fillId="0" borderId="0"/>
    <xf numFmtId="0" fontId="23" fillId="0" borderId="0" applyNumberFormat="0" applyFont="0" applyFill="0" applyBorder="0" applyAlignment="0" applyProtection="0"/>
    <xf numFmtId="0" fontId="23" fillId="0" borderId="0"/>
    <xf numFmtId="0" fontId="1" fillId="0" borderId="0" applyNumberFormat="0" applyFill="0" applyBorder="0" applyAlignment="0" applyProtection="0"/>
    <xf numFmtId="0" fontId="23" fillId="0" borderId="0"/>
    <xf numFmtId="183"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xf numFmtId="0" fontId="1" fillId="0" borderId="0" applyNumberFormat="0" applyFill="0" applyBorder="0" applyAlignment="0" applyProtection="0"/>
    <xf numFmtId="0" fontId="1" fillId="0" borderId="0"/>
    <xf numFmtId="0" fontId="1" fillId="0" borderId="0"/>
    <xf numFmtId="0" fontId="23" fillId="0" borderId="0"/>
    <xf numFmtId="0" fontId="23" fillId="0" borderId="0" applyNumberFormat="0" applyFill="0" applyBorder="0" applyAlignment="0" applyProtection="0"/>
    <xf numFmtId="183"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83" fontId="15" fillId="0" borderId="0"/>
    <xf numFmtId="183" fontId="15" fillId="0" borderId="0"/>
    <xf numFmtId="0" fontId="106" fillId="0" borderId="0"/>
    <xf numFmtId="183" fontId="70" fillId="0" borderId="0"/>
    <xf numFmtId="183" fontId="70" fillId="0" borderId="0"/>
    <xf numFmtId="0" fontId="23" fillId="0" borderId="0" applyNumberFormat="0" applyFill="0" applyBorder="0" applyAlignment="0" applyProtection="0"/>
    <xf numFmtId="183" fontId="15" fillId="0" borderId="0"/>
    <xf numFmtId="183" fontId="15" fillId="0" borderId="0"/>
    <xf numFmtId="0" fontId="106" fillId="0" borderId="0"/>
    <xf numFmtId="183" fontId="70" fillId="0" borderId="0"/>
    <xf numFmtId="183" fontId="70" fillId="0" borderId="0"/>
    <xf numFmtId="0" fontId="23" fillId="0" borderId="0" applyNumberFormat="0" applyFill="0" applyBorder="0" applyAlignment="0" applyProtection="0"/>
    <xf numFmtId="183" fontId="15" fillId="0" borderId="0"/>
    <xf numFmtId="183" fontId="15" fillId="0" borderId="0"/>
    <xf numFmtId="0" fontId="106" fillId="0" borderId="0"/>
    <xf numFmtId="183" fontId="70" fillId="0" borderId="0"/>
    <xf numFmtId="183" fontId="70" fillId="0" borderId="0"/>
    <xf numFmtId="0" fontId="23" fillId="0" borderId="0" applyNumberFormat="0" applyFill="0" applyBorder="0" applyAlignment="0" applyProtection="0"/>
    <xf numFmtId="183" fontId="15" fillId="0" borderId="0"/>
    <xf numFmtId="0" fontId="106" fillId="0" borderId="0"/>
    <xf numFmtId="0" fontId="23" fillId="0" borderId="0" applyNumberFormat="0" applyFill="0" applyBorder="0" applyAlignment="0" applyProtection="0"/>
    <xf numFmtId="183" fontId="15" fillId="0" borderId="0"/>
    <xf numFmtId="0" fontId="106" fillId="0" borderId="0"/>
    <xf numFmtId="0" fontId="23" fillId="0" borderId="0" applyNumberFormat="0" applyFill="0" applyBorder="0" applyAlignment="0" applyProtection="0"/>
    <xf numFmtId="183" fontId="15" fillId="0" borderId="0"/>
    <xf numFmtId="0" fontId="106" fillId="0" borderId="0"/>
    <xf numFmtId="0" fontId="23" fillId="0" borderId="0" applyNumberFormat="0" applyFill="0" applyBorder="0" applyAlignment="0" applyProtection="0"/>
    <xf numFmtId="183" fontId="106"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06" fillId="0" borderId="0"/>
    <xf numFmtId="0" fontId="1" fillId="0" borderId="0"/>
    <xf numFmtId="0" fontId="1" fillId="0" borderId="0"/>
    <xf numFmtId="0" fontId="1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5" fillId="0" borderId="0"/>
    <xf numFmtId="183" fontId="15" fillId="0" borderId="0"/>
    <xf numFmtId="183" fontId="70" fillId="0" borderId="0"/>
    <xf numFmtId="183" fontId="70" fillId="0" borderId="0"/>
    <xf numFmtId="0" fontId="23" fillId="0" borderId="0"/>
    <xf numFmtId="0" fontId="23" fillId="0" borderId="0" applyNumberFormat="0" applyFill="0" applyBorder="0" applyAlignment="0" applyProtection="0"/>
    <xf numFmtId="183" fontId="1" fillId="0" borderId="0"/>
    <xf numFmtId="0" fontId="23" fillId="0" borderId="0"/>
    <xf numFmtId="0" fontId="1" fillId="0" borderId="0"/>
    <xf numFmtId="0" fontId="1" fillId="0" borderId="0"/>
    <xf numFmtId="0" fontId="23" fillId="0" borderId="0"/>
    <xf numFmtId="0" fontId="1" fillId="0" borderId="0" applyNumberFormat="0" applyFill="0" applyBorder="0" applyAlignment="0" applyProtection="0"/>
    <xf numFmtId="183" fontId="1" fillId="0" borderId="0"/>
    <xf numFmtId="183" fontId="1" fillId="0" borderId="0"/>
    <xf numFmtId="0" fontId="23" fillId="0" borderId="0"/>
    <xf numFmtId="0" fontId="1" fillId="0" borderId="0"/>
    <xf numFmtId="0" fontId="1" fillId="0" borderId="0"/>
    <xf numFmtId="0" fontId="1" fillId="0" borderId="0" applyNumberFormat="0" applyFill="0" applyBorder="0" applyAlignment="0" applyProtection="0"/>
    <xf numFmtId="183" fontId="1" fillId="0" borderId="0"/>
    <xf numFmtId="183" fontId="15" fillId="0" borderId="0"/>
    <xf numFmtId="0" fontId="23" fillId="0" borderId="0"/>
    <xf numFmtId="183" fontId="15" fillId="0" borderId="0"/>
    <xf numFmtId="0" fontId="23" fillId="0" borderId="0"/>
    <xf numFmtId="183" fontId="15" fillId="0" borderId="0"/>
    <xf numFmtId="183" fontId="15" fillId="0" borderId="0"/>
    <xf numFmtId="183" fontId="15" fillId="0" borderId="0"/>
    <xf numFmtId="183" fontId="15" fillId="0" borderId="0"/>
    <xf numFmtId="183" fontId="10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5" fillId="0" borderId="0"/>
    <xf numFmtId="183" fontId="15" fillId="0" borderId="0"/>
    <xf numFmtId="183" fontId="70" fillId="0" borderId="0"/>
    <xf numFmtId="183" fontId="70" fillId="0" borderId="0"/>
    <xf numFmtId="0" fontId="106" fillId="0" borderId="0"/>
    <xf numFmtId="0" fontId="23" fillId="0" borderId="0"/>
    <xf numFmtId="0" fontId="23" fillId="0" borderId="0" applyNumberFormat="0" applyFont="0" applyFill="0" applyBorder="0" applyAlignment="0" applyProtection="0"/>
    <xf numFmtId="183"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xf numFmtId="0" fontId="1" fillId="0" borderId="0" applyNumberFormat="0" applyFill="0" applyBorder="0" applyAlignment="0" applyProtection="0"/>
    <xf numFmtId="0" fontId="1" fillId="0" borderId="0"/>
    <xf numFmtId="0" fontId="1" fillId="0" borderId="0"/>
    <xf numFmtId="0" fontId="23" fillId="0" borderId="0"/>
    <xf numFmtId="0" fontId="23" fillId="0" borderId="0" applyNumberFormat="0" applyFill="0" applyBorder="0" applyAlignment="0" applyProtection="0"/>
    <xf numFmtId="183"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83" fontId="1" fillId="0" borderId="0"/>
    <xf numFmtId="0" fontId="23" fillId="0" borderId="0"/>
    <xf numFmtId="0" fontId="1" fillId="0" borderId="0"/>
    <xf numFmtId="0" fontId="1" fillId="0" borderId="0"/>
    <xf numFmtId="0" fontId="1" fillId="0" borderId="0" applyNumberFormat="0" applyFill="0" applyBorder="0" applyAlignment="0" applyProtection="0"/>
    <xf numFmtId="183" fontId="1" fillId="0" borderId="0"/>
    <xf numFmtId="183" fontId="15" fillId="0" borderId="0"/>
    <xf numFmtId="0" fontId="102" fillId="0" borderId="0"/>
    <xf numFmtId="183" fontId="15" fillId="0" borderId="0"/>
    <xf numFmtId="0" fontId="102" fillId="0" borderId="0"/>
    <xf numFmtId="183" fontId="15" fillId="0" borderId="0"/>
    <xf numFmtId="183" fontId="15" fillId="0" borderId="0"/>
    <xf numFmtId="183" fontId="15" fillId="0" borderId="0"/>
    <xf numFmtId="183" fontId="15" fillId="0" borderId="0"/>
    <xf numFmtId="183" fontId="10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183" fontId="23" fillId="0" borderId="0"/>
    <xf numFmtId="0" fontId="102" fillId="0" borderId="0"/>
    <xf numFmtId="183" fontId="70" fillId="0" borderId="0"/>
    <xf numFmtId="0" fontId="102" fillId="0" borderId="0"/>
    <xf numFmtId="183" fontId="70" fillId="0" borderId="0"/>
    <xf numFmtId="0" fontId="106" fillId="0" borderId="0"/>
    <xf numFmtId="0" fontId="23" fillId="0" borderId="0"/>
    <xf numFmtId="0" fontId="23"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9" fillId="0" borderId="0" applyNumberFormat="0" applyFill="0" applyBorder="0" applyProtection="0">
      <alignment vertical="top" wrapText="1"/>
    </xf>
    <xf numFmtId="0" fontId="169" fillId="0" borderId="0" applyNumberFormat="0" applyFill="0" applyBorder="0" applyProtection="0">
      <alignment vertical="top" wrapText="1"/>
    </xf>
    <xf numFmtId="203" fontId="170" fillId="0" borderId="0" applyFill="0" applyBorder="0" applyProtection="0">
      <alignment horizontal="right" vertical="top"/>
    </xf>
    <xf numFmtId="183" fontId="171" fillId="61"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93" fillId="29" borderId="44"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61"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61"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2" fillId="29" borderId="44" applyNumberFormat="0" applyAlignment="0" applyProtection="0"/>
    <xf numFmtId="0" fontId="145" fillId="0" borderId="44"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171" fillId="79" borderId="50" applyNumberFormat="0" applyAlignment="0" applyProtection="0"/>
    <xf numFmtId="0" fontId="171" fillId="79" borderId="50" applyNumberFormat="0" applyAlignment="0" applyProtection="0"/>
    <xf numFmtId="0" fontId="171" fillId="79" borderId="50" applyNumberFormat="0" applyAlignment="0" applyProtection="0"/>
    <xf numFmtId="183" fontId="171" fillId="61" borderId="50" applyNumberFormat="0" applyAlignment="0" applyProtection="0"/>
    <xf numFmtId="0" fontId="171" fillId="79"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61" borderId="50" applyNumberFormat="0" applyAlignment="0" applyProtection="0"/>
    <xf numFmtId="0" fontId="171" fillId="61" borderId="50" applyNumberFormat="0" applyAlignment="0" applyProtection="0"/>
    <xf numFmtId="0" fontId="172" fillId="29" borderId="44" applyNumberFormat="0" applyAlignment="0" applyProtection="0"/>
    <xf numFmtId="0" fontId="23" fillId="0" borderId="0" applyNumberFormat="0" applyFont="0" applyFill="0" applyBorder="0" applyAlignment="0" applyProtection="0"/>
    <xf numFmtId="183" fontId="171" fillId="61" borderId="50" applyNumberForma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71" fillId="61" borderId="50" applyNumberFormat="0" applyAlignment="0" applyProtection="0"/>
    <xf numFmtId="0" fontId="171" fillId="61" borderId="50" applyNumberFormat="0" applyAlignment="0" applyProtection="0"/>
    <xf numFmtId="0" fontId="172" fillId="29" borderId="44" applyNumberFormat="0" applyAlignment="0" applyProtection="0"/>
    <xf numFmtId="0" fontId="23" fillId="0" borderId="0" applyNumberFormat="0" applyFont="0" applyFill="0" applyBorder="0" applyAlignment="0" applyProtection="0"/>
    <xf numFmtId="0" fontId="93" fillId="29" borderId="44" applyNumberFormat="0" applyAlignment="0" applyProtection="0"/>
    <xf numFmtId="0" fontId="172" fillId="29" borderId="44" applyNumberFormat="0" applyAlignment="0" applyProtection="0"/>
    <xf numFmtId="0" fontId="145" fillId="0" borderId="44" applyNumberFormat="0" applyFill="0" applyAlignment="0" applyProtection="0"/>
    <xf numFmtId="0" fontId="145" fillId="0" borderId="44" applyNumberFormat="0" applyFill="0" applyAlignment="0" applyProtection="0"/>
    <xf numFmtId="0" fontId="172" fillId="29" borderId="44" applyNumberFormat="0" applyAlignment="0" applyProtection="0"/>
    <xf numFmtId="0" fontId="145" fillId="0" borderId="44" applyNumberFormat="0" applyFill="0" applyAlignment="0" applyProtection="0"/>
    <xf numFmtId="204" fontId="173" fillId="0" borderId="0">
      <alignment horizontal="left"/>
    </xf>
    <xf numFmtId="40" fontId="174" fillId="74" borderId="0">
      <alignment horizontal="right"/>
    </xf>
    <xf numFmtId="0" fontId="175" fillId="74" borderId="0">
      <alignment horizontal="right"/>
    </xf>
    <xf numFmtId="0" fontId="176" fillId="74" borderId="62"/>
    <xf numFmtId="0" fontId="176" fillId="0" borderId="0" applyBorder="0">
      <alignment horizontal="centerContinuous"/>
    </xf>
    <xf numFmtId="0" fontId="177" fillId="0" borderId="0" applyBorder="0">
      <alignment horizontal="centerContinuous"/>
    </xf>
    <xf numFmtId="0" fontId="23" fillId="0" borderId="0" applyNumberFormat="0" applyFont="0" applyFill="0" applyBorder="0" applyAlignment="0" applyProtection="0"/>
    <xf numFmtId="0" fontId="23" fillId="0" borderId="0" applyNumberFormat="0" applyFont="0" applyFill="0" applyBorder="0" applyAlignment="0" applyProtection="0"/>
    <xf numFmtId="10" fontId="106" fillId="0" borderId="0" applyFont="0" applyFill="0" applyBorder="0" applyAlignment="0" applyProtection="0"/>
    <xf numFmtId="9" fontId="102" fillId="0" borderId="0" applyFont="0" applyFill="0" applyBorder="0" applyAlignment="0" applyProtection="0"/>
    <xf numFmtId="183" fontId="178" fillId="0" borderId="0" applyNumberFormat="0" applyFill="0" applyBorder="0" applyProtection="0">
      <alignment horizontal="left"/>
    </xf>
    <xf numFmtId="183" fontId="178" fillId="0" borderId="0" applyNumberFormat="0" applyFill="0" applyBorder="0" applyAlignment="0" applyProtection="0"/>
    <xf numFmtId="183" fontId="178" fillId="0" borderId="0" applyNumberFormat="0" applyFill="0" applyBorder="0" applyAlignment="0" applyProtection="0"/>
    <xf numFmtId="183" fontId="178" fillId="0" borderId="0" applyNumberFormat="0" applyFill="0" applyBorder="0" applyAlignment="0" applyProtection="0"/>
    <xf numFmtId="183" fontId="178" fillId="0" borderId="0" applyNumberFormat="0" applyFill="0" applyBorder="0" applyProtection="0">
      <alignment horizontal="left"/>
    </xf>
    <xf numFmtId="183" fontId="178" fillId="0" borderId="0" applyNumberFormat="0" applyFill="0" applyBorder="0" applyAlignment="0" applyProtection="0"/>
    <xf numFmtId="2" fontId="179" fillId="74" borderId="0">
      <protection locked="0"/>
    </xf>
    <xf numFmtId="205" fontId="169" fillId="0" borderId="0"/>
    <xf numFmtId="9" fontId="23"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06" fillId="0" borderId="0" applyFont="0" applyFill="0" applyBorder="0" applyAlignment="0" applyProtection="0"/>
    <xf numFmtId="0" fontId="23" fillId="0" borderId="0" applyNumberFormat="0" applyFont="0" applyFill="0" applyBorder="0" applyAlignment="0" applyProtection="0"/>
    <xf numFmtId="9" fontId="1" fillId="0" borderId="0" applyFont="0" applyFill="0" applyBorder="0" applyAlignment="0" applyProtection="0"/>
    <xf numFmtId="0" fontId="23" fillId="0" borderId="0" applyNumberFormat="0" applyFont="0" applyFill="0" applyBorder="0" applyAlignment="0" applyProtection="0"/>
    <xf numFmtId="9" fontId="1" fillId="0" borderId="0" applyFont="0" applyFill="0" applyBorder="0" applyAlignment="0" applyProtection="0"/>
    <xf numFmtId="0" fontId="23" fillId="0" borderId="0" applyNumberFormat="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0" fontId="23" fillId="0" borderId="0" applyNumberFormat="0" applyFont="0" applyFill="0" applyBorder="0" applyAlignment="0" applyProtection="0"/>
    <xf numFmtId="9" fontId="180" fillId="0" borderId="0" applyFont="0" applyFill="0" applyBorder="0" applyAlignment="0" applyProtection="0"/>
    <xf numFmtId="9" fontId="106" fillId="0" borderId="0" applyFont="0" applyFill="0" applyBorder="0" applyAlignment="0" applyProtection="0"/>
    <xf numFmtId="0" fontId="23" fillId="0" borderId="0" applyNumberFormat="0" applyFont="0" applyFill="0" applyBorder="0" applyAlignment="0" applyProtection="0"/>
    <xf numFmtId="9" fontId="106"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06" fillId="0" borderId="0" applyFont="0" applyFill="0" applyBorder="0" applyAlignment="0" applyProtection="0"/>
    <xf numFmtId="0" fontId="23" fillId="0" borderId="0" applyNumberFormat="0" applyFont="0" applyFill="0" applyBorder="0" applyAlignment="0" applyProtection="0"/>
    <xf numFmtId="9" fontId="106" fillId="0" borderId="0" applyFont="0" applyFill="0" applyBorder="0" applyAlignment="0" applyProtection="0"/>
    <xf numFmtId="0" fontId="23" fillId="0" borderId="0" applyNumberFormat="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70"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70"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0"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06"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24" fillId="0" borderId="0" applyFont="0" applyFill="0" applyBorder="0" applyAlignment="0" applyProtection="0"/>
    <xf numFmtId="9" fontId="15" fillId="0" borderId="0" applyFont="0" applyFill="0" applyBorder="0" applyAlignment="0" applyProtection="0"/>
    <xf numFmtId="9" fontId="124"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3" fillId="0" borderId="0" applyFont="0" applyFill="0" applyBorder="0" applyAlignment="0" applyProtection="0"/>
    <xf numFmtId="9" fontId="70"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23" fillId="0" borderId="0" applyFont="0" applyFill="0" applyBorder="0" applyAlignment="0" applyProtection="0"/>
    <xf numFmtId="9" fontId="70" fillId="0" borderId="0" applyFont="0" applyFill="0" applyBorder="0" applyAlignment="0" applyProtection="0"/>
    <xf numFmtId="0" fontId="23" fillId="0" borderId="0" applyNumberFormat="0" applyFont="0" applyFill="0" applyBorder="0" applyAlignment="0" applyProtection="0"/>
    <xf numFmtId="9" fontId="70" fillId="0" borderId="0" applyFont="0" applyFill="0" applyBorder="0" applyAlignment="0" applyProtection="0"/>
    <xf numFmtId="0" fontId="23" fillId="0" borderId="0" applyNumberFormat="0" applyFont="0" applyFill="0" applyBorder="0" applyAlignment="0" applyProtection="0"/>
    <xf numFmtId="9" fontId="1" fillId="0" borderId="0" applyFont="0" applyFill="0" applyBorder="0" applyAlignment="0" applyProtection="0"/>
    <xf numFmtId="0" fontId="23" fillId="0" borderId="0" applyNumberFormat="0" applyFont="0" applyFill="0" applyBorder="0" applyAlignment="0" applyProtection="0"/>
    <xf numFmtId="9" fontId="1"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23" fillId="0" borderId="0" applyNumberFormat="0" applyFont="0" applyFill="0" applyBorder="0" applyAlignment="0" applyProtection="0"/>
    <xf numFmtId="9" fontId="1"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pplyNumberFormat="0" applyFont="0" applyFill="0" applyBorder="0" applyAlignment="0" applyProtection="0"/>
    <xf numFmtId="9" fontId="23" fillId="0" borderId="0" applyFont="0" applyFill="0" applyBorder="0" applyAlignment="0" applyProtection="0"/>
    <xf numFmtId="9" fontId="15" fillId="0" borderId="0" applyFont="0" applyFill="0" applyBorder="0" applyAlignment="0" applyProtection="0"/>
    <xf numFmtId="9" fontId="106"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2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181" fillId="67" borderId="63" applyNumberFormat="0" applyProtection="0">
      <alignment vertical="center"/>
    </xf>
    <xf numFmtId="4" fontId="182" fillId="85" borderId="63" applyNumberFormat="0" applyProtection="0">
      <alignment vertical="center"/>
    </xf>
    <xf numFmtId="4" fontId="181" fillId="85" borderId="63" applyNumberFormat="0" applyProtection="0">
      <alignment horizontal="left" vertical="center" indent="1"/>
    </xf>
    <xf numFmtId="0" fontId="181" fillId="85" borderId="63" applyNumberFormat="0" applyProtection="0">
      <alignment horizontal="left" vertical="top" indent="1"/>
    </xf>
    <xf numFmtId="4" fontId="181" fillId="86" borderId="0" applyNumberFormat="0" applyProtection="0">
      <alignment horizontal="left" vertical="center" indent="1"/>
    </xf>
    <xf numFmtId="4" fontId="183" fillId="57" borderId="63" applyNumberFormat="0" applyProtection="0">
      <alignment horizontal="right" vertical="center"/>
    </xf>
    <xf numFmtId="4" fontId="183" fillId="66" borderId="63" applyNumberFormat="0" applyProtection="0">
      <alignment horizontal="right" vertical="center"/>
    </xf>
    <xf numFmtId="4" fontId="183" fillId="64" borderId="63" applyNumberFormat="0" applyProtection="0">
      <alignment horizontal="right" vertical="center"/>
    </xf>
    <xf numFmtId="4" fontId="183" fillId="69" borderId="63" applyNumberFormat="0" applyProtection="0">
      <alignment horizontal="right" vertical="center"/>
    </xf>
    <xf numFmtId="4" fontId="183" fillId="73" borderId="63" applyNumberFormat="0" applyProtection="0">
      <alignment horizontal="right" vertical="center"/>
    </xf>
    <xf numFmtId="4" fontId="183" fillId="78" borderId="63" applyNumberFormat="0" applyProtection="0">
      <alignment horizontal="right" vertical="center"/>
    </xf>
    <xf numFmtId="4" fontId="183" fillId="76" borderId="63" applyNumberFormat="0" applyProtection="0">
      <alignment horizontal="right" vertical="center"/>
    </xf>
    <xf numFmtId="4" fontId="183" fillId="87" borderId="63" applyNumberFormat="0" applyProtection="0">
      <alignment horizontal="right" vertical="center"/>
    </xf>
    <xf numFmtId="4" fontId="183" fillId="68" borderId="63" applyNumberFormat="0" applyProtection="0">
      <alignment horizontal="right" vertical="center"/>
    </xf>
    <xf numFmtId="4" fontId="181" fillId="88" borderId="64" applyNumberFormat="0" applyProtection="0">
      <alignment horizontal="left" vertical="center" indent="1"/>
    </xf>
    <xf numFmtId="4" fontId="183" fillId="89" borderId="0" applyNumberFormat="0" applyProtection="0">
      <alignment horizontal="left" vertical="center" indent="1"/>
    </xf>
    <xf numFmtId="4" fontId="184" fillId="90" borderId="0" applyNumberFormat="0" applyProtection="0">
      <alignment horizontal="left" vertical="center" indent="1"/>
    </xf>
    <xf numFmtId="4" fontId="183" fillId="91" borderId="63" applyNumberFormat="0" applyProtection="0">
      <alignment horizontal="right" vertical="center"/>
    </xf>
    <xf numFmtId="4" fontId="185" fillId="89" borderId="0" applyNumberFormat="0" applyProtection="0">
      <alignment horizontal="left" vertical="center" indent="1"/>
    </xf>
    <xf numFmtId="4" fontId="185" fillId="86" borderId="0" applyNumberFormat="0" applyProtection="0">
      <alignment horizontal="left" vertical="center" indent="1"/>
    </xf>
    <xf numFmtId="0" fontId="106" fillId="90" borderId="63" applyNumberFormat="0" applyProtection="0">
      <alignment horizontal="left" vertical="center" indent="1"/>
    </xf>
    <xf numFmtId="0" fontId="106" fillId="90" borderId="63" applyNumberFormat="0" applyProtection="0">
      <alignment horizontal="left" vertical="center" indent="1"/>
    </xf>
    <xf numFmtId="0" fontId="106" fillId="90" borderId="63" applyNumberFormat="0" applyProtection="0">
      <alignment horizontal="left" vertical="center" indent="1"/>
    </xf>
    <xf numFmtId="0" fontId="106" fillId="90" borderId="63" applyNumberFormat="0" applyProtection="0">
      <alignment horizontal="left" vertical="top" indent="1"/>
    </xf>
    <xf numFmtId="0" fontId="106" fillId="90" borderId="63" applyNumberFormat="0" applyProtection="0">
      <alignment horizontal="left" vertical="top" indent="1"/>
    </xf>
    <xf numFmtId="0" fontId="106" fillId="90" borderId="63" applyNumberFormat="0" applyProtection="0">
      <alignment horizontal="left" vertical="top" indent="1"/>
    </xf>
    <xf numFmtId="0" fontId="106" fillId="86" borderId="63" applyNumberFormat="0" applyProtection="0">
      <alignment horizontal="left" vertical="center" indent="1"/>
    </xf>
    <xf numFmtId="0" fontId="106" fillId="86" borderId="63" applyNumberFormat="0" applyProtection="0">
      <alignment horizontal="left" vertical="center" indent="1"/>
    </xf>
    <xf numFmtId="0" fontId="106" fillId="86" borderId="63" applyNumberFormat="0" applyProtection="0">
      <alignment horizontal="left" vertical="center" indent="1"/>
    </xf>
    <xf numFmtId="0" fontId="106" fillId="86" borderId="63" applyNumberFormat="0" applyProtection="0">
      <alignment horizontal="left" vertical="top" indent="1"/>
    </xf>
    <xf numFmtId="0" fontId="106" fillId="86" borderId="63" applyNumberFormat="0" applyProtection="0">
      <alignment horizontal="left" vertical="top" indent="1"/>
    </xf>
    <xf numFmtId="0" fontId="106" fillId="86" borderId="63" applyNumberFormat="0" applyProtection="0">
      <alignment horizontal="left" vertical="top" indent="1"/>
    </xf>
    <xf numFmtId="0" fontId="106" fillId="92" borderId="63" applyNumberFormat="0" applyProtection="0">
      <alignment horizontal="left" vertical="center" indent="1"/>
    </xf>
    <xf numFmtId="0" fontId="106" fillId="92" borderId="63" applyNumberFormat="0" applyProtection="0">
      <alignment horizontal="left" vertical="center" indent="1"/>
    </xf>
    <xf numFmtId="0" fontId="106" fillId="92" borderId="63" applyNumberFormat="0" applyProtection="0">
      <alignment horizontal="left" vertical="center" indent="1"/>
    </xf>
    <xf numFmtId="0" fontId="106" fillId="92" borderId="63" applyNumberFormat="0" applyProtection="0">
      <alignment horizontal="left" vertical="top" indent="1"/>
    </xf>
    <xf numFmtId="0" fontId="106" fillId="92" borderId="63" applyNumberFormat="0" applyProtection="0">
      <alignment horizontal="left" vertical="top" indent="1"/>
    </xf>
    <xf numFmtId="0" fontId="106" fillId="92" borderId="63" applyNumberFormat="0" applyProtection="0">
      <alignment horizontal="left" vertical="top" indent="1"/>
    </xf>
    <xf numFmtId="0" fontId="106" fillId="93" borderId="63" applyNumberFormat="0" applyProtection="0">
      <alignment horizontal="left" vertical="center" indent="1"/>
    </xf>
    <xf numFmtId="0" fontId="106" fillId="93" borderId="63" applyNumberFormat="0" applyProtection="0">
      <alignment horizontal="left" vertical="center" indent="1"/>
    </xf>
    <xf numFmtId="0" fontId="106" fillId="93" borderId="63" applyNumberFormat="0" applyProtection="0">
      <alignment horizontal="left" vertical="center" indent="1"/>
    </xf>
    <xf numFmtId="0" fontId="106" fillId="93" borderId="63" applyNumberFormat="0" applyProtection="0">
      <alignment horizontal="left" vertical="top" indent="1"/>
    </xf>
    <xf numFmtId="0" fontId="106" fillId="93" borderId="63" applyNumberFormat="0" applyProtection="0">
      <alignment horizontal="left" vertical="top" indent="1"/>
    </xf>
    <xf numFmtId="0" fontId="106" fillId="93" borderId="63" applyNumberFormat="0" applyProtection="0">
      <alignment horizontal="left" vertical="top" indent="1"/>
    </xf>
    <xf numFmtId="4" fontId="183" fillId="82" borderId="63" applyNumberFormat="0" applyProtection="0">
      <alignment vertical="center"/>
    </xf>
    <xf numFmtId="4" fontId="186" fillId="82" borderId="63" applyNumberFormat="0" applyProtection="0">
      <alignment vertical="center"/>
    </xf>
    <xf numFmtId="4" fontId="183" fillId="82" borderId="63" applyNumberFormat="0" applyProtection="0">
      <alignment horizontal="left" vertical="center" indent="1"/>
    </xf>
    <xf numFmtId="0" fontId="183" fillId="82" borderId="63" applyNumberFormat="0" applyProtection="0">
      <alignment horizontal="left" vertical="top" indent="1"/>
    </xf>
    <xf numFmtId="4" fontId="183" fillId="89" borderId="63" applyNumberFormat="0" applyProtection="0">
      <alignment horizontal="right" vertical="center"/>
    </xf>
    <xf numFmtId="4" fontId="183" fillId="94" borderId="51" applyNumberFormat="0" applyProtection="0">
      <alignment horizontal="right" vertical="center"/>
    </xf>
    <xf numFmtId="4" fontId="186" fillId="89" borderId="63" applyNumberFormat="0" applyProtection="0">
      <alignment horizontal="right" vertical="center"/>
    </xf>
    <xf numFmtId="4" fontId="183" fillId="91" borderId="63" applyNumberFormat="0" applyProtection="0">
      <alignment horizontal="left" vertical="center" indent="1"/>
    </xf>
    <xf numFmtId="0" fontId="183" fillId="86" borderId="63" applyNumberFormat="0" applyProtection="0">
      <alignment horizontal="left" vertical="top" indent="1"/>
    </xf>
    <xf numFmtId="4" fontId="187" fillId="95" borderId="0" applyNumberFormat="0" applyProtection="0">
      <alignment horizontal="left" vertical="center" indent="1"/>
    </xf>
    <xf numFmtId="4" fontId="188" fillId="89" borderId="63" applyNumberFormat="0" applyProtection="0">
      <alignment horizontal="right" vertical="center"/>
    </xf>
    <xf numFmtId="0" fontId="23" fillId="0" borderId="0" applyNumberFormat="0" applyFont="0" applyFill="0" applyBorder="0" applyAlignment="0" applyProtection="0"/>
    <xf numFmtId="0" fontId="189" fillId="0" borderId="0"/>
    <xf numFmtId="0" fontId="185" fillId="0" borderId="0">
      <alignment vertical="top"/>
    </xf>
    <xf numFmtId="0" fontId="190" fillId="0" borderId="65"/>
    <xf numFmtId="183" fontId="147" fillId="0" borderId="66"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4" fillId="0" borderId="49"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7" fillId="0" borderId="66"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7" fillId="0" borderId="66"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91" fillId="0" borderId="49" applyNumberFormat="0" applyFill="0" applyAlignment="0" applyProtection="0"/>
    <xf numFmtId="0" fontId="23" fillId="0" borderId="49"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146" fillId="0" borderId="67" applyNumberFormat="0" applyFill="0" applyAlignment="0" applyProtection="0"/>
    <xf numFmtId="0" fontId="146" fillId="0" borderId="67" applyNumberFormat="0" applyFill="0" applyAlignment="0" applyProtection="0"/>
    <xf numFmtId="0" fontId="146" fillId="0" borderId="67" applyNumberFormat="0" applyFill="0" applyAlignment="0" applyProtection="0"/>
    <xf numFmtId="183" fontId="147" fillId="0" borderId="66" applyNumberFormat="0" applyFill="0" applyAlignment="0" applyProtection="0"/>
    <xf numFmtId="0" fontId="146" fillId="0" borderId="67"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7" fillId="0" borderId="66" applyNumberFormat="0" applyFill="0" applyAlignment="0" applyProtection="0"/>
    <xf numFmtId="0" fontId="147" fillId="0" borderId="66" applyNumberFormat="0" applyFill="0" applyAlignment="0" applyProtection="0"/>
    <xf numFmtId="0" fontId="191" fillId="0" borderId="49" applyNumberFormat="0" applyFill="0" applyAlignment="0" applyProtection="0"/>
    <xf numFmtId="0" fontId="23" fillId="0" borderId="0" applyNumberFormat="0" applyFont="0" applyFill="0" applyBorder="0" applyAlignment="0" applyProtection="0"/>
    <xf numFmtId="183" fontId="147" fillId="0" borderId="66" applyNumberForma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47" fillId="0" borderId="66" applyNumberFormat="0" applyFill="0" applyAlignment="0" applyProtection="0"/>
    <xf numFmtId="0" fontId="147" fillId="0" borderId="66" applyNumberFormat="0" applyFill="0" applyAlignment="0" applyProtection="0"/>
    <xf numFmtId="0" fontId="191" fillId="0" borderId="49" applyNumberFormat="0" applyFill="0" applyAlignment="0" applyProtection="0"/>
    <xf numFmtId="0" fontId="23" fillId="0" borderId="0" applyNumberFormat="0" applyFont="0" applyFill="0" applyBorder="0" applyAlignment="0" applyProtection="0"/>
    <xf numFmtId="0" fontId="24" fillId="0" borderId="49" applyNumberFormat="0" applyFill="0" applyAlignment="0" applyProtection="0"/>
    <xf numFmtId="0" fontId="191" fillId="0" borderId="49" applyNumberFormat="0" applyFill="0" applyAlignment="0" applyProtection="0"/>
    <xf numFmtId="0" fontId="23" fillId="0" borderId="49" applyNumberFormat="0" applyFill="0" applyAlignment="0" applyProtection="0"/>
    <xf numFmtId="0" fontId="23" fillId="0" borderId="49" applyNumberFormat="0" applyFill="0" applyAlignment="0" applyProtection="0"/>
    <xf numFmtId="0" fontId="191" fillId="0" borderId="49" applyNumberFormat="0" applyFill="0" applyAlignment="0" applyProtection="0"/>
    <xf numFmtId="0" fontId="23" fillId="0" borderId="49" applyNumberFormat="0" applyFill="0" applyAlignment="0" applyProtection="0"/>
    <xf numFmtId="183"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97"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3" fillId="0" borderId="0" applyNumberFormat="0" applyFill="0" applyBorder="0" applyAlignment="0" applyProtection="0"/>
    <xf numFmtId="0" fontId="194"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183" fontId="192" fillId="0" borderId="0" applyNumberFormat="0" applyFill="0" applyBorder="0" applyAlignment="0" applyProtection="0"/>
    <xf numFmtId="0"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3" fillId="0" borderId="0" applyNumberFormat="0" applyFill="0" applyBorder="0" applyAlignment="0" applyProtection="0"/>
    <xf numFmtId="0" fontId="23" fillId="0" borderId="0" applyNumberFormat="0" applyFont="0" applyFill="0" applyBorder="0" applyAlignment="0" applyProtection="0"/>
    <xf numFmtId="183" fontId="192"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3" fillId="0" borderId="0" applyNumberFormat="0" applyFill="0" applyBorder="0" applyAlignment="0" applyProtection="0"/>
    <xf numFmtId="0" fontId="23" fillId="0" borderId="0" applyNumberFormat="0" applyFont="0" applyFill="0" applyBorder="0" applyAlignment="0" applyProtection="0"/>
    <xf numFmtId="0" fontId="97" fillId="0" borderId="0" applyNumberFormat="0" applyFill="0" applyBorder="0" applyAlignment="0" applyProtection="0"/>
    <xf numFmtId="0" fontId="193"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193" fillId="0" borderId="0" applyNumberFormat="0" applyFill="0" applyBorder="0" applyAlignment="0" applyProtection="0"/>
    <xf numFmtId="0" fontId="194" fillId="0" borderId="0" applyNumberFormat="0" applyFill="0" applyBorder="0" applyAlignment="0" applyProtection="0"/>
    <xf numFmtId="183" fontId="195"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7"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183" fontId="195" fillId="0" borderId="0" applyNumberFormat="0" applyFill="0" applyBorder="0" applyAlignment="0" applyProtection="0"/>
    <xf numFmtId="0" fontId="196"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7" fillId="0" borderId="0" applyNumberFormat="0" applyFill="0" applyBorder="0" applyAlignment="0" applyProtection="0"/>
    <xf numFmtId="0" fontId="23" fillId="0" borderId="0" applyNumberFormat="0" applyFont="0" applyFill="0" applyBorder="0" applyAlignment="0" applyProtection="0"/>
    <xf numFmtId="183" fontId="195"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7" fillId="0" borderId="0" applyNumberFormat="0" applyFill="0" applyBorder="0" applyAlignment="0" applyProtection="0"/>
    <xf numFmtId="0" fontId="23" fillId="0" borderId="0" applyNumberFormat="0" applyFont="0" applyFill="0" applyBorder="0" applyAlignment="0" applyProtection="0"/>
    <xf numFmtId="0" fontId="96" fillId="0" borderId="0" applyNumberFormat="0" applyFill="0" applyBorder="0" applyAlignment="0" applyProtection="0"/>
    <xf numFmtId="0" fontId="197" fillId="0" borderId="0" applyNumberFormat="0" applyFill="0" applyBorder="0" applyAlignment="0" applyProtection="0"/>
    <xf numFmtId="0" fontId="197" fillId="0" borderId="0" applyNumberFormat="0" applyFill="0" applyBorder="0" applyAlignment="0" applyProtection="0"/>
    <xf numFmtId="0" fontId="197" fillId="0" borderId="0" applyNumberFormat="0" applyFill="0" applyBorder="0" applyAlignment="0" applyProtection="0"/>
    <xf numFmtId="183" fontId="198"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0"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183" fontId="198" fillId="0" borderId="0" applyNumberFormat="0" applyFill="0" applyBorder="0" applyAlignment="0" applyProtection="0"/>
    <xf numFmtId="0" fontId="199"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23" fillId="0" borderId="0" applyNumberFormat="0" applyFont="0" applyFill="0" applyBorder="0" applyAlignment="0" applyProtection="0"/>
    <xf numFmtId="183" fontId="198"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23" fillId="0" borderId="0" applyNumberFormat="0" applyFon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201" fillId="0" borderId="0" applyNumberFormat="0" applyFill="0" applyBorder="0" applyAlignment="0" applyProtection="0"/>
    <xf numFmtId="3" fontId="202" fillId="0" borderId="0"/>
    <xf numFmtId="204" fontId="173" fillId="0" borderId="0">
      <alignment horizontal="left"/>
    </xf>
    <xf numFmtId="0" fontId="23"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23"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23"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183" fontId="106" fillId="63" borderId="68"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31" borderId="48"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48" applyNumberFormat="0" applyFont="0" applyFill="0" applyAlignment="0" applyProtection="0"/>
    <xf numFmtId="0" fontId="23" fillId="31" borderId="48" applyNumberFormat="0" applyFont="0" applyAlignment="0" applyProtection="0"/>
    <xf numFmtId="0" fontId="23" fillId="31" borderId="48"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48" applyNumberFormat="0" applyFont="0" applyFill="0" applyAlignment="0" applyProtection="0"/>
    <xf numFmtId="0" fontId="23" fillId="31" borderId="48"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31" borderId="48"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06" fillId="63" borderId="68"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06" fillId="63" borderId="68"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0" borderId="0" applyNumberFormat="0" applyFont="0" applyFill="0" applyBorder="0" applyAlignment="0" applyProtection="0"/>
    <xf numFmtId="0" fontId="15" fillId="63" borderId="69" applyNumberFormat="0" applyFont="0" applyAlignment="0" applyProtection="0"/>
    <xf numFmtId="0" fontId="15" fillId="63" borderId="69" applyNumberFormat="0" applyFont="0" applyAlignment="0" applyProtection="0"/>
    <xf numFmtId="0" fontId="15" fillId="63" borderId="69" applyNumberFormat="0" applyFont="0" applyAlignment="0" applyProtection="0"/>
    <xf numFmtId="0" fontId="23" fillId="31" borderId="48" applyNumberFormat="0" applyFont="0" applyAlignment="0" applyProtection="0"/>
    <xf numFmtId="0" fontId="23" fillId="0" borderId="48" applyNumberFormat="0" applyFont="0" applyFill="0" applyAlignment="0" applyProtection="0"/>
    <xf numFmtId="0" fontId="23"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183" fontId="106" fillId="63" borderId="6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0" applyNumberFormat="0" applyFont="0" applyFill="0" applyBorder="0" applyAlignment="0" applyProtection="0"/>
    <xf numFmtId="0" fontId="15" fillId="31" borderId="48" applyNumberFormat="0" applyFont="0" applyAlignment="0" applyProtection="0"/>
    <xf numFmtId="0" fontId="23" fillId="0" borderId="0" applyNumberFormat="0" applyFont="0" applyFill="0" applyBorder="0" applyAlignment="0" applyProtection="0"/>
    <xf numFmtId="0" fontId="15" fillId="31" borderId="48" applyNumberFormat="0" applyFont="0" applyAlignment="0" applyProtection="0"/>
    <xf numFmtId="0" fontId="23" fillId="0" borderId="0" applyNumberFormat="0" applyFont="0" applyFill="0" applyBorder="0" applyAlignment="0" applyProtection="0"/>
    <xf numFmtId="0" fontId="15" fillId="31" borderId="48" applyNumberFormat="0" applyFont="0" applyAlignment="0" applyProtection="0"/>
    <xf numFmtId="0" fontId="23" fillId="0" borderId="0" applyNumberFormat="0" applyFont="0" applyFill="0" applyBorder="0" applyAlignment="0" applyProtection="0"/>
    <xf numFmtId="0" fontId="15" fillId="31" borderId="48" applyNumberFormat="0" applyFont="0" applyAlignment="0" applyProtection="0"/>
    <xf numFmtId="0" fontId="23" fillId="0" borderId="0" applyNumberFormat="0" applyFont="0" applyFill="0" applyBorder="0" applyAlignment="0" applyProtection="0"/>
    <xf numFmtId="0" fontId="15" fillId="31" borderId="48" applyNumberFormat="0" applyFont="0" applyAlignment="0" applyProtection="0"/>
    <xf numFmtId="0" fontId="23" fillId="0" borderId="0" applyNumberFormat="0" applyFont="0" applyFill="0" applyBorder="0" applyAlignment="0" applyProtection="0"/>
    <xf numFmtId="0" fontId="15" fillId="31" borderId="48" applyNumberFormat="0" applyFont="0" applyAlignment="0" applyProtection="0"/>
    <xf numFmtId="0" fontId="23" fillId="0" borderId="0" applyNumberFormat="0" applyFont="0" applyFill="0" applyBorder="0" applyAlignment="0" applyProtection="0"/>
    <xf numFmtId="0" fontId="15" fillId="31" borderId="48" applyNumberFormat="0" applyFont="0" applyAlignment="0" applyProtection="0"/>
    <xf numFmtId="0" fontId="23" fillId="0" borderId="0" applyNumberFormat="0" applyFont="0" applyFill="0" applyBorder="0" applyAlignment="0" applyProtection="0"/>
    <xf numFmtId="0" fontId="15" fillId="31" borderId="48" applyNumberFormat="0" applyFont="0" applyAlignment="0" applyProtection="0"/>
    <xf numFmtId="0" fontId="23"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0" applyNumberFormat="0" applyFont="0" applyFill="0" applyBorder="0" applyAlignment="0" applyProtection="0"/>
    <xf numFmtId="0" fontId="15" fillId="31" borderId="48" applyNumberFormat="0" applyFont="0" applyAlignment="0" applyProtection="0"/>
    <xf numFmtId="0" fontId="23" fillId="0" borderId="0" applyNumberFormat="0" applyFont="0" applyFill="0" applyBorder="0" applyAlignment="0" applyProtection="0"/>
    <xf numFmtId="0" fontId="15" fillId="31" borderId="48" applyNumberFormat="0" applyFont="0" applyAlignment="0" applyProtection="0"/>
    <xf numFmtId="0" fontId="23" fillId="0" borderId="0" applyNumberFormat="0" applyFont="0" applyFill="0" applyBorder="0" applyAlignment="0" applyProtection="0"/>
    <xf numFmtId="0" fontId="15" fillId="31" borderId="48" applyNumberFormat="0" applyFont="0" applyAlignment="0" applyProtection="0"/>
    <xf numFmtId="0" fontId="23" fillId="0" borderId="0" applyNumberFormat="0" applyFont="0" applyFill="0" applyBorder="0" applyAlignment="0" applyProtection="0"/>
    <xf numFmtId="0" fontId="15" fillId="31" borderId="48" applyNumberFormat="0" applyFont="0" applyAlignment="0" applyProtection="0"/>
    <xf numFmtId="0" fontId="23" fillId="0" borderId="0" applyNumberFormat="0" applyFont="0" applyFill="0" applyBorder="0" applyAlignment="0" applyProtection="0"/>
    <xf numFmtId="0" fontId="15" fillId="31" borderId="48" applyNumberFormat="0" applyFont="0" applyAlignment="0" applyProtection="0"/>
    <xf numFmtId="0" fontId="23" fillId="0" borderId="0" applyNumberFormat="0" applyFont="0" applyFill="0" applyBorder="0" applyAlignment="0" applyProtection="0"/>
    <xf numFmtId="0" fontId="15" fillId="31" borderId="48" applyNumberFormat="0" applyFont="0" applyAlignment="0" applyProtection="0"/>
    <xf numFmtId="0" fontId="23" fillId="0" borderId="0" applyNumberFormat="0" applyFont="0" applyFill="0" applyBorder="0" applyAlignment="0" applyProtection="0"/>
    <xf numFmtId="0" fontId="15" fillId="31" borderId="48" applyNumberFormat="0" applyFont="0" applyAlignment="0" applyProtection="0"/>
    <xf numFmtId="0" fontId="23" fillId="0" borderId="0" applyNumberFormat="0" applyFont="0" applyFill="0" applyBorder="0" applyAlignment="0" applyProtection="0"/>
    <xf numFmtId="0" fontId="15" fillId="31" borderId="48" applyNumberFormat="0" applyFont="0" applyAlignment="0" applyProtection="0"/>
    <xf numFmtId="0" fontId="23" fillId="0" borderId="0" applyNumberFormat="0" applyFont="0" applyFill="0" applyBorder="0" applyAlignment="0" applyProtection="0"/>
    <xf numFmtId="0" fontId="15" fillId="31" borderId="48" applyNumberFormat="0" applyFont="0" applyAlignment="0" applyProtection="0"/>
    <xf numFmtId="0" fontId="23" fillId="0" borderId="0" applyNumberFormat="0" applyFont="0" applyFill="0" applyBorder="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23" fillId="0" borderId="48" applyNumberFormat="0" applyFont="0" applyFill="0" applyAlignment="0" applyProtection="0"/>
    <xf numFmtId="0" fontId="15" fillId="31" borderId="48" applyNumberFormat="0" applyFont="0" applyAlignment="0" applyProtection="0"/>
    <xf numFmtId="0" fontId="106" fillId="63" borderId="68" applyNumberFormat="0" applyFont="0" applyAlignment="0" applyProtection="0"/>
    <xf numFmtId="0" fontId="15" fillId="31" borderId="48" applyNumberFormat="0" applyFont="0" applyAlignment="0" applyProtection="0"/>
    <xf numFmtId="0" fontId="106" fillId="63" borderId="6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15" fillId="31" borderId="48" applyNumberFormat="0" applyFont="0" applyAlignment="0" applyProtection="0"/>
    <xf numFmtId="0" fontId="15" fillId="31" borderId="48" applyNumberFormat="0" applyFont="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0" borderId="48" applyNumberFormat="0" applyFont="0" applyFill="0" applyAlignment="0" applyProtection="0"/>
    <xf numFmtId="0" fontId="23"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183" fontId="106" fillId="63" borderId="68"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31" borderId="48" applyNumberFormat="0" applyFont="0" applyAlignment="0" applyProtection="0"/>
    <xf numFmtId="0" fontId="23" fillId="0" borderId="0" applyNumberFormat="0" applyFont="0" applyFill="0" applyBorder="0" applyAlignment="0" applyProtection="0"/>
    <xf numFmtId="0" fontId="106" fillId="63" borderId="68" applyNumberFormat="0" applyFont="0" applyAlignment="0" applyProtection="0"/>
    <xf numFmtId="0" fontId="106" fillId="63" borderId="68" applyNumberFormat="0" applyFont="0" applyAlignment="0" applyProtection="0"/>
    <xf numFmtId="0" fontId="23" fillId="31" borderId="48" applyNumberFormat="0" applyFont="0" applyAlignment="0" applyProtection="0"/>
    <xf numFmtId="0" fontId="23" fillId="0" borderId="48" applyNumberFormat="0" applyFont="0" applyFill="0" applyAlignment="0" applyProtection="0"/>
    <xf numFmtId="0" fontId="23" fillId="31" borderId="48" applyNumberFormat="0" applyFont="0" applyAlignment="0" applyProtection="0"/>
    <xf numFmtId="0" fontId="23" fillId="0" borderId="0" applyNumberFormat="0" applyFont="0" applyFill="0" applyBorder="0" applyAlignment="0" applyProtection="0"/>
    <xf numFmtId="0" fontId="23" fillId="31" borderId="48" applyNumberFormat="0" applyFont="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0" fontId="23" fillId="0" borderId="48" applyNumberFormat="0" applyFont="0" applyFill="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0" fontId="23" fillId="0" borderId="48" applyNumberFormat="0" applyFont="0" applyFill="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0" fontId="23" fillId="0" borderId="48" applyNumberFormat="0" applyFont="0" applyFill="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0" fontId="23"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23"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0" fontId="1" fillId="31" borderId="48" applyNumberFormat="0" applyFont="0" applyAlignment="0" applyProtection="0"/>
    <xf numFmtId="189" fontId="150" fillId="0" borderId="0"/>
    <xf numFmtId="206" fontId="111" fillId="0" borderId="0" applyFont="0" applyFill="0" applyBorder="0" applyAlignment="0" applyProtection="0"/>
    <xf numFmtId="185" fontId="110" fillId="0" borderId="0" applyFont="0" applyFill="0" applyBorder="0" applyAlignment="0" applyProtection="0"/>
    <xf numFmtId="207" fontId="106" fillId="0" borderId="0" applyFont="0" applyFill="0" applyBorder="0" applyAlignment="0" applyProtection="0"/>
    <xf numFmtId="208" fontId="106" fillId="0" borderId="0" applyFont="0" applyFill="0" applyBorder="0" applyAlignment="0" applyProtection="0"/>
    <xf numFmtId="44" fontId="23"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44" fontId="106"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44" fontId="1" fillId="0" borderId="0" applyFont="0" applyFill="0" applyBorder="0" applyAlignment="0" applyProtection="0"/>
    <xf numFmtId="44" fontId="106"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44" fontId="106"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44" fontId="106"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183"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89" fillId="26"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04" fillId="26" borderId="0" applyNumberFormat="0" applyBorder="0" applyAlignment="0" applyProtection="0"/>
    <xf numFmtId="0" fontId="204"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183"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04" fillId="26" borderId="0" applyNumberFormat="0" applyBorder="0" applyAlignment="0" applyProtection="0"/>
    <xf numFmtId="0" fontId="204"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183" fontId="203" fillId="57" borderId="0" applyNumberFormat="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03" fillId="57" borderId="0" applyNumberFormat="0" applyBorder="0" applyAlignment="0" applyProtection="0"/>
    <xf numFmtId="0" fontId="203" fillId="57" borderId="0" applyNumberFormat="0" applyBorder="0" applyAlignment="0" applyProtection="0"/>
    <xf numFmtId="0" fontId="204" fillId="26" borderId="0" applyNumberFormat="0" applyBorder="0" applyAlignment="0" applyProtection="0"/>
    <xf numFmtId="0" fontId="23" fillId="0" borderId="0" applyNumberFormat="0" applyFont="0" applyFill="0" applyBorder="0" applyAlignment="0" applyProtection="0"/>
    <xf numFmtId="0" fontId="89" fillId="26" borderId="0" applyNumberFormat="0" applyBorder="0" applyAlignment="0" applyProtection="0"/>
    <xf numFmtId="0" fontId="204" fillId="26" borderId="0" applyNumberFormat="0" applyBorder="0" applyAlignment="0" applyProtection="0"/>
    <xf numFmtId="0" fontId="204" fillId="0" borderId="0" applyNumberFormat="0" applyFill="0" applyBorder="0" applyAlignment="0" applyProtection="0"/>
    <xf numFmtId="0" fontId="204" fillId="0" borderId="0" applyNumberFormat="0" applyFill="0" applyBorder="0" applyAlignment="0" applyProtection="0"/>
    <xf numFmtId="0" fontId="204" fillId="26" borderId="0" applyNumberFormat="0" applyBorder="0" applyAlignment="0" applyProtection="0"/>
    <xf numFmtId="0" fontId="204"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99" fillId="0" borderId="0" applyFont="0" applyFill="0" applyBorder="0" applyAlignment="0" applyProtection="0"/>
  </cellStyleXfs>
  <cellXfs count="686">
    <xf numFmtId="0" fontId="0" fillId="0" borderId="0" xfId="0"/>
    <xf numFmtId="0" fontId="16" fillId="0" borderId="0" xfId="0" applyFont="1" applyBorder="1" applyAlignment="1">
      <alignment vertical="center"/>
    </xf>
    <xf numFmtId="0" fontId="16" fillId="0" borderId="0" xfId="0" applyFont="1" applyAlignment="1">
      <alignment vertical="center"/>
    </xf>
    <xf numFmtId="0" fontId="25" fillId="3" borderId="0" xfId="0" applyFont="1" applyFill="1" applyAlignment="1">
      <alignment vertical="center"/>
    </xf>
    <xf numFmtId="0" fontId="16" fillId="0" borderId="0" xfId="0" applyFont="1" applyFill="1" applyBorder="1" applyAlignment="1">
      <alignment vertical="center"/>
    </xf>
    <xf numFmtId="0" fontId="31" fillId="3" borderId="0" xfId="0" applyFont="1" applyFill="1" applyAlignment="1">
      <alignment vertical="center"/>
    </xf>
    <xf numFmtId="0" fontId="21" fillId="0" borderId="0" xfId="0" applyFont="1" applyAlignment="1">
      <alignment vertical="center"/>
    </xf>
    <xf numFmtId="0" fontId="21" fillId="0" borderId="0" xfId="0" applyFont="1"/>
    <xf numFmtId="0" fontId="32" fillId="3" borderId="4" xfId="0" applyFont="1" applyFill="1" applyBorder="1" applyAlignment="1">
      <alignment vertical="center" wrapText="1"/>
    </xf>
    <xf numFmtId="0" fontId="32" fillId="3" borderId="5" xfId="0" applyFont="1" applyFill="1" applyBorder="1" applyAlignment="1">
      <alignment vertical="center" wrapText="1"/>
    </xf>
    <xf numFmtId="0" fontId="21" fillId="0" borderId="0" xfId="0" applyFont="1" applyFill="1" applyAlignment="1">
      <alignment vertical="center"/>
    </xf>
    <xf numFmtId="0" fontId="21" fillId="3" borderId="0" xfId="0" applyFont="1" applyFill="1" applyAlignment="1">
      <alignment vertical="center"/>
    </xf>
    <xf numFmtId="0" fontId="21" fillId="3" borderId="0" xfId="0" applyFont="1" applyFill="1" applyBorder="1" applyAlignment="1">
      <alignment vertical="center"/>
    </xf>
    <xf numFmtId="0" fontId="21" fillId="3" borderId="0" xfId="0" applyFont="1" applyFill="1"/>
    <xf numFmtId="0" fontId="34" fillId="8" borderId="6" xfId="0" applyFont="1" applyFill="1" applyBorder="1" applyAlignment="1">
      <alignment vertical="center" wrapText="1"/>
    </xf>
    <xf numFmtId="0" fontId="0" fillId="3" borderId="0" xfId="0" applyFill="1"/>
    <xf numFmtId="0" fontId="14" fillId="3"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0" fontId="0" fillId="3" borderId="0" xfId="0" applyFill="1" applyBorder="1" applyAlignment="1">
      <alignment vertical="center"/>
    </xf>
    <xf numFmtId="0" fontId="37" fillId="13" borderId="18" xfId="0" applyFont="1" applyFill="1" applyBorder="1" applyAlignment="1">
      <alignment horizontal="right" vertical="center"/>
    </xf>
    <xf numFmtId="0" fontId="32" fillId="5" borderId="18" xfId="0" applyFont="1" applyFill="1" applyBorder="1" applyAlignment="1">
      <alignment horizontal="right" vertical="center" wrapText="1"/>
    </xf>
    <xf numFmtId="0" fontId="38" fillId="5" borderId="19" xfId="0" applyFont="1" applyFill="1" applyBorder="1" applyAlignment="1">
      <alignment horizontal="right" vertical="center" wrapText="1"/>
    </xf>
    <xf numFmtId="0" fontId="40" fillId="3" borderId="0" xfId="0" applyFont="1" applyFill="1" applyBorder="1" applyAlignment="1">
      <alignment vertical="center"/>
    </xf>
    <xf numFmtId="0" fontId="40" fillId="3" borderId="0" xfId="0" applyFont="1" applyFill="1" applyAlignment="1">
      <alignment vertical="center"/>
    </xf>
    <xf numFmtId="0" fontId="40" fillId="0" borderId="0" xfId="0" applyFont="1" applyAlignment="1">
      <alignment vertical="center"/>
    </xf>
    <xf numFmtId="41" fontId="14" fillId="3" borderId="0" xfId="0" applyNumberFormat="1" applyFont="1" applyFill="1" applyBorder="1" applyAlignment="1">
      <alignment horizontal="right" vertical="center" wrapText="1"/>
    </xf>
    <xf numFmtId="3" fontId="14" fillId="3" borderId="0" xfId="0" applyNumberFormat="1" applyFont="1" applyFill="1" applyBorder="1" applyAlignment="1">
      <alignment horizontal="right" vertical="center" wrapText="1"/>
    </xf>
    <xf numFmtId="0" fontId="14" fillId="3" borderId="23" xfId="0" applyFont="1" applyFill="1" applyBorder="1" applyAlignment="1">
      <alignment vertical="center" wrapText="1"/>
    </xf>
    <xf numFmtId="0" fontId="24" fillId="3" borderId="23" xfId="0" applyFont="1" applyFill="1" applyBorder="1" applyAlignment="1">
      <alignment vertical="center" wrapText="1"/>
    </xf>
    <xf numFmtId="3" fontId="24" fillId="3" borderId="0" xfId="0" applyNumberFormat="1" applyFont="1" applyFill="1" applyBorder="1" applyAlignment="1">
      <alignment horizontal="right" vertical="center" wrapText="1"/>
    </xf>
    <xf numFmtId="0" fontId="14" fillId="3" borderId="0" xfId="0" applyFont="1" applyFill="1"/>
    <xf numFmtId="3" fontId="34" fillId="3" borderId="0" xfId="0" applyNumberFormat="1" applyFont="1" applyFill="1" applyBorder="1" applyAlignment="1">
      <alignment horizontal="right"/>
    </xf>
    <xf numFmtId="3" fontId="39" fillId="3" borderId="0" xfId="0" applyNumberFormat="1" applyFont="1" applyFill="1" applyBorder="1" applyAlignment="1">
      <alignment horizontal="right"/>
    </xf>
    <xf numFmtId="168" fontId="21" fillId="3" borderId="0" xfId="0" applyNumberFormat="1" applyFont="1" applyFill="1" applyAlignment="1">
      <alignment vertical="center"/>
    </xf>
    <xf numFmtId="0" fontId="33" fillId="6" borderId="26" xfId="0" applyFont="1" applyFill="1" applyBorder="1" applyAlignment="1">
      <alignment horizontal="center" vertical="center" wrapText="1"/>
    </xf>
    <xf numFmtId="0" fontId="33" fillId="6" borderId="25" xfId="0" applyFont="1" applyFill="1" applyBorder="1" applyAlignment="1">
      <alignment horizontal="center" vertical="center" wrapText="1"/>
    </xf>
    <xf numFmtId="0" fontId="33" fillId="6" borderId="27" xfId="0" applyFont="1" applyFill="1" applyBorder="1" applyAlignment="1">
      <alignment horizontal="center" vertical="center" wrapText="1"/>
    </xf>
    <xf numFmtId="0" fontId="32" fillId="3" borderId="22" xfId="0" applyFont="1" applyFill="1" applyBorder="1" applyAlignment="1">
      <alignment vertical="center" wrapText="1"/>
    </xf>
    <xf numFmtId="0" fontId="32" fillId="3" borderId="24" xfId="0" applyFont="1" applyFill="1" applyBorder="1" applyAlignment="1">
      <alignment vertical="center" wrapText="1"/>
    </xf>
    <xf numFmtId="0" fontId="32" fillId="3" borderId="9" xfId="0" applyFont="1" applyFill="1" applyBorder="1" applyAlignment="1">
      <alignment vertical="center"/>
    </xf>
    <xf numFmtId="0" fontId="21" fillId="3" borderId="23" xfId="0" applyFont="1" applyFill="1" applyBorder="1" applyAlignment="1">
      <alignment vertical="center"/>
    </xf>
    <xf numFmtId="0" fontId="34" fillId="8" borderId="9" xfId="0" applyFont="1" applyFill="1" applyBorder="1" applyAlignment="1">
      <alignment vertical="center" wrapText="1"/>
    </xf>
    <xf numFmtId="0" fontId="33" fillId="3" borderId="28" xfId="0" applyFont="1" applyFill="1" applyBorder="1" applyAlignment="1">
      <alignment vertical="center"/>
    </xf>
    <xf numFmtId="0" fontId="33" fillId="17" borderId="26" xfId="0" applyFont="1" applyFill="1" applyBorder="1" applyAlignment="1">
      <alignment horizontal="center" vertical="center" wrapText="1"/>
    </xf>
    <xf numFmtId="0" fontId="50" fillId="3" borderId="9" xfId="0" applyFont="1" applyFill="1" applyBorder="1" applyAlignment="1">
      <alignment horizontal="left" vertical="center" wrapText="1"/>
    </xf>
    <xf numFmtId="3" fontId="50" fillId="18" borderId="6" xfId="0" applyNumberFormat="1" applyFont="1" applyFill="1" applyBorder="1" applyAlignment="1">
      <alignment horizontal="center" vertical="center" wrapText="1"/>
    </xf>
    <xf numFmtId="3" fontId="50" fillId="18" borderId="7" xfId="0" applyNumberFormat="1" applyFont="1" applyFill="1" applyBorder="1" applyAlignment="1">
      <alignment horizontal="center" vertical="center" wrapText="1"/>
    </xf>
    <xf numFmtId="3" fontId="50" fillId="19" borderId="8" xfId="0" applyNumberFormat="1" applyFont="1" applyFill="1" applyBorder="1" applyAlignment="1">
      <alignment horizontal="center" vertical="center" wrapText="1"/>
    </xf>
    <xf numFmtId="3" fontId="50" fillId="3" borderId="6" xfId="0" applyNumberFormat="1" applyFont="1" applyFill="1" applyBorder="1" applyAlignment="1">
      <alignment horizontal="right" vertical="center" wrapText="1"/>
    </xf>
    <xf numFmtId="3" fontId="50" fillId="3" borderId="7" xfId="0" applyNumberFormat="1" applyFont="1" applyFill="1" applyBorder="1" applyAlignment="1">
      <alignment horizontal="right" vertical="center" wrapText="1"/>
    </xf>
    <xf numFmtId="3" fontId="30" fillId="2" borderId="3" xfId="0" applyNumberFormat="1" applyFont="1" applyFill="1" applyBorder="1" applyAlignment="1">
      <alignment horizontal="right" vertical="center" wrapText="1"/>
    </xf>
    <xf numFmtId="3" fontId="30" fillId="2" borderId="0" xfId="0" applyNumberFormat="1" applyFont="1" applyFill="1" applyBorder="1" applyAlignment="1">
      <alignment horizontal="right" vertical="center" wrapText="1"/>
    </xf>
    <xf numFmtId="3" fontId="30" fillId="20" borderId="0" xfId="0" applyNumberFormat="1" applyFont="1" applyFill="1" applyBorder="1" applyAlignment="1">
      <alignment horizontal="right" vertical="center" wrapText="1"/>
    </xf>
    <xf numFmtId="3" fontId="30" fillId="2" borderId="4" xfId="0" applyNumberFormat="1" applyFont="1" applyFill="1" applyBorder="1" applyAlignment="1">
      <alignment horizontal="right" vertical="center" wrapText="1"/>
    </xf>
    <xf numFmtId="3" fontId="30" fillId="20" borderId="10" xfId="0" applyNumberFormat="1" applyFont="1" applyFill="1" applyBorder="1" applyAlignment="1">
      <alignment horizontal="right" vertical="center" wrapText="1"/>
    </xf>
    <xf numFmtId="0" fontId="28" fillId="3" borderId="3" xfId="0" applyFont="1" applyFill="1" applyBorder="1" applyAlignment="1">
      <alignment horizontal="left" vertical="center" wrapText="1"/>
    </xf>
    <xf numFmtId="3" fontId="50" fillId="3" borderId="3" xfId="0" applyNumberFormat="1" applyFont="1" applyFill="1" applyBorder="1" applyAlignment="1">
      <alignment horizontal="right" vertical="center" wrapText="1"/>
    </xf>
    <xf numFmtId="3" fontId="50" fillId="3" borderId="0" xfId="0" applyNumberFormat="1" applyFont="1" applyFill="1" applyBorder="1" applyAlignment="1">
      <alignment horizontal="right" vertical="center" wrapText="1"/>
    </xf>
    <xf numFmtId="3" fontId="50" fillId="19" borderId="0" xfId="0" applyNumberFormat="1" applyFont="1" applyFill="1" applyBorder="1" applyAlignment="1">
      <alignment horizontal="right" vertical="center" wrapText="1"/>
    </xf>
    <xf numFmtId="3" fontId="50" fillId="19" borderId="10" xfId="0" applyNumberFormat="1" applyFont="1" applyFill="1" applyBorder="1" applyAlignment="1">
      <alignment horizontal="right" vertical="center" wrapText="1"/>
    </xf>
    <xf numFmtId="0" fontId="52" fillId="3" borderId="3" xfId="0" applyFont="1" applyFill="1" applyBorder="1" applyAlignment="1">
      <alignment horizontal="left" vertical="center" wrapText="1" indent="1"/>
    </xf>
    <xf numFmtId="3" fontId="30" fillId="3" borderId="3" xfId="0" applyNumberFormat="1" applyFont="1" applyFill="1" applyBorder="1" applyAlignment="1">
      <alignment horizontal="right" vertical="center" wrapText="1"/>
    </xf>
    <xf numFmtId="3" fontId="30" fillId="3" borderId="0" xfId="0" applyNumberFormat="1" applyFont="1" applyFill="1" applyBorder="1" applyAlignment="1">
      <alignment horizontal="right" vertical="center" wrapText="1"/>
    </xf>
    <xf numFmtId="3" fontId="30" fillId="19" borderId="0" xfId="0" applyNumberFormat="1" applyFont="1" applyFill="1" applyBorder="1" applyAlignment="1">
      <alignment horizontal="right" vertical="center" wrapText="1"/>
    </xf>
    <xf numFmtId="3" fontId="45" fillId="3" borderId="0" xfId="0" applyNumberFormat="1" applyFont="1" applyFill="1" applyBorder="1" applyAlignment="1">
      <alignment horizontal="right" vertical="center" wrapText="1"/>
    </xf>
    <xf numFmtId="3" fontId="30" fillId="19" borderId="10" xfId="0" applyNumberFormat="1" applyFont="1" applyFill="1" applyBorder="1" applyAlignment="1">
      <alignment horizontal="right" vertical="center" wrapText="1"/>
    </xf>
    <xf numFmtId="0" fontId="53" fillId="3" borderId="3" xfId="0" applyFont="1" applyFill="1" applyBorder="1" applyAlignment="1">
      <alignment horizontal="left" vertical="center" wrapText="1" indent="3"/>
    </xf>
    <xf numFmtId="3" fontId="54" fillId="3" borderId="3" xfId="0" applyNumberFormat="1" applyFont="1" applyFill="1" applyBorder="1" applyAlignment="1">
      <alignment horizontal="right" vertical="center" wrapText="1"/>
    </xf>
    <xf numFmtId="3" fontId="54" fillId="3" borderId="0" xfId="0" applyNumberFormat="1" applyFont="1" applyFill="1" applyBorder="1" applyAlignment="1">
      <alignment horizontal="right" vertical="center" wrapText="1"/>
    </xf>
    <xf numFmtId="3" fontId="54" fillId="19" borderId="0" xfId="0" applyNumberFormat="1" applyFont="1" applyFill="1" applyBorder="1" applyAlignment="1">
      <alignment horizontal="right" vertical="center" wrapText="1"/>
    </xf>
    <xf numFmtId="3" fontId="22" fillId="3" borderId="0" xfId="0" applyNumberFormat="1" applyFont="1" applyFill="1" applyBorder="1" applyAlignment="1">
      <alignment horizontal="right" vertical="center" wrapText="1"/>
    </xf>
    <xf numFmtId="3" fontId="54" fillId="19" borderId="10" xfId="0" applyNumberFormat="1" applyFont="1" applyFill="1" applyBorder="1" applyAlignment="1">
      <alignment horizontal="right" vertical="center" wrapText="1"/>
    </xf>
    <xf numFmtId="3" fontId="54" fillId="0" borderId="0" xfId="0" applyNumberFormat="1" applyFont="1" applyFill="1" applyBorder="1" applyAlignment="1">
      <alignment horizontal="right" vertical="center" wrapText="1"/>
    </xf>
    <xf numFmtId="3" fontId="30" fillId="3" borderId="29" xfId="0" applyNumberFormat="1" applyFont="1" applyFill="1" applyBorder="1" applyAlignment="1">
      <alignment horizontal="right" vertical="center" wrapText="1"/>
    </xf>
    <xf numFmtId="3" fontId="30" fillId="3" borderId="30" xfId="0" applyNumberFormat="1" applyFont="1" applyFill="1" applyBorder="1" applyAlignment="1">
      <alignment horizontal="right" vertical="center" wrapText="1"/>
    </xf>
    <xf numFmtId="3" fontId="50" fillId="3" borderId="31" xfId="0" applyNumberFormat="1" applyFont="1" applyFill="1" applyBorder="1" applyAlignment="1">
      <alignment horizontal="right" vertical="center" wrapText="1"/>
    </xf>
    <xf numFmtId="3" fontId="50" fillId="3" borderId="32" xfId="0" applyNumberFormat="1" applyFont="1" applyFill="1" applyBorder="1" applyAlignment="1">
      <alignment horizontal="right" vertical="center" wrapText="1"/>
    </xf>
    <xf numFmtId="3" fontId="50" fillId="19" borderId="32" xfId="0" applyNumberFormat="1" applyFont="1" applyFill="1" applyBorder="1" applyAlignment="1">
      <alignment horizontal="right" vertical="center" wrapText="1"/>
    </xf>
    <xf numFmtId="3" fontId="29" fillId="3" borderId="32" xfId="0" applyNumberFormat="1" applyFont="1" applyFill="1" applyBorder="1" applyAlignment="1">
      <alignment horizontal="right" vertical="center" wrapText="1"/>
    </xf>
    <xf numFmtId="3" fontId="50" fillId="19" borderId="33" xfId="0" applyNumberFormat="1" applyFont="1" applyFill="1" applyBorder="1" applyAlignment="1">
      <alignment horizontal="right" vertical="center" wrapText="1"/>
    </xf>
    <xf numFmtId="0" fontId="52" fillId="3" borderId="4" xfId="0" applyFont="1" applyFill="1" applyBorder="1" applyAlignment="1">
      <alignment horizontal="left" vertical="center"/>
    </xf>
    <xf numFmtId="165" fontId="30" fillId="3" borderId="4" xfId="0" applyNumberFormat="1" applyFont="1" applyFill="1" applyBorder="1" applyAlignment="1">
      <alignment horizontal="right" vertical="center" wrapText="1"/>
    </xf>
    <xf numFmtId="165" fontId="30" fillId="3" borderId="11" xfId="0" applyNumberFormat="1" applyFont="1" applyFill="1" applyBorder="1" applyAlignment="1">
      <alignment horizontal="right" vertical="center" wrapText="1"/>
    </xf>
    <xf numFmtId="165" fontId="30" fillId="19" borderId="11" xfId="0" applyNumberFormat="1" applyFont="1" applyFill="1" applyBorder="1" applyAlignment="1">
      <alignment horizontal="right" vertical="center" wrapText="1"/>
    </xf>
    <xf numFmtId="168" fontId="45" fillId="3" borderId="0" xfId="0" applyNumberFormat="1" applyFont="1" applyFill="1" applyBorder="1" applyAlignment="1">
      <alignment horizontal="right" vertical="center" wrapText="1"/>
    </xf>
    <xf numFmtId="165" fontId="30" fillId="19" borderId="12" xfId="0" applyNumberFormat="1" applyFont="1" applyFill="1" applyBorder="1" applyAlignment="1">
      <alignment horizontal="right" vertical="center" wrapText="1"/>
    </xf>
    <xf numFmtId="0" fontId="52" fillId="3" borderId="3" xfId="0" applyFont="1" applyFill="1" applyBorder="1" applyAlignment="1">
      <alignment horizontal="left" vertical="center" wrapText="1"/>
    </xf>
    <xf numFmtId="3" fontId="30" fillId="18" borderId="3" xfId="0" applyNumberFormat="1" applyFont="1" applyFill="1" applyBorder="1" applyAlignment="1">
      <alignment horizontal="right" vertical="center" wrapText="1"/>
    </xf>
    <xf numFmtId="3" fontId="30" fillId="18" borderId="0" xfId="0" applyNumberFormat="1" applyFont="1" applyFill="1" applyBorder="1" applyAlignment="1">
      <alignment horizontal="right" vertical="center" wrapText="1"/>
    </xf>
    <xf numFmtId="167" fontId="30" fillId="3" borderId="0" xfId="0" applyNumberFormat="1" applyFont="1" applyFill="1" applyBorder="1" applyAlignment="1">
      <alignment horizontal="right" vertical="center" wrapText="1"/>
    </xf>
    <xf numFmtId="167" fontId="30" fillId="19" borderId="0" xfId="0" applyNumberFormat="1" applyFont="1" applyFill="1" applyBorder="1" applyAlignment="1">
      <alignment horizontal="right" vertical="center" wrapText="1"/>
    </xf>
    <xf numFmtId="167" fontId="30" fillId="3" borderId="3" xfId="0" applyNumberFormat="1" applyFont="1" applyFill="1" applyBorder="1" applyAlignment="1">
      <alignment horizontal="right" vertical="center" wrapText="1"/>
    </xf>
    <xf numFmtId="167" fontId="45" fillId="3" borderId="0" xfId="0" applyNumberFormat="1" applyFont="1" applyFill="1" applyBorder="1" applyAlignment="1">
      <alignment horizontal="right" vertical="center" wrapText="1"/>
    </xf>
    <xf numFmtId="167" fontId="30" fillId="19" borderId="10" xfId="0" applyNumberFormat="1" applyFont="1" applyFill="1" applyBorder="1" applyAlignment="1">
      <alignment horizontal="right" vertical="center" wrapText="1"/>
    </xf>
    <xf numFmtId="2" fontId="30" fillId="3" borderId="5" xfId="0" applyNumberFormat="1" applyFont="1" applyFill="1" applyBorder="1" applyAlignment="1">
      <alignment horizontal="right" vertical="center" wrapText="1"/>
    </xf>
    <xf numFmtId="2" fontId="30" fillId="3" borderId="18" xfId="0" applyNumberFormat="1" applyFont="1" applyFill="1" applyBorder="1" applyAlignment="1">
      <alignment horizontal="right" vertical="center" wrapText="1"/>
    </xf>
    <xf numFmtId="2" fontId="30" fillId="19" borderId="19" xfId="0" applyNumberFormat="1" applyFont="1" applyFill="1" applyBorder="1" applyAlignment="1">
      <alignment horizontal="right" vertical="center" wrapText="1"/>
    </xf>
    <xf numFmtId="4" fontId="45" fillId="3" borderId="18" xfId="0" applyNumberFormat="1" applyFont="1" applyFill="1" applyBorder="1" applyAlignment="1">
      <alignment horizontal="right" vertical="center" wrapText="1"/>
    </xf>
    <xf numFmtId="0" fontId="28" fillId="3" borderId="4" xfId="0" applyFont="1" applyFill="1" applyBorder="1" applyAlignment="1">
      <alignment horizontal="left" vertical="center"/>
    </xf>
    <xf numFmtId="3" fontId="50" fillId="3" borderId="4" xfId="0" applyNumberFormat="1" applyFont="1" applyFill="1" applyBorder="1" applyAlignment="1">
      <alignment horizontal="right" vertical="center" wrapText="1"/>
    </xf>
    <xf numFmtId="3" fontId="50" fillId="3" borderId="11" xfId="0" applyNumberFormat="1" applyFont="1" applyFill="1" applyBorder="1" applyAlignment="1">
      <alignment horizontal="right" vertical="center" wrapText="1"/>
    </xf>
    <xf numFmtId="0" fontId="28" fillId="3" borderId="34" xfId="0" applyFont="1" applyFill="1" applyBorder="1" applyAlignment="1">
      <alignment horizontal="left" vertical="center" wrapText="1"/>
    </xf>
    <xf numFmtId="3" fontId="18" fillId="3" borderId="34" xfId="0" applyNumberFormat="1" applyFont="1" applyFill="1" applyBorder="1" applyAlignment="1">
      <alignment vertical="center"/>
    </xf>
    <xf numFmtId="3" fontId="18" fillId="3" borderId="32" xfId="0" applyNumberFormat="1" applyFont="1" applyFill="1" applyBorder="1" applyAlignment="1">
      <alignment vertical="center"/>
    </xf>
    <xf numFmtId="3" fontId="18" fillId="19" borderId="32" xfId="0" applyNumberFormat="1" applyFont="1" applyFill="1" applyBorder="1" applyAlignment="1">
      <alignment vertical="center"/>
    </xf>
    <xf numFmtId="3" fontId="18" fillId="3" borderId="31" xfId="0" applyNumberFormat="1" applyFont="1" applyFill="1" applyBorder="1" applyAlignment="1">
      <alignment vertical="center"/>
    </xf>
    <xf numFmtId="3" fontId="18" fillId="19" borderId="33" xfId="0" applyNumberFormat="1" applyFont="1" applyFill="1" applyBorder="1" applyAlignment="1">
      <alignment vertical="center"/>
    </xf>
    <xf numFmtId="0" fontId="27" fillId="2" borderId="4" xfId="0" applyFont="1" applyFill="1" applyBorder="1" applyAlignment="1">
      <alignment horizontal="left" vertical="center" wrapText="1"/>
    </xf>
    <xf numFmtId="3" fontId="27" fillId="21" borderId="4" xfId="0" applyNumberFormat="1" applyFont="1" applyFill="1" applyBorder="1" applyAlignment="1">
      <alignment horizontal="right" vertical="center" wrapText="1"/>
    </xf>
    <xf numFmtId="3" fontId="27" fillId="21" borderId="11" xfId="0" applyNumberFormat="1" applyFont="1" applyFill="1" applyBorder="1" applyAlignment="1">
      <alignment horizontal="right" vertical="center" wrapText="1"/>
    </xf>
    <xf numFmtId="3" fontId="27" fillId="20" borderId="12" xfId="0" applyNumberFormat="1" applyFont="1" applyFill="1" applyBorder="1" applyAlignment="1">
      <alignment horizontal="right" vertical="center" wrapText="1"/>
    </xf>
    <xf numFmtId="165" fontId="56" fillId="2" borderId="4" xfId="0" applyNumberFormat="1" applyFont="1" applyFill="1" applyBorder="1" applyAlignment="1">
      <alignment horizontal="right" vertical="center" wrapText="1"/>
    </xf>
    <xf numFmtId="165" fontId="56" fillId="2" borderId="11" xfId="0" applyNumberFormat="1" applyFont="1" applyFill="1" applyBorder="1" applyAlignment="1">
      <alignment horizontal="right" vertical="center" wrapText="1"/>
    </xf>
    <xf numFmtId="165" fontId="27" fillId="2" borderId="0" xfId="0" applyNumberFormat="1" applyFont="1" applyFill="1" applyBorder="1" applyAlignment="1">
      <alignment horizontal="right" vertical="center" wrapText="1"/>
    </xf>
    <xf numFmtId="3" fontId="50" fillId="18" borderId="3" xfId="0" applyNumberFormat="1" applyFont="1" applyFill="1" applyBorder="1" applyAlignment="1">
      <alignment horizontal="right" vertical="center" wrapText="1"/>
    </xf>
    <xf numFmtId="3" fontId="50" fillId="18" borderId="0" xfId="0" applyNumberFormat="1" applyFont="1" applyFill="1" applyBorder="1" applyAlignment="1">
      <alignment horizontal="right" vertical="center" wrapText="1"/>
    </xf>
    <xf numFmtId="3" fontId="30" fillId="18" borderId="5" xfId="0" applyNumberFormat="1" applyFont="1" applyFill="1" applyBorder="1" applyAlignment="1">
      <alignment horizontal="right" vertical="center" wrapText="1"/>
    </xf>
    <xf numFmtId="3" fontId="30" fillId="18" borderId="18" xfId="0" applyNumberFormat="1" applyFont="1" applyFill="1" applyBorder="1" applyAlignment="1">
      <alignment horizontal="right" vertical="center" wrapText="1"/>
    </xf>
    <xf numFmtId="3" fontId="30" fillId="18" borderId="6" xfId="0" applyNumberFormat="1" applyFont="1" applyFill="1" applyBorder="1" applyAlignment="1">
      <alignment horizontal="right" vertical="center" wrapText="1"/>
    </xf>
    <xf numFmtId="3" fontId="30" fillId="18" borderId="7" xfId="0" applyNumberFormat="1" applyFont="1" applyFill="1" applyBorder="1" applyAlignment="1">
      <alignment horizontal="right" vertical="center" wrapText="1"/>
    </xf>
    <xf numFmtId="165" fontId="30" fillId="3" borderId="6" xfId="0" applyNumberFormat="1" applyFont="1" applyFill="1" applyBorder="1" applyAlignment="1">
      <alignment horizontal="right" vertical="center" wrapText="1"/>
    </xf>
    <xf numFmtId="165" fontId="30" fillId="3" borderId="7" xfId="0" applyNumberFormat="1" applyFont="1" applyFill="1" applyBorder="1" applyAlignment="1">
      <alignment horizontal="right" vertical="center" wrapText="1"/>
    </xf>
    <xf numFmtId="168" fontId="30" fillId="19" borderId="8" xfId="0" applyNumberFormat="1" applyFont="1" applyFill="1" applyBorder="1" applyAlignment="1">
      <alignment horizontal="right" vertical="center" wrapText="1"/>
    </xf>
    <xf numFmtId="0" fontId="30" fillId="3" borderId="7" xfId="0" applyFont="1" applyFill="1" applyBorder="1" applyAlignment="1">
      <alignment horizontal="right" vertical="center" wrapText="1"/>
    </xf>
    <xf numFmtId="0" fontId="28" fillId="3" borderId="4" xfId="0" applyFont="1" applyFill="1" applyBorder="1" applyAlignment="1">
      <alignment horizontal="left" vertical="center" wrapText="1"/>
    </xf>
    <xf numFmtId="3" fontId="50" fillId="18" borderId="4" xfId="0" applyNumberFormat="1" applyFont="1" applyFill="1" applyBorder="1" applyAlignment="1">
      <alignment horizontal="right" vertical="center" wrapText="1"/>
    </xf>
    <xf numFmtId="3" fontId="50" fillId="19" borderId="12" xfId="0" applyNumberFormat="1" applyFont="1" applyFill="1" applyBorder="1" applyAlignment="1">
      <alignment horizontal="right" vertical="center" wrapText="1"/>
    </xf>
    <xf numFmtId="0" fontId="52" fillId="3" borderId="5" xfId="0" applyFont="1" applyFill="1" applyBorder="1" applyAlignment="1">
      <alignment horizontal="left" vertical="center" wrapText="1" indent="1"/>
    </xf>
    <xf numFmtId="3" fontId="30" fillId="19" borderId="19" xfId="0" applyNumberFormat="1" applyFont="1" applyFill="1" applyBorder="1" applyAlignment="1">
      <alignment horizontal="right" vertical="center" wrapText="1"/>
    </xf>
    <xf numFmtId="3" fontId="30" fillId="3" borderId="5" xfId="0" applyNumberFormat="1" applyFont="1" applyFill="1" applyBorder="1" applyAlignment="1">
      <alignment horizontal="right" vertical="center" wrapText="1"/>
    </xf>
    <xf numFmtId="3" fontId="30" fillId="3" borderId="18" xfId="0" applyNumberFormat="1" applyFont="1" applyFill="1" applyBorder="1" applyAlignment="1">
      <alignment horizontal="right" vertical="center" wrapText="1"/>
    </xf>
    <xf numFmtId="3" fontId="45" fillId="3" borderId="18" xfId="0" applyNumberFormat="1" applyFont="1" applyFill="1" applyBorder="1" applyAlignment="1">
      <alignment horizontal="right" vertical="center" wrapText="1"/>
    </xf>
    <xf numFmtId="0" fontId="24" fillId="3" borderId="22" xfId="0" applyFont="1" applyFill="1" applyBorder="1" applyAlignment="1">
      <alignment vertical="center" wrapText="1"/>
    </xf>
    <xf numFmtId="10" fontId="24" fillId="2" borderId="0" xfId="0" applyNumberFormat="1" applyFont="1" applyFill="1" applyAlignment="1">
      <alignment horizontal="right" vertical="center" wrapText="1" indent="1"/>
    </xf>
    <xf numFmtId="0" fontId="26" fillId="3" borderId="23" xfId="0" applyFont="1" applyFill="1" applyBorder="1" applyAlignment="1">
      <alignment vertical="center" wrapText="1"/>
    </xf>
    <xf numFmtId="0" fontId="0" fillId="3" borderId="0" xfId="0" applyFill="1" applyAlignment="1">
      <alignment wrapText="1"/>
    </xf>
    <xf numFmtId="0" fontId="46" fillId="3" borderId="0" xfId="0" applyFont="1" applyFill="1" applyAlignment="1">
      <alignment horizontal="left"/>
    </xf>
    <xf numFmtId="0" fontId="46" fillId="3" borderId="0" xfId="0" applyFont="1" applyFill="1" applyAlignment="1"/>
    <xf numFmtId="167" fontId="30" fillId="2" borderId="3" xfId="2" applyNumberFormat="1" applyFont="1" applyFill="1" applyBorder="1" applyAlignment="1">
      <alignment horizontal="right" vertical="center" wrapText="1"/>
    </xf>
    <xf numFmtId="0" fontId="28" fillId="3" borderId="3" xfId="0" applyFont="1" applyFill="1" applyBorder="1" applyAlignment="1">
      <alignment horizontal="left" vertical="center"/>
    </xf>
    <xf numFmtId="3" fontId="54" fillId="3" borderId="3" xfId="2" applyNumberFormat="1" applyFont="1" applyFill="1" applyBorder="1" applyAlignment="1">
      <alignment horizontal="right" vertical="center" wrapText="1"/>
    </xf>
    <xf numFmtId="3" fontId="30" fillId="3" borderId="3" xfId="2" applyNumberFormat="1" applyFont="1" applyFill="1" applyBorder="1" applyAlignment="1">
      <alignment horizontal="right" vertical="center" wrapText="1"/>
    </xf>
    <xf numFmtId="3" fontId="50" fillId="19" borderId="10" xfId="0" applyNumberFormat="1" applyFont="1" applyFill="1" applyBorder="1" applyAlignment="1">
      <alignment horizontal="center" vertical="center" wrapText="1"/>
    </xf>
    <xf numFmtId="3" fontId="30" fillId="19" borderId="10" xfId="0" applyNumberFormat="1" applyFont="1" applyFill="1" applyBorder="1" applyAlignment="1">
      <alignment horizontal="center" vertical="center" wrapText="1"/>
    </xf>
    <xf numFmtId="0" fontId="52" fillId="3" borderId="5" xfId="0" applyFont="1" applyFill="1" applyBorder="1" applyAlignment="1">
      <alignment horizontal="left" vertical="center" wrapText="1"/>
    </xf>
    <xf numFmtId="3" fontId="30" fillId="19" borderId="8" xfId="0" applyNumberFormat="1" applyFont="1" applyFill="1" applyBorder="1" applyAlignment="1">
      <alignment horizontal="center" vertical="center" wrapText="1"/>
    </xf>
    <xf numFmtId="3" fontId="30" fillId="18" borderId="11" xfId="0" applyNumberFormat="1" applyFont="1" applyFill="1" applyBorder="1" applyAlignment="1">
      <alignment horizontal="right" vertical="center" wrapText="1"/>
    </xf>
    <xf numFmtId="3" fontId="30" fillId="19" borderId="12" xfId="0" applyNumberFormat="1" applyFont="1" applyFill="1" applyBorder="1" applyAlignment="1">
      <alignment horizontal="center" vertical="center" wrapText="1"/>
    </xf>
    <xf numFmtId="3" fontId="30" fillId="19" borderId="19" xfId="0" applyNumberFormat="1" applyFont="1" applyFill="1" applyBorder="1" applyAlignment="1">
      <alignment horizontal="center" vertical="center" wrapText="1"/>
    </xf>
    <xf numFmtId="0" fontId="14" fillId="3" borderId="24" xfId="0" applyFont="1" applyFill="1" applyBorder="1" applyAlignment="1">
      <alignment vertical="center" wrapText="1"/>
    </xf>
    <xf numFmtId="0" fontId="26" fillId="5" borderId="18" xfId="0" applyFont="1" applyFill="1" applyBorder="1" applyAlignment="1">
      <alignment horizontal="right" vertical="center" wrapText="1"/>
    </xf>
    <xf numFmtId="0" fontId="41" fillId="3" borderId="22" xfId="0" applyFont="1" applyFill="1" applyBorder="1" applyAlignment="1">
      <alignment vertical="center"/>
    </xf>
    <xf numFmtId="0" fontId="39" fillId="3" borderId="3" xfId="0" applyFont="1" applyFill="1" applyBorder="1" applyAlignment="1">
      <alignment vertical="center"/>
    </xf>
    <xf numFmtId="0" fontId="47" fillId="3" borderId="3" xfId="0" applyFont="1" applyFill="1" applyBorder="1" applyAlignment="1">
      <alignment horizontal="left" vertical="center" indent="3"/>
    </xf>
    <xf numFmtId="0" fontId="39" fillId="3" borderId="0" xfId="0" applyFont="1" applyFill="1"/>
    <xf numFmtId="0" fontId="39" fillId="0" borderId="0" xfId="0" applyFont="1"/>
    <xf numFmtId="0" fontId="37" fillId="6" borderId="26" xfId="0" applyFont="1" applyFill="1" applyBorder="1" applyAlignment="1">
      <alignment horizontal="right" vertical="center"/>
    </xf>
    <xf numFmtId="0" fontId="37" fillId="15" borderId="27" xfId="0" applyFont="1" applyFill="1" applyBorder="1" applyAlignment="1">
      <alignment horizontal="right" vertical="center"/>
    </xf>
    <xf numFmtId="0" fontId="37" fillId="15" borderId="27" xfId="0" applyFont="1" applyFill="1" applyBorder="1" applyAlignment="1">
      <alignment horizontal="right" vertical="center" wrapText="1"/>
    </xf>
    <xf numFmtId="0" fontId="63" fillId="3" borderId="0" xfId="0" applyFont="1" applyFill="1"/>
    <xf numFmtId="0" fontId="63" fillId="0" borderId="0" xfId="0" applyFont="1"/>
    <xf numFmtId="166" fontId="63" fillId="3" borderId="0" xfId="0" applyNumberFormat="1" applyFont="1" applyFill="1" applyBorder="1" applyAlignment="1">
      <alignment horizontal="right" vertical="center"/>
    </xf>
    <xf numFmtId="0" fontId="63" fillId="3" borderId="3" xfId="0" applyFont="1" applyFill="1" applyBorder="1" applyAlignment="1">
      <alignment horizontal="left" vertical="center"/>
    </xf>
    <xf numFmtId="0" fontId="64" fillId="3" borderId="0" xfId="0" applyFont="1" applyFill="1"/>
    <xf numFmtId="0" fontId="37" fillId="3" borderId="0" xfId="0" applyFont="1" applyFill="1"/>
    <xf numFmtId="0" fontId="37" fillId="6" borderId="25" xfId="0" applyFont="1" applyFill="1" applyBorder="1" applyAlignment="1">
      <alignment horizontal="left" vertical="center"/>
    </xf>
    <xf numFmtId="0" fontId="37" fillId="3" borderId="3" xfId="0" applyFont="1" applyFill="1" applyBorder="1" applyAlignment="1">
      <alignment horizontal="left" vertical="center"/>
    </xf>
    <xf numFmtId="0" fontId="63" fillId="3" borderId="0" xfId="0" applyFont="1" applyFill="1" applyAlignment="1">
      <alignment horizontal="left" vertical="center"/>
    </xf>
    <xf numFmtId="0" fontId="63" fillId="3" borderId="0" xfId="0" applyFont="1" applyFill="1" applyBorder="1"/>
    <xf numFmtId="0" fontId="63" fillId="3" borderId="0" xfId="0" applyFont="1" applyFill="1" applyAlignment="1">
      <alignment vertical="center"/>
    </xf>
    <xf numFmtId="0" fontId="63" fillId="0" borderId="0" xfId="0" applyFont="1" applyAlignment="1">
      <alignment vertical="center"/>
    </xf>
    <xf numFmtId="0" fontId="63" fillId="0" borderId="0" xfId="0" applyFont="1" applyBorder="1"/>
    <xf numFmtId="0" fontId="57" fillId="7" borderId="6" xfId="0" applyFont="1" applyFill="1" applyBorder="1" applyAlignment="1">
      <alignment horizontal="right" vertical="center"/>
    </xf>
    <xf numFmtId="0" fontId="26" fillId="6" borderId="7" xfId="0" applyFont="1" applyFill="1" applyBorder="1" applyAlignment="1">
      <alignment horizontal="right" vertical="center" wrapText="1"/>
    </xf>
    <xf numFmtId="0" fontId="58" fillId="6" borderId="8" xfId="0" applyFont="1" applyFill="1" applyBorder="1" applyAlignment="1">
      <alignment horizontal="right" vertical="center" wrapText="1"/>
    </xf>
    <xf numFmtId="0" fontId="49" fillId="7" borderId="13" xfId="0" applyFont="1" applyFill="1" applyBorder="1" applyAlignment="1">
      <alignment horizontal="center" vertical="center"/>
    </xf>
    <xf numFmtId="0" fontId="49" fillId="7" borderId="0" xfId="0" applyFont="1" applyFill="1" applyBorder="1" applyAlignment="1">
      <alignment horizontal="center" vertical="center"/>
    </xf>
    <xf numFmtId="0" fontId="49" fillId="7" borderId="11" xfId="0" applyFont="1" applyFill="1" applyBorder="1" applyAlignment="1">
      <alignment horizontal="center" vertical="center"/>
    </xf>
    <xf numFmtId="0" fontId="49" fillId="7" borderId="6" xfId="0" applyFont="1" applyFill="1" applyBorder="1" applyAlignment="1">
      <alignment horizontal="center" vertical="center"/>
    </xf>
    <xf numFmtId="0" fontId="49" fillId="7" borderId="7" xfId="0" applyFont="1" applyFill="1" applyBorder="1" applyAlignment="1">
      <alignment horizontal="center" vertical="center"/>
    </xf>
    <xf numFmtId="0" fontId="21" fillId="3" borderId="23" xfId="0" applyFont="1" applyFill="1" applyBorder="1" applyAlignment="1">
      <alignment vertical="center" wrapText="1"/>
    </xf>
    <xf numFmtId="0" fontId="33" fillId="17" borderId="27" xfId="0" applyFont="1" applyFill="1" applyBorder="1" applyAlignment="1">
      <alignment horizontal="center" vertical="center" wrapText="1"/>
    </xf>
    <xf numFmtId="0" fontId="16" fillId="3" borderId="0" xfId="0" applyFont="1" applyFill="1" applyAlignment="1">
      <alignment vertical="center"/>
    </xf>
    <xf numFmtId="0" fontId="16" fillId="3" borderId="0" xfId="0" applyFont="1" applyFill="1" applyAlignment="1">
      <alignment vertical="top"/>
    </xf>
    <xf numFmtId="0" fontId="16" fillId="3" borderId="0" xfId="0" applyFont="1" applyFill="1" applyBorder="1" applyAlignment="1">
      <alignment vertical="center"/>
    </xf>
    <xf numFmtId="10" fontId="24" fillId="2" borderId="35" xfId="0" applyNumberFormat="1" applyFont="1" applyFill="1" applyBorder="1" applyAlignment="1">
      <alignment horizontal="right" vertical="center" wrapText="1" indent="1"/>
    </xf>
    <xf numFmtId="10" fontId="24" fillId="3" borderId="36" xfId="0" applyNumberFormat="1" applyFont="1" applyFill="1" applyBorder="1" applyAlignment="1">
      <alignment horizontal="right" vertical="center" wrapText="1" indent="1"/>
    </xf>
    <xf numFmtId="170" fontId="63" fillId="3" borderId="0" xfId="0" applyNumberFormat="1" applyFont="1" applyFill="1" applyBorder="1" applyAlignment="1">
      <alignment vertical="center"/>
    </xf>
    <xf numFmtId="170" fontId="63" fillId="16" borderId="10" xfId="0" applyNumberFormat="1" applyFont="1" applyFill="1" applyBorder="1" applyAlignment="1">
      <alignment vertical="center"/>
    </xf>
    <xf numFmtId="170" fontId="35" fillId="3" borderId="0" xfId="1" applyNumberFormat="1" applyFont="1" applyFill="1" applyBorder="1" applyAlignment="1">
      <alignment horizontal="right" vertical="center"/>
    </xf>
    <xf numFmtId="170" fontId="64" fillId="3" borderId="0" xfId="0" applyNumberFormat="1" applyFont="1" applyFill="1" applyBorder="1" applyAlignment="1">
      <alignment vertical="center"/>
    </xf>
    <xf numFmtId="170" fontId="64" fillId="16" borderId="10" xfId="0" applyNumberFormat="1" applyFont="1" applyFill="1" applyBorder="1" applyAlignment="1">
      <alignment vertical="center"/>
    </xf>
    <xf numFmtId="170" fontId="63" fillId="3" borderId="18" xfId="0" applyNumberFormat="1" applyFont="1" applyFill="1" applyBorder="1" applyAlignment="1">
      <alignment vertical="center"/>
    </xf>
    <xf numFmtId="170" fontId="63" fillId="16" borderId="19" xfId="0" applyNumberFormat="1" applyFont="1" applyFill="1" applyBorder="1" applyAlignment="1">
      <alignment vertical="center"/>
    </xf>
    <xf numFmtId="170" fontId="37" fillId="14" borderId="7" xfId="0" applyNumberFormat="1" applyFont="1" applyFill="1" applyBorder="1" applyAlignment="1">
      <alignment vertical="center"/>
    </xf>
    <xf numFmtId="170" fontId="37" fillId="14" borderId="8" xfId="0" applyNumberFormat="1" applyFont="1" applyFill="1" applyBorder="1" applyAlignment="1">
      <alignment vertical="center"/>
    </xf>
    <xf numFmtId="170" fontId="63" fillId="3" borderId="11" xfId="0" applyNumberFormat="1" applyFont="1" applyFill="1" applyBorder="1" applyAlignment="1">
      <alignment vertical="center"/>
    </xf>
    <xf numFmtId="170" fontId="63" fillId="16" borderId="12" xfId="0" applyNumberFormat="1" applyFont="1" applyFill="1" applyBorder="1" applyAlignment="1">
      <alignment vertical="center"/>
    </xf>
    <xf numFmtId="170" fontId="35" fillId="3" borderId="0" xfId="0" applyNumberFormat="1" applyFont="1" applyFill="1" applyBorder="1" applyAlignment="1">
      <alignment horizontal="right" vertical="center"/>
    </xf>
    <xf numFmtId="170" fontId="37" fillId="6" borderId="26" xfId="0" applyNumberFormat="1" applyFont="1" applyFill="1" applyBorder="1" applyAlignment="1">
      <alignment vertical="center"/>
    </xf>
    <xf numFmtId="170" fontId="37" fillId="15" borderId="27" xfId="0" applyNumberFormat="1" applyFont="1" applyFill="1" applyBorder="1" applyAlignment="1">
      <alignment vertical="center"/>
    </xf>
    <xf numFmtId="170" fontId="33" fillId="6" borderId="27" xfId="0" applyNumberFormat="1" applyFont="1" applyFill="1" applyBorder="1" applyAlignment="1">
      <alignment vertical="center"/>
    </xf>
    <xf numFmtId="170" fontId="35" fillId="16" borderId="10" xfId="0" applyNumberFormat="1" applyFont="1" applyFill="1" applyBorder="1" applyAlignment="1">
      <alignment horizontal="right" vertical="center"/>
    </xf>
    <xf numFmtId="170" fontId="63" fillId="3" borderId="0" xfId="0" applyNumberFormat="1" applyFont="1" applyFill="1" applyBorder="1" applyAlignment="1">
      <alignment horizontal="right" vertical="center"/>
    </xf>
    <xf numFmtId="170" fontId="21" fillId="16" borderId="10" xfId="0" applyNumberFormat="1" applyFont="1" applyFill="1" applyBorder="1" applyAlignment="1">
      <alignment vertical="center"/>
    </xf>
    <xf numFmtId="170" fontId="65" fillId="3" borderId="0" xfId="0" applyNumberFormat="1" applyFont="1" applyFill="1" applyBorder="1" applyAlignment="1">
      <alignment horizontal="right" vertical="center"/>
    </xf>
    <xf numFmtId="170" fontId="66" fillId="3" borderId="0" xfId="0" applyNumberFormat="1" applyFont="1" applyFill="1" applyBorder="1" applyAlignment="1">
      <alignment horizontal="right" vertical="center"/>
    </xf>
    <xf numFmtId="170" fontId="36" fillId="16" borderId="10" xfId="0" applyNumberFormat="1" applyFont="1" applyFill="1" applyBorder="1" applyAlignment="1">
      <alignment horizontal="right" vertical="center"/>
    </xf>
    <xf numFmtId="171" fontId="37" fillId="3" borderId="0" xfId="0" applyNumberFormat="1" applyFont="1" applyFill="1" applyBorder="1" applyAlignment="1">
      <alignment vertical="center"/>
    </xf>
    <xf numFmtId="171" fontId="37" fillId="16" borderId="0" xfId="0" applyNumberFormat="1" applyFont="1" applyFill="1" applyBorder="1" applyAlignment="1">
      <alignment vertical="center"/>
    </xf>
    <xf numFmtId="171" fontId="37" fillId="3" borderId="3" xfId="0" applyNumberFormat="1" applyFont="1" applyFill="1" applyBorder="1" applyAlignment="1">
      <alignment vertical="center"/>
    </xf>
    <xf numFmtId="170" fontId="33" fillId="3" borderId="7" xfId="0" applyNumberFormat="1" applyFont="1" applyFill="1" applyBorder="1" applyAlignment="1">
      <alignment vertical="center"/>
    </xf>
    <xf numFmtId="170" fontId="33" fillId="2" borderId="7" xfId="0" applyNumberFormat="1" applyFont="1" applyFill="1" applyBorder="1" applyAlignment="1">
      <alignment vertical="center"/>
    </xf>
    <xf numFmtId="170" fontId="33" fillId="3" borderId="6" xfId="0" applyNumberFormat="1" applyFont="1" applyFill="1" applyBorder="1" applyAlignment="1">
      <alignment vertical="center"/>
    </xf>
    <xf numFmtId="170" fontId="33" fillId="2" borderId="8" xfId="0" applyNumberFormat="1" applyFont="1" applyFill="1" applyBorder="1" applyAlignment="1">
      <alignment vertical="center"/>
    </xf>
    <xf numFmtId="170" fontId="21" fillId="3" borderId="0" xfId="0" applyNumberFormat="1" applyFont="1" applyFill="1" applyAlignment="1">
      <alignment vertical="center"/>
    </xf>
    <xf numFmtId="170" fontId="21" fillId="2" borderId="0" xfId="0" applyNumberFormat="1" applyFont="1" applyFill="1" applyAlignment="1">
      <alignment vertical="center"/>
    </xf>
    <xf numFmtId="170" fontId="21" fillId="3" borderId="3" xfId="0" applyNumberFormat="1" applyFont="1" applyFill="1" applyBorder="1" applyAlignment="1">
      <alignment vertical="center"/>
    </xf>
    <xf numFmtId="170" fontId="21" fillId="3" borderId="0" xfId="0" applyNumberFormat="1" applyFont="1" applyFill="1" applyBorder="1" applyAlignment="1">
      <alignment vertical="center"/>
    </xf>
    <xf numFmtId="170" fontId="21" fillId="2" borderId="10" xfId="0" applyNumberFormat="1" applyFont="1" applyFill="1" applyBorder="1" applyAlignment="1">
      <alignment vertical="center"/>
    </xf>
    <xf numFmtId="170" fontId="33" fillId="14" borderId="7" xfId="0" applyNumberFormat="1" applyFont="1" applyFill="1" applyBorder="1" applyAlignment="1">
      <alignment vertical="center"/>
    </xf>
    <xf numFmtId="170" fontId="33" fillId="9" borderId="7" xfId="0" applyNumberFormat="1" applyFont="1" applyFill="1" applyBorder="1" applyAlignment="1">
      <alignment vertical="center"/>
    </xf>
    <xf numFmtId="170" fontId="33" fillId="14" borderId="6" xfId="0" applyNumberFormat="1" applyFont="1" applyFill="1" applyBorder="1" applyAlignment="1">
      <alignment vertical="center"/>
    </xf>
    <xf numFmtId="170" fontId="33" fillId="9" borderId="8" xfId="0" applyNumberFormat="1" applyFont="1" applyFill="1" applyBorder="1" applyAlignment="1">
      <alignment vertical="center"/>
    </xf>
    <xf numFmtId="170" fontId="33" fillId="3" borderId="2" xfId="0" applyNumberFormat="1" applyFont="1" applyFill="1" applyBorder="1" applyAlignment="1">
      <alignment vertical="center"/>
    </xf>
    <xf numFmtId="170" fontId="33" fillId="2" borderId="2" xfId="0" applyNumberFormat="1" applyFont="1" applyFill="1" applyBorder="1" applyAlignment="1">
      <alignment vertical="center"/>
    </xf>
    <xf numFmtId="170" fontId="33" fillId="3" borderId="15" xfId="0" applyNumberFormat="1" applyFont="1" applyFill="1" applyBorder="1" applyAlignment="1">
      <alignment vertical="center"/>
    </xf>
    <xf numFmtId="170" fontId="33" fillId="2" borderId="16" xfId="0" applyNumberFormat="1" applyFont="1" applyFill="1" applyBorder="1" applyAlignment="1">
      <alignment vertical="center"/>
    </xf>
    <xf numFmtId="170" fontId="21" fillId="2" borderId="0" xfId="0" applyNumberFormat="1" applyFont="1" applyFill="1" applyBorder="1" applyAlignment="1">
      <alignment vertical="center"/>
    </xf>
    <xf numFmtId="171" fontId="21" fillId="3" borderId="3" xfId="0" applyNumberFormat="1" applyFont="1" applyFill="1" applyBorder="1" applyAlignment="1">
      <alignment vertical="center"/>
    </xf>
    <xf numFmtId="171" fontId="21" fillId="3" borderId="0" xfId="0" applyNumberFormat="1" applyFont="1" applyFill="1" applyBorder="1" applyAlignment="1">
      <alignment vertical="center"/>
    </xf>
    <xf numFmtId="171" fontId="21" fillId="3" borderId="10" xfId="0" applyNumberFormat="1" applyFont="1" applyFill="1" applyBorder="1" applyAlignment="1">
      <alignment vertical="center"/>
    </xf>
    <xf numFmtId="171" fontId="21" fillId="3" borderId="0" xfId="0" applyNumberFormat="1" applyFont="1" applyFill="1" applyAlignment="1">
      <alignment vertical="center"/>
    </xf>
    <xf numFmtId="170" fontId="14" fillId="3" borderId="0" xfId="0" applyNumberFormat="1" applyFont="1" applyFill="1" applyBorder="1" applyAlignment="1">
      <alignment horizontal="right" vertical="center"/>
    </xf>
    <xf numFmtId="170" fontId="14" fillId="3" borderId="11" xfId="0" applyNumberFormat="1" applyFont="1" applyFill="1" applyBorder="1" applyAlignment="1">
      <alignment horizontal="right" vertical="center"/>
    </xf>
    <xf numFmtId="170" fontId="41" fillId="3" borderId="12" xfId="0" applyNumberFormat="1" applyFont="1" applyFill="1" applyBorder="1" applyAlignment="1">
      <alignment horizontal="right" vertical="center"/>
    </xf>
    <xf numFmtId="170" fontId="14" fillId="2" borderId="3" xfId="0" applyNumberFormat="1" applyFont="1" applyFill="1" applyBorder="1" applyAlignment="1">
      <alignment horizontal="right" vertical="center" wrapText="1"/>
    </xf>
    <xf numFmtId="170" fontId="14" fillId="2" borderId="0" xfId="0" applyNumberFormat="1" applyFont="1" applyFill="1" applyBorder="1" applyAlignment="1">
      <alignment horizontal="right" vertical="center" wrapText="1"/>
    </xf>
    <xf numFmtId="170" fontId="14" fillId="3" borderId="0" xfId="0" applyNumberFormat="1" applyFont="1" applyFill="1" applyBorder="1" applyAlignment="1">
      <alignment horizontal="right" vertical="center" wrapText="1"/>
    </xf>
    <xf numFmtId="170" fontId="41" fillId="3" borderId="10" xfId="0" applyNumberFormat="1" applyFont="1" applyFill="1" applyBorder="1" applyAlignment="1">
      <alignment horizontal="right" vertical="center" wrapText="1"/>
    </xf>
    <xf numFmtId="170" fontId="14" fillId="2" borderId="11" xfId="0" applyNumberFormat="1" applyFont="1" applyFill="1" applyBorder="1" applyAlignment="1">
      <alignment horizontal="right" vertical="center" wrapText="1"/>
    </xf>
    <xf numFmtId="170" fontId="14" fillId="3" borderId="11" xfId="0" applyNumberFormat="1" applyFont="1" applyFill="1" applyBorder="1" applyAlignment="1">
      <alignment horizontal="right" vertical="center" wrapText="1"/>
    </xf>
    <xf numFmtId="170" fontId="41" fillId="3" borderId="12" xfId="0" applyNumberFormat="1" applyFont="1" applyFill="1" applyBorder="1" applyAlignment="1">
      <alignment horizontal="right" vertical="center" wrapText="1"/>
    </xf>
    <xf numFmtId="170" fontId="41" fillId="3" borderId="10" xfId="0" applyNumberFormat="1" applyFont="1" applyFill="1" applyBorder="1" applyAlignment="1">
      <alignment horizontal="right" vertical="center"/>
    </xf>
    <xf numFmtId="170" fontId="24" fillId="2" borderId="3" xfId="0" applyNumberFormat="1" applyFont="1" applyFill="1" applyBorder="1" applyAlignment="1">
      <alignment horizontal="right" vertical="center" wrapText="1"/>
    </xf>
    <xf numFmtId="170" fontId="24" fillId="2" borderId="3" xfId="0" applyNumberFormat="1" applyFont="1" applyFill="1" applyBorder="1" applyAlignment="1">
      <alignment horizontal="right" vertical="center"/>
    </xf>
    <xf numFmtId="170" fontId="24" fillId="2" borderId="0" xfId="0" applyNumberFormat="1" applyFont="1" applyFill="1" applyBorder="1" applyAlignment="1">
      <alignment horizontal="right" vertical="center"/>
    </xf>
    <xf numFmtId="170" fontId="24" fillId="3" borderId="0" xfId="0" applyNumberFormat="1" applyFont="1" applyFill="1" applyBorder="1" applyAlignment="1">
      <alignment horizontal="right" vertical="center"/>
    </xf>
    <xf numFmtId="170" fontId="42" fillId="3" borderId="10" xfId="0" applyNumberFormat="1" applyFont="1" applyFill="1" applyBorder="1" applyAlignment="1">
      <alignment horizontal="right" vertical="center"/>
    </xf>
    <xf numFmtId="170" fontId="42" fillId="3" borderId="10" xfId="0" applyNumberFormat="1" applyFont="1" applyFill="1" applyBorder="1" applyAlignment="1">
      <alignment horizontal="right" vertical="center" wrapText="1"/>
    </xf>
    <xf numFmtId="170" fontId="24" fillId="2" borderId="0" xfId="0" applyNumberFormat="1" applyFont="1" applyFill="1" applyBorder="1" applyAlignment="1">
      <alignment horizontal="right" vertical="center" wrapText="1"/>
    </xf>
    <xf numFmtId="170" fontId="24" fillId="3" borderId="0" xfId="0" applyNumberFormat="1" applyFont="1" applyFill="1" applyBorder="1" applyAlignment="1">
      <alignment horizontal="right" vertical="center" wrapText="1"/>
    </xf>
    <xf numFmtId="170" fontId="24" fillId="2" borderId="1" xfId="0" applyNumberFormat="1" applyFont="1" applyFill="1" applyBorder="1" applyAlignment="1">
      <alignment horizontal="right" vertical="center"/>
    </xf>
    <xf numFmtId="170" fontId="14" fillId="3" borderId="26" xfId="0" applyNumberFormat="1" applyFont="1" applyFill="1" applyBorder="1" applyAlignment="1">
      <alignment horizontal="right" vertical="center"/>
    </xf>
    <xf numFmtId="170" fontId="41" fillId="3" borderId="27" xfId="0" applyNumberFormat="1" applyFont="1" applyFill="1" applyBorder="1" applyAlignment="1">
      <alignment horizontal="right" vertical="center"/>
    </xf>
    <xf numFmtId="170" fontId="14" fillId="2" borderId="26" xfId="0" applyNumberFormat="1" applyFont="1" applyFill="1" applyBorder="1" applyAlignment="1">
      <alignment horizontal="right" vertical="center" wrapText="1"/>
    </xf>
    <xf numFmtId="170" fontId="14" fillId="3" borderId="26" xfId="0" applyNumberFormat="1" applyFont="1" applyFill="1" applyBorder="1" applyAlignment="1">
      <alignment horizontal="right" vertical="center" wrapText="1"/>
    </xf>
    <xf numFmtId="170" fontId="14" fillId="3" borderId="2" xfId="0" applyNumberFormat="1" applyFont="1" applyFill="1" applyBorder="1" applyAlignment="1">
      <alignment horizontal="right" vertical="center" wrapText="1"/>
    </xf>
    <xf numFmtId="170" fontId="41" fillId="3" borderId="16" xfId="0" applyNumberFormat="1" applyFont="1" applyFill="1" applyBorder="1" applyAlignment="1">
      <alignment horizontal="right" vertical="center" wrapText="1"/>
    </xf>
    <xf numFmtId="170" fontId="41" fillId="3" borderId="27" xfId="0" applyNumberFormat="1" applyFont="1" applyFill="1" applyBorder="1" applyAlignment="1">
      <alignment horizontal="right" vertical="center" wrapText="1"/>
    </xf>
    <xf numFmtId="170" fontId="0" fillId="2" borderId="11" xfId="0" applyNumberFormat="1" applyFill="1" applyBorder="1" applyAlignment="1">
      <alignment vertical="center"/>
    </xf>
    <xf numFmtId="170" fontId="0" fillId="3" borderId="11" xfId="0" applyNumberFormat="1" applyFill="1" applyBorder="1" applyAlignment="1">
      <alignment vertical="center"/>
    </xf>
    <xf numFmtId="170" fontId="44" fillId="3" borderId="12" xfId="0" applyNumberFormat="1" applyFont="1" applyFill="1" applyBorder="1" applyAlignment="1">
      <alignment vertical="center"/>
    </xf>
    <xf numFmtId="170" fontId="43" fillId="2" borderId="0" xfId="0" applyNumberFormat="1" applyFont="1" applyFill="1" applyBorder="1" applyAlignment="1">
      <alignment vertical="center"/>
    </xf>
    <xf numFmtId="170" fontId="43" fillId="3" borderId="0" xfId="0" applyNumberFormat="1" applyFont="1" applyFill="1" applyBorder="1" applyAlignment="1">
      <alignment vertical="center"/>
    </xf>
    <xf numFmtId="170" fontId="14" fillId="3" borderId="18" xfId="0" applyNumberFormat="1" applyFont="1" applyFill="1" applyBorder="1" applyAlignment="1">
      <alignment vertical="center"/>
    </xf>
    <xf numFmtId="170" fontId="41" fillId="3" borderId="19" xfId="0" applyNumberFormat="1" applyFont="1" applyFill="1" applyBorder="1" applyAlignment="1">
      <alignment vertical="center"/>
    </xf>
    <xf numFmtId="170" fontId="41" fillId="3" borderId="19" xfId="0" applyNumberFormat="1" applyFont="1" applyFill="1" applyBorder="1" applyAlignment="1">
      <alignment horizontal="right" vertical="center" wrapText="1"/>
    </xf>
    <xf numFmtId="172" fontId="43" fillId="3" borderId="0" xfId="0" applyNumberFormat="1" applyFont="1" applyFill="1" applyBorder="1" applyAlignment="1">
      <alignment vertical="center"/>
    </xf>
    <xf numFmtId="0" fontId="49" fillId="13" borderId="14" xfId="0" applyFont="1" applyFill="1" applyBorder="1" applyAlignment="1">
      <alignment horizontal="center" vertical="center"/>
    </xf>
    <xf numFmtId="167" fontId="30" fillId="2" borderId="3" xfId="6" applyNumberFormat="1" applyFont="1" applyFill="1" applyBorder="1" applyAlignment="1">
      <alignment horizontal="right" vertical="center" wrapText="1"/>
    </xf>
    <xf numFmtId="3" fontId="54" fillId="3" borderId="3" xfId="6" applyNumberFormat="1" applyFont="1" applyFill="1" applyBorder="1" applyAlignment="1">
      <alignment horizontal="right" vertical="center" wrapText="1"/>
    </xf>
    <xf numFmtId="3" fontId="30" fillId="3" borderId="3" xfId="6" applyNumberFormat="1" applyFont="1" applyFill="1" applyBorder="1" applyAlignment="1">
      <alignment horizontal="right" vertical="center" wrapText="1"/>
    </xf>
    <xf numFmtId="170" fontId="63" fillId="16" borderId="10" xfId="0" applyNumberFormat="1" applyFont="1" applyFill="1" applyBorder="1" applyAlignment="1">
      <alignment horizontal="right" vertical="center"/>
    </xf>
    <xf numFmtId="170" fontId="63" fillId="16" borderId="0" xfId="0" applyNumberFormat="1" applyFont="1" applyFill="1" applyBorder="1" applyAlignment="1">
      <alignment horizontal="right" vertical="center"/>
    </xf>
    <xf numFmtId="170" fontId="63" fillId="3" borderId="3" xfId="0" applyNumberFormat="1" applyFont="1" applyFill="1" applyBorder="1" applyAlignment="1">
      <alignment horizontal="right" vertical="center"/>
    </xf>
    <xf numFmtId="170" fontId="63" fillId="16" borderId="0" xfId="0" applyNumberFormat="1" applyFont="1" applyFill="1" applyBorder="1" applyAlignment="1">
      <alignment vertical="center"/>
    </xf>
    <xf numFmtId="170" fontId="35" fillId="3" borderId="3" xfId="1" applyNumberFormat="1" applyFont="1" applyFill="1" applyBorder="1" applyAlignment="1">
      <alignment horizontal="right" vertical="center"/>
    </xf>
    <xf numFmtId="170" fontId="64" fillId="16" borderId="0" xfId="0" applyNumberFormat="1" applyFont="1" applyFill="1" applyBorder="1" applyAlignment="1">
      <alignment vertical="center"/>
    </xf>
    <xf numFmtId="170" fontId="64" fillId="3" borderId="3" xfId="0" applyNumberFormat="1" applyFont="1" applyFill="1" applyBorder="1" applyAlignment="1">
      <alignment vertical="center"/>
    </xf>
    <xf numFmtId="170" fontId="37" fillId="14" borderId="6" xfId="0" applyNumberFormat="1" applyFont="1" applyFill="1" applyBorder="1" applyAlignment="1">
      <alignment vertical="center"/>
    </xf>
    <xf numFmtId="170" fontId="35" fillId="16" borderId="10" xfId="1" applyNumberFormat="1" applyFont="1" applyFill="1" applyBorder="1" applyAlignment="1">
      <alignment horizontal="right" vertical="center"/>
    </xf>
    <xf numFmtId="170" fontId="35" fillId="16" borderId="0" xfId="1" applyNumberFormat="1" applyFont="1" applyFill="1" applyBorder="1" applyAlignment="1">
      <alignment horizontal="right" vertical="center"/>
    </xf>
    <xf numFmtId="170" fontId="37" fillId="15" borderId="26" xfId="0" applyNumberFormat="1" applyFont="1" applyFill="1" applyBorder="1" applyAlignment="1">
      <alignment vertical="center"/>
    </xf>
    <xf numFmtId="170" fontId="37" fillId="6" borderId="25" xfId="0" applyNumberFormat="1" applyFont="1" applyFill="1" applyBorder="1" applyAlignment="1">
      <alignment vertical="center"/>
    </xf>
    <xf numFmtId="170" fontId="63" fillId="3" borderId="11" xfId="0" applyNumberFormat="1" applyFont="1" applyFill="1" applyBorder="1" applyAlignment="1">
      <alignment horizontal="right" vertical="center"/>
    </xf>
    <xf numFmtId="170" fontId="63" fillId="16" borderId="12" xfId="0" applyNumberFormat="1" applyFont="1" applyFill="1" applyBorder="1" applyAlignment="1">
      <alignment horizontal="right" vertical="center"/>
    </xf>
    <xf numFmtId="170" fontId="63" fillId="16" borderId="11" xfId="0" applyNumberFormat="1" applyFont="1" applyFill="1" applyBorder="1" applyAlignment="1">
      <alignment horizontal="right" vertical="center"/>
    </xf>
    <xf numFmtId="170" fontId="63" fillId="3" borderId="4" xfId="0" applyNumberFormat="1" applyFont="1" applyFill="1" applyBorder="1" applyAlignment="1">
      <alignment horizontal="right" vertical="center"/>
    </xf>
    <xf numFmtId="170" fontId="35" fillId="16" borderId="0" xfId="0" applyNumberFormat="1" applyFont="1" applyFill="1" applyBorder="1" applyAlignment="1">
      <alignment horizontal="right" vertical="center"/>
    </xf>
    <xf numFmtId="170" fontId="35" fillId="3" borderId="3" xfId="0" applyNumberFormat="1" applyFont="1" applyFill="1" applyBorder="1" applyAlignment="1">
      <alignment horizontal="right" vertical="center"/>
    </xf>
    <xf numFmtId="170" fontId="63" fillId="3" borderId="3" xfId="0" applyNumberFormat="1" applyFont="1" applyFill="1" applyBorder="1" applyAlignment="1">
      <alignment vertical="center"/>
    </xf>
    <xf numFmtId="170" fontId="33" fillId="3" borderId="8" xfId="0" applyNumberFormat="1" applyFont="1" applyFill="1" applyBorder="1" applyAlignment="1">
      <alignment vertical="center"/>
    </xf>
    <xf numFmtId="170" fontId="33" fillId="3" borderId="6" xfId="0" applyNumberFormat="1" applyFont="1" applyFill="1" applyBorder="1" applyAlignment="1">
      <alignment horizontal="right" vertical="center"/>
    </xf>
    <xf numFmtId="170" fontId="33" fillId="3" borderId="7" xfId="0" applyNumberFormat="1" applyFont="1" applyFill="1" applyBorder="1" applyAlignment="1">
      <alignment horizontal="right" vertical="center"/>
    </xf>
    <xf numFmtId="170" fontId="21" fillId="3" borderId="10" xfId="0" applyNumberFormat="1" applyFont="1" applyFill="1" applyBorder="1" applyAlignment="1">
      <alignment vertical="center"/>
    </xf>
    <xf numFmtId="170" fontId="33" fillId="14" borderId="8" xfId="0" applyNumberFormat="1" applyFont="1" applyFill="1" applyBorder="1" applyAlignment="1">
      <alignment vertical="center"/>
    </xf>
    <xf numFmtId="170" fontId="21" fillId="3" borderId="5" xfId="0" applyNumberFormat="1" applyFont="1" applyFill="1" applyBorder="1" applyAlignment="1">
      <alignment vertical="center"/>
    </xf>
    <xf numFmtId="170" fontId="21" fillId="3" borderId="18" xfId="0" applyNumberFormat="1" applyFont="1" applyFill="1" applyBorder="1" applyAlignment="1">
      <alignment vertical="center"/>
    </xf>
    <xf numFmtId="170" fontId="33" fillId="3" borderId="16" xfId="0" applyNumberFormat="1" applyFont="1" applyFill="1" applyBorder="1" applyAlignment="1">
      <alignment vertical="center"/>
    </xf>
    <xf numFmtId="0" fontId="49" fillId="13" borderId="20" xfId="0" applyFont="1" applyFill="1" applyBorder="1" applyAlignment="1">
      <alignment horizontal="center" vertical="center"/>
    </xf>
    <xf numFmtId="167" fontId="30" fillId="2" borderId="0" xfId="6" applyNumberFormat="1" applyFont="1" applyFill="1" applyBorder="1" applyAlignment="1">
      <alignment horizontal="right" vertical="center" wrapText="1"/>
    </xf>
    <xf numFmtId="3" fontId="54" fillId="3" borderId="0" xfId="6" applyNumberFormat="1" applyFont="1" applyFill="1" applyBorder="1" applyAlignment="1">
      <alignment horizontal="right" vertical="center" wrapText="1"/>
    </xf>
    <xf numFmtId="3" fontId="30" fillId="3" borderId="0" xfId="6" applyNumberFormat="1" applyFont="1" applyFill="1" applyBorder="1" applyAlignment="1">
      <alignment horizontal="right" vertical="center" wrapText="1"/>
    </xf>
    <xf numFmtId="170" fontId="36" fillId="3" borderId="3" xfId="0" applyNumberFormat="1" applyFont="1" applyFill="1" applyBorder="1" applyAlignment="1">
      <alignment horizontal="right" vertical="center"/>
    </xf>
    <xf numFmtId="170" fontId="36" fillId="3" borderId="0" xfId="0" applyNumberFormat="1" applyFont="1" applyFill="1" applyBorder="1" applyAlignment="1">
      <alignment horizontal="right" vertical="center"/>
    </xf>
    <xf numFmtId="172" fontId="43" fillId="3" borderId="18" xfId="0" applyNumberFormat="1" applyFont="1" applyFill="1" applyBorder="1" applyAlignment="1">
      <alignment vertical="center"/>
    </xf>
    <xf numFmtId="0" fontId="49" fillId="13" borderId="7" xfId="0" applyFont="1" applyFill="1" applyBorder="1" applyAlignment="1">
      <alignment horizontal="center" vertical="center"/>
    </xf>
    <xf numFmtId="3" fontId="50" fillId="19" borderId="8" xfId="0" applyNumberFormat="1" applyFont="1" applyFill="1" applyBorder="1" applyAlignment="1">
      <alignment horizontal="right" vertical="center" wrapText="1"/>
    </xf>
    <xf numFmtId="170" fontId="36" fillId="2" borderId="10" xfId="0" applyNumberFormat="1" applyFont="1" applyFill="1" applyBorder="1" applyAlignment="1">
      <alignment horizontal="right" vertical="center"/>
    </xf>
    <xf numFmtId="170" fontId="69" fillId="16" borderId="10" xfId="0" applyNumberFormat="1" applyFont="1" applyFill="1" applyBorder="1" applyAlignment="1">
      <alignment vertical="center"/>
    </xf>
    <xf numFmtId="0" fontId="40" fillId="3" borderId="0" xfId="0" applyFont="1" applyFill="1"/>
    <xf numFmtId="173" fontId="21" fillId="3" borderId="0" xfId="0" applyNumberFormat="1" applyFont="1" applyFill="1" applyBorder="1" applyAlignment="1">
      <alignment vertical="center"/>
    </xf>
    <xf numFmtId="173" fontId="21" fillId="16" borderId="10" xfId="0" applyNumberFormat="1" applyFont="1" applyFill="1" applyBorder="1" applyAlignment="1">
      <alignment vertical="center"/>
    </xf>
    <xf numFmtId="173" fontId="72" fillId="3" borderId="0" xfId="1" applyNumberFormat="1" applyFont="1" applyFill="1" applyBorder="1" applyAlignment="1">
      <alignment horizontal="right" vertical="center"/>
    </xf>
    <xf numFmtId="173" fontId="69" fillId="3" borderId="0" xfId="0" applyNumberFormat="1" applyFont="1" applyFill="1" applyBorder="1" applyAlignment="1">
      <alignment vertical="center"/>
    </xf>
    <xf numFmtId="173" fontId="69" fillId="16" borderId="10" xfId="0" applyNumberFormat="1" applyFont="1" applyFill="1" applyBorder="1" applyAlignment="1">
      <alignment vertical="center"/>
    </xf>
    <xf numFmtId="173" fontId="21" fillId="3" borderId="18" xfId="0" applyNumberFormat="1" applyFont="1" applyFill="1" applyBorder="1" applyAlignment="1">
      <alignment vertical="center"/>
    </xf>
    <xf numFmtId="173" fontId="33" fillId="14" borderId="7" xfId="0" applyNumberFormat="1" applyFont="1" applyFill="1" applyBorder="1" applyAlignment="1">
      <alignment vertical="center"/>
    </xf>
    <xf numFmtId="173" fontId="33" fillId="14" borderId="8" xfId="0" applyNumberFormat="1" applyFont="1" applyFill="1" applyBorder="1" applyAlignment="1">
      <alignment vertical="center"/>
    </xf>
    <xf numFmtId="173" fontId="21" fillId="3" borderId="11" xfId="0" applyNumberFormat="1" applyFont="1" applyFill="1" applyBorder="1" applyAlignment="1">
      <alignment vertical="center"/>
    </xf>
    <xf numFmtId="173" fontId="33" fillId="6" borderId="26" xfId="0" applyNumberFormat="1" applyFont="1" applyFill="1" applyBorder="1" applyAlignment="1">
      <alignment vertical="center"/>
    </xf>
    <xf numFmtId="173" fontId="33" fillId="6" borderId="27" xfId="0" applyNumberFormat="1" applyFont="1" applyFill="1" applyBorder="1" applyAlignment="1">
      <alignment vertical="center"/>
    </xf>
    <xf numFmtId="173" fontId="21" fillId="16" borderId="12" xfId="0" applyNumberFormat="1" applyFont="1" applyFill="1" applyBorder="1" applyAlignment="1">
      <alignment vertical="center"/>
    </xf>
    <xf numFmtId="173" fontId="72" fillId="3" borderId="0" xfId="0" applyNumberFormat="1" applyFont="1" applyFill="1" applyBorder="1" applyAlignment="1">
      <alignment horizontal="right" vertical="center"/>
    </xf>
    <xf numFmtId="173" fontId="21" fillId="3" borderId="0" xfId="0" applyNumberFormat="1" applyFont="1" applyFill="1" applyBorder="1" applyAlignment="1">
      <alignment horizontal="right" vertical="center"/>
    </xf>
    <xf numFmtId="173" fontId="74" fillId="3" borderId="0" xfId="0" applyNumberFormat="1" applyFont="1" applyFill="1" applyBorder="1" applyAlignment="1">
      <alignment horizontal="right" vertical="center"/>
    </xf>
    <xf numFmtId="173" fontId="36" fillId="3" borderId="0" xfId="0" applyNumberFormat="1" applyFont="1" applyFill="1" applyBorder="1" applyAlignment="1">
      <alignment horizontal="right" vertical="center"/>
    </xf>
    <xf numFmtId="0" fontId="49" fillId="13" borderId="11" xfId="0" applyFont="1" applyFill="1" applyBorder="1" applyAlignment="1">
      <alignment horizontal="center" vertical="center"/>
    </xf>
    <xf numFmtId="168" fontId="24" fillId="2" borderId="0" xfId="0" applyNumberFormat="1" applyFont="1" applyFill="1" applyBorder="1" applyAlignment="1">
      <alignment horizontal="right" vertical="center"/>
    </xf>
    <xf numFmtId="174" fontId="42" fillId="22" borderId="10" xfId="0" applyNumberFormat="1" applyFont="1" applyFill="1" applyBorder="1" applyAlignment="1">
      <alignment horizontal="right" vertical="center" wrapText="1" indent="1"/>
    </xf>
    <xf numFmtId="174" fontId="42" fillId="22" borderId="37" xfId="0" applyNumberFormat="1" applyFont="1" applyFill="1" applyBorder="1" applyAlignment="1">
      <alignment horizontal="right" vertical="center" wrapText="1" indent="1"/>
    </xf>
    <xf numFmtId="174" fontId="41" fillId="22" borderId="10" xfId="0" applyNumberFormat="1" applyFont="1" applyFill="1" applyBorder="1" applyAlignment="1">
      <alignment horizontal="right" vertical="center" wrapText="1" indent="1"/>
    </xf>
    <xf numFmtId="0" fontId="0" fillId="0" borderId="0" xfId="0" applyFill="1"/>
    <xf numFmtId="175" fontId="41" fillId="22" borderId="10" xfId="0" applyNumberFormat="1" applyFont="1" applyFill="1" applyBorder="1" applyAlignment="1">
      <alignment horizontal="right" vertical="center" wrapText="1" indent="1"/>
    </xf>
    <xf numFmtId="175" fontId="41" fillId="22" borderId="19" xfId="0" applyNumberFormat="1" applyFont="1" applyFill="1" applyBorder="1" applyAlignment="1">
      <alignment horizontal="right" vertical="center" wrapText="1" indent="1"/>
    </xf>
    <xf numFmtId="167" fontId="24" fillId="0" borderId="7" xfId="0" applyNumberFormat="1" applyFont="1" applyFill="1" applyBorder="1" applyAlignment="1">
      <alignment horizontal="right" vertical="center" wrapText="1" indent="1"/>
    </xf>
    <xf numFmtId="174" fontId="42" fillId="0" borderId="8" xfId="0" applyNumberFormat="1" applyFont="1" applyFill="1" applyBorder="1" applyAlignment="1">
      <alignment horizontal="right" vertical="center" wrapText="1" indent="1"/>
    </xf>
    <xf numFmtId="0" fontId="10" fillId="3" borderId="38" xfId="0" applyFont="1" applyFill="1" applyBorder="1" applyAlignment="1">
      <alignment vertical="center" wrapText="1"/>
    </xf>
    <xf numFmtId="0" fontId="43" fillId="2" borderId="0" xfId="0" applyFont="1" applyFill="1" applyBorder="1" applyAlignment="1">
      <alignment vertical="center"/>
    </xf>
    <xf numFmtId="170" fontId="10" fillId="2" borderId="18" xfId="0" applyNumberFormat="1" applyFont="1" applyFill="1" applyBorder="1" applyAlignment="1">
      <alignment horizontal="right" vertical="center" wrapText="1"/>
    </xf>
    <xf numFmtId="0" fontId="10" fillId="2" borderId="18" xfId="0" applyFont="1" applyFill="1" applyBorder="1" applyAlignment="1">
      <alignment vertical="center"/>
    </xf>
    <xf numFmtId="170" fontId="10" fillId="3" borderId="18" xfId="0" applyNumberFormat="1" applyFont="1" applyFill="1" applyBorder="1" applyAlignment="1">
      <alignment vertical="center"/>
    </xf>
    <xf numFmtId="176" fontId="69" fillId="3" borderId="0" xfId="0" applyNumberFormat="1" applyFont="1" applyFill="1" applyBorder="1" applyAlignment="1">
      <alignment vertical="center"/>
    </xf>
    <xf numFmtId="176" fontId="69" fillId="16" borderId="10" xfId="0" applyNumberFormat="1" applyFont="1" applyFill="1" applyBorder="1" applyAlignment="1">
      <alignment vertical="center"/>
    </xf>
    <xf numFmtId="170" fontId="33" fillId="16" borderId="10" xfId="0" applyNumberFormat="1" applyFont="1" applyFill="1" applyBorder="1" applyAlignment="1">
      <alignment vertical="center"/>
    </xf>
    <xf numFmtId="168" fontId="14" fillId="3" borderId="0" xfId="0" applyNumberFormat="1" applyFont="1" applyFill="1" applyAlignment="1">
      <alignment vertical="center"/>
    </xf>
    <xf numFmtId="0" fontId="9" fillId="0" borderId="23" xfId="0" applyFont="1" applyFill="1" applyBorder="1" applyAlignment="1">
      <alignment horizontal="left" indent="3"/>
    </xf>
    <xf numFmtId="0" fontId="60" fillId="0" borderId="23" xfId="0" applyFont="1" applyFill="1" applyBorder="1" applyAlignment="1">
      <alignment vertical="center" wrapText="1"/>
    </xf>
    <xf numFmtId="0" fontId="47" fillId="0" borderId="3" xfId="0" applyFont="1" applyFill="1" applyBorder="1" applyAlignment="1">
      <alignment horizontal="left" vertical="center" indent="3"/>
    </xf>
    <xf numFmtId="0" fontId="21" fillId="0" borderId="23" xfId="0" applyFont="1" applyFill="1" applyBorder="1" applyAlignment="1">
      <alignment vertical="center"/>
    </xf>
    <xf numFmtId="170" fontId="21" fillId="0" borderId="3" xfId="0" applyNumberFormat="1" applyFont="1" applyFill="1" applyBorder="1" applyAlignment="1">
      <alignment vertical="center"/>
    </xf>
    <xf numFmtId="170" fontId="21" fillId="0" borderId="0" xfId="0" applyNumberFormat="1" applyFont="1" applyFill="1" applyBorder="1" applyAlignment="1">
      <alignment vertical="center"/>
    </xf>
    <xf numFmtId="170" fontId="21" fillId="0" borderId="10" xfId="0" applyNumberFormat="1" applyFont="1" applyFill="1" applyBorder="1" applyAlignment="1">
      <alignment vertical="center"/>
    </xf>
    <xf numFmtId="170" fontId="21" fillId="0" borderId="0" xfId="0" applyNumberFormat="1" applyFont="1" applyFill="1" applyAlignment="1">
      <alignment vertical="center"/>
    </xf>
    <xf numFmtId="170" fontId="36" fillId="0" borderId="3" xfId="0" applyNumberFormat="1" applyFont="1" applyFill="1" applyBorder="1" applyAlignment="1">
      <alignment horizontal="right" vertical="center"/>
    </xf>
    <xf numFmtId="170" fontId="36" fillId="0" borderId="0" xfId="0" applyNumberFormat="1" applyFont="1" applyFill="1" applyBorder="1" applyAlignment="1">
      <alignment horizontal="right" vertical="center"/>
    </xf>
    <xf numFmtId="171" fontId="21" fillId="0" borderId="3" xfId="0" applyNumberFormat="1" applyFont="1" applyFill="1" applyBorder="1" applyAlignment="1">
      <alignment vertical="center"/>
    </xf>
    <xf numFmtId="171" fontId="21" fillId="0" borderId="0" xfId="0" applyNumberFormat="1" applyFont="1" applyFill="1" applyBorder="1" applyAlignment="1">
      <alignment vertical="center"/>
    </xf>
    <xf numFmtId="171" fontId="21" fillId="0" borderId="10" xfId="0" applyNumberFormat="1" applyFont="1" applyFill="1" applyBorder="1" applyAlignment="1">
      <alignment vertical="center"/>
    </xf>
    <xf numFmtId="0" fontId="34" fillId="0" borderId="7" xfId="0" applyFont="1" applyFill="1" applyBorder="1" applyAlignment="1">
      <alignment vertical="center"/>
    </xf>
    <xf numFmtId="171" fontId="63" fillId="0" borderId="7" xfId="0" applyNumberFormat="1" applyFont="1" applyFill="1" applyBorder="1"/>
    <xf numFmtId="170" fontId="63" fillId="0" borderId="7" xfId="0" applyNumberFormat="1" applyFont="1" applyFill="1" applyBorder="1" applyAlignment="1">
      <alignment horizontal="right"/>
    </xf>
    <xf numFmtId="170" fontId="63" fillId="0" borderId="7" xfId="0" applyNumberFormat="1" applyFont="1" applyFill="1" applyBorder="1"/>
    <xf numFmtId="173" fontId="21" fillId="0" borderId="7" xfId="0" applyNumberFormat="1" applyFont="1" applyFill="1" applyBorder="1"/>
    <xf numFmtId="0" fontId="21" fillId="0" borderId="7" xfId="0" applyFont="1" applyFill="1" applyBorder="1"/>
    <xf numFmtId="0" fontId="63" fillId="0" borderId="0" xfId="0" applyFont="1" applyFill="1" applyBorder="1"/>
    <xf numFmtId="0" fontId="34" fillId="0" borderId="6" xfId="0" applyFont="1" applyFill="1" applyBorder="1" applyAlignment="1">
      <alignment vertical="center"/>
    </xf>
    <xf numFmtId="0" fontId="63" fillId="0" borderId="7" xfId="0" applyFont="1" applyFill="1" applyBorder="1"/>
    <xf numFmtId="0" fontId="63" fillId="0" borderId="7" xfId="0" applyFont="1" applyFill="1" applyBorder="1" applyAlignment="1">
      <alignment horizontal="right"/>
    </xf>
    <xf numFmtId="0" fontId="21" fillId="0" borderId="8" xfId="0" applyFont="1" applyFill="1" applyBorder="1"/>
    <xf numFmtId="0" fontId="8" fillId="0" borderId="23" xfId="0" applyFont="1" applyFill="1" applyBorder="1" applyAlignment="1">
      <alignment horizontal="left" indent="3"/>
    </xf>
    <xf numFmtId="10" fontId="8" fillId="2" borderId="0" xfId="0" applyNumberFormat="1" applyFont="1" applyFill="1" applyAlignment="1">
      <alignment horizontal="right" vertical="center" wrapText="1" indent="1"/>
    </xf>
    <xf numFmtId="10" fontId="8" fillId="3" borderId="0" xfId="0" applyNumberFormat="1" applyFont="1" applyFill="1" applyAlignment="1">
      <alignment horizontal="right" vertical="center" wrapText="1" indent="1"/>
    </xf>
    <xf numFmtId="167" fontId="8" fillId="3" borderId="0" xfId="0" applyNumberFormat="1" applyFont="1" applyFill="1" applyBorder="1" applyAlignment="1">
      <alignment horizontal="right" vertical="center" wrapText="1" indent="1"/>
    </xf>
    <xf numFmtId="167" fontId="8" fillId="2" borderId="5" xfId="0" applyNumberFormat="1" applyFont="1" applyFill="1" applyBorder="1" applyAlignment="1">
      <alignment horizontal="right" vertical="center" wrapText="1" indent="1"/>
    </xf>
    <xf numFmtId="167" fontId="8" fillId="3" borderId="18" xfId="0" applyNumberFormat="1" applyFont="1" applyFill="1" applyBorder="1" applyAlignment="1">
      <alignment horizontal="right" vertical="center" wrapText="1" indent="1"/>
    </xf>
    <xf numFmtId="175" fontId="41" fillId="22" borderId="0" xfId="0" applyNumberFormat="1" applyFont="1" applyFill="1" applyBorder="1" applyAlignment="1">
      <alignment horizontal="right" vertical="center" wrapText="1" indent="1"/>
    </xf>
    <xf numFmtId="0" fontId="8" fillId="0" borderId="0" xfId="0" applyFont="1" applyFill="1" applyBorder="1" applyAlignment="1">
      <alignment horizontal="left" indent="3"/>
    </xf>
    <xf numFmtId="0" fontId="57" fillId="13" borderId="5" xfId="0" applyFont="1" applyFill="1" applyBorder="1" applyAlignment="1">
      <alignment horizontal="right" vertical="center" wrapText="1"/>
    </xf>
    <xf numFmtId="0" fontId="37" fillId="6" borderId="26" xfId="0" applyFont="1" applyFill="1" applyBorder="1" applyAlignment="1">
      <alignment horizontal="right" vertical="center" wrapText="1"/>
    </xf>
    <xf numFmtId="167" fontId="8" fillId="0" borderId="0" xfId="0" applyNumberFormat="1" applyFont="1" applyFill="1" applyBorder="1" applyAlignment="1">
      <alignment horizontal="right" vertical="center" wrapText="1" indent="1"/>
    </xf>
    <xf numFmtId="167" fontId="24" fillId="2" borderId="6" xfId="0" applyNumberFormat="1" applyFont="1" applyFill="1" applyBorder="1" applyAlignment="1">
      <alignment horizontal="right" vertical="center" wrapText="1" indent="1"/>
    </xf>
    <xf numFmtId="165" fontId="30" fillId="3" borderId="3" xfId="0" applyNumberFormat="1" applyFont="1" applyFill="1" applyBorder="1" applyAlignment="1">
      <alignment horizontal="right" vertical="center" wrapText="1"/>
    </xf>
    <xf numFmtId="165" fontId="30" fillId="3" borderId="0" xfId="0" applyNumberFormat="1" applyFont="1" applyFill="1" applyBorder="1" applyAlignment="1">
      <alignment horizontal="right" vertical="center" wrapText="1"/>
    </xf>
    <xf numFmtId="165" fontId="30" fillId="19" borderId="10" xfId="0" applyNumberFormat="1" applyFont="1" applyFill="1" applyBorder="1" applyAlignment="1">
      <alignment horizontal="right" vertical="center" wrapText="1"/>
    </xf>
    <xf numFmtId="0" fontId="52" fillId="3" borderId="23" xfId="0" applyFont="1" applyFill="1" applyBorder="1" applyAlignment="1">
      <alignment horizontal="left" vertical="center"/>
    </xf>
    <xf numFmtId="168" fontId="6" fillId="2" borderId="11" xfId="0" applyNumberFormat="1" applyFont="1" applyFill="1" applyBorder="1" applyAlignment="1">
      <alignment horizontal="right" vertical="center"/>
    </xf>
    <xf numFmtId="168" fontId="6" fillId="2" borderId="0" xfId="0" applyNumberFormat="1" applyFont="1" applyFill="1" applyBorder="1" applyAlignment="1">
      <alignment horizontal="right" vertical="center"/>
    </xf>
    <xf numFmtId="168" fontId="6" fillId="2" borderId="26" xfId="0" applyNumberFormat="1" applyFont="1" applyFill="1" applyBorder="1" applyAlignment="1">
      <alignment horizontal="right" vertical="center"/>
    </xf>
    <xf numFmtId="0" fontId="6" fillId="2" borderId="11" xfId="0" applyFont="1" applyFill="1" applyBorder="1" applyAlignment="1">
      <alignment vertical="center"/>
    </xf>
    <xf numFmtId="165" fontId="30" fillId="0" borderId="11" xfId="0" applyNumberFormat="1" applyFont="1" applyFill="1" applyBorder="1" applyAlignment="1">
      <alignment horizontal="right" vertical="center" wrapText="1"/>
    </xf>
    <xf numFmtId="165" fontId="30" fillId="0" borderId="0" xfId="0" applyNumberFormat="1" applyFont="1" applyFill="1" applyBorder="1" applyAlignment="1">
      <alignment horizontal="right" vertical="center" wrapText="1"/>
    </xf>
    <xf numFmtId="167" fontId="24" fillId="0" borderId="11" xfId="0" applyNumberFormat="1" applyFont="1" applyFill="1" applyBorder="1" applyAlignment="1">
      <alignment horizontal="right" vertical="center" wrapText="1" indent="1"/>
    </xf>
    <xf numFmtId="0" fontId="60" fillId="0" borderId="11" xfId="0" applyFont="1" applyFill="1" applyBorder="1" applyAlignment="1">
      <alignment wrapText="1"/>
    </xf>
    <xf numFmtId="167" fontId="24" fillId="2" borderId="11" xfId="0" applyNumberFormat="1" applyFont="1" applyFill="1" applyBorder="1" applyAlignment="1">
      <alignment horizontal="right" vertical="center" wrapText="1" indent="1"/>
    </xf>
    <xf numFmtId="174" fontId="42" fillId="0" borderId="11" xfId="0" applyNumberFormat="1" applyFont="1" applyFill="1" applyBorder="1" applyAlignment="1">
      <alignment horizontal="right" vertical="center" wrapText="1" indent="1"/>
    </xf>
    <xf numFmtId="0" fontId="6" fillId="0" borderId="23" xfId="0" applyFont="1" applyFill="1" applyBorder="1" applyAlignment="1">
      <alignment horizontal="left" indent="3"/>
    </xf>
    <xf numFmtId="10" fontId="6" fillId="2" borderId="0" xfId="0" applyNumberFormat="1" applyFont="1" applyFill="1" applyAlignment="1">
      <alignment horizontal="right" vertical="center" wrapText="1" indent="1"/>
    </xf>
    <xf numFmtId="10" fontId="6" fillId="3" borderId="0" xfId="0" applyNumberFormat="1" applyFont="1" applyFill="1" applyAlignment="1">
      <alignment horizontal="right" vertical="center" wrapText="1" indent="1"/>
    </xf>
    <xf numFmtId="0" fontId="6" fillId="0" borderId="24" xfId="0" applyFont="1" applyFill="1" applyBorder="1" applyAlignment="1">
      <alignment horizontal="left" indent="3"/>
    </xf>
    <xf numFmtId="0" fontId="8" fillId="0" borderId="11" xfId="0" applyFont="1" applyFill="1" applyBorder="1"/>
    <xf numFmtId="167" fontId="8" fillId="2" borderId="0" xfId="0" applyNumberFormat="1" applyFont="1" applyFill="1" applyBorder="1" applyAlignment="1">
      <alignment horizontal="right" vertical="center" wrapText="1" indent="1"/>
    </xf>
    <xf numFmtId="175" fontId="41" fillId="22" borderId="11" xfId="0" applyNumberFormat="1" applyFont="1" applyFill="1" applyBorder="1" applyAlignment="1">
      <alignment horizontal="right" vertical="center" wrapText="1" indent="1"/>
    </xf>
    <xf numFmtId="167" fontId="6" fillId="2" borderId="3" xfId="0" applyNumberFormat="1" applyFont="1" applyFill="1" applyBorder="1" applyAlignment="1">
      <alignment horizontal="right" vertical="center" wrapText="1" indent="1"/>
    </xf>
    <xf numFmtId="167" fontId="6" fillId="3" borderId="0" xfId="0" applyNumberFormat="1" applyFont="1" applyFill="1" applyBorder="1" applyAlignment="1">
      <alignment horizontal="right" vertical="center" wrapText="1" indent="1"/>
    </xf>
    <xf numFmtId="167" fontId="6" fillId="2" borderId="5" xfId="0" applyNumberFormat="1" applyFont="1" applyFill="1" applyBorder="1" applyAlignment="1">
      <alignment horizontal="right" vertical="center" wrapText="1" indent="1"/>
    </xf>
    <xf numFmtId="167" fontId="6" fillId="3" borderId="18" xfId="0" applyNumberFormat="1" applyFont="1" applyFill="1" applyBorder="1" applyAlignment="1">
      <alignment horizontal="right" vertical="center" wrapText="1" indent="1"/>
    </xf>
    <xf numFmtId="170" fontId="33" fillId="3" borderId="0" xfId="0" applyNumberFormat="1" applyFont="1" applyFill="1" applyBorder="1" applyAlignment="1">
      <alignment vertical="center"/>
    </xf>
    <xf numFmtId="0" fontId="46" fillId="3" borderId="0" xfId="0" applyFont="1" applyFill="1" applyAlignment="1">
      <alignment horizontal="left"/>
    </xf>
    <xf numFmtId="177" fontId="25" fillId="3" borderId="0" xfId="0" applyNumberFormat="1" applyFont="1" applyFill="1" applyAlignment="1">
      <alignment vertical="center"/>
    </xf>
    <xf numFmtId="177" fontId="0" fillId="3" borderId="0" xfId="0" applyNumberFormat="1" applyFill="1"/>
    <xf numFmtId="177" fontId="70" fillId="3" borderId="0" xfId="0" applyNumberFormat="1" applyFont="1" applyFill="1"/>
    <xf numFmtId="177" fontId="11" fillId="3" borderId="0" xfId="0" applyNumberFormat="1" applyFont="1" applyFill="1"/>
    <xf numFmtId="177" fontId="70" fillId="0" borderId="0" xfId="0" applyNumberFormat="1" applyFont="1" applyFill="1"/>
    <xf numFmtId="177" fontId="11" fillId="0" borderId="0" xfId="0" applyNumberFormat="1" applyFont="1" applyFill="1"/>
    <xf numFmtId="177" fontId="0" fillId="0" borderId="0" xfId="0" applyNumberFormat="1"/>
    <xf numFmtId="177" fontId="32" fillId="3" borderId="4" xfId="0" applyNumberFormat="1" applyFont="1" applyFill="1" applyBorder="1" applyAlignment="1">
      <alignment vertical="center" wrapText="1"/>
    </xf>
    <xf numFmtId="177" fontId="21" fillId="0" borderId="0" xfId="0" applyNumberFormat="1" applyFont="1"/>
    <xf numFmtId="177" fontId="32" fillId="3" borderId="5" xfId="0" applyNumberFormat="1" applyFont="1" applyFill="1" applyBorder="1" applyAlignment="1">
      <alignment vertical="center" wrapText="1"/>
    </xf>
    <xf numFmtId="177" fontId="33" fillId="6" borderId="2" xfId="0" applyNumberFormat="1" applyFont="1" applyFill="1" applyBorder="1" applyAlignment="1">
      <alignment horizontal="right" vertical="center"/>
    </xf>
    <xf numFmtId="177" fontId="33" fillId="10" borderId="2" xfId="0" applyNumberFormat="1" applyFont="1" applyFill="1" applyBorder="1" applyAlignment="1">
      <alignment horizontal="right" vertical="center"/>
    </xf>
    <xf numFmtId="177" fontId="33" fillId="6" borderId="15" xfId="0" applyNumberFormat="1" applyFont="1" applyFill="1" applyBorder="1" applyAlignment="1">
      <alignment horizontal="right" vertical="center"/>
    </xf>
    <xf numFmtId="177" fontId="33" fillId="10" borderId="16" xfId="0" applyNumberFormat="1" applyFont="1" applyFill="1" applyBorder="1" applyAlignment="1">
      <alignment horizontal="right" vertical="center"/>
    </xf>
    <xf numFmtId="177" fontId="37" fillId="6" borderId="2" xfId="0" applyNumberFormat="1" applyFont="1" applyFill="1" applyBorder="1" applyAlignment="1">
      <alignment horizontal="right" vertical="center"/>
    </xf>
    <xf numFmtId="177" fontId="24" fillId="4" borderId="6" xfId="0" applyNumberFormat="1" applyFont="1" applyFill="1" applyBorder="1" applyAlignment="1">
      <alignment vertical="center" wrapText="1"/>
    </xf>
    <xf numFmtId="177" fontId="33" fillId="8" borderId="7" xfId="0" applyNumberFormat="1" applyFont="1" applyFill="1" applyBorder="1" applyAlignment="1">
      <alignment vertical="center"/>
    </xf>
    <xf numFmtId="177" fontId="33" fillId="8" borderId="6" xfId="0" applyNumberFormat="1" applyFont="1" applyFill="1" applyBorder="1" applyAlignment="1">
      <alignment vertical="center"/>
    </xf>
    <xf numFmtId="177" fontId="37" fillId="8" borderId="7" xfId="0" applyNumberFormat="1" applyFont="1" applyFill="1" applyBorder="1" applyAlignment="1">
      <alignment vertical="center"/>
    </xf>
    <xf numFmtId="177" fontId="33" fillId="14" borderId="7" xfId="0" applyNumberFormat="1" applyFont="1" applyFill="1" applyBorder="1" applyAlignment="1">
      <alignment vertical="center"/>
    </xf>
    <xf numFmtId="177" fontId="7" fillId="3" borderId="4" xfId="0" applyNumberFormat="1" applyFont="1" applyFill="1" applyBorder="1" applyAlignment="1">
      <alignment vertical="center" wrapText="1"/>
    </xf>
    <xf numFmtId="177" fontId="21" fillId="3" borderId="0" xfId="0" applyNumberFormat="1" applyFont="1" applyFill="1" applyBorder="1" applyAlignment="1">
      <alignment horizontal="right" vertical="center"/>
    </xf>
    <xf numFmtId="177" fontId="21" fillId="0" borderId="0" xfId="0" applyNumberFormat="1" applyFont="1" applyFill="1" applyBorder="1" applyAlignment="1">
      <alignment horizontal="right" vertical="center"/>
    </xf>
    <xf numFmtId="177" fontId="14" fillId="3" borderId="3" xfId="0" applyNumberFormat="1" applyFont="1" applyFill="1" applyBorder="1" applyAlignment="1">
      <alignment vertical="center" wrapText="1"/>
    </xf>
    <xf numFmtId="177" fontId="14" fillId="3" borderId="5" xfId="0" applyNumberFormat="1" applyFont="1" applyFill="1" applyBorder="1" applyAlignment="1">
      <alignment vertical="center" wrapText="1"/>
    </xf>
    <xf numFmtId="177" fontId="33" fillId="0" borderId="0" xfId="0" applyNumberFormat="1" applyFont="1"/>
    <xf numFmtId="177" fontId="14" fillId="3" borderId="3" xfId="0" applyNumberFormat="1" applyFont="1" applyFill="1" applyBorder="1" applyAlignment="1">
      <alignment wrapText="1"/>
    </xf>
    <xf numFmtId="177" fontId="14" fillId="3" borderId="3" xfId="0" applyNumberFormat="1" applyFont="1" applyFill="1" applyBorder="1" applyAlignment="1">
      <alignment horizontal="left" vertical="center" wrapText="1"/>
    </xf>
    <xf numFmtId="177" fontId="24" fillId="4" borderId="4" xfId="0" applyNumberFormat="1" applyFont="1" applyFill="1" applyBorder="1" applyAlignment="1">
      <alignment vertical="center" wrapText="1"/>
    </xf>
    <xf numFmtId="177" fontId="33" fillId="9" borderId="7" xfId="0" applyNumberFormat="1" applyFont="1" applyFill="1" applyBorder="1" applyAlignment="1">
      <alignment horizontal="right" vertical="center"/>
    </xf>
    <xf numFmtId="177" fontId="33" fillId="14" borderId="6" xfId="0" applyNumberFormat="1" applyFont="1" applyFill="1" applyBorder="1" applyAlignment="1">
      <alignment vertical="center"/>
    </xf>
    <xf numFmtId="177" fontId="33" fillId="9" borderId="8" xfId="0" applyNumberFormat="1" applyFont="1" applyFill="1" applyBorder="1" applyAlignment="1">
      <alignment horizontal="right" vertical="center"/>
    </xf>
    <xf numFmtId="177" fontId="37" fillId="14" borderId="7" xfId="0" applyNumberFormat="1" applyFont="1" applyFill="1" applyBorder="1" applyAlignment="1">
      <alignment vertical="center"/>
    </xf>
    <xf numFmtId="177" fontId="33" fillId="0" borderId="0" xfId="0" applyNumberFormat="1" applyFont="1" applyFill="1" applyBorder="1"/>
    <xf numFmtId="177" fontId="61" fillId="3" borderId="4" xfId="0" applyNumberFormat="1" applyFont="1" applyFill="1" applyBorder="1" applyAlignment="1">
      <alignment vertical="center" wrapText="1"/>
    </xf>
    <xf numFmtId="177" fontId="61" fillId="3" borderId="3" xfId="0" applyNumberFormat="1" applyFont="1" applyFill="1" applyBorder="1" applyAlignment="1">
      <alignment vertical="center" wrapText="1"/>
    </xf>
    <xf numFmtId="177" fontId="12" fillId="0" borderId="3" xfId="0" applyNumberFormat="1" applyFont="1" applyFill="1" applyBorder="1" applyAlignment="1">
      <alignment vertical="center" wrapText="1"/>
    </xf>
    <xf numFmtId="177" fontId="5" fillId="0" borderId="5" xfId="0" applyNumberFormat="1" applyFont="1" applyFill="1" applyBorder="1" applyAlignment="1">
      <alignment vertical="center" wrapText="1"/>
    </xf>
    <xf numFmtId="177" fontId="24" fillId="4" borderId="3" xfId="0" applyNumberFormat="1" applyFont="1" applyFill="1" applyBorder="1" applyAlignment="1">
      <alignment vertical="center" wrapText="1"/>
    </xf>
    <xf numFmtId="177" fontId="61" fillId="3" borderId="6" xfId="0" applyNumberFormat="1" applyFont="1" applyFill="1" applyBorder="1" applyAlignment="1">
      <alignment vertical="center" wrapText="1"/>
    </xf>
    <xf numFmtId="177" fontId="24" fillId="4" borderId="5" xfId="0" applyNumberFormat="1" applyFont="1" applyFill="1" applyBorder="1" applyAlignment="1">
      <alignment vertical="center" wrapText="1"/>
    </xf>
    <xf numFmtId="177" fontId="13" fillId="3" borderId="4" xfId="0" applyNumberFormat="1" applyFont="1" applyFill="1" applyBorder="1" applyAlignment="1">
      <alignment vertical="center" wrapText="1"/>
    </xf>
    <xf numFmtId="177" fontId="12" fillId="3" borderId="3" xfId="0" applyNumberFormat="1" applyFont="1" applyFill="1" applyBorder="1" applyAlignment="1">
      <alignment vertical="center" wrapText="1"/>
    </xf>
    <xf numFmtId="177" fontId="24" fillId="3" borderId="3" xfId="0" applyNumberFormat="1" applyFont="1" applyFill="1" applyBorder="1" applyAlignment="1">
      <alignment vertical="center"/>
    </xf>
    <xf numFmtId="177" fontId="33" fillId="3" borderId="0" xfId="0" applyNumberFormat="1" applyFont="1" applyFill="1" applyBorder="1" applyAlignment="1">
      <alignment vertical="center"/>
    </xf>
    <xf numFmtId="177" fontId="33" fillId="11" borderId="0" xfId="0" applyNumberFormat="1" applyFont="1" applyFill="1" applyBorder="1" applyAlignment="1">
      <alignment horizontal="right" vertical="center"/>
    </xf>
    <xf numFmtId="177" fontId="33" fillId="3" borderId="3" xfId="0" applyNumberFormat="1" applyFont="1" applyFill="1" applyBorder="1" applyAlignment="1">
      <alignment vertical="center"/>
    </xf>
    <xf numFmtId="177" fontId="33" fillId="11" borderId="10" xfId="0" applyNumberFormat="1" applyFont="1" applyFill="1" applyBorder="1" applyAlignment="1">
      <alignment horizontal="right" vertical="center"/>
    </xf>
    <xf numFmtId="177" fontId="33" fillId="3" borderId="0" xfId="0" applyNumberFormat="1" applyFont="1" applyFill="1" applyBorder="1" applyAlignment="1">
      <alignment horizontal="right" vertical="center"/>
    </xf>
    <xf numFmtId="177" fontId="37" fillId="3" borderId="0" xfId="0" applyNumberFormat="1" applyFont="1" applyFill="1" applyBorder="1" applyAlignment="1">
      <alignment vertical="center"/>
    </xf>
    <xf numFmtId="177" fontId="37" fillId="3" borderId="0" xfId="0" applyNumberFormat="1" applyFont="1" applyFill="1" applyBorder="1" applyAlignment="1">
      <alignment horizontal="right" vertical="center"/>
    </xf>
    <xf numFmtId="177" fontId="33" fillId="0" borderId="0" xfId="0" applyNumberFormat="1" applyFont="1" applyBorder="1"/>
    <xf numFmtId="177" fontId="34" fillId="8" borderId="4" xfId="0" applyNumberFormat="1" applyFont="1" applyFill="1" applyBorder="1" applyAlignment="1">
      <alignment vertical="center" wrapText="1"/>
    </xf>
    <xf numFmtId="177" fontId="34" fillId="8" borderId="5" xfId="0" applyNumberFormat="1" applyFont="1" applyFill="1" applyBorder="1" applyAlignment="1">
      <alignment vertical="center" wrapText="1"/>
    </xf>
    <xf numFmtId="177" fontId="21" fillId="3" borderId="0" xfId="0" applyNumberFormat="1" applyFont="1" applyFill="1"/>
    <xf numFmtId="177" fontId="21" fillId="3" borderId="0" xfId="0" applyNumberFormat="1" applyFont="1" applyFill="1" applyAlignment="1">
      <alignment vertical="center"/>
    </xf>
    <xf numFmtId="177" fontId="21" fillId="3" borderId="0" xfId="0" applyNumberFormat="1" applyFont="1" applyFill="1" applyBorder="1" applyAlignment="1">
      <alignment vertical="center"/>
    </xf>
    <xf numFmtId="177" fontId="63" fillId="3" borderId="0" xfId="0" applyNumberFormat="1" applyFont="1" applyFill="1" applyAlignment="1">
      <alignment vertical="center"/>
    </xf>
    <xf numFmtId="177" fontId="63" fillId="3" borderId="0" xfId="0" applyNumberFormat="1" applyFont="1" applyFill="1"/>
    <xf numFmtId="177" fontId="21" fillId="0" borderId="0" xfId="0" applyNumberFormat="1" applyFont="1" applyFill="1" applyAlignment="1">
      <alignment vertical="center"/>
    </xf>
    <xf numFmtId="177" fontId="21" fillId="0" borderId="0" xfId="0" applyNumberFormat="1" applyFont="1" applyFill="1" applyBorder="1" applyAlignment="1">
      <alignment vertical="center"/>
    </xf>
    <xf numFmtId="177" fontId="21" fillId="0" borderId="0" xfId="0" applyNumberFormat="1" applyFont="1" applyAlignment="1">
      <alignment vertical="center"/>
    </xf>
    <xf numFmtId="177" fontId="21" fillId="0" borderId="0" xfId="0" applyNumberFormat="1" applyFont="1" applyFill="1"/>
    <xf numFmtId="177" fontId="63" fillId="0" borderId="0" xfId="0" applyNumberFormat="1" applyFont="1" applyAlignment="1">
      <alignment vertical="center"/>
    </xf>
    <xf numFmtId="177" fontId="21" fillId="0" borderId="0" xfId="0" applyNumberFormat="1" applyFont="1" applyBorder="1" applyAlignment="1">
      <alignment horizontal="right" vertical="center"/>
    </xf>
    <xf numFmtId="177" fontId="21" fillId="0" borderId="0" xfId="0" applyNumberFormat="1" applyFont="1" applyBorder="1" applyAlignment="1">
      <alignment vertical="center"/>
    </xf>
    <xf numFmtId="177" fontId="37" fillId="14" borderId="7" xfId="0" applyNumberFormat="1" applyFont="1" applyFill="1" applyBorder="1" applyAlignment="1">
      <alignment horizontal="right" vertical="center"/>
    </xf>
    <xf numFmtId="167" fontId="24" fillId="2" borderId="6" xfId="0" applyNumberFormat="1" applyFont="1" applyFill="1" applyBorder="1" applyAlignment="1">
      <alignment horizontal="left" vertical="center" wrapText="1" indent="1"/>
    </xf>
    <xf numFmtId="0" fontId="80" fillId="6" borderId="0" xfId="0" applyFont="1" applyFill="1" applyAlignment="1">
      <alignment horizontal="left" vertical="center" wrapText="1"/>
    </xf>
    <xf numFmtId="0" fontId="82" fillId="0" borderId="0" xfId="0" applyFont="1" applyAlignment="1">
      <alignment horizontal="left" vertical="center" wrapText="1"/>
    </xf>
    <xf numFmtId="0" fontId="79" fillId="0" borderId="0" xfId="0" applyFont="1" applyAlignment="1">
      <alignment vertical="center"/>
    </xf>
    <xf numFmtId="0" fontId="83" fillId="0" borderId="0" xfId="0" applyFont="1" applyAlignment="1">
      <alignment horizontal="left" vertical="center" wrapText="1"/>
    </xf>
    <xf numFmtId="0" fontId="82" fillId="0" borderId="39" xfId="0" applyFont="1" applyBorder="1" applyAlignment="1">
      <alignment horizontal="left" vertical="center" wrapText="1"/>
    </xf>
    <xf numFmtId="0" fontId="82" fillId="0" borderId="39" xfId="0" applyFont="1" applyBorder="1" applyAlignment="1">
      <alignment horizontal="right" vertical="center"/>
    </xf>
    <xf numFmtId="0" fontId="82" fillId="0" borderId="39" xfId="0" applyFont="1" applyBorder="1" applyAlignment="1">
      <alignment horizontal="left" vertical="center"/>
    </xf>
    <xf numFmtId="0" fontId="79" fillId="0" borderId="0" xfId="0" applyFont="1" applyAlignment="1">
      <alignment vertical="center" wrapText="1"/>
    </xf>
    <xf numFmtId="0" fontId="82" fillId="0" borderId="0" xfId="0" applyFont="1" applyAlignment="1">
      <alignment horizontal="right" vertical="center"/>
    </xf>
    <xf numFmtId="0" fontId="82" fillId="0" borderId="40" xfId="0" applyFont="1" applyBorder="1" applyAlignment="1">
      <alignment horizontal="left" vertical="center" wrapText="1"/>
    </xf>
    <xf numFmtId="0" fontId="82" fillId="0" borderId="40" xfId="0" applyFont="1" applyBorder="1" applyAlignment="1">
      <alignment horizontal="right" vertical="center"/>
    </xf>
    <xf numFmtId="0" fontId="24" fillId="2" borderId="0" xfId="0" applyNumberFormat="1" applyFont="1" applyFill="1" applyBorder="1" applyAlignment="1">
      <alignment horizontal="right" vertical="center" wrapText="1"/>
    </xf>
    <xf numFmtId="0" fontId="82" fillId="0" borderId="0" xfId="0" applyFont="1" applyAlignment="1">
      <alignment horizontal="right" vertical="center" wrapText="1"/>
    </xf>
    <xf numFmtId="0" fontId="83" fillId="0" borderId="0" xfId="0" applyFont="1" applyAlignment="1">
      <alignment horizontal="right" vertical="center"/>
    </xf>
    <xf numFmtId="0" fontId="83" fillId="0" borderId="0" xfId="0" applyFont="1" applyAlignment="1">
      <alignment horizontal="right" vertical="center" wrapText="1"/>
    </xf>
    <xf numFmtId="0" fontId="82" fillId="0" borderId="39" xfId="0" applyFont="1" applyBorder="1" applyAlignment="1">
      <alignment horizontal="right" vertical="center" wrapText="1"/>
    </xf>
    <xf numFmtId="0" fontId="82" fillId="0" borderId="40" xfId="0" applyFont="1" applyBorder="1" applyAlignment="1">
      <alignment horizontal="right" vertical="center" wrapText="1"/>
    </xf>
    <xf numFmtId="0" fontId="30" fillId="3" borderId="18" xfId="0" applyFont="1" applyFill="1" applyBorder="1" applyAlignment="1">
      <alignment horizontal="left" vertical="top" wrapText="1"/>
    </xf>
    <xf numFmtId="167" fontId="4" fillId="2" borderId="3" xfId="0" applyNumberFormat="1" applyFont="1" applyFill="1" applyBorder="1" applyAlignment="1">
      <alignment horizontal="right" vertical="center" wrapText="1" indent="1"/>
    </xf>
    <xf numFmtId="178" fontId="21" fillId="0" borderId="0" xfId="0" applyNumberFormat="1" applyFont="1"/>
    <xf numFmtId="179" fontId="33" fillId="0" borderId="0" xfId="0" applyNumberFormat="1" applyFont="1"/>
    <xf numFmtId="178" fontId="33" fillId="0" borderId="0" xfId="0" applyNumberFormat="1" applyFont="1"/>
    <xf numFmtId="180" fontId="33" fillId="0" borderId="0" xfId="0" applyNumberFormat="1" applyFont="1" applyBorder="1"/>
    <xf numFmtId="167" fontId="33" fillId="0" borderId="0" xfId="0" applyNumberFormat="1" applyFont="1"/>
    <xf numFmtId="177" fontId="84" fillId="3" borderId="0" xfId="0" applyNumberFormat="1" applyFont="1" applyFill="1"/>
    <xf numFmtId="167" fontId="73" fillId="8" borderId="18" xfId="2" applyNumberFormat="1" applyFont="1" applyFill="1" applyBorder="1" applyAlignment="1">
      <alignment vertical="center" wrapText="1"/>
    </xf>
    <xf numFmtId="167" fontId="73" fillId="12" borderId="19" xfId="2" applyNumberFormat="1" applyFont="1" applyFill="1" applyBorder="1" applyAlignment="1">
      <alignment vertical="center" wrapText="1"/>
    </xf>
    <xf numFmtId="167" fontId="73" fillId="8" borderId="5" xfId="2" applyNumberFormat="1" applyFont="1" applyFill="1" applyBorder="1" applyAlignment="1">
      <alignment vertical="center" wrapText="1"/>
    </xf>
    <xf numFmtId="3" fontId="30" fillId="0" borderId="0" xfId="0" applyNumberFormat="1" applyFont="1" applyFill="1" applyBorder="1" applyAlignment="1">
      <alignment horizontal="right" vertical="center" wrapText="1"/>
    </xf>
    <xf numFmtId="3" fontId="30" fillId="0" borderId="30" xfId="0" applyNumberFormat="1" applyFont="1" applyFill="1" applyBorder="1" applyAlignment="1">
      <alignment horizontal="right" vertical="center" wrapText="1"/>
    </xf>
    <xf numFmtId="3" fontId="50" fillId="0" borderId="30" xfId="0" applyNumberFormat="1" applyFont="1" applyFill="1" applyBorder="1" applyAlignment="1">
      <alignment horizontal="right" vertical="center" wrapText="1"/>
    </xf>
    <xf numFmtId="167" fontId="30" fillId="0" borderId="0" xfId="0" applyNumberFormat="1" applyFont="1" applyFill="1" applyBorder="1" applyAlignment="1">
      <alignment horizontal="right" vertical="center" wrapText="1"/>
    </xf>
    <xf numFmtId="2" fontId="30" fillId="0" borderId="18" xfId="0" applyNumberFormat="1" applyFont="1" applyFill="1" applyBorder="1" applyAlignment="1">
      <alignment horizontal="right" vertical="center" wrapText="1"/>
    </xf>
    <xf numFmtId="3" fontId="54" fillId="0" borderId="0" xfId="6" applyNumberFormat="1" applyFont="1" applyFill="1" applyBorder="1" applyAlignment="1">
      <alignment horizontal="right" vertical="center" wrapText="1"/>
    </xf>
    <xf numFmtId="3" fontId="30" fillId="0" borderId="0" xfId="6" applyNumberFormat="1" applyFont="1" applyFill="1" applyBorder="1" applyAlignment="1">
      <alignment horizontal="right" vertical="center" wrapText="1"/>
    </xf>
    <xf numFmtId="3" fontId="18" fillId="0" borderId="32" xfId="0" applyNumberFormat="1" applyFont="1" applyFill="1" applyBorder="1" applyAlignment="1">
      <alignment vertical="center"/>
    </xf>
    <xf numFmtId="165" fontId="30" fillId="0" borderId="7" xfId="0" applyNumberFormat="1" applyFont="1" applyFill="1" applyBorder="1" applyAlignment="1">
      <alignment horizontal="right" vertical="center" wrapText="1"/>
    </xf>
    <xf numFmtId="3" fontId="30" fillId="0" borderId="18" xfId="0" applyNumberFormat="1" applyFont="1" applyFill="1" applyBorder="1" applyAlignment="1">
      <alignment horizontal="right" vertical="center" wrapText="1"/>
    </xf>
    <xf numFmtId="0" fontId="30" fillId="3" borderId="0" xfId="0" applyFont="1" applyFill="1" applyBorder="1" applyAlignment="1">
      <alignment horizontal="left" vertical="top" wrapText="1"/>
    </xf>
    <xf numFmtId="0" fontId="3" fillId="0" borderId="23" xfId="0" applyFont="1" applyFill="1" applyBorder="1" applyAlignment="1">
      <alignment horizontal="left" indent="3"/>
    </xf>
    <xf numFmtId="178" fontId="63" fillId="3" borderId="0" xfId="0" applyNumberFormat="1" applyFont="1" applyFill="1" applyBorder="1" applyAlignment="1">
      <alignment horizontal="right" vertical="center"/>
    </xf>
    <xf numFmtId="181" fontId="33" fillId="8" borderId="6" xfId="0" applyNumberFormat="1" applyFont="1" applyFill="1" applyBorder="1" applyAlignment="1">
      <alignment vertical="center"/>
    </xf>
    <xf numFmtId="181" fontId="33" fillId="8" borderId="7" xfId="0" applyNumberFormat="1" applyFont="1" applyFill="1" applyBorder="1" applyAlignment="1">
      <alignment vertical="center"/>
    </xf>
    <xf numFmtId="181" fontId="33" fillId="14" borderId="7" xfId="0" applyNumberFormat="1" applyFont="1" applyFill="1" applyBorder="1" applyAlignment="1">
      <alignment vertical="center"/>
    </xf>
    <xf numFmtId="181" fontId="33" fillId="11" borderId="8" xfId="0" applyNumberFormat="1" applyFont="1" applyFill="1" applyBorder="1" applyAlignment="1">
      <alignment horizontal="right" vertical="center"/>
    </xf>
    <xf numFmtId="181" fontId="21" fillId="3" borderId="3" xfId="0" applyNumberFormat="1" applyFont="1" applyFill="1" applyBorder="1" applyAlignment="1">
      <alignment horizontal="right" vertical="center"/>
    </xf>
    <xf numFmtId="181" fontId="63" fillId="3" borderId="0" xfId="0" applyNumberFormat="1" applyFont="1" applyFill="1" applyBorder="1" applyAlignment="1">
      <alignment horizontal="right" vertical="center"/>
    </xf>
    <xf numFmtId="181" fontId="21" fillId="0" borderId="0" xfId="0" applyNumberFormat="1" applyFont="1" applyAlignment="1">
      <alignment vertical="center"/>
    </xf>
    <xf numFmtId="181" fontId="63" fillId="3" borderId="0" xfId="0" applyNumberFormat="1" applyFont="1" applyFill="1" applyBorder="1" applyAlignment="1">
      <alignment vertical="center"/>
    </xf>
    <xf numFmtId="181" fontId="21" fillId="11" borderId="10" xfId="0" applyNumberFormat="1" applyFont="1" applyFill="1" applyBorder="1" applyAlignment="1">
      <alignment horizontal="right" vertical="center"/>
    </xf>
    <xf numFmtId="181" fontId="33" fillId="9" borderId="8" xfId="0" applyNumberFormat="1" applyFont="1" applyFill="1" applyBorder="1" applyAlignment="1">
      <alignment vertical="center"/>
    </xf>
    <xf numFmtId="181" fontId="33" fillId="14" borderId="6" xfId="0" applyNumberFormat="1" applyFont="1" applyFill="1" applyBorder="1" applyAlignment="1">
      <alignment vertical="center"/>
    </xf>
    <xf numFmtId="181" fontId="37" fillId="14" borderId="7" xfId="0" applyNumberFormat="1" applyFont="1" applyFill="1" applyBorder="1" applyAlignment="1">
      <alignment vertical="center"/>
    </xf>
    <xf numFmtId="181" fontId="33" fillId="9" borderId="8" xfId="0" applyNumberFormat="1" applyFont="1" applyFill="1" applyBorder="1" applyAlignment="1">
      <alignment horizontal="right" vertical="center"/>
    </xf>
    <xf numFmtId="181" fontId="63" fillId="3" borderId="3" xfId="0" applyNumberFormat="1" applyFont="1" applyFill="1" applyBorder="1" applyAlignment="1">
      <alignment horizontal="right" vertical="center"/>
    </xf>
    <xf numFmtId="181" fontId="63" fillId="0" borderId="3" xfId="0" applyNumberFormat="1" applyFont="1" applyFill="1" applyBorder="1" applyAlignment="1">
      <alignment horizontal="right" vertical="center"/>
    </xf>
    <xf numFmtId="181" fontId="63" fillId="0" borderId="0" xfId="0" applyNumberFormat="1" applyFont="1" applyFill="1" applyBorder="1" applyAlignment="1">
      <alignment horizontal="right" vertical="center"/>
    </xf>
    <xf numFmtId="181" fontId="21" fillId="3" borderId="0" xfId="0" applyNumberFormat="1" applyFont="1" applyFill="1" applyBorder="1" applyAlignment="1">
      <alignment horizontal="right" vertical="center"/>
    </xf>
    <xf numFmtId="181" fontId="21" fillId="11" borderId="0" xfId="0" applyNumberFormat="1" applyFont="1" applyFill="1" applyBorder="1" applyAlignment="1">
      <alignment horizontal="right" vertical="center"/>
    </xf>
    <xf numFmtId="181" fontId="67" fillId="3" borderId="0" xfId="0" applyNumberFormat="1" applyFont="1" applyFill="1" applyAlignment="1">
      <alignment horizontal="right" vertical="center"/>
    </xf>
    <xf numFmtId="181" fontId="21" fillId="0" borderId="0" xfId="0" applyNumberFormat="1" applyFont="1" applyFill="1" applyBorder="1" applyAlignment="1">
      <alignment horizontal="right" vertical="center"/>
    </xf>
    <xf numFmtId="181" fontId="33" fillId="9" borderId="7" xfId="0" applyNumberFormat="1" applyFont="1" applyFill="1" applyBorder="1" applyAlignment="1">
      <alignment vertical="center"/>
    </xf>
    <xf numFmtId="181" fontId="37" fillId="8" borderId="7" xfId="0" applyNumberFormat="1" applyFont="1" applyFill="1" applyBorder="1" applyAlignment="1">
      <alignment vertical="center"/>
    </xf>
    <xf numFmtId="181" fontId="33" fillId="8" borderId="7" xfId="0" applyNumberFormat="1" applyFont="1" applyFill="1" applyBorder="1" applyAlignment="1">
      <alignment horizontal="right" vertical="center"/>
    </xf>
    <xf numFmtId="181" fontId="21" fillId="0" borderId="0" xfId="0" applyNumberFormat="1" applyFont="1" applyAlignment="1">
      <alignment horizontal="right" vertical="center"/>
    </xf>
    <xf numFmtId="181" fontId="21" fillId="0" borderId="0" xfId="0" applyNumberFormat="1" applyFont="1"/>
    <xf numFmtId="181" fontId="33" fillId="9" borderId="7" xfId="0" applyNumberFormat="1" applyFont="1" applyFill="1" applyBorder="1" applyAlignment="1">
      <alignment horizontal="right" vertical="center"/>
    </xf>
    <xf numFmtId="181" fontId="33" fillId="0" borderId="0" xfId="0" applyNumberFormat="1" applyFont="1"/>
    <xf numFmtId="181" fontId="33" fillId="14" borderId="7" xfId="0" applyNumberFormat="1" applyFont="1" applyFill="1" applyBorder="1" applyAlignment="1">
      <alignment horizontal="right" vertical="center"/>
    </xf>
    <xf numFmtId="181" fontId="21" fillId="3" borderId="11" xfId="0" applyNumberFormat="1" applyFont="1" applyFill="1" applyBorder="1" applyAlignment="1">
      <alignment horizontal="right" vertical="center"/>
    </xf>
    <xf numFmtId="181" fontId="34" fillId="8" borderId="11" xfId="0" applyNumberFormat="1" applyFont="1" applyFill="1" applyBorder="1" applyAlignment="1">
      <alignment vertical="center" wrapText="1"/>
    </xf>
    <xf numFmtId="181" fontId="34" fillId="12" borderId="11" xfId="0" applyNumberFormat="1" applyFont="1" applyFill="1" applyBorder="1" applyAlignment="1">
      <alignment vertical="center" wrapText="1"/>
    </xf>
    <xf numFmtId="181" fontId="34" fillId="8" borderId="4" xfId="0" applyNumberFormat="1" applyFont="1" applyFill="1" applyBorder="1" applyAlignment="1">
      <alignment vertical="center" wrapText="1"/>
    </xf>
    <xf numFmtId="181" fontId="34" fillId="12" borderId="12" xfId="0" applyNumberFormat="1" applyFont="1" applyFill="1" applyBorder="1" applyAlignment="1">
      <alignment vertical="center" wrapText="1"/>
    </xf>
    <xf numFmtId="181" fontId="73" fillId="8" borderId="4" xfId="0" applyNumberFormat="1" applyFont="1" applyFill="1" applyBorder="1" applyAlignment="1">
      <alignment vertical="center" wrapText="1"/>
    </xf>
    <xf numFmtId="181" fontId="73" fillId="12" borderId="12" xfId="0" applyNumberFormat="1" applyFont="1" applyFill="1" applyBorder="1" applyAlignment="1">
      <alignment vertical="center" wrapText="1"/>
    </xf>
    <xf numFmtId="181" fontId="33" fillId="14" borderId="11" xfId="0" applyNumberFormat="1" applyFont="1" applyFill="1" applyBorder="1" applyAlignment="1">
      <alignment horizontal="right" vertical="center"/>
    </xf>
    <xf numFmtId="181" fontId="33" fillId="14" borderId="11" xfId="0" applyNumberFormat="1" applyFont="1" applyFill="1" applyBorder="1" applyAlignment="1">
      <alignment vertical="center"/>
    </xf>
    <xf numFmtId="181" fontId="33" fillId="11" borderId="7" xfId="0" applyNumberFormat="1" applyFont="1" applyFill="1" applyBorder="1" applyAlignment="1">
      <alignment horizontal="right" vertical="center"/>
    </xf>
    <xf numFmtId="179" fontId="63" fillId="3" borderId="0" xfId="0" applyNumberFormat="1" applyFont="1" applyFill="1" applyBorder="1" applyAlignment="1">
      <alignment horizontal="right" vertical="center"/>
    </xf>
    <xf numFmtId="179" fontId="33" fillId="8" borderId="7" xfId="0" applyNumberFormat="1" applyFont="1" applyFill="1" applyBorder="1" applyAlignment="1">
      <alignment vertical="center"/>
    </xf>
    <xf numFmtId="179" fontId="21" fillId="3" borderId="0" xfId="0" applyNumberFormat="1" applyFont="1" applyFill="1" applyBorder="1" applyAlignment="1">
      <alignment horizontal="right" vertical="center"/>
    </xf>
    <xf numFmtId="182" fontId="37" fillId="3" borderId="0" xfId="0" applyNumberFormat="1" applyFont="1" applyFill="1" applyBorder="1" applyAlignment="1">
      <alignment horizontal="right" vertical="center"/>
    </xf>
    <xf numFmtId="170" fontId="33" fillId="14" borderId="11" xfId="0" applyNumberFormat="1" applyFont="1" applyFill="1" applyBorder="1" applyAlignment="1">
      <alignment vertical="center"/>
    </xf>
    <xf numFmtId="167" fontId="34" fillId="8" borderId="18" xfId="2" applyNumberFormat="1" applyFont="1" applyFill="1" applyBorder="1" applyAlignment="1">
      <alignment vertical="center" wrapText="1"/>
    </xf>
    <xf numFmtId="164" fontId="33" fillId="11" borderId="10" xfId="0" applyNumberFormat="1" applyFont="1" applyFill="1" applyBorder="1" applyAlignment="1">
      <alignment horizontal="right" vertical="center"/>
    </xf>
    <xf numFmtId="164" fontId="37" fillId="3" borderId="0" xfId="0" applyNumberFormat="1" applyFont="1" applyFill="1" applyBorder="1" applyAlignment="1">
      <alignment vertical="center"/>
    </xf>
    <xf numFmtId="164" fontId="33" fillId="3" borderId="0" xfId="0" applyNumberFormat="1" applyFont="1" applyFill="1" applyBorder="1" applyAlignment="1">
      <alignment horizontal="right" vertical="center"/>
    </xf>
    <xf numFmtId="164" fontId="33" fillId="3" borderId="3" xfId="0" applyNumberFormat="1" applyFont="1" applyFill="1" applyBorder="1" applyAlignment="1">
      <alignment horizontal="right" vertical="center"/>
    </xf>
    <xf numFmtId="179" fontId="33" fillId="14" borderId="7" xfId="0" applyNumberFormat="1" applyFont="1" applyFill="1" applyBorder="1" applyAlignment="1">
      <alignment horizontal="right" vertical="center"/>
    </xf>
    <xf numFmtId="179" fontId="33" fillId="9" borderId="8" xfId="0" applyNumberFormat="1" applyFont="1" applyFill="1" applyBorder="1" applyAlignment="1">
      <alignment horizontal="right" vertical="center"/>
    </xf>
    <xf numFmtId="170" fontId="2" fillId="2" borderId="11" xfId="0" applyNumberFormat="1" applyFont="1" applyFill="1" applyBorder="1" applyAlignment="1">
      <alignment horizontal="right" vertical="center" wrapText="1"/>
    </xf>
    <xf numFmtId="170" fontId="2" fillId="2" borderId="3" xfId="0" applyNumberFormat="1" applyFont="1" applyFill="1" applyBorder="1" applyAlignment="1">
      <alignment horizontal="right" vertical="center" wrapText="1"/>
    </xf>
    <xf numFmtId="170" fontId="2" fillId="2" borderId="26" xfId="0" applyNumberFormat="1" applyFont="1" applyFill="1" applyBorder="1" applyAlignment="1">
      <alignment horizontal="right" vertical="center" wrapText="1"/>
    </xf>
    <xf numFmtId="170" fontId="2" fillId="3" borderId="11" xfId="0" applyNumberFormat="1" applyFont="1" applyFill="1" applyBorder="1" applyAlignment="1">
      <alignment horizontal="right" vertical="center" wrapText="1"/>
    </xf>
    <xf numFmtId="170" fontId="2" fillId="3" borderId="0" xfId="0" applyNumberFormat="1" applyFont="1" applyFill="1" applyBorder="1" applyAlignment="1">
      <alignment horizontal="right" vertical="center" wrapText="1"/>
    </xf>
    <xf numFmtId="170" fontId="2" fillId="3" borderId="26" xfId="0" applyNumberFormat="1" applyFont="1" applyFill="1" applyBorder="1" applyAlignment="1">
      <alignment horizontal="right" vertical="center" wrapText="1"/>
    </xf>
    <xf numFmtId="170" fontId="2" fillId="3" borderId="0" xfId="0" applyNumberFormat="1" applyFont="1" applyFill="1" applyBorder="1" applyAlignment="1">
      <alignment horizontal="right" vertical="center"/>
    </xf>
    <xf numFmtId="170" fontId="2" fillId="3" borderId="18" xfId="0" applyNumberFormat="1" applyFont="1" applyFill="1" applyBorder="1" applyAlignment="1">
      <alignment vertical="center"/>
    </xf>
    <xf numFmtId="170" fontId="2" fillId="2" borderId="11" xfId="0" applyNumberFormat="1" applyFont="1" applyFill="1" applyBorder="1" applyAlignment="1">
      <alignment vertical="center"/>
    </xf>
    <xf numFmtId="170" fontId="2" fillId="2" borderId="18" xfId="0" applyNumberFormat="1" applyFont="1" applyFill="1" applyBorder="1" applyAlignment="1">
      <alignment horizontal="right" vertical="center" wrapText="1"/>
    </xf>
    <xf numFmtId="170" fontId="2" fillId="2" borderId="0" xfId="0" applyNumberFormat="1" applyFont="1" applyFill="1" applyBorder="1" applyAlignment="1">
      <alignment horizontal="right" vertical="center" wrapText="1"/>
    </xf>
    <xf numFmtId="170" fontId="2" fillId="2" borderId="0" xfId="0" applyNumberFormat="1" applyFont="1" applyFill="1" applyBorder="1" applyAlignment="1">
      <alignment horizontal="right" vertical="center"/>
    </xf>
    <xf numFmtId="170" fontId="2" fillId="2" borderId="18" xfId="0" applyNumberFormat="1" applyFont="1" applyFill="1" applyBorder="1" applyAlignment="1">
      <alignment vertical="center"/>
    </xf>
    <xf numFmtId="0" fontId="0" fillId="0" borderId="0" xfId="0"/>
    <xf numFmtId="0" fontId="45" fillId="3" borderId="0" xfId="0" applyFont="1" applyFill="1" applyAlignment="1"/>
    <xf numFmtId="165" fontId="34" fillId="8" borderId="11" xfId="0" applyNumberFormat="1" applyFont="1" applyFill="1" applyBorder="1" applyAlignment="1">
      <alignment vertical="center" wrapText="1"/>
    </xf>
    <xf numFmtId="170" fontId="41" fillId="3" borderId="10" xfId="0" applyNumberFormat="1" applyFont="1" applyFill="1" applyBorder="1" applyAlignment="1">
      <alignment horizontal="right" vertical="center"/>
    </xf>
    <xf numFmtId="170" fontId="41" fillId="3" borderId="19" xfId="0" applyNumberFormat="1" applyFont="1" applyFill="1" applyBorder="1" applyAlignment="1">
      <alignment vertical="center"/>
    </xf>
    <xf numFmtId="170" fontId="24" fillId="2" borderId="0" xfId="0" applyNumberFormat="1" applyFont="1" applyFill="1" applyBorder="1" applyAlignment="1">
      <alignment horizontal="right" vertical="center" wrapText="1"/>
    </xf>
    <xf numFmtId="0" fontId="37" fillId="6" borderId="2" xfId="0" applyFont="1" applyFill="1" applyBorder="1" applyAlignment="1">
      <alignment horizontal="right" vertical="center"/>
    </xf>
    <xf numFmtId="178" fontId="63" fillId="3" borderId="0" xfId="0" applyNumberFormat="1" applyFont="1" applyFill="1" applyBorder="1" applyAlignment="1">
      <alignment horizontal="right" vertical="center"/>
    </xf>
    <xf numFmtId="179" fontId="63" fillId="3" borderId="0" xfId="0" applyNumberFormat="1" applyFont="1" applyFill="1" applyBorder="1" applyAlignment="1">
      <alignment horizontal="right" vertical="center"/>
    </xf>
    <xf numFmtId="170" fontId="63" fillId="3" borderId="0" xfId="0" applyNumberFormat="1" applyFont="1" applyFill="1" applyBorder="1" applyAlignment="1">
      <alignment horizontal="right" vertical="center"/>
    </xf>
    <xf numFmtId="0" fontId="33" fillId="6" borderId="2" xfId="0" applyFont="1" applyFill="1" applyBorder="1" applyAlignment="1">
      <alignment horizontal="right" vertical="center"/>
    </xf>
    <xf numFmtId="0" fontId="33" fillId="6" borderId="15" xfId="0" applyFont="1" applyFill="1" applyBorder="1" applyAlignment="1">
      <alignment horizontal="right" vertical="center"/>
    </xf>
    <xf numFmtId="0" fontId="33" fillId="10" borderId="16" xfId="0" applyFont="1" applyFill="1" applyBorder="1" applyAlignment="1">
      <alignment horizontal="right" vertical="center"/>
    </xf>
    <xf numFmtId="179" fontId="33" fillId="8" borderId="7" xfId="0" applyNumberFormat="1" applyFont="1" applyFill="1" applyBorder="1" applyAlignment="1">
      <alignment vertical="center"/>
    </xf>
    <xf numFmtId="0" fontId="33" fillId="0" borderId="0" xfId="0" applyFont="1"/>
    <xf numFmtId="179" fontId="21" fillId="3" borderId="0" xfId="0" applyNumberFormat="1" applyFont="1" applyFill="1" applyBorder="1" applyAlignment="1">
      <alignment horizontal="right" vertical="center"/>
    </xf>
    <xf numFmtId="0" fontId="33" fillId="0" borderId="0" xfId="0" applyFont="1" applyFill="1"/>
    <xf numFmtId="167" fontId="73" fillId="8" borderId="5" xfId="2" applyNumberFormat="1" applyFont="1" applyFill="1" applyBorder="1" applyAlignment="1">
      <alignment vertical="center" wrapText="1"/>
    </xf>
    <xf numFmtId="167" fontId="73" fillId="8" borderId="18" xfId="2" applyNumberFormat="1" applyFont="1" applyFill="1" applyBorder="1" applyAlignment="1">
      <alignment vertical="center" wrapText="1"/>
    </xf>
    <xf numFmtId="167" fontId="73" fillId="12" borderId="19" xfId="2" applyNumberFormat="1" applyFont="1" applyFill="1" applyBorder="1" applyAlignment="1">
      <alignment vertical="center" wrapText="1"/>
    </xf>
    <xf numFmtId="167" fontId="34" fillId="8" borderId="18" xfId="2" applyNumberFormat="1" applyFont="1" applyFill="1" applyBorder="1" applyAlignment="1">
      <alignment vertical="center" wrapText="1"/>
    </xf>
    <xf numFmtId="0" fontId="45" fillId="3" borderId="0" xfId="0" applyFont="1" applyFill="1" applyAlignment="1">
      <alignment horizontal="left"/>
    </xf>
    <xf numFmtId="170" fontId="24" fillId="2" borderId="3" xfId="0" applyNumberFormat="1" applyFont="1" applyFill="1" applyBorder="1" applyAlignment="1">
      <alignment horizontal="right" vertical="center"/>
    </xf>
    <xf numFmtId="170" fontId="24" fillId="3" borderId="0" xfId="0" applyNumberFormat="1" applyFont="1" applyFill="1" applyBorder="1" applyAlignment="1">
      <alignment horizontal="right" vertical="center"/>
    </xf>
    <xf numFmtId="170" fontId="0" fillId="3" borderId="11" xfId="0" applyNumberFormat="1" applyFill="1" applyBorder="1" applyAlignment="1">
      <alignment vertical="center"/>
    </xf>
    <xf numFmtId="170" fontId="24" fillId="2" borderId="0" xfId="0" applyNumberFormat="1" applyFont="1" applyFill="1" applyBorder="1" applyAlignment="1">
      <alignment horizontal="right" vertical="center"/>
    </xf>
    <xf numFmtId="170" fontId="24" fillId="2" borderId="1" xfId="0" applyNumberFormat="1" applyFont="1" applyFill="1" applyBorder="1" applyAlignment="1">
      <alignment horizontal="right" vertical="center"/>
    </xf>
    <xf numFmtId="172" fontId="43" fillId="3" borderId="0" xfId="0" applyNumberFormat="1" applyFont="1" applyFill="1" applyBorder="1" applyAlignment="1">
      <alignment vertical="center"/>
    </xf>
    <xf numFmtId="172" fontId="43" fillId="3" borderId="18" xfId="0" applyNumberFormat="1" applyFont="1" applyFill="1" applyBorder="1" applyAlignment="1">
      <alignment vertical="center"/>
    </xf>
    <xf numFmtId="168" fontId="24" fillId="2" borderId="0" xfId="0" applyNumberFormat="1" applyFont="1" applyFill="1" applyBorder="1" applyAlignment="1">
      <alignment horizontal="right" vertical="center"/>
    </xf>
    <xf numFmtId="0" fontId="43" fillId="2" borderId="0" xfId="0" applyFont="1" applyFill="1" applyBorder="1" applyAlignment="1">
      <alignment vertical="center"/>
    </xf>
    <xf numFmtId="170" fontId="24" fillId="3" borderId="0" xfId="0" applyNumberFormat="1" applyFont="1" applyFill="1" applyBorder="1" applyAlignment="1">
      <alignment horizontal="right" vertical="center" wrapText="1"/>
    </xf>
    <xf numFmtId="182" fontId="37" fillId="3" borderId="0" xfId="0" applyNumberFormat="1" applyFont="1" applyFill="1" applyBorder="1" applyAlignment="1">
      <alignment horizontal="right" vertical="center"/>
    </xf>
    <xf numFmtId="2" fontId="33" fillId="3" borderId="0" xfId="0" applyNumberFormat="1" applyFont="1" applyFill="1" applyBorder="1" applyAlignment="1">
      <alignment horizontal="right" vertical="center"/>
    </xf>
    <xf numFmtId="2" fontId="37" fillId="3" borderId="0" xfId="0" applyNumberFormat="1" applyFont="1" applyFill="1" applyBorder="1" applyAlignment="1">
      <alignment vertical="center"/>
    </xf>
    <xf numFmtId="2" fontId="37" fillId="3" borderId="0" xfId="0" applyNumberFormat="1" applyFont="1" applyFill="1" applyBorder="1" applyAlignment="1">
      <alignment horizontal="right" vertical="center"/>
    </xf>
    <xf numFmtId="165" fontId="33" fillId="14" borderId="11" xfId="0" applyNumberFormat="1" applyFont="1" applyFill="1" applyBorder="1" applyAlignment="1">
      <alignment vertical="center"/>
    </xf>
    <xf numFmtId="165" fontId="33" fillId="8" borderId="7" xfId="0" applyNumberFormat="1" applyFont="1" applyFill="1" applyBorder="1" applyAlignment="1">
      <alignment vertical="center"/>
    </xf>
    <xf numFmtId="165" fontId="33" fillId="14" borderId="7" xfId="0" applyNumberFormat="1" applyFont="1" applyFill="1" applyBorder="1" applyAlignment="1">
      <alignment vertical="center"/>
    </xf>
    <xf numFmtId="172" fontId="43" fillId="3" borderId="70" xfId="0" applyNumberFormat="1" applyFont="1" applyFill="1" applyBorder="1" applyAlignment="1">
      <alignment vertical="center"/>
    </xf>
    <xf numFmtId="0" fontId="21" fillId="3" borderId="3" xfId="0" applyFont="1" applyFill="1" applyBorder="1" applyAlignment="1">
      <alignment vertical="center" wrapText="1"/>
    </xf>
    <xf numFmtId="0" fontId="71" fillId="6" borderId="17" xfId="0" applyFont="1" applyFill="1" applyBorder="1" applyAlignment="1">
      <alignment horizontal="center" vertical="center" wrapText="1"/>
    </xf>
    <xf numFmtId="0" fontId="71" fillId="6" borderId="20" xfId="0" applyFont="1" applyFill="1" applyBorder="1" applyAlignment="1">
      <alignment horizontal="center" vertical="center" wrapText="1"/>
    </xf>
    <xf numFmtId="0" fontId="71" fillId="6" borderId="21" xfId="0" applyFont="1" applyFill="1" applyBorder="1" applyAlignment="1">
      <alignment horizontal="center" vertical="center" wrapText="1"/>
    </xf>
    <xf numFmtId="0" fontId="205" fillId="6" borderId="17" xfId="0" applyFont="1" applyFill="1" applyBorder="1" applyAlignment="1">
      <alignment horizontal="center" vertical="center" wrapText="1"/>
    </xf>
    <xf numFmtId="0" fontId="205" fillId="6" borderId="20" xfId="0" applyFont="1" applyFill="1" applyBorder="1" applyAlignment="1">
      <alignment horizontal="center" vertical="center" wrapText="1"/>
    </xf>
    <xf numFmtId="0" fontId="205" fillId="6" borderId="21" xfId="0" applyFont="1" applyFill="1" applyBorder="1" applyAlignment="1">
      <alignment horizontal="center" vertical="center" wrapText="1"/>
    </xf>
    <xf numFmtId="177" fontId="71" fillId="6" borderId="17" xfId="0" applyNumberFormat="1" applyFont="1" applyFill="1" applyBorder="1" applyAlignment="1">
      <alignment horizontal="center" vertical="center" wrapText="1"/>
    </xf>
    <xf numFmtId="177" fontId="71" fillId="6" borderId="20" xfId="0" applyNumberFormat="1" applyFont="1" applyFill="1" applyBorder="1" applyAlignment="1">
      <alignment horizontal="center" vertical="center" wrapText="1"/>
    </xf>
    <xf numFmtId="177" fontId="71" fillId="6" borderId="21" xfId="0" applyNumberFormat="1" applyFont="1" applyFill="1" applyBorder="1" applyAlignment="1">
      <alignment horizontal="center" vertical="center" wrapText="1"/>
    </xf>
    <xf numFmtId="177" fontId="21" fillId="3" borderId="0" xfId="0" applyNumberFormat="1" applyFont="1" applyFill="1" applyAlignment="1">
      <alignment horizontal="left" vertical="center" wrapText="1"/>
    </xf>
    <xf numFmtId="177" fontId="24" fillId="6" borderId="4" xfId="0" applyNumberFormat="1" applyFont="1" applyFill="1" applyBorder="1" applyAlignment="1">
      <alignment horizontal="center" vertical="center" wrapText="1"/>
    </xf>
    <xf numFmtId="177" fontId="24" fillId="6" borderId="11" xfId="0" applyNumberFormat="1" applyFont="1" applyFill="1" applyBorder="1" applyAlignment="1">
      <alignment horizontal="center" vertical="center" wrapText="1"/>
    </xf>
    <xf numFmtId="177" fontId="24" fillId="6" borderId="12" xfId="0" applyNumberFormat="1" applyFont="1" applyFill="1" applyBorder="1" applyAlignment="1">
      <alignment horizontal="center" vertical="center" wrapText="1"/>
    </xf>
    <xf numFmtId="177" fontId="21" fillId="3" borderId="0" xfId="0" applyNumberFormat="1" applyFont="1" applyFill="1" applyAlignment="1">
      <alignment horizontal="left" vertical="center"/>
    </xf>
    <xf numFmtId="177" fontId="24" fillId="6" borderId="17" xfId="0" applyNumberFormat="1" applyFont="1" applyFill="1" applyBorder="1" applyAlignment="1">
      <alignment horizontal="center" vertical="center" wrapText="1"/>
    </xf>
    <xf numFmtId="177" fontId="24" fillId="6" borderId="20" xfId="0" applyNumberFormat="1" applyFont="1" applyFill="1" applyBorder="1" applyAlignment="1">
      <alignment horizontal="center" vertical="center" wrapText="1"/>
    </xf>
    <xf numFmtId="177" fontId="24" fillId="6" borderId="21" xfId="0" applyNumberFormat="1" applyFont="1" applyFill="1" applyBorder="1" applyAlignment="1">
      <alignment horizontal="center" vertical="center" wrapText="1"/>
    </xf>
    <xf numFmtId="177" fontId="21" fillId="0" borderId="0" xfId="0" applyNumberFormat="1" applyFont="1" applyFill="1" applyAlignment="1">
      <alignment horizontal="left" vertical="center" wrapText="1"/>
    </xf>
    <xf numFmtId="0" fontId="26" fillId="3" borderId="22" xfId="0" applyFont="1" applyFill="1" applyBorder="1" applyAlignment="1">
      <alignment horizontal="left" vertical="center" wrapText="1"/>
    </xf>
    <xf numFmtId="0" fontId="26" fillId="3" borderId="23" xfId="0" applyFont="1" applyFill="1" applyBorder="1" applyAlignment="1">
      <alignment horizontal="left" vertical="center" wrapText="1"/>
    </xf>
    <xf numFmtId="0" fontId="26" fillId="3" borderId="24" xfId="0" applyFont="1" applyFill="1" applyBorder="1" applyAlignment="1">
      <alignment horizontal="left" vertical="center" wrapText="1"/>
    </xf>
    <xf numFmtId="0" fontId="80" fillId="6" borderId="0" xfId="0" applyFont="1" applyFill="1" applyAlignment="1">
      <alignment horizontal="right"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5" borderId="6" xfId="0" applyFont="1" applyFill="1" applyBorder="1" applyAlignment="1">
      <alignment horizontal="center" vertical="center" wrapText="1"/>
    </xf>
    <xf numFmtId="0" fontId="24" fillId="5" borderId="7"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63" fillId="3" borderId="0" xfId="0" applyFont="1" applyFill="1" applyAlignment="1">
      <alignment horizontal="left" vertical="center" wrapText="1"/>
    </xf>
    <xf numFmtId="0" fontId="34" fillId="6" borderId="20" xfId="0" applyFont="1" applyFill="1" applyBorder="1" applyAlignment="1">
      <alignment horizontal="center" vertical="center" wrapText="1"/>
    </xf>
    <xf numFmtId="0" fontId="34" fillId="6" borderId="17" xfId="0" applyFont="1" applyFill="1" applyBorder="1" applyAlignment="1">
      <alignment horizontal="center" vertical="center" wrapText="1"/>
    </xf>
    <xf numFmtId="0" fontId="34" fillId="6" borderId="21" xfId="0" applyFont="1" applyFill="1" applyBorder="1" applyAlignment="1">
      <alignment horizontal="center" vertical="center" wrapText="1"/>
    </xf>
    <xf numFmtId="0" fontId="34" fillId="6" borderId="11" xfId="0" applyFont="1" applyFill="1" applyBorder="1" applyAlignment="1">
      <alignment horizontal="center" vertical="center" wrapText="1"/>
    </xf>
    <xf numFmtId="0" fontId="34" fillId="6" borderId="12" xfId="0" applyFont="1" applyFill="1" applyBorder="1" applyAlignment="1">
      <alignment horizontal="center" vertical="center" wrapText="1"/>
    </xf>
    <xf numFmtId="0" fontId="34" fillId="6" borderId="20" xfId="0" applyFont="1" applyFill="1" applyBorder="1" applyAlignment="1">
      <alignment horizontal="center" vertical="center"/>
    </xf>
    <xf numFmtId="0" fontId="34" fillId="6" borderId="21" xfId="0" applyFont="1" applyFill="1" applyBorder="1" applyAlignment="1">
      <alignment horizontal="center" vertical="center"/>
    </xf>
    <xf numFmtId="0" fontId="34" fillId="6" borderId="17" xfId="0" applyFont="1" applyFill="1" applyBorder="1" applyAlignment="1">
      <alignment horizontal="center" vertical="center"/>
    </xf>
    <xf numFmtId="0" fontId="34" fillId="6" borderId="4" xfId="0" applyFont="1" applyFill="1" applyBorder="1" applyAlignment="1">
      <alignment horizontal="center" vertical="center" wrapText="1"/>
    </xf>
    <xf numFmtId="0" fontId="29" fillId="0" borderId="0" xfId="0" applyFont="1" applyFill="1" applyAlignment="1">
      <alignment horizontal="left" vertical="top" wrapText="1"/>
    </xf>
    <xf numFmtId="0" fontId="28" fillId="3" borderId="22" xfId="0" applyFont="1" applyFill="1" applyBorder="1" applyAlignment="1">
      <alignment horizontal="left" vertical="center" wrapText="1"/>
    </xf>
    <xf numFmtId="0" fontId="28" fillId="3" borderId="24" xfId="0" applyFont="1" applyFill="1" applyBorder="1" applyAlignment="1">
      <alignment horizontal="left" vertical="center" wrapText="1"/>
    </xf>
    <xf numFmtId="0" fontId="29" fillId="6" borderId="6" xfId="0" applyFont="1" applyFill="1" applyBorder="1" applyAlignment="1">
      <alignment horizontal="center" vertical="center" wrapText="1"/>
    </xf>
    <xf numFmtId="0" fontId="29" fillId="6" borderId="7" xfId="0" applyFont="1" applyFill="1" applyBorder="1" applyAlignment="1">
      <alignment horizontal="center" vertical="center" wrapText="1"/>
    </xf>
    <xf numFmtId="0" fontId="29" fillId="23" borderId="12" xfId="0" applyFont="1" applyFill="1" applyBorder="1" applyAlignment="1">
      <alignment horizontal="center" vertical="center" wrapText="1"/>
    </xf>
    <xf numFmtId="0" fontId="29" fillId="23" borderId="19" xfId="0" applyFont="1" applyFill="1" applyBorder="1" applyAlignment="1">
      <alignment horizontal="center" vertical="center" wrapText="1"/>
    </xf>
    <xf numFmtId="0" fontId="29" fillId="24" borderId="12" xfId="0" applyFont="1" applyFill="1" applyBorder="1" applyAlignment="1">
      <alignment horizontal="center" vertical="center" wrapText="1"/>
    </xf>
    <xf numFmtId="0" fontId="29" fillId="24" borderId="19" xfId="0" applyFont="1" applyFill="1" applyBorder="1" applyAlignment="1">
      <alignment horizontal="center" vertical="center" wrapText="1"/>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60" fillId="0" borderId="6"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46" fillId="3" borderId="0" xfId="0" applyFont="1" applyFill="1" applyAlignment="1">
      <alignment horizontal="left" wrapText="1"/>
    </xf>
    <xf numFmtId="0" fontId="26" fillId="3" borderId="22" xfId="0" applyFont="1" applyFill="1" applyBorder="1" applyAlignment="1">
      <alignment horizontal="center" vertical="center" wrapText="1"/>
    </xf>
    <xf numFmtId="0" fontId="26" fillId="3" borderId="24" xfId="0" applyFont="1" applyFill="1" applyBorder="1" applyAlignment="1">
      <alignment horizontal="center" vertical="center" wrapText="1"/>
    </xf>
    <xf numFmtId="0" fontId="24" fillId="6" borderId="6" xfId="0" applyFont="1" applyFill="1" applyBorder="1" applyAlignment="1">
      <alignment horizontal="center" vertical="center" wrapText="1"/>
    </xf>
    <xf numFmtId="0" fontId="24" fillId="6" borderId="7"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60" fillId="3" borderId="22" xfId="0" applyFont="1" applyFill="1" applyBorder="1" applyAlignment="1">
      <alignment horizontal="left" vertical="center" wrapText="1"/>
    </xf>
    <xf numFmtId="0" fontId="60" fillId="3" borderId="24" xfId="0" applyFont="1" applyFill="1" applyBorder="1" applyAlignment="1">
      <alignment horizontal="left" vertical="center" wrapText="1"/>
    </xf>
    <xf numFmtId="0" fontId="30" fillId="3" borderId="0" xfId="0" applyFont="1" applyFill="1" applyBorder="1" applyAlignment="1">
      <alignment horizontal="left" vertical="top" wrapText="1"/>
    </xf>
    <xf numFmtId="0" fontId="30" fillId="3" borderId="0" xfId="0" applyFont="1" applyFill="1" applyAlignment="1">
      <alignment horizontal="left" vertical="top" wrapText="1"/>
    </xf>
    <xf numFmtId="0" fontId="46" fillId="3" borderId="0" xfId="0" applyFont="1" applyFill="1" applyAlignment="1">
      <alignment horizontal="left"/>
    </xf>
  </cellXfs>
  <cellStyles count="42851">
    <cellStyle name="%" xfId="21"/>
    <cellStyle name="% 2" xfId="22"/>
    <cellStyle name=",000" xfId="23"/>
    <cellStyle name="_6440_Tax" xfId="24"/>
    <cellStyle name="=D:\WINNT\SYSTEM32\COMMAND.COM" xfId="25"/>
    <cellStyle name="0" xfId="26"/>
    <cellStyle name="0,0" xfId="27"/>
    <cellStyle name="0,00" xfId="28"/>
    <cellStyle name="0_BP2" xfId="29"/>
    <cellStyle name="0_BP3" xfId="30"/>
    <cellStyle name="0_BP3_Financial Statements_01_2010" xfId="31"/>
    <cellStyle name="0_BP3_Financial Statements_02_2010" xfId="32"/>
    <cellStyle name="0_BP3_Financial Statements_12_2009_NewBud" xfId="33"/>
    <cellStyle name="1000-sep_Ark1" xfId="34"/>
    <cellStyle name="1000-sep+,00_Slideshow" xfId="35"/>
    <cellStyle name="20% - 1. jelölőszín" xfId="36"/>
    <cellStyle name="20% - 2. jelölőszín" xfId="37"/>
    <cellStyle name="20% - 3. jelölőszín" xfId="38"/>
    <cellStyle name="20% - 4. jelölőszín" xfId="39"/>
    <cellStyle name="20% - 5. jelölőszín" xfId="40"/>
    <cellStyle name="20% - akcent 1 10" xfId="41"/>
    <cellStyle name="20% - akcent 1 100" xfId="42"/>
    <cellStyle name="20% - akcent 1 100 2" xfId="43"/>
    <cellStyle name="20% - akcent 1 101" xfId="44"/>
    <cellStyle name="20% - akcent 1 101 2" xfId="45"/>
    <cellStyle name="20% - akcent 1 102" xfId="46"/>
    <cellStyle name="20% - akcent 1 102 2" xfId="47"/>
    <cellStyle name="20% - akcent 1 103" xfId="48"/>
    <cellStyle name="20% - akcent 1 103 2" xfId="49"/>
    <cellStyle name="20% - akcent 1 104" xfId="50"/>
    <cellStyle name="20% - akcent 1 104 2" xfId="51"/>
    <cellStyle name="20% - akcent 1 105" xfId="52"/>
    <cellStyle name="20% - akcent 1 105 2" xfId="53"/>
    <cellStyle name="20% - akcent 1 106" xfId="54"/>
    <cellStyle name="20% - akcent 1 106 2" xfId="55"/>
    <cellStyle name="20% - akcent 1 107" xfId="56"/>
    <cellStyle name="20% - akcent 1 107 2" xfId="57"/>
    <cellStyle name="20% - akcent 1 108" xfId="58"/>
    <cellStyle name="20% - akcent 1 108 2" xfId="59"/>
    <cellStyle name="20% - akcent 1 109" xfId="60"/>
    <cellStyle name="20% - akcent 1 109 2" xfId="61"/>
    <cellStyle name="20% - akcent 1 11" xfId="62"/>
    <cellStyle name="20% - akcent 1 110" xfId="63"/>
    <cellStyle name="20% - akcent 1 110 2" xfId="64"/>
    <cellStyle name="20% - akcent 1 111" xfId="65"/>
    <cellStyle name="20% - akcent 1 111 2" xfId="66"/>
    <cellStyle name="20% - akcent 1 112" xfId="67"/>
    <cellStyle name="20% - akcent 1 112 2" xfId="68"/>
    <cellStyle name="20% - akcent 1 113" xfId="69"/>
    <cellStyle name="20% - akcent 1 113 2" xfId="70"/>
    <cellStyle name="20% - akcent 1 114" xfId="71"/>
    <cellStyle name="20% - akcent 1 114 2" xfId="72"/>
    <cellStyle name="20% - akcent 1 115" xfId="73"/>
    <cellStyle name="20% - akcent 1 115 2" xfId="74"/>
    <cellStyle name="20% - akcent 1 116" xfId="75"/>
    <cellStyle name="20% - akcent 1 116 2" xfId="76"/>
    <cellStyle name="20% - akcent 1 117" xfId="77"/>
    <cellStyle name="20% - akcent 1 117 2" xfId="78"/>
    <cellStyle name="20% - akcent 1 118" xfId="79"/>
    <cellStyle name="20% - akcent 1 118 2" xfId="80"/>
    <cellStyle name="20% - akcent 1 119" xfId="81"/>
    <cellStyle name="20% - akcent 1 119 2" xfId="82"/>
    <cellStyle name="20% - akcent 1 12" xfId="83"/>
    <cellStyle name="20% - akcent 1 120" xfId="84"/>
    <cellStyle name="20% - akcent 1 121" xfId="85"/>
    <cellStyle name="20% - akcent 1 13" xfId="86"/>
    <cellStyle name="20% - akcent 1 14" xfId="87"/>
    <cellStyle name="20% - akcent 1 15" xfId="88"/>
    <cellStyle name="20% - akcent 1 16" xfId="89"/>
    <cellStyle name="20% - akcent 1 17" xfId="90"/>
    <cellStyle name="20% - akcent 1 18" xfId="91"/>
    <cellStyle name="20% - akcent 1 19" xfId="92"/>
    <cellStyle name="20% - akcent 1 2" xfId="93"/>
    <cellStyle name="20% - akcent 1 2 2" xfId="94"/>
    <cellStyle name="20% - akcent 1 2 22" xfId="95"/>
    <cellStyle name="20% - akcent 1 2 22 2" xfId="96"/>
    <cellStyle name="20% - akcent 1 2 22 3" xfId="97"/>
    <cellStyle name="20% - akcent 1 2 22 4" xfId="98"/>
    <cellStyle name="20% - akcent 1 2 22 5" xfId="99"/>
    <cellStyle name="20% - akcent 1 2 22 6" xfId="100"/>
    <cellStyle name="20% - akcent 1 2 23" xfId="101"/>
    <cellStyle name="20% - akcent 1 2 23 2" xfId="102"/>
    <cellStyle name="20% - akcent 1 2 23 3" xfId="103"/>
    <cellStyle name="20% - akcent 1 2 23 4" xfId="104"/>
    <cellStyle name="20% - akcent 1 2 23 5" xfId="105"/>
    <cellStyle name="20% - akcent 1 2 23 6" xfId="106"/>
    <cellStyle name="20% - akcent 1 2 24" xfId="107"/>
    <cellStyle name="20% - akcent 1 2 24 2" xfId="108"/>
    <cellStyle name="20% - akcent 1 2 24 3" xfId="109"/>
    <cellStyle name="20% - akcent 1 2 24 4" xfId="110"/>
    <cellStyle name="20% - akcent 1 2 24 5" xfId="111"/>
    <cellStyle name="20% - akcent 1 2 24 6" xfId="112"/>
    <cellStyle name="20% - akcent 1 2 25" xfId="113"/>
    <cellStyle name="20% - akcent 1 2 25 2" xfId="114"/>
    <cellStyle name="20% - akcent 1 2 25 3" xfId="115"/>
    <cellStyle name="20% - akcent 1 2 25 4" xfId="116"/>
    <cellStyle name="20% - akcent 1 2 25 5" xfId="117"/>
    <cellStyle name="20% - akcent 1 2 25 6" xfId="118"/>
    <cellStyle name="20% - akcent 1 2 26" xfId="119"/>
    <cellStyle name="20% - akcent 1 2 26 2" xfId="120"/>
    <cellStyle name="20% - akcent 1 2 26 3" xfId="121"/>
    <cellStyle name="20% - akcent 1 2 26 4" xfId="122"/>
    <cellStyle name="20% - akcent 1 2 26 5" xfId="123"/>
    <cellStyle name="20% - akcent 1 2 26 6" xfId="124"/>
    <cellStyle name="20% - akcent 1 2 27" xfId="125"/>
    <cellStyle name="20% - akcent 1 2 27 2" xfId="126"/>
    <cellStyle name="20% - akcent 1 2 27 3" xfId="127"/>
    <cellStyle name="20% - akcent 1 2 27 4" xfId="128"/>
    <cellStyle name="20% - akcent 1 2 27 5" xfId="129"/>
    <cellStyle name="20% - akcent 1 2 27 6" xfId="130"/>
    <cellStyle name="20% - akcent 1 2 28" xfId="131"/>
    <cellStyle name="20% - akcent 1 2 28 2" xfId="132"/>
    <cellStyle name="20% - akcent 1 2 28 3" xfId="133"/>
    <cellStyle name="20% - akcent 1 2 28 4" xfId="134"/>
    <cellStyle name="20% - akcent 1 2 28 5" xfId="135"/>
    <cellStyle name="20% - akcent 1 2 28 6" xfId="136"/>
    <cellStyle name="20% - akcent 1 2 29" xfId="137"/>
    <cellStyle name="20% - akcent 1 2 29 2" xfId="138"/>
    <cellStyle name="20% - akcent 1 2 3" xfId="139"/>
    <cellStyle name="20% - akcent 1 2 3 2" xfId="140"/>
    <cellStyle name="20% - akcent 1 2 3 3" xfId="141"/>
    <cellStyle name="20% - akcent 1 2 3 4" xfId="142"/>
    <cellStyle name="20% - akcent 1 2 3 5" xfId="143"/>
    <cellStyle name="20% - akcent 1 2 3 6" xfId="144"/>
    <cellStyle name="20% - akcent 1 2 3 7" xfId="145"/>
    <cellStyle name="20% - akcent 1 2 30" xfId="146"/>
    <cellStyle name="20% - akcent 1 2 30 2" xfId="147"/>
    <cellStyle name="20% - akcent 1 2 31" xfId="148"/>
    <cellStyle name="20% - akcent 1 2 31 2" xfId="149"/>
    <cellStyle name="20% - akcent 1 2 32" xfId="150"/>
    <cellStyle name="20% - akcent 1 2 32 2" xfId="151"/>
    <cellStyle name="20% - akcent 1 2 33" xfId="152"/>
    <cellStyle name="20% - akcent 1 2 34" xfId="153"/>
    <cellStyle name="20% - akcent 1 2 35" xfId="154"/>
    <cellStyle name="20% - akcent 1 2 36" xfId="155"/>
    <cellStyle name="20% - akcent 1 2 37" xfId="156"/>
    <cellStyle name="20% - akcent 1 2 38" xfId="157"/>
    <cellStyle name="20% - akcent 1 2 39" xfId="158"/>
    <cellStyle name="20% - akcent 1 2 4" xfId="159"/>
    <cellStyle name="20% - akcent 1 2 4 2" xfId="160"/>
    <cellStyle name="20% - akcent 1 2 4 3" xfId="161"/>
    <cellStyle name="20% - akcent 1 2 4 4" xfId="162"/>
    <cellStyle name="20% - akcent 1 2 4 5" xfId="163"/>
    <cellStyle name="20% - akcent 1 2 4 6" xfId="164"/>
    <cellStyle name="20% - akcent 1 2 4 7" xfId="165"/>
    <cellStyle name="20% - akcent 1 2 48" xfId="166"/>
    <cellStyle name="20% - akcent 1 2 49" xfId="167"/>
    <cellStyle name="20% - akcent 1 2 5" xfId="168"/>
    <cellStyle name="20% - akcent 1 2 5 3" xfId="169"/>
    <cellStyle name="20% - akcent 1 2 5 4" xfId="170"/>
    <cellStyle name="20% - akcent 1 2 5 5" xfId="171"/>
    <cellStyle name="20% - akcent 1 2 5 6" xfId="172"/>
    <cellStyle name="20% - akcent 1 2 50" xfId="173"/>
    <cellStyle name="20% - akcent 1 2 51" xfId="174"/>
    <cellStyle name="20% - akcent 1 2 6" xfId="175"/>
    <cellStyle name="20% - akcent 1 2 6 2" xfId="176"/>
    <cellStyle name="20% - akcent 1 2 6 3" xfId="177"/>
    <cellStyle name="20% - akcent 1 2 6 4" xfId="178"/>
    <cellStyle name="20% - akcent 1 2 6 5" xfId="179"/>
    <cellStyle name="20% - akcent 1 2 6 6" xfId="180"/>
    <cellStyle name="20% - akcent 1 2 7" xfId="181"/>
    <cellStyle name="20% - akcent 1 2 7 2" xfId="182"/>
    <cellStyle name="20% - akcent 1 2 7 3" xfId="183"/>
    <cellStyle name="20% - akcent 1 2 7 4" xfId="184"/>
    <cellStyle name="20% - akcent 1 2 7 5" xfId="185"/>
    <cellStyle name="20% - akcent 1 2 7 6" xfId="186"/>
    <cellStyle name="20% - akcent 1 2 8" xfId="187"/>
    <cellStyle name="20% - akcent 1 2 8 2" xfId="188"/>
    <cellStyle name="20% - akcent 1 2 8 3" xfId="189"/>
    <cellStyle name="20% - akcent 1 2 8 4" xfId="190"/>
    <cellStyle name="20% - akcent 1 2 8 5" xfId="191"/>
    <cellStyle name="20% - akcent 1 2 8 6" xfId="192"/>
    <cellStyle name="20% - akcent 1 2 9" xfId="193"/>
    <cellStyle name="20% - akcent 1 2 9 2" xfId="194"/>
    <cellStyle name="20% - akcent 1 2 9 3" xfId="195"/>
    <cellStyle name="20% - akcent 1 2 9 4" xfId="196"/>
    <cellStyle name="20% - akcent 1 2 9 5" xfId="197"/>
    <cellStyle name="20% - akcent 1 2 9 6" xfId="198"/>
    <cellStyle name="20% - akcent 1 20" xfId="199"/>
    <cellStyle name="20% - akcent 1 21" xfId="200"/>
    <cellStyle name="20% - akcent 1 22" xfId="201"/>
    <cellStyle name="20% - akcent 1 23" xfId="202"/>
    <cellStyle name="20% - akcent 1 24" xfId="203"/>
    <cellStyle name="20% - akcent 1 25" xfId="204"/>
    <cellStyle name="20% - akcent 1 26" xfId="205"/>
    <cellStyle name="20% - akcent 1 27" xfId="206"/>
    <cellStyle name="20% - akcent 1 28" xfId="207"/>
    <cellStyle name="20% - akcent 1 29" xfId="208"/>
    <cellStyle name="20% - akcent 1 3" xfId="209"/>
    <cellStyle name="20% - akcent 1 3 2" xfId="210"/>
    <cellStyle name="20% - akcent 1 3 2 2" xfId="211"/>
    <cellStyle name="20% - akcent 1 3 3" xfId="212"/>
    <cellStyle name="20% - akcent 1 3 3 2" xfId="213"/>
    <cellStyle name="20% - akcent 1 3 4" xfId="214"/>
    <cellStyle name="20% - akcent 1 3 4 2" xfId="215"/>
    <cellStyle name="20% - akcent 1 3 5" xfId="216"/>
    <cellStyle name="20% - akcent 1 3 6" xfId="217"/>
    <cellStyle name="20% - akcent 1 3 7" xfId="218"/>
    <cellStyle name="20% - akcent 1 3 8" xfId="219"/>
    <cellStyle name="20% - akcent 1 30" xfId="220"/>
    <cellStyle name="20% - akcent 1 30 2" xfId="221"/>
    <cellStyle name="20% - akcent 1 31" xfId="222"/>
    <cellStyle name="20% - akcent 1 31 2" xfId="223"/>
    <cellStyle name="20% - akcent 1 32" xfId="224"/>
    <cellStyle name="20% - akcent 1 32 2" xfId="225"/>
    <cellStyle name="20% - akcent 1 33" xfId="226"/>
    <cellStyle name="20% - akcent 1 33 2" xfId="227"/>
    <cellStyle name="20% - akcent 1 34" xfId="228"/>
    <cellStyle name="20% - akcent 1 34 2" xfId="229"/>
    <cellStyle name="20% - akcent 1 35" xfId="230"/>
    <cellStyle name="20% - akcent 1 35 2" xfId="231"/>
    <cellStyle name="20% - akcent 1 36" xfId="232"/>
    <cellStyle name="20% - akcent 1 36 2" xfId="233"/>
    <cellStyle name="20% - akcent 1 37" xfId="234"/>
    <cellStyle name="20% - akcent 1 37 2" xfId="235"/>
    <cellStyle name="20% - akcent 1 38" xfId="236"/>
    <cellStyle name="20% - akcent 1 38 2" xfId="237"/>
    <cellStyle name="20% - akcent 1 39" xfId="238"/>
    <cellStyle name="20% - akcent 1 39 2" xfId="239"/>
    <cellStyle name="20% - akcent 1 4" xfId="240"/>
    <cellStyle name="20% - akcent 1 4 2" xfId="241"/>
    <cellStyle name="20% - akcent 1 4 2 2" xfId="242"/>
    <cellStyle name="20% - akcent 1 4 3" xfId="243"/>
    <cellStyle name="20% - akcent 1 4 3 2" xfId="244"/>
    <cellStyle name="20% - akcent 1 4 4" xfId="245"/>
    <cellStyle name="20% - akcent 1 4 4 2" xfId="246"/>
    <cellStyle name="20% - akcent 1 4 5" xfId="247"/>
    <cellStyle name="20% - akcent 1 4 6" xfId="248"/>
    <cellStyle name="20% - akcent 1 4 7" xfId="249"/>
    <cellStyle name="20% - akcent 1 4 8" xfId="250"/>
    <cellStyle name="20% - akcent 1 40" xfId="251"/>
    <cellStyle name="20% - akcent 1 40 2" xfId="252"/>
    <cellStyle name="20% - akcent 1 41" xfId="253"/>
    <cellStyle name="20% - akcent 1 41 2" xfId="254"/>
    <cellStyle name="20% - akcent 1 42" xfId="255"/>
    <cellStyle name="20% - akcent 1 42 2" xfId="256"/>
    <cellStyle name="20% - akcent 1 43" xfId="257"/>
    <cellStyle name="20% - akcent 1 43 2" xfId="258"/>
    <cellStyle name="20% - akcent 1 44" xfId="259"/>
    <cellStyle name="20% - akcent 1 44 2" xfId="260"/>
    <cellStyle name="20% - akcent 1 45" xfId="261"/>
    <cellStyle name="20% - akcent 1 45 2" xfId="262"/>
    <cellStyle name="20% - akcent 1 46" xfId="263"/>
    <cellStyle name="20% - akcent 1 46 2" xfId="264"/>
    <cellStyle name="20% - akcent 1 47" xfId="265"/>
    <cellStyle name="20% - akcent 1 47 2" xfId="266"/>
    <cellStyle name="20% - akcent 1 48" xfId="267"/>
    <cellStyle name="20% - akcent 1 48 2" xfId="268"/>
    <cellStyle name="20% - akcent 1 49" xfId="269"/>
    <cellStyle name="20% - akcent 1 49 2" xfId="270"/>
    <cellStyle name="20% - akcent 1 5" xfId="271"/>
    <cellStyle name="20% - akcent 1 5 2" xfId="272"/>
    <cellStyle name="20% - akcent 1 5 3" xfId="273"/>
    <cellStyle name="20% - akcent 1 50" xfId="274"/>
    <cellStyle name="20% - akcent 1 50 2" xfId="275"/>
    <cellStyle name="20% - akcent 1 51" xfId="276"/>
    <cellStyle name="20% - akcent 1 51 2" xfId="277"/>
    <cellStyle name="20% - akcent 1 52" xfId="278"/>
    <cellStyle name="20% - akcent 1 52 2" xfId="279"/>
    <cellStyle name="20% - akcent 1 53" xfId="280"/>
    <cellStyle name="20% - akcent 1 53 2" xfId="281"/>
    <cellStyle name="20% - akcent 1 54" xfId="282"/>
    <cellStyle name="20% - akcent 1 54 2" xfId="283"/>
    <cellStyle name="20% - akcent 1 55" xfId="284"/>
    <cellStyle name="20% - akcent 1 55 2" xfId="285"/>
    <cellStyle name="20% - akcent 1 56" xfId="286"/>
    <cellStyle name="20% - akcent 1 56 2" xfId="287"/>
    <cellStyle name="20% - akcent 1 57" xfId="288"/>
    <cellStyle name="20% - akcent 1 57 2" xfId="289"/>
    <cellStyle name="20% - akcent 1 58" xfId="290"/>
    <cellStyle name="20% - akcent 1 58 2" xfId="291"/>
    <cellStyle name="20% - akcent 1 59" xfId="292"/>
    <cellStyle name="20% - akcent 1 59 2" xfId="293"/>
    <cellStyle name="20% - akcent 1 6" xfId="294"/>
    <cellStyle name="20% - akcent 1 60" xfId="295"/>
    <cellStyle name="20% - akcent 1 60 2" xfId="296"/>
    <cellStyle name="20% - akcent 1 61" xfId="297"/>
    <cellStyle name="20% - akcent 1 61 2" xfId="298"/>
    <cellStyle name="20% - akcent 1 62" xfId="299"/>
    <cellStyle name="20% - akcent 1 62 2" xfId="300"/>
    <cellStyle name="20% - akcent 1 63" xfId="301"/>
    <cellStyle name="20% - akcent 1 63 2" xfId="302"/>
    <cellStyle name="20% - akcent 1 64" xfId="303"/>
    <cellStyle name="20% - akcent 1 64 2" xfId="304"/>
    <cellStyle name="20% - akcent 1 65" xfId="305"/>
    <cellStyle name="20% - akcent 1 65 2" xfId="306"/>
    <cellStyle name="20% - akcent 1 66" xfId="307"/>
    <cellStyle name="20% - akcent 1 66 2" xfId="308"/>
    <cellStyle name="20% - akcent 1 67" xfId="309"/>
    <cellStyle name="20% - akcent 1 67 2" xfId="310"/>
    <cellStyle name="20% - akcent 1 68" xfId="311"/>
    <cellStyle name="20% - akcent 1 68 2" xfId="312"/>
    <cellStyle name="20% - akcent 1 69" xfId="313"/>
    <cellStyle name="20% - akcent 1 69 2" xfId="314"/>
    <cellStyle name="20% - akcent 1 7" xfId="315"/>
    <cellStyle name="20% - akcent 1 70" xfId="316"/>
    <cellStyle name="20% - akcent 1 70 2" xfId="317"/>
    <cellStyle name="20% - akcent 1 71" xfId="318"/>
    <cellStyle name="20% - akcent 1 71 2" xfId="319"/>
    <cellStyle name="20% - akcent 1 72" xfId="320"/>
    <cellStyle name="20% - akcent 1 72 2" xfId="321"/>
    <cellStyle name="20% - akcent 1 73" xfId="322"/>
    <cellStyle name="20% - akcent 1 73 2" xfId="323"/>
    <cellStyle name="20% - akcent 1 74" xfId="324"/>
    <cellStyle name="20% - akcent 1 74 2" xfId="325"/>
    <cellStyle name="20% - akcent 1 75" xfId="326"/>
    <cellStyle name="20% - akcent 1 75 2" xfId="327"/>
    <cellStyle name="20% - akcent 1 76" xfId="328"/>
    <cellStyle name="20% - akcent 1 76 2" xfId="329"/>
    <cellStyle name="20% - akcent 1 77" xfId="330"/>
    <cellStyle name="20% - akcent 1 77 2" xfId="331"/>
    <cellStyle name="20% - akcent 1 78" xfId="332"/>
    <cellStyle name="20% - akcent 1 78 2" xfId="333"/>
    <cellStyle name="20% - akcent 1 79" xfId="334"/>
    <cellStyle name="20% - akcent 1 79 2" xfId="335"/>
    <cellStyle name="20% - akcent 1 8" xfId="336"/>
    <cellStyle name="20% - akcent 1 80" xfId="337"/>
    <cellStyle name="20% - akcent 1 80 2" xfId="338"/>
    <cellStyle name="20% - akcent 1 81" xfId="339"/>
    <cellStyle name="20% - akcent 1 81 2" xfId="340"/>
    <cellStyle name="20% - akcent 1 82" xfId="341"/>
    <cellStyle name="20% - akcent 1 82 2" xfId="342"/>
    <cellStyle name="20% - akcent 1 83" xfId="343"/>
    <cellStyle name="20% - akcent 1 83 2" xfId="344"/>
    <cellStyle name="20% - akcent 1 84" xfId="345"/>
    <cellStyle name="20% - akcent 1 84 2" xfId="346"/>
    <cellStyle name="20% - akcent 1 85" xfId="347"/>
    <cellStyle name="20% - akcent 1 85 2" xfId="348"/>
    <cellStyle name="20% - akcent 1 86" xfId="349"/>
    <cellStyle name="20% - akcent 1 86 2" xfId="350"/>
    <cellStyle name="20% - akcent 1 87" xfId="351"/>
    <cellStyle name="20% - akcent 1 87 2" xfId="352"/>
    <cellStyle name="20% - akcent 1 88" xfId="353"/>
    <cellStyle name="20% - akcent 1 88 2" xfId="354"/>
    <cellStyle name="20% - akcent 1 89" xfId="355"/>
    <cellStyle name="20% - akcent 1 89 2" xfId="356"/>
    <cellStyle name="20% - akcent 1 9" xfId="357"/>
    <cellStyle name="20% - akcent 1 90" xfId="358"/>
    <cellStyle name="20% - akcent 1 90 2" xfId="359"/>
    <cellStyle name="20% - akcent 1 91" xfId="360"/>
    <cellStyle name="20% - akcent 1 91 2" xfId="361"/>
    <cellStyle name="20% - akcent 1 92" xfId="362"/>
    <cellStyle name="20% - akcent 1 92 2" xfId="363"/>
    <cellStyle name="20% - akcent 1 93" xfId="364"/>
    <cellStyle name="20% - akcent 1 93 2" xfId="365"/>
    <cellStyle name="20% - akcent 1 94" xfId="366"/>
    <cellStyle name="20% - akcent 1 94 2" xfId="367"/>
    <cellStyle name="20% - akcent 1 95" xfId="368"/>
    <cellStyle name="20% - akcent 1 95 2" xfId="369"/>
    <cellStyle name="20% - akcent 1 96" xfId="370"/>
    <cellStyle name="20% - akcent 1 96 2" xfId="371"/>
    <cellStyle name="20% - akcent 1 97" xfId="372"/>
    <cellStyle name="20% - akcent 1 97 2" xfId="373"/>
    <cellStyle name="20% - akcent 1 98" xfId="374"/>
    <cellStyle name="20% - akcent 1 98 2" xfId="375"/>
    <cellStyle name="20% - akcent 1 99" xfId="376"/>
    <cellStyle name="20% - akcent 1 99 2" xfId="377"/>
    <cellStyle name="20% - akcent 2 10" xfId="378"/>
    <cellStyle name="20% - akcent 2 100" xfId="379"/>
    <cellStyle name="20% - akcent 2 100 2" xfId="380"/>
    <cellStyle name="20% - akcent 2 101" xfId="381"/>
    <cellStyle name="20% - akcent 2 101 2" xfId="382"/>
    <cellStyle name="20% - akcent 2 102" xfId="383"/>
    <cellStyle name="20% - akcent 2 102 2" xfId="384"/>
    <cellStyle name="20% - akcent 2 103" xfId="385"/>
    <cellStyle name="20% - akcent 2 103 2" xfId="386"/>
    <cellStyle name="20% - akcent 2 104" xfId="387"/>
    <cellStyle name="20% - akcent 2 104 2" xfId="388"/>
    <cellStyle name="20% - akcent 2 105" xfId="389"/>
    <cellStyle name="20% - akcent 2 105 2" xfId="390"/>
    <cellStyle name="20% - akcent 2 106" xfId="391"/>
    <cellStyle name="20% - akcent 2 106 2" xfId="392"/>
    <cellStyle name="20% - akcent 2 107" xfId="393"/>
    <cellStyle name="20% - akcent 2 107 2" xfId="394"/>
    <cellStyle name="20% - akcent 2 108" xfId="395"/>
    <cellStyle name="20% - akcent 2 108 2" xfId="396"/>
    <cellStyle name="20% - akcent 2 109" xfId="397"/>
    <cellStyle name="20% - akcent 2 109 2" xfId="398"/>
    <cellStyle name="20% - akcent 2 11" xfId="399"/>
    <cellStyle name="20% - akcent 2 110" xfId="400"/>
    <cellStyle name="20% - akcent 2 110 2" xfId="401"/>
    <cellStyle name="20% - akcent 2 111" xfId="402"/>
    <cellStyle name="20% - akcent 2 111 2" xfId="403"/>
    <cellStyle name="20% - akcent 2 112" xfId="404"/>
    <cellStyle name="20% - akcent 2 112 2" xfId="405"/>
    <cellStyle name="20% - akcent 2 113" xfId="406"/>
    <cellStyle name="20% - akcent 2 113 2" xfId="407"/>
    <cellStyle name="20% - akcent 2 114" xfId="408"/>
    <cellStyle name="20% - akcent 2 114 2" xfId="409"/>
    <cellStyle name="20% - akcent 2 115" xfId="410"/>
    <cellStyle name="20% - akcent 2 115 2" xfId="411"/>
    <cellStyle name="20% - akcent 2 116" xfId="412"/>
    <cellStyle name="20% - akcent 2 116 2" xfId="413"/>
    <cellStyle name="20% - akcent 2 117" xfId="414"/>
    <cellStyle name="20% - akcent 2 117 2" xfId="415"/>
    <cellStyle name="20% - akcent 2 118" xfId="416"/>
    <cellStyle name="20% - akcent 2 118 2" xfId="417"/>
    <cellStyle name="20% - akcent 2 119" xfId="418"/>
    <cellStyle name="20% - akcent 2 119 2" xfId="419"/>
    <cellStyle name="20% - akcent 2 12" xfId="420"/>
    <cellStyle name="20% - akcent 2 120" xfId="421"/>
    <cellStyle name="20% - akcent 2 121" xfId="422"/>
    <cellStyle name="20% - akcent 2 13" xfId="423"/>
    <cellStyle name="20% - akcent 2 14" xfId="424"/>
    <cellStyle name="20% - akcent 2 15" xfId="425"/>
    <cellStyle name="20% - akcent 2 16" xfId="426"/>
    <cellStyle name="20% - akcent 2 17" xfId="427"/>
    <cellStyle name="20% - akcent 2 18" xfId="428"/>
    <cellStyle name="20% - akcent 2 19" xfId="429"/>
    <cellStyle name="20% - akcent 2 2" xfId="430"/>
    <cellStyle name="20% - akcent 2 2 10" xfId="431"/>
    <cellStyle name="20% - akcent 2 2 10 2" xfId="432"/>
    <cellStyle name="20% - akcent 2 2 10 3" xfId="433"/>
    <cellStyle name="20% - akcent 2 2 10 4" xfId="434"/>
    <cellStyle name="20% - akcent 2 2 10 5" xfId="435"/>
    <cellStyle name="20% - akcent 2 2 10 6" xfId="436"/>
    <cellStyle name="20% - akcent 2 2 11" xfId="437"/>
    <cellStyle name="20% - akcent 2 2 11 2" xfId="438"/>
    <cellStyle name="20% - akcent 2 2 11 3" xfId="439"/>
    <cellStyle name="20% - akcent 2 2 11 4" xfId="440"/>
    <cellStyle name="20% - akcent 2 2 11 5" xfId="441"/>
    <cellStyle name="20% - akcent 2 2 11 6" xfId="442"/>
    <cellStyle name="20% - akcent 2 2 12" xfId="443"/>
    <cellStyle name="20% - akcent 2 2 12 2" xfId="444"/>
    <cellStyle name="20% - akcent 2 2 12 3" xfId="445"/>
    <cellStyle name="20% - akcent 2 2 12 4" xfId="446"/>
    <cellStyle name="20% - akcent 2 2 12 5" xfId="447"/>
    <cellStyle name="20% - akcent 2 2 12 6" xfId="448"/>
    <cellStyle name="20% - akcent 2 2 13" xfId="449"/>
    <cellStyle name="20% - akcent 2 2 13 2" xfId="450"/>
    <cellStyle name="20% - akcent 2 2 13 3" xfId="451"/>
    <cellStyle name="20% - akcent 2 2 13 4" xfId="452"/>
    <cellStyle name="20% - akcent 2 2 13 5" xfId="453"/>
    <cellStyle name="20% - akcent 2 2 13 6" xfId="454"/>
    <cellStyle name="20% - akcent 2 2 14" xfId="455"/>
    <cellStyle name="20% - akcent 2 2 14 2" xfId="456"/>
    <cellStyle name="20% - akcent 2 2 14 3" xfId="457"/>
    <cellStyle name="20% - akcent 2 2 14 4" xfId="458"/>
    <cellStyle name="20% - akcent 2 2 14 5" xfId="459"/>
    <cellStyle name="20% - akcent 2 2 14 6" xfId="460"/>
    <cellStyle name="20% - akcent 2 2 15" xfId="461"/>
    <cellStyle name="20% - akcent 2 2 15 2" xfId="462"/>
    <cellStyle name="20% - akcent 2 2 15 3" xfId="463"/>
    <cellStyle name="20% - akcent 2 2 15 4" xfId="464"/>
    <cellStyle name="20% - akcent 2 2 15 5" xfId="465"/>
    <cellStyle name="20% - akcent 2 2 15 6" xfId="466"/>
    <cellStyle name="20% - akcent 2 2 16" xfId="467"/>
    <cellStyle name="20% - akcent 2 2 16 2" xfId="468"/>
    <cellStyle name="20% - akcent 2 2 16 3" xfId="469"/>
    <cellStyle name="20% - akcent 2 2 16 4" xfId="470"/>
    <cellStyle name="20% - akcent 2 2 16 5" xfId="471"/>
    <cellStyle name="20% - akcent 2 2 16 6" xfId="472"/>
    <cellStyle name="20% - akcent 2 2 17" xfId="473"/>
    <cellStyle name="20% - akcent 2 2 17 2" xfId="474"/>
    <cellStyle name="20% - akcent 2 2 17 3" xfId="475"/>
    <cellStyle name="20% - akcent 2 2 17 4" xfId="476"/>
    <cellStyle name="20% - akcent 2 2 17 5" xfId="477"/>
    <cellStyle name="20% - akcent 2 2 17 6" xfId="478"/>
    <cellStyle name="20% - akcent 2 2 18" xfId="479"/>
    <cellStyle name="20% - akcent 2 2 18 2" xfId="480"/>
    <cellStyle name="20% - akcent 2 2 18 3" xfId="481"/>
    <cellStyle name="20% - akcent 2 2 18 4" xfId="482"/>
    <cellStyle name="20% - akcent 2 2 18 5" xfId="483"/>
    <cellStyle name="20% - akcent 2 2 18 6" xfId="484"/>
    <cellStyle name="20% - akcent 2 2 19" xfId="485"/>
    <cellStyle name="20% - akcent 2 2 19 2" xfId="486"/>
    <cellStyle name="20% - akcent 2 2 19 3" xfId="487"/>
    <cellStyle name="20% - akcent 2 2 19 4" xfId="488"/>
    <cellStyle name="20% - akcent 2 2 19 5" xfId="489"/>
    <cellStyle name="20% - akcent 2 2 19 6" xfId="490"/>
    <cellStyle name="20% - akcent 2 2 2" xfId="491"/>
    <cellStyle name="20% - akcent 2 2 2 2" xfId="492"/>
    <cellStyle name="20% - akcent 2 2 2 3" xfId="493"/>
    <cellStyle name="20% - akcent 2 2 2 4" xfId="494"/>
    <cellStyle name="20% - akcent 2 2 2 5" xfId="495"/>
    <cellStyle name="20% - akcent 2 2 2 6" xfId="496"/>
    <cellStyle name="20% - akcent 2 2 2 7" xfId="497"/>
    <cellStyle name="20% - akcent 2 2 20" xfId="498"/>
    <cellStyle name="20% - akcent 2 2 20 2" xfId="499"/>
    <cellStyle name="20% - akcent 2 2 20 3" xfId="500"/>
    <cellStyle name="20% - akcent 2 2 20 4" xfId="501"/>
    <cellStyle name="20% - akcent 2 2 20 5" xfId="502"/>
    <cellStyle name="20% - akcent 2 2 20 6" xfId="503"/>
    <cellStyle name="20% - akcent 2 2 21" xfId="504"/>
    <cellStyle name="20% - akcent 2 2 21 2" xfId="505"/>
    <cellStyle name="20% - akcent 2 2 21 3" xfId="506"/>
    <cellStyle name="20% - akcent 2 2 21 4" xfId="507"/>
    <cellStyle name="20% - akcent 2 2 21 5" xfId="508"/>
    <cellStyle name="20% - akcent 2 2 21 6" xfId="509"/>
    <cellStyle name="20% - akcent 2 2 22" xfId="510"/>
    <cellStyle name="20% - akcent 2 2 22 2" xfId="511"/>
    <cellStyle name="20% - akcent 2 2 22 3" xfId="512"/>
    <cellStyle name="20% - akcent 2 2 22 4" xfId="513"/>
    <cellStyle name="20% - akcent 2 2 22 5" xfId="514"/>
    <cellStyle name="20% - akcent 2 2 22 6" xfId="515"/>
    <cellStyle name="20% - akcent 2 2 23" xfId="516"/>
    <cellStyle name="20% - akcent 2 2 23 2" xfId="517"/>
    <cellStyle name="20% - akcent 2 2 23 3" xfId="518"/>
    <cellStyle name="20% - akcent 2 2 23 4" xfId="519"/>
    <cellStyle name="20% - akcent 2 2 23 5" xfId="520"/>
    <cellStyle name="20% - akcent 2 2 23 6" xfId="521"/>
    <cellStyle name="20% - akcent 2 2 24" xfId="522"/>
    <cellStyle name="20% - akcent 2 2 24 2" xfId="523"/>
    <cellStyle name="20% - akcent 2 2 24 3" xfId="524"/>
    <cellStyle name="20% - akcent 2 2 24 4" xfId="525"/>
    <cellStyle name="20% - akcent 2 2 24 5" xfId="526"/>
    <cellStyle name="20% - akcent 2 2 24 6" xfId="527"/>
    <cellStyle name="20% - akcent 2 2 25" xfId="528"/>
    <cellStyle name="20% - akcent 2 2 25 2" xfId="529"/>
    <cellStyle name="20% - akcent 2 2 25 3" xfId="530"/>
    <cellStyle name="20% - akcent 2 2 25 4" xfId="531"/>
    <cellStyle name="20% - akcent 2 2 25 5" xfId="532"/>
    <cellStyle name="20% - akcent 2 2 25 6" xfId="533"/>
    <cellStyle name="20% - akcent 2 2 26" xfId="534"/>
    <cellStyle name="20% - akcent 2 2 26 2" xfId="535"/>
    <cellStyle name="20% - akcent 2 2 26 3" xfId="536"/>
    <cellStyle name="20% - akcent 2 2 26 4" xfId="537"/>
    <cellStyle name="20% - akcent 2 2 26 5" xfId="538"/>
    <cellStyle name="20% - akcent 2 2 26 6" xfId="539"/>
    <cellStyle name="20% - akcent 2 2 27" xfId="540"/>
    <cellStyle name="20% - akcent 2 2 27 2" xfId="541"/>
    <cellStyle name="20% - akcent 2 2 27 3" xfId="542"/>
    <cellStyle name="20% - akcent 2 2 27 4" xfId="543"/>
    <cellStyle name="20% - akcent 2 2 27 5" xfId="544"/>
    <cellStyle name="20% - akcent 2 2 27 6" xfId="545"/>
    <cellStyle name="20% - akcent 2 2 28" xfId="546"/>
    <cellStyle name="20% - akcent 2 2 28 2" xfId="547"/>
    <cellStyle name="20% - akcent 2 2 28 3" xfId="548"/>
    <cellStyle name="20% - akcent 2 2 28 4" xfId="549"/>
    <cellStyle name="20% - akcent 2 2 28 5" xfId="550"/>
    <cellStyle name="20% - akcent 2 2 28 6" xfId="551"/>
    <cellStyle name="20% - akcent 2 2 29" xfId="552"/>
    <cellStyle name="20% - akcent 2 2 29 2" xfId="553"/>
    <cellStyle name="20% - akcent 2 2 3" xfId="554"/>
    <cellStyle name="20% - akcent 2 2 3 2" xfId="555"/>
    <cellStyle name="20% - akcent 2 2 3 3" xfId="556"/>
    <cellStyle name="20% - akcent 2 2 3 4" xfId="557"/>
    <cellStyle name="20% - akcent 2 2 3 5" xfId="558"/>
    <cellStyle name="20% - akcent 2 2 3 6" xfId="559"/>
    <cellStyle name="20% - akcent 2 2 3 7" xfId="560"/>
    <cellStyle name="20% - akcent 2 2 30" xfId="561"/>
    <cellStyle name="20% - akcent 2 2 30 2" xfId="562"/>
    <cellStyle name="20% - akcent 2 2 31" xfId="563"/>
    <cellStyle name="20% - akcent 2 2 31 2" xfId="564"/>
    <cellStyle name="20% - akcent 2 2 32" xfId="565"/>
    <cellStyle name="20% - akcent 2 2 32 2" xfId="566"/>
    <cellStyle name="20% - akcent 2 2 33" xfId="567"/>
    <cellStyle name="20% - akcent 2 2 34" xfId="568"/>
    <cellStyle name="20% - akcent 2 2 35" xfId="569"/>
    <cellStyle name="20% - akcent 2 2 36" xfId="570"/>
    <cellStyle name="20% - akcent 2 2 37" xfId="571"/>
    <cellStyle name="20% - akcent 2 2 38" xfId="572"/>
    <cellStyle name="20% - akcent 2 2 39" xfId="573"/>
    <cellStyle name="20% - akcent 2 2 4" xfId="574"/>
    <cellStyle name="20% - akcent 2 2 4 2" xfId="575"/>
    <cellStyle name="20% - akcent 2 2 4 3" xfId="576"/>
    <cellStyle name="20% - akcent 2 2 4 4" xfId="577"/>
    <cellStyle name="20% - akcent 2 2 4 5" xfId="578"/>
    <cellStyle name="20% - akcent 2 2 4 6" xfId="579"/>
    <cellStyle name="20% - akcent 2 2 4 7" xfId="580"/>
    <cellStyle name="20% - akcent 2 2 40" xfId="581"/>
    <cellStyle name="20% - akcent 2 2 41" xfId="582"/>
    <cellStyle name="20% - akcent 2 2 42" xfId="583"/>
    <cellStyle name="20% - akcent 2 2 43" xfId="584"/>
    <cellStyle name="20% - akcent 2 2 44" xfId="585"/>
    <cellStyle name="20% - akcent 2 2 45" xfId="586"/>
    <cellStyle name="20% - akcent 2 2 46" xfId="587"/>
    <cellStyle name="20% - akcent 2 2 47" xfId="588"/>
    <cellStyle name="20% - akcent 2 2 48" xfId="589"/>
    <cellStyle name="20% - akcent 2 2 49" xfId="590"/>
    <cellStyle name="20% - akcent 2 2 5" xfId="591"/>
    <cellStyle name="20% - akcent 2 2 5 2" xfId="592"/>
    <cellStyle name="20% - akcent 2 2 5 3" xfId="593"/>
    <cellStyle name="20% - akcent 2 2 5 4" xfId="594"/>
    <cellStyle name="20% - akcent 2 2 5 5" xfId="595"/>
    <cellStyle name="20% - akcent 2 2 5 6" xfId="596"/>
    <cellStyle name="20% - akcent 2 2 50" xfId="597"/>
    <cellStyle name="20% - akcent 2 2 51" xfId="598"/>
    <cellStyle name="20% - akcent 2 2 6" xfId="599"/>
    <cellStyle name="20% - akcent 2 2 6 2" xfId="600"/>
    <cellStyle name="20% - akcent 2 2 6 3" xfId="601"/>
    <cellStyle name="20% - akcent 2 2 6 4" xfId="602"/>
    <cellStyle name="20% - akcent 2 2 6 5" xfId="603"/>
    <cellStyle name="20% - akcent 2 2 6 6" xfId="604"/>
    <cellStyle name="20% - akcent 2 2 7" xfId="605"/>
    <cellStyle name="20% - akcent 2 2 7 2" xfId="606"/>
    <cellStyle name="20% - akcent 2 2 7 3" xfId="607"/>
    <cellStyle name="20% - akcent 2 2 7 4" xfId="608"/>
    <cellStyle name="20% - akcent 2 2 7 5" xfId="609"/>
    <cellStyle name="20% - akcent 2 2 7 6" xfId="610"/>
    <cellStyle name="20% - akcent 2 2 8" xfId="611"/>
    <cellStyle name="20% - akcent 2 2 8 2" xfId="612"/>
    <cellStyle name="20% - akcent 2 2 8 3" xfId="613"/>
    <cellStyle name="20% - akcent 2 2 8 4" xfId="614"/>
    <cellStyle name="20% - akcent 2 2 8 5" xfId="615"/>
    <cellStyle name="20% - akcent 2 2 8 6" xfId="616"/>
    <cellStyle name="20% - akcent 2 2 9" xfId="617"/>
    <cellStyle name="20% - akcent 2 2 9 2" xfId="618"/>
    <cellStyle name="20% - akcent 2 2 9 3" xfId="619"/>
    <cellStyle name="20% - akcent 2 2 9 4" xfId="620"/>
    <cellStyle name="20% - akcent 2 2 9 5" xfId="621"/>
    <cellStyle name="20% - akcent 2 2 9 6" xfId="622"/>
    <cellStyle name="20% - akcent 2 20" xfId="623"/>
    <cellStyle name="20% - akcent 2 21" xfId="624"/>
    <cellStyle name="20% - akcent 2 22" xfId="625"/>
    <cellStyle name="20% - akcent 2 23" xfId="626"/>
    <cellStyle name="20% - akcent 2 24" xfId="627"/>
    <cellStyle name="20% - akcent 2 25" xfId="628"/>
    <cellStyle name="20% - akcent 2 26" xfId="629"/>
    <cellStyle name="20% - akcent 2 27" xfId="630"/>
    <cellStyle name="20% - akcent 2 28" xfId="631"/>
    <cellStyle name="20% - akcent 2 29" xfId="632"/>
    <cellStyle name="20% - akcent 2 3" xfId="633"/>
    <cellStyle name="20% - akcent 2 3 2" xfId="634"/>
    <cellStyle name="20% - akcent 2 3 2 2" xfId="635"/>
    <cellStyle name="20% - akcent 2 3 3" xfId="636"/>
    <cellStyle name="20% - akcent 2 3 3 2" xfId="637"/>
    <cellStyle name="20% - akcent 2 3 4" xfId="638"/>
    <cellStyle name="20% - akcent 2 3 4 2" xfId="639"/>
    <cellStyle name="20% - akcent 2 3 5" xfId="640"/>
    <cellStyle name="20% - akcent 2 3 6" xfId="641"/>
    <cellStyle name="20% - akcent 2 3 7" xfId="642"/>
    <cellStyle name="20% - akcent 2 3 8" xfId="643"/>
    <cellStyle name="20% - akcent 2 30" xfId="644"/>
    <cellStyle name="20% - akcent 2 30 2" xfId="645"/>
    <cellStyle name="20% - akcent 2 31" xfId="646"/>
    <cellStyle name="20% - akcent 2 31 2" xfId="647"/>
    <cellStyle name="20% - akcent 2 32" xfId="648"/>
    <cellStyle name="20% - akcent 2 32 2" xfId="649"/>
    <cellStyle name="20% - akcent 2 33" xfId="650"/>
    <cellStyle name="20% - akcent 2 33 2" xfId="651"/>
    <cellStyle name="20% - akcent 2 34" xfId="652"/>
    <cellStyle name="20% - akcent 2 34 2" xfId="653"/>
    <cellStyle name="20% - akcent 2 35" xfId="654"/>
    <cellStyle name="20% - akcent 2 35 2" xfId="655"/>
    <cellStyle name="20% - akcent 2 36" xfId="656"/>
    <cellStyle name="20% - akcent 2 36 2" xfId="657"/>
    <cellStyle name="20% - akcent 2 37" xfId="658"/>
    <cellStyle name="20% - akcent 2 37 2" xfId="659"/>
    <cellStyle name="20% - akcent 2 38" xfId="660"/>
    <cellStyle name="20% - akcent 2 38 2" xfId="661"/>
    <cellStyle name="20% - akcent 2 39" xfId="662"/>
    <cellStyle name="20% - akcent 2 39 2" xfId="663"/>
    <cellStyle name="20% - akcent 2 4" xfId="664"/>
    <cellStyle name="20% - akcent 2 4 2" xfId="665"/>
    <cellStyle name="20% - akcent 2 4 2 2" xfId="666"/>
    <cellStyle name="20% - akcent 2 4 3" xfId="667"/>
    <cellStyle name="20% - akcent 2 4 3 2" xfId="668"/>
    <cellStyle name="20% - akcent 2 4 4" xfId="669"/>
    <cellStyle name="20% - akcent 2 4 4 2" xfId="670"/>
    <cellStyle name="20% - akcent 2 4 5" xfId="671"/>
    <cellStyle name="20% - akcent 2 4 6" xfId="672"/>
    <cellStyle name="20% - akcent 2 4 7" xfId="673"/>
    <cellStyle name="20% - akcent 2 4 8" xfId="674"/>
    <cellStyle name="20% - akcent 2 40" xfId="675"/>
    <cellStyle name="20% - akcent 2 40 2" xfId="676"/>
    <cellStyle name="20% - akcent 2 41" xfId="677"/>
    <cellStyle name="20% - akcent 2 41 2" xfId="678"/>
    <cellStyle name="20% - akcent 2 42" xfId="679"/>
    <cellStyle name="20% - akcent 2 42 2" xfId="680"/>
    <cellStyle name="20% - akcent 2 43" xfId="681"/>
    <cellStyle name="20% - akcent 2 43 2" xfId="682"/>
    <cellStyle name="20% - akcent 2 44" xfId="683"/>
    <cellStyle name="20% - akcent 2 44 2" xfId="684"/>
    <cellStyle name="20% - akcent 2 45" xfId="685"/>
    <cellStyle name="20% - akcent 2 45 2" xfId="686"/>
    <cellStyle name="20% - akcent 2 46" xfId="687"/>
    <cellStyle name="20% - akcent 2 46 2" xfId="688"/>
    <cellStyle name="20% - akcent 2 47" xfId="689"/>
    <cellStyle name="20% - akcent 2 47 2" xfId="690"/>
    <cellStyle name="20% - akcent 2 48" xfId="691"/>
    <cellStyle name="20% - akcent 2 48 2" xfId="692"/>
    <cellStyle name="20% - akcent 2 49" xfId="693"/>
    <cellStyle name="20% - akcent 2 49 2" xfId="694"/>
    <cellStyle name="20% - akcent 2 5" xfId="695"/>
    <cellStyle name="20% - akcent 2 5 2" xfId="696"/>
    <cellStyle name="20% - akcent 2 5 3" xfId="697"/>
    <cellStyle name="20% - akcent 2 50" xfId="698"/>
    <cellStyle name="20% - akcent 2 50 2" xfId="699"/>
    <cellStyle name="20% - akcent 2 51" xfId="700"/>
    <cellStyle name="20% - akcent 2 51 2" xfId="701"/>
    <cellStyle name="20% - akcent 2 52" xfId="702"/>
    <cellStyle name="20% - akcent 2 52 2" xfId="703"/>
    <cellStyle name="20% - akcent 2 53" xfId="704"/>
    <cellStyle name="20% - akcent 2 53 2" xfId="705"/>
    <cellStyle name="20% - akcent 2 54" xfId="706"/>
    <cellStyle name="20% - akcent 2 54 2" xfId="707"/>
    <cellStyle name="20% - akcent 2 55" xfId="708"/>
    <cellStyle name="20% - akcent 2 55 2" xfId="709"/>
    <cellStyle name="20% - akcent 2 56" xfId="710"/>
    <cellStyle name="20% - akcent 2 56 2" xfId="711"/>
    <cellStyle name="20% - akcent 2 57" xfId="712"/>
    <cellStyle name="20% - akcent 2 57 2" xfId="713"/>
    <cellStyle name="20% - akcent 2 58" xfId="714"/>
    <cellStyle name="20% - akcent 2 58 2" xfId="715"/>
    <cellStyle name="20% - akcent 2 59" xfId="716"/>
    <cellStyle name="20% - akcent 2 59 2" xfId="717"/>
    <cellStyle name="20% - akcent 2 6" xfId="718"/>
    <cellStyle name="20% - akcent 2 60" xfId="719"/>
    <cellStyle name="20% - akcent 2 60 2" xfId="720"/>
    <cellStyle name="20% - akcent 2 61" xfId="721"/>
    <cellStyle name="20% - akcent 2 61 2" xfId="722"/>
    <cellStyle name="20% - akcent 2 62" xfId="723"/>
    <cellStyle name="20% - akcent 2 62 2" xfId="724"/>
    <cellStyle name="20% - akcent 2 63" xfId="725"/>
    <cellStyle name="20% - akcent 2 63 2" xfId="726"/>
    <cellStyle name="20% - akcent 2 64" xfId="727"/>
    <cellStyle name="20% - akcent 2 64 2" xfId="728"/>
    <cellStyle name="20% - akcent 2 65" xfId="729"/>
    <cellStyle name="20% - akcent 2 65 2" xfId="730"/>
    <cellStyle name="20% - akcent 2 66" xfId="731"/>
    <cellStyle name="20% - akcent 2 66 2" xfId="732"/>
    <cellStyle name="20% - akcent 2 67" xfId="733"/>
    <cellStyle name="20% - akcent 2 67 2" xfId="734"/>
    <cellStyle name="20% - akcent 2 68" xfId="735"/>
    <cellStyle name="20% - akcent 2 68 2" xfId="736"/>
    <cellStyle name="20% - akcent 2 69" xfId="737"/>
    <cellStyle name="20% - akcent 2 69 2" xfId="738"/>
    <cellStyle name="20% - akcent 2 7" xfId="739"/>
    <cellStyle name="20% - akcent 2 70" xfId="740"/>
    <cellStyle name="20% - akcent 2 70 2" xfId="741"/>
    <cellStyle name="20% - akcent 2 71" xfId="742"/>
    <cellStyle name="20% - akcent 2 71 2" xfId="743"/>
    <cellStyle name="20% - akcent 2 72" xfId="744"/>
    <cellStyle name="20% - akcent 2 72 2" xfId="745"/>
    <cellStyle name="20% - akcent 2 73" xfId="746"/>
    <cellStyle name="20% - akcent 2 73 2" xfId="747"/>
    <cellStyle name="20% - akcent 2 74" xfId="748"/>
    <cellStyle name="20% - akcent 2 74 2" xfId="749"/>
    <cellStyle name="20% - akcent 2 75" xfId="750"/>
    <cellStyle name="20% - akcent 2 75 2" xfId="751"/>
    <cellStyle name="20% - akcent 2 76" xfId="752"/>
    <cellStyle name="20% - akcent 2 76 2" xfId="753"/>
    <cellStyle name="20% - akcent 2 77" xfId="754"/>
    <cellStyle name="20% - akcent 2 77 2" xfId="755"/>
    <cellStyle name="20% - akcent 2 78" xfId="756"/>
    <cellStyle name="20% - akcent 2 78 2" xfId="757"/>
    <cellStyle name="20% - akcent 2 79" xfId="758"/>
    <cellStyle name="20% - akcent 2 79 2" xfId="759"/>
    <cellStyle name="20% - akcent 2 8" xfId="760"/>
    <cellStyle name="20% - akcent 2 80" xfId="761"/>
    <cellStyle name="20% - akcent 2 80 2" xfId="762"/>
    <cellStyle name="20% - akcent 2 81" xfId="763"/>
    <cellStyle name="20% - akcent 2 81 2" xfId="764"/>
    <cellStyle name="20% - akcent 2 82" xfId="765"/>
    <cellStyle name="20% - akcent 2 82 2" xfId="766"/>
    <cellStyle name="20% - akcent 2 83" xfId="767"/>
    <cellStyle name="20% - akcent 2 83 2" xfId="768"/>
    <cellStyle name="20% - akcent 2 84" xfId="769"/>
    <cellStyle name="20% - akcent 2 84 2" xfId="770"/>
    <cellStyle name="20% - akcent 2 85" xfId="771"/>
    <cellStyle name="20% - akcent 2 85 2" xfId="772"/>
    <cellStyle name="20% - akcent 2 86" xfId="773"/>
    <cellStyle name="20% - akcent 2 86 2" xfId="774"/>
    <cellStyle name="20% - akcent 2 87" xfId="775"/>
    <cellStyle name="20% - akcent 2 87 2" xfId="776"/>
    <cellStyle name="20% - akcent 2 88" xfId="777"/>
    <cellStyle name="20% - akcent 2 88 2" xfId="778"/>
    <cellStyle name="20% - akcent 2 89" xfId="779"/>
    <cellStyle name="20% - akcent 2 89 2" xfId="780"/>
    <cellStyle name="20% - akcent 2 9" xfId="781"/>
    <cellStyle name="20% - akcent 2 90" xfId="782"/>
    <cellStyle name="20% - akcent 2 90 2" xfId="783"/>
    <cellStyle name="20% - akcent 2 91" xfId="784"/>
    <cellStyle name="20% - akcent 2 91 2" xfId="785"/>
    <cellStyle name="20% - akcent 2 92" xfId="786"/>
    <cellStyle name="20% - akcent 2 92 2" xfId="787"/>
    <cellStyle name="20% - akcent 2 93" xfId="788"/>
    <cellStyle name="20% - akcent 2 93 2" xfId="789"/>
    <cellStyle name="20% - akcent 2 94" xfId="790"/>
    <cellStyle name="20% - akcent 2 94 2" xfId="791"/>
    <cellStyle name="20% - akcent 2 95" xfId="792"/>
    <cellStyle name="20% - akcent 2 95 2" xfId="793"/>
    <cellStyle name="20% - akcent 2 96" xfId="794"/>
    <cellStyle name="20% - akcent 2 96 2" xfId="795"/>
    <cellStyle name="20% - akcent 2 97" xfId="796"/>
    <cellStyle name="20% - akcent 2 97 2" xfId="797"/>
    <cellStyle name="20% - akcent 2 98" xfId="798"/>
    <cellStyle name="20% - akcent 2 98 2" xfId="799"/>
    <cellStyle name="20% - akcent 2 99" xfId="800"/>
    <cellStyle name="20% - akcent 2 99 2" xfId="801"/>
    <cellStyle name="20% - akcent 3 10" xfId="802"/>
    <cellStyle name="20% - akcent 3 100" xfId="803"/>
    <cellStyle name="20% - akcent 3 100 2" xfId="804"/>
    <cellStyle name="20% - akcent 3 101" xfId="805"/>
    <cellStyle name="20% - akcent 3 101 2" xfId="806"/>
    <cellStyle name="20% - akcent 3 102" xfId="807"/>
    <cellStyle name="20% - akcent 3 102 2" xfId="808"/>
    <cellStyle name="20% - akcent 3 103" xfId="809"/>
    <cellStyle name="20% - akcent 3 103 2" xfId="810"/>
    <cellStyle name="20% - akcent 3 104" xfId="811"/>
    <cellStyle name="20% - akcent 3 104 2" xfId="812"/>
    <cellStyle name="20% - akcent 3 105" xfId="813"/>
    <cellStyle name="20% - akcent 3 105 2" xfId="814"/>
    <cellStyle name="20% - akcent 3 106" xfId="815"/>
    <cellStyle name="20% - akcent 3 106 2" xfId="816"/>
    <cellStyle name="20% - akcent 3 107" xfId="817"/>
    <cellStyle name="20% - akcent 3 107 2" xfId="818"/>
    <cellStyle name="20% - akcent 3 108" xfId="819"/>
    <cellStyle name="20% - akcent 3 108 2" xfId="820"/>
    <cellStyle name="20% - akcent 3 109" xfId="821"/>
    <cellStyle name="20% - akcent 3 109 2" xfId="822"/>
    <cellStyle name="20% - akcent 3 11" xfId="823"/>
    <cellStyle name="20% - akcent 3 110" xfId="824"/>
    <cellStyle name="20% - akcent 3 110 2" xfId="825"/>
    <cellStyle name="20% - akcent 3 111" xfId="826"/>
    <cellStyle name="20% - akcent 3 111 2" xfId="827"/>
    <cellStyle name="20% - akcent 3 112" xfId="828"/>
    <cellStyle name="20% - akcent 3 112 2" xfId="829"/>
    <cellStyle name="20% - akcent 3 113" xfId="830"/>
    <cellStyle name="20% - akcent 3 113 2" xfId="831"/>
    <cellStyle name="20% - akcent 3 114" xfId="832"/>
    <cellStyle name="20% - akcent 3 114 2" xfId="833"/>
    <cellStyle name="20% - akcent 3 115" xfId="834"/>
    <cellStyle name="20% - akcent 3 115 2" xfId="835"/>
    <cellStyle name="20% - akcent 3 116" xfId="836"/>
    <cellStyle name="20% - akcent 3 116 2" xfId="837"/>
    <cellStyle name="20% - akcent 3 117" xfId="838"/>
    <cellStyle name="20% - akcent 3 117 2" xfId="839"/>
    <cellStyle name="20% - akcent 3 118" xfId="840"/>
    <cellStyle name="20% - akcent 3 118 2" xfId="841"/>
    <cellStyle name="20% - akcent 3 119" xfId="842"/>
    <cellStyle name="20% - akcent 3 119 2" xfId="843"/>
    <cellStyle name="20% - akcent 3 12" xfId="844"/>
    <cellStyle name="20% - akcent 3 120" xfId="845"/>
    <cellStyle name="20% - akcent 3 121" xfId="846"/>
    <cellStyle name="20% - akcent 3 13" xfId="847"/>
    <cellStyle name="20% - akcent 3 14" xfId="848"/>
    <cellStyle name="20% - akcent 3 15" xfId="849"/>
    <cellStyle name="20% - akcent 3 16" xfId="850"/>
    <cellStyle name="20% - akcent 3 17" xfId="851"/>
    <cellStyle name="20% - akcent 3 18" xfId="852"/>
    <cellStyle name="20% - akcent 3 19" xfId="853"/>
    <cellStyle name="20% - akcent 3 2" xfId="854"/>
    <cellStyle name="20% - akcent 3 2 10" xfId="855"/>
    <cellStyle name="20% - akcent 3 2 10 2" xfId="856"/>
    <cellStyle name="20% - akcent 3 2 10 3" xfId="857"/>
    <cellStyle name="20% - akcent 3 2 10 4" xfId="858"/>
    <cellStyle name="20% - akcent 3 2 10 5" xfId="859"/>
    <cellStyle name="20% - akcent 3 2 10 6" xfId="860"/>
    <cellStyle name="20% - akcent 3 2 11" xfId="861"/>
    <cellStyle name="20% - akcent 3 2 11 2" xfId="862"/>
    <cellStyle name="20% - akcent 3 2 11 3" xfId="863"/>
    <cellStyle name="20% - akcent 3 2 11 4" xfId="864"/>
    <cellStyle name="20% - akcent 3 2 11 5" xfId="865"/>
    <cellStyle name="20% - akcent 3 2 11 6" xfId="866"/>
    <cellStyle name="20% - akcent 3 2 12" xfId="867"/>
    <cellStyle name="20% - akcent 3 2 12 2" xfId="868"/>
    <cellStyle name="20% - akcent 3 2 12 3" xfId="869"/>
    <cellStyle name="20% - akcent 3 2 12 4" xfId="870"/>
    <cellStyle name="20% - akcent 3 2 12 5" xfId="871"/>
    <cellStyle name="20% - akcent 3 2 12 6" xfId="872"/>
    <cellStyle name="20% - akcent 3 2 13" xfId="873"/>
    <cellStyle name="20% - akcent 3 2 13 2" xfId="874"/>
    <cellStyle name="20% - akcent 3 2 13 3" xfId="875"/>
    <cellStyle name="20% - akcent 3 2 13 4" xfId="876"/>
    <cellStyle name="20% - akcent 3 2 13 5" xfId="877"/>
    <cellStyle name="20% - akcent 3 2 13 6" xfId="878"/>
    <cellStyle name="20% - akcent 3 2 14" xfId="879"/>
    <cellStyle name="20% - akcent 3 2 14 2" xfId="880"/>
    <cellStyle name="20% - akcent 3 2 14 3" xfId="881"/>
    <cellStyle name="20% - akcent 3 2 14 4" xfId="882"/>
    <cellStyle name="20% - akcent 3 2 14 5" xfId="883"/>
    <cellStyle name="20% - akcent 3 2 14 6" xfId="884"/>
    <cellStyle name="20% - akcent 3 2 15" xfId="885"/>
    <cellStyle name="20% - akcent 3 2 15 2" xfId="886"/>
    <cellStyle name="20% - akcent 3 2 15 3" xfId="887"/>
    <cellStyle name="20% - akcent 3 2 15 4" xfId="888"/>
    <cellStyle name="20% - akcent 3 2 15 5" xfId="889"/>
    <cellStyle name="20% - akcent 3 2 15 6" xfId="890"/>
    <cellStyle name="20% - akcent 3 2 16" xfId="891"/>
    <cellStyle name="20% - akcent 3 2 16 2" xfId="892"/>
    <cellStyle name="20% - akcent 3 2 16 3" xfId="893"/>
    <cellStyle name="20% - akcent 3 2 16 4" xfId="894"/>
    <cellStyle name="20% - akcent 3 2 16 5" xfId="895"/>
    <cellStyle name="20% - akcent 3 2 16 6" xfId="896"/>
    <cellStyle name="20% - akcent 3 2 17" xfId="897"/>
    <cellStyle name="20% - akcent 3 2 17 2" xfId="898"/>
    <cellStyle name="20% - akcent 3 2 17 3" xfId="899"/>
    <cellStyle name="20% - akcent 3 2 17 4" xfId="900"/>
    <cellStyle name="20% - akcent 3 2 17 5" xfId="901"/>
    <cellStyle name="20% - akcent 3 2 17 6" xfId="902"/>
    <cellStyle name="20% - akcent 3 2 18" xfId="903"/>
    <cellStyle name="20% - akcent 3 2 18 2" xfId="904"/>
    <cellStyle name="20% - akcent 3 2 18 3" xfId="905"/>
    <cellStyle name="20% - akcent 3 2 18 4" xfId="906"/>
    <cellStyle name="20% - akcent 3 2 18 5" xfId="907"/>
    <cellStyle name="20% - akcent 3 2 18 6" xfId="908"/>
    <cellStyle name="20% - akcent 3 2 19" xfId="909"/>
    <cellStyle name="20% - akcent 3 2 19 2" xfId="910"/>
    <cellStyle name="20% - akcent 3 2 19 3" xfId="911"/>
    <cellStyle name="20% - akcent 3 2 19 4" xfId="912"/>
    <cellStyle name="20% - akcent 3 2 19 5" xfId="913"/>
    <cellStyle name="20% - akcent 3 2 19 6" xfId="914"/>
    <cellStyle name="20% - akcent 3 2 2" xfId="915"/>
    <cellStyle name="20% - akcent 3 2 2 2" xfId="916"/>
    <cellStyle name="20% - akcent 3 2 2 3" xfId="917"/>
    <cellStyle name="20% - akcent 3 2 2 4" xfId="918"/>
    <cellStyle name="20% - akcent 3 2 2 5" xfId="919"/>
    <cellStyle name="20% - akcent 3 2 2 6" xfId="920"/>
    <cellStyle name="20% - akcent 3 2 2 7" xfId="921"/>
    <cellStyle name="20% - akcent 3 2 20" xfId="922"/>
    <cellStyle name="20% - akcent 3 2 20 2" xfId="923"/>
    <cellStyle name="20% - akcent 3 2 20 3" xfId="924"/>
    <cellStyle name="20% - akcent 3 2 20 4" xfId="925"/>
    <cellStyle name="20% - akcent 3 2 20 5" xfId="926"/>
    <cellStyle name="20% - akcent 3 2 20 6" xfId="927"/>
    <cellStyle name="20% - akcent 3 2 21" xfId="928"/>
    <cellStyle name="20% - akcent 3 2 21 2" xfId="929"/>
    <cellStyle name="20% - akcent 3 2 21 3" xfId="930"/>
    <cellStyle name="20% - akcent 3 2 21 4" xfId="931"/>
    <cellStyle name="20% - akcent 3 2 21 5" xfId="932"/>
    <cellStyle name="20% - akcent 3 2 21 6" xfId="933"/>
    <cellStyle name="20% - akcent 3 2 22" xfId="934"/>
    <cellStyle name="20% - akcent 3 2 22 2" xfId="935"/>
    <cellStyle name="20% - akcent 3 2 22 3" xfId="936"/>
    <cellStyle name="20% - akcent 3 2 22 4" xfId="937"/>
    <cellStyle name="20% - akcent 3 2 22 5" xfId="938"/>
    <cellStyle name="20% - akcent 3 2 22 6" xfId="939"/>
    <cellStyle name="20% - akcent 3 2 23" xfId="940"/>
    <cellStyle name="20% - akcent 3 2 23 2" xfId="941"/>
    <cellStyle name="20% - akcent 3 2 23 3" xfId="942"/>
    <cellStyle name="20% - akcent 3 2 23 4" xfId="943"/>
    <cellStyle name="20% - akcent 3 2 23 5" xfId="944"/>
    <cellStyle name="20% - akcent 3 2 23 6" xfId="945"/>
    <cellStyle name="20% - akcent 3 2 24" xfId="946"/>
    <cellStyle name="20% - akcent 3 2 24 2" xfId="947"/>
    <cellStyle name="20% - akcent 3 2 24 3" xfId="948"/>
    <cellStyle name="20% - akcent 3 2 24 4" xfId="949"/>
    <cellStyle name="20% - akcent 3 2 24 5" xfId="950"/>
    <cellStyle name="20% - akcent 3 2 24 6" xfId="951"/>
    <cellStyle name="20% - akcent 3 2 25" xfId="952"/>
    <cellStyle name="20% - akcent 3 2 25 2" xfId="953"/>
    <cellStyle name="20% - akcent 3 2 25 3" xfId="954"/>
    <cellStyle name="20% - akcent 3 2 25 4" xfId="955"/>
    <cellStyle name="20% - akcent 3 2 25 5" xfId="956"/>
    <cellStyle name="20% - akcent 3 2 25 6" xfId="957"/>
    <cellStyle name="20% - akcent 3 2 26" xfId="958"/>
    <cellStyle name="20% - akcent 3 2 26 2" xfId="959"/>
    <cellStyle name="20% - akcent 3 2 26 3" xfId="960"/>
    <cellStyle name="20% - akcent 3 2 26 4" xfId="961"/>
    <cellStyle name="20% - akcent 3 2 26 5" xfId="962"/>
    <cellStyle name="20% - akcent 3 2 26 6" xfId="963"/>
    <cellStyle name="20% - akcent 3 2 27" xfId="964"/>
    <cellStyle name="20% - akcent 3 2 27 2" xfId="965"/>
    <cellStyle name="20% - akcent 3 2 27 3" xfId="966"/>
    <cellStyle name="20% - akcent 3 2 27 4" xfId="967"/>
    <cellStyle name="20% - akcent 3 2 27 5" xfId="968"/>
    <cellStyle name="20% - akcent 3 2 27 6" xfId="969"/>
    <cellStyle name="20% - akcent 3 2 28" xfId="970"/>
    <cellStyle name="20% - akcent 3 2 28 2" xfId="971"/>
    <cellStyle name="20% - akcent 3 2 28 3" xfId="972"/>
    <cellStyle name="20% - akcent 3 2 28 4" xfId="973"/>
    <cellStyle name="20% - akcent 3 2 28 5" xfId="974"/>
    <cellStyle name="20% - akcent 3 2 28 6" xfId="975"/>
    <cellStyle name="20% - akcent 3 2 29" xfId="976"/>
    <cellStyle name="20% - akcent 3 2 29 2" xfId="977"/>
    <cellStyle name="20% - akcent 3 2 3" xfId="978"/>
    <cellStyle name="20% - akcent 3 2 3 2" xfId="979"/>
    <cellStyle name="20% - akcent 3 2 3 3" xfId="980"/>
    <cellStyle name="20% - akcent 3 2 3 4" xfId="981"/>
    <cellStyle name="20% - akcent 3 2 3 5" xfId="982"/>
    <cellStyle name="20% - akcent 3 2 3 6" xfId="983"/>
    <cellStyle name="20% - akcent 3 2 3 7" xfId="984"/>
    <cellStyle name="20% - akcent 3 2 30" xfId="985"/>
    <cellStyle name="20% - akcent 3 2 30 2" xfId="986"/>
    <cellStyle name="20% - akcent 3 2 31" xfId="987"/>
    <cellStyle name="20% - akcent 3 2 31 2" xfId="988"/>
    <cellStyle name="20% - akcent 3 2 32" xfId="989"/>
    <cellStyle name="20% - akcent 3 2 32 2" xfId="990"/>
    <cellStyle name="20% - akcent 3 2 33" xfId="991"/>
    <cellStyle name="20% - akcent 3 2 34" xfId="992"/>
    <cellStyle name="20% - akcent 3 2 35" xfId="993"/>
    <cellStyle name="20% - akcent 3 2 36" xfId="994"/>
    <cellStyle name="20% - akcent 3 2 37" xfId="995"/>
    <cellStyle name="20% - akcent 3 2 38" xfId="996"/>
    <cellStyle name="20% - akcent 3 2 39" xfId="997"/>
    <cellStyle name="20% - akcent 3 2 4" xfId="998"/>
    <cellStyle name="20% - akcent 3 2 4 2" xfId="999"/>
    <cellStyle name="20% - akcent 3 2 4 3" xfId="1000"/>
    <cellStyle name="20% - akcent 3 2 4 4" xfId="1001"/>
    <cellStyle name="20% - akcent 3 2 4 5" xfId="1002"/>
    <cellStyle name="20% - akcent 3 2 4 6" xfId="1003"/>
    <cellStyle name="20% - akcent 3 2 4 7" xfId="1004"/>
    <cellStyle name="20% - akcent 3 2 40" xfId="1005"/>
    <cellStyle name="20% - akcent 3 2 41" xfId="1006"/>
    <cellStyle name="20% - akcent 3 2 42" xfId="1007"/>
    <cellStyle name="20% - akcent 3 2 43" xfId="1008"/>
    <cellStyle name="20% - akcent 3 2 44" xfId="1009"/>
    <cellStyle name="20% - akcent 3 2 45" xfId="1010"/>
    <cellStyle name="20% - akcent 3 2 46" xfId="1011"/>
    <cellStyle name="20% - akcent 3 2 47" xfId="1012"/>
    <cellStyle name="20% - akcent 3 2 48" xfId="1013"/>
    <cellStyle name="20% - akcent 3 2 49" xfId="1014"/>
    <cellStyle name="20% - akcent 3 2 5" xfId="1015"/>
    <cellStyle name="20% - akcent 3 2 5 2" xfId="1016"/>
    <cellStyle name="20% - akcent 3 2 5 3" xfId="1017"/>
    <cellStyle name="20% - akcent 3 2 5 4" xfId="1018"/>
    <cellStyle name="20% - akcent 3 2 5 5" xfId="1019"/>
    <cellStyle name="20% - akcent 3 2 5 6" xfId="1020"/>
    <cellStyle name="20% - akcent 3 2 50" xfId="1021"/>
    <cellStyle name="20% - akcent 3 2 51" xfId="1022"/>
    <cellStyle name="20% - akcent 3 2 6" xfId="1023"/>
    <cellStyle name="20% - akcent 3 2 6 2" xfId="1024"/>
    <cellStyle name="20% - akcent 3 2 6 3" xfId="1025"/>
    <cellStyle name="20% - akcent 3 2 6 4" xfId="1026"/>
    <cellStyle name="20% - akcent 3 2 6 5" xfId="1027"/>
    <cellStyle name="20% - akcent 3 2 6 6" xfId="1028"/>
    <cellStyle name="20% - akcent 3 2 7" xfId="1029"/>
    <cellStyle name="20% - akcent 3 2 7 2" xfId="1030"/>
    <cellStyle name="20% - akcent 3 2 7 3" xfId="1031"/>
    <cellStyle name="20% - akcent 3 2 7 4" xfId="1032"/>
    <cellStyle name="20% - akcent 3 2 7 5" xfId="1033"/>
    <cellStyle name="20% - akcent 3 2 7 6" xfId="1034"/>
    <cellStyle name="20% - akcent 3 2 8" xfId="1035"/>
    <cellStyle name="20% - akcent 3 2 8 2" xfId="1036"/>
    <cellStyle name="20% - akcent 3 2 8 3" xfId="1037"/>
    <cellStyle name="20% - akcent 3 2 8 4" xfId="1038"/>
    <cellStyle name="20% - akcent 3 2 8 5" xfId="1039"/>
    <cellStyle name="20% - akcent 3 2 8 6" xfId="1040"/>
    <cellStyle name="20% - akcent 3 2 9" xfId="1041"/>
    <cellStyle name="20% - akcent 3 2 9 2" xfId="1042"/>
    <cellStyle name="20% - akcent 3 2 9 3" xfId="1043"/>
    <cellStyle name="20% - akcent 3 2 9 4" xfId="1044"/>
    <cellStyle name="20% - akcent 3 2 9 5" xfId="1045"/>
    <cellStyle name="20% - akcent 3 2 9 6" xfId="1046"/>
    <cellStyle name="20% - akcent 3 20" xfId="1047"/>
    <cellStyle name="20% - akcent 3 21" xfId="1048"/>
    <cellStyle name="20% - akcent 3 22" xfId="1049"/>
    <cellStyle name="20% - akcent 3 23" xfId="1050"/>
    <cellStyle name="20% - akcent 3 24" xfId="1051"/>
    <cellStyle name="20% - akcent 3 25" xfId="1052"/>
    <cellStyle name="20% - akcent 3 26" xfId="1053"/>
    <cellStyle name="20% - akcent 3 27" xfId="1054"/>
    <cellStyle name="20% - akcent 3 28" xfId="1055"/>
    <cellStyle name="20% - akcent 3 29" xfId="1056"/>
    <cellStyle name="20% - akcent 3 3" xfId="1057"/>
    <cellStyle name="20% - akcent 3 3 2" xfId="1058"/>
    <cellStyle name="20% - akcent 3 3 2 2" xfId="1059"/>
    <cellStyle name="20% - akcent 3 3 3" xfId="1060"/>
    <cellStyle name="20% - akcent 3 3 3 2" xfId="1061"/>
    <cellStyle name="20% - akcent 3 3 4" xfId="1062"/>
    <cellStyle name="20% - akcent 3 3 4 2" xfId="1063"/>
    <cellStyle name="20% - akcent 3 3 5" xfId="1064"/>
    <cellStyle name="20% - akcent 3 3 6" xfId="1065"/>
    <cellStyle name="20% - akcent 3 3 7" xfId="1066"/>
    <cellStyle name="20% - akcent 3 3 8" xfId="1067"/>
    <cellStyle name="20% - akcent 3 30" xfId="1068"/>
    <cellStyle name="20% - akcent 3 30 2" xfId="1069"/>
    <cellStyle name="20% - akcent 3 31" xfId="1070"/>
    <cellStyle name="20% - akcent 3 31 2" xfId="1071"/>
    <cellStyle name="20% - akcent 3 32" xfId="1072"/>
    <cellStyle name="20% - akcent 3 32 2" xfId="1073"/>
    <cellStyle name="20% - akcent 3 33" xfId="1074"/>
    <cellStyle name="20% - akcent 3 33 2" xfId="1075"/>
    <cellStyle name="20% - akcent 3 34" xfId="1076"/>
    <cellStyle name="20% - akcent 3 34 2" xfId="1077"/>
    <cellStyle name="20% - akcent 3 35" xfId="1078"/>
    <cellStyle name="20% - akcent 3 35 2" xfId="1079"/>
    <cellStyle name="20% - akcent 3 36" xfId="1080"/>
    <cellStyle name="20% - akcent 3 36 2" xfId="1081"/>
    <cellStyle name="20% - akcent 3 37" xfId="1082"/>
    <cellStyle name="20% - akcent 3 37 2" xfId="1083"/>
    <cellStyle name="20% - akcent 3 38" xfId="1084"/>
    <cellStyle name="20% - akcent 3 38 2" xfId="1085"/>
    <cellStyle name="20% - akcent 3 39" xfId="1086"/>
    <cellStyle name="20% - akcent 3 39 2" xfId="1087"/>
    <cellStyle name="20% - akcent 3 4" xfId="1088"/>
    <cellStyle name="20% - akcent 3 4 2" xfId="1089"/>
    <cellStyle name="20% - akcent 3 4 2 2" xfId="1090"/>
    <cellStyle name="20% - akcent 3 4 3" xfId="1091"/>
    <cellStyle name="20% - akcent 3 4 3 2" xfId="1092"/>
    <cellStyle name="20% - akcent 3 4 4" xfId="1093"/>
    <cellStyle name="20% - akcent 3 4 4 2" xfId="1094"/>
    <cellStyle name="20% - akcent 3 4 5" xfId="1095"/>
    <cellStyle name="20% - akcent 3 4 6" xfId="1096"/>
    <cellStyle name="20% - akcent 3 4 7" xfId="1097"/>
    <cellStyle name="20% - akcent 3 4 8" xfId="1098"/>
    <cellStyle name="20% - akcent 3 40" xfId="1099"/>
    <cellStyle name="20% - akcent 3 40 2" xfId="1100"/>
    <cellStyle name="20% - akcent 3 41" xfId="1101"/>
    <cellStyle name="20% - akcent 3 41 2" xfId="1102"/>
    <cellStyle name="20% - akcent 3 42" xfId="1103"/>
    <cellStyle name="20% - akcent 3 42 2" xfId="1104"/>
    <cellStyle name="20% - akcent 3 43" xfId="1105"/>
    <cellStyle name="20% - akcent 3 43 2" xfId="1106"/>
    <cellStyle name="20% - akcent 3 44" xfId="1107"/>
    <cellStyle name="20% - akcent 3 44 2" xfId="1108"/>
    <cellStyle name="20% - akcent 3 45" xfId="1109"/>
    <cellStyle name="20% - akcent 3 45 2" xfId="1110"/>
    <cellStyle name="20% - akcent 3 46" xfId="1111"/>
    <cellStyle name="20% - akcent 3 46 2" xfId="1112"/>
    <cellStyle name="20% - akcent 3 47" xfId="1113"/>
    <cellStyle name="20% - akcent 3 47 2" xfId="1114"/>
    <cellStyle name="20% - akcent 3 48" xfId="1115"/>
    <cellStyle name="20% - akcent 3 48 2" xfId="1116"/>
    <cellStyle name="20% - akcent 3 49" xfId="1117"/>
    <cellStyle name="20% - akcent 3 49 2" xfId="1118"/>
    <cellStyle name="20% - akcent 3 5" xfId="1119"/>
    <cellStyle name="20% - akcent 3 5 2" xfId="1120"/>
    <cellStyle name="20% - akcent 3 5 3" xfId="1121"/>
    <cellStyle name="20% - akcent 3 50" xfId="1122"/>
    <cellStyle name="20% - akcent 3 50 2" xfId="1123"/>
    <cellStyle name="20% - akcent 3 51" xfId="1124"/>
    <cellStyle name="20% - akcent 3 51 2" xfId="1125"/>
    <cellStyle name="20% - akcent 3 52" xfId="1126"/>
    <cellStyle name="20% - akcent 3 52 2" xfId="1127"/>
    <cellStyle name="20% - akcent 3 53" xfId="1128"/>
    <cellStyle name="20% - akcent 3 53 2" xfId="1129"/>
    <cellStyle name="20% - akcent 3 54" xfId="1130"/>
    <cellStyle name="20% - akcent 3 54 2" xfId="1131"/>
    <cellStyle name="20% - akcent 3 55" xfId="1132"/>
    <cellStyle name="20% - akcent 3 55 2" xfId="1133"/>
    <cellStyle name="20% - akcent 3 56" xfId="1134"/>
    <cellStyle name="20% - akcent 3 56 2" xfId="1135"/>
    <cellStyle name="20% - akcent 3 57" xfId="1136"/>
    <cellStyle name="20% - akcent 3 57 2" xfId="1137"/>
    <cellStyle name="20% - akcent 3 58" xfId="1138"/>
    <cellStyle name="20% - akcent 3 58 2" xfId="1139"/>
    <cellStyle name="20% - akcent 3 59" xfId="1140"/>
    <cellStyle name="20% - akcent 3 59 2" xfId="1141"/>
    <cellStyle name="20% - akcent 3 6" xfId="1142"/>
    <cellStyle name="20% - akcent 3 60" xfId="1143"/>
    <cellStyle name="20% - akcent 3 60 2" xfId="1144"/>
    <cellStyle name="20% - akcent 3 61" xfId="1145"/>
    <cellStyle name="20% - akcent 3 61 2" xfId="1146"/>
    <cellStyle name="20% - akcent 3 62" xfId="1147"/>
    <cellStyle name="20% - akcent 3 62 2" xfId="1148"/>
    <cellStyle name="20% - akcent 3 63" xfId="1149"/>
    <cellStyle name="20% - akcent 3 63 2" xfId="1150"/>
    <cellStyle name="20% - akcent 3 64" xfId="1151"/>
    <cellStyle name="20% - akcent 3 64 2" xfId="1152"/>
    <cellStyle name="20% - akcent 3 65" xfId="1153"/>
    <cellStyle name="20% - akcent 3 65 2" xfId="1154"/>
    <cellStyle name="20% - akcent 3 66" xfId="1155"/>
    <cellStyle name="20% - akcent 3 66 2" xfId="1156"/>
    <cellStyle name="20% - akcent 3 67" xfId="1157"/>
    <cellStyle name="20% - akcent 3 67 2" xfId="1158"/>
    <cellStyle name="20% - akcent 3 68" xfId="1159"/>
    <cellStyle name="20% - akcent 3 68 2" xfId="1160"/>
    <cellStyle name="20% - akcent 3 69" xfId="1161"/>
    <cellStyle name="20% - akcent 3 69 2" xfId="1162"/>
    <cellStyle name="20% - akcent 3 7" xfId="1163"/>
    <cellStyle name="20% - akcent 3 70" xfId="1164"/>
    <cellStyle name="20% - akcent 3 70 2" xfId="1165"/>
    <cellStyle name="20% - akcent 3 71" xfId="1166"/>
    <cellStyle name="20% - akcent 3 71 2" xfId="1167"/>
    <cellStyle name="20% - akcent 3 72" xfId="1168"/>
    <cellStyle name="20% - akcent 3 72 2" xfId="1169"/>
    <cellStyle name="20% - akcent 3 73" xfId="1170"/>
    <cellStyle name="20% - akcent 3 73 2" xfId="1171"/>
    <cellStyle name="20% - akcent 3 74" xfId="1172"/>
    <cellStyle name="20% - akcent 3 74 2" xfId="1173"/>
    <cellStyle name="20% - akcent 3 75" xfId="1174"/>
    <cellStyle name="20% - akcent 3 75 2" xfId="1175"/>
    <cellStyle name="20% - akcent 3 76" xfId="1176"/>
    <cellStyle name="20% - akcent 3 76 2" xfId="1177"/>
    <cellStyle name="20% - akcent 3 77" xfId="1178"/>
    <cellStyle name="20% - akcent 3 77 2" xfId="1179"/>
    <cellStyle name="20% - akcent 3 78" xfId="1180"/>
    <cellStyle name="20% - akcent 3 78 2" xfId="1181"/>
    <cellStyle name="20% - akcent 3 79" xfId="1182"/>
    <cellStyle name="20% - akcent 3 79 2" xfId="1183"/>
    <cellStyle name="20% - akcent 3 8" xfId="1184"/>
    <cellStyle name="20% - akcent 3 80" xfId="1185"/>
    <cellStyle name="20% - akcent 3 80 2" xfId="1186"/>
    <cellStyle name="20% - akcent 3 81" xfId="1187"/>
    <cellStyle name="20% - akcent 3 81 2" xfId="1188"/>
    <cellStyle name="20% - akcent 3 82" xfId="1189"/>
    <cellStyle name="20% - akcent 3 82 2" xfId="1190"/>
    <cellStyle name="20% - akcent 3 83" xfId="1191"/>
    <cellStyle name="20% - akcent 3 83 2" xfId="1192"/>
    <cellStyle name="20% - akcent 3 84" xfId="1193"/>
    <cellStyle name="20% - akcent 3 84 2" xfId="1194"/>
    <cellStyle name="20% - akcent 3 85" xfId="1195"/>
    <cellStyle name="20% - akcent 3 85 2" xfId="1196"/>
    <cellStyle name="20% - akcent 3 86" xfId="1197"/>
    <cellStyle name="20% - akcent 3 86 2" xfId="1198"/>
    <cellStyle name="20% - akcent 3 87" xfId="1199"/>
    <cellStyle name="20% - akcent 3 87 2" xfId="1200"/>
    <cellStyle name="20% - akcent 3 88" xfId="1201"/>
    <cellStyle name="20% - akcent 3 88 2" xfId="1202"/>
    <cellStyle name="20% - akcent 3 89" xfId="1203"/>
    <cellStyle name="20% - akcent 3 89 2" xfId="1204"/>
    <cellStyle name="20% - akcent 3 9" xfId="1205"/>
    <cellStyle name="20% - akcent 3 90" xfId="1206"/>
    <cellStyle name="20% - akcent 3 90 2" xfId="1207"/>
    <cellStyle name="20% - akcent 3 91" xfId="1208"/>
    <cellStyle name="20% - akcent 3 91 2" xfId="1209"/>
    <cellStyle name="20% - akcent 3 92" xfId="1210"/>
    <cellStyle name="20% - akcent 3 92 2" xfId="1211"/>
    <cellStyle name="20% - akcent 3 93" xfId="1212"/>
    <cellStyle name="20% - akcent 3 93 2" xfId="1213"/>
    <cellStyle name="20% - akcent 3 94" xfId="1214"/>
    <cellStyle name="20% - akcent 3 94 2" xfId="1215"/>
    <cellStyle name="20% - akcent 3 95" xfId="1216"/>
    <cellStyle name="20% - akcent 3 95 2" xfId="1217"/>
    <cellStyle name="20% - akcent 3 96" xfId="1218"/>
    <cellStyle name="20% - akcent 3 96 2" xfId="1219"/>
    <cellStyle name="20% - akcent 3 97" xfId="1220"/>
    <cellStyle name="20% - akcent 3 97 2" xfId="1221"/>
    <cellStyle name="20% - akcent 3 98" xfId="1222"/>
    <cellStyle name="20% - akcent 3 98 2" xfId="1223"/>
    <cellStyle name="20% - akcent 3 99" xfId="1224"/>
    <cellStyle name="20% - akcent 3 99 2" xfId="1225"/>
    <cellStyle name="20% - akcent 4 10" xfId="1226"/>
    <cellStyle name="20% - akcent 4 100" xfId="1227"/>
    <cellStyle name="20% - akcent 4 100 2" xfId="1228"/>
    <cellStyle name="20% - akcent 4 101" xfId="1229"/>
    <cellStyle name="20% - akcent 4 101 2" xfId="1230"/>
    <cellStyle name="20% - akcent 4 102" xfId="1231"/>
    <cellStyle name="20% - akcent 4 102 2" xfId="1232"/>
    <cellStyle name="20% - akcent 4 103" xfId="1233"/>
    <cellStyle name="20% - akcent 4 103 2" xfId="1234"/>
    <cellStyle name="20% - akcent 4 104" xfId="1235"/>
    <cellStyle name="20% - akcent 4 104 2" xfId="1236"/>
    <cellStyle name="20% - akcent 4 105" xfId="1237"/>
    <cellStyle name="20% - akcent 4 105 2" xfId="1238"/>
    <cellStyle name="20% - akcent 4 106" xfId="1239"/>
    <cellStyle name="20% - akcent 4 106 2" xfId="1240"/>
    <cellStyle name="20% - akcent 4 107" xfId="1241"/>
    <cellStyle name="20% - akcent 4 107 2" xfId="1242"/>
    <cellStyle name="20% - akcent 4 108" xfId="1243"/>
    <cellStyle name="20% - akcent 4 108 2" xfId="1244"/>
    <cellStyle name="20% - akcent 4 109" xfId="1245"/>
    <cellStyle name="20% - akcent 4 109 2" xfId="1246"/>
    <cellStyle name="20% - akcent 4 11" xfId="1247"/>
    <cellStyle name="20% - akcent 4 110" xfId="1248"/>
    <cellStyle name="20% - akcent 4 110 2" xfId="1249"/>
    <cellStyle name="20% - akcent 4 111" xfId="1250"/>
    <cellStyle name="20% - akcent 4 111 2" xfId="1251"/>
    <cellStyle name="20% - akcent 4 112" xfId="1252"/>
    <cellStyle name="20% - akcent 4 112 2" xfId="1253"/>
    <cellStyle name="20% - akcent 4 113" xfId="1254"/>
    <cellStyle name="20% - akcent 4 113 2" xfId="1255"/>
    <cellStyle name="20% - akcent 4 114" xfId="1256"/>
    <cellStyle name="20% - akcent 4 114 2" xfId="1257"/>
    <cellStyle name="20% - akcent 4 115" xfId="1258"/>
    <cellStyle name="20% - akcent 4 115 2" xfId="1259"/>
    <cellStyle name="20% - akcent 4 116" xfId="1260"/>
    <cellStyle name="20% - akcent 4 116 2" xfId="1261"/>
    <cellStyle name="20% - akcent 4 117" xfId="1262"/>
    <cellStyle name="20% - akcent 4 117 2" xfId="1263"/>
    <cellStyle name="20% - akcent 4 118" xfId="1264"/>
    <cellStyle name="20% - akcent 4 118 2" xfId="1265"/>
    <cellStyle name="20% - akcent 4 119" xfId="1266"/>
    <cellStyle name="20% - akcent 4 119 2" xfId="1267"/>
    <cellStyle name="20% - akcent 4 12" xfId="1268"/>
    <cellStyle name="20% - akcent 4 120" xfId="1269"/>
    <cellStyle name="20% - akcent 4 121" xfId="1270"/>
    <cellStyle name="20% - akcent 4 13" xfId="1271"/>
    <cellStyle name="20% - akcent 4 14" xfId="1272"/>
    <cellStyle name="20% - akcent 4 15" xfId="1273"/>
    <cellStyle name="20% - akcent 4 16" xfId="1274"/>
    <cellStyle name="20% - akcent 4 17" xfId="1275"/>
    <cellStyle name="20% - akcent 4 18" xfId="1276"/>
    <cellStyle name="20% - akcent 4 19" xfId="1277"/>
    <cellStyle name="20% - akcent 4 2" xfId="1278"/>
    <cellStyle name="20% - akcent 4 2 10" xfId="1279"/>
    <cellStyle name="20% - akcent 4 2 10 2" xfId="1280"/>
    <cellStyle name="20% - akcent 4 2 10 3" xfId="1281"/>
    <cellStyle name="20% - akcent 4 2 10 4" xfId="1282"/>
    <cellStyle name="20% - akcent 4 2 10 5" xfId="1283"/>
    <cellStyle name="20% - akcent 4 2 10 6" xfId="1284"/>
    <cellStyle name="20% - akcent 4 2 11" xfId="1285"/>
    <cellStyle name="20% - akcent 4 2 11 2" xfId="1286"/>
    <cellStyle name="20% - akcent 4 2 11 3" xfId="1287"/>
    <cellStyle name="20% - akcent 4 2 11 4" xfId="1288"/>
    <cellStyle name="20% - akcent 4 2 11 5" xfId="1289"/>
    <cellStyle name="20% - akcent 4 2 11 6" xfId="1290"/>
    <cellStyle name="20% - akcent 4 2 12" xfId="1291"/>
    <cellStyle name="20% - akcent 4 2 12 2" xfId="1292"/>
    <cellStyle name="20% - akcent 4 2 12 3" xfId="1293"/>
    <cellStyle name="20% - akcent 4 2 12 4" xfId="1294"/>
    <cellStyle name="20% - akcent 4 2 12 5" xfId="1295"/>
    <cellStyle name="20% - akcent 4 2 12 6" xfId="1296"/>
    <cellStyle name="20% - akcent 4 2 13" xfId="1297"/>
    <cellStyle name="20% - akcent 4 2 13 2" xfId="1298"/>
    <cellStyle name="20% - akcent 4 2 13 3" xfId="1299"/>
    <cellStyle name="20% - akcent 4 2 13 4" xfId="1300"/>
    <cellStyle name="20% - akcent 4 2 13 5" xfId="1301"/>
    <cellStyle name="20% - akcent 4 2 13 6" xfId="1302"/>
    <cellStyle name="20% - akcent 4 2 14" xfId="1303"/>
    <cellStyle name="20% - akcent 4 2 14 2" xfId="1304"/>
    <cellStyle name="20% - akcent 4 2 14 3" xfId="1305"/>
    <cellStyle name="20% - akcent 4 2 14 4" xfId="1306"/>
    <cellStyle name="20% - akcent 4 2 14 5" xfId="1307"/>
    <cellStyle name="20% - akcent 4 2 14 6" xfId="1308"/>
    <cellStyle name="20% - akcent 4 2 15" xfId="1309"/>
    <cellStyle name="20% - akcent 4 2 15 2" xfId="1310"/>
    <cellStyle name="20% - akcent 4 2 15 3" xfId="1311"/>
    <cellStyle name="20% - akcent 4 2 15 4" xfId="1312"/>
    <cellStyle name="20% - akcent 4 2 15 5" xfId="1313"/>
    <cellStyle name="20% - akcent 4 2 15 6" xfId="1314"/>
    <cellStyle name="20% - akcent 4 2 16" xfId="1315"/>
    <cellStyle name="20% - akcent 4 2 16 2" xfId="1316"/>
    <cellStyle name="20% - akcent 4 2 16 3" xfId="1317"/>
    <cellStyle name="20% - akcent 4 2 16 4" xfId="1318"/>
    <cellStyle name="20% - akcent 4 2 16 5" xfId="1319"/>
    <cellStyle name="20% - akcent 4 2 16 6" xfId="1320"/>
    <cellStyle name="20% - akcent 4 2 17" xfId="1321"/>
    <cellStyle name="20% - akcent 4 2 17 2" xfId="1322"/>
    <cellStyle name="20% - akcent 4 2 17 3" xfId="1323"/>
    <cellStyle name="20% - akcent 4 2 17 4" xfId="1324"/>
    <cellStyle name="20% - akcent 4 2 17 5" xfId="1325"/>
    <cellStyle name="20% - akcent 4 2 17 6" xfId="1326"/>
    <cellStyle name="20% - akcent 4 2 18" xfId="1327"/>
    <cellStyle name="20% - akcent 4 2 18 2" xfId="1328"/>
    <cellStyle name="20% - akcent 4 2 18 3" xfId="1329"/>
    <cellStyle name="20% - akcent 4 2 18 4" xfId="1330"/>
    <cellStyle name="20% - akcent 4 2 18 5" xfId="1331"/>
    <cellStyle name="20% - akcent 4 2 18 6" xfId="1332"/>
    <cellStyle name="20% - akcent 4 2 19" xfId="1333"/>
    <cellStyle name="20% - akcent 4 2 19 2" xfId="1334"/>
    <cellStyle name="20% - akcent 4 2 19 3" xfId="1335"/>
    <cellStyle name="20% - akcent 4 2 19 4" xfId="1336"/>
    <cellStyle name="20% - akcent 4 2 19 5" xfId="1337"/>
    <cellStyle name="20% - akcent 4 2 19 6" xfId="1338"/>
    <cellStyle name="20% - akcent 4 2 2" xfId="1339"/>
    <cellStyle name="20% - akcent 4 2 2 2" xfId="1340"/>
    <cellStyle name="20% - akcent 4 2 2 3" xfId="1341"/>
    <cellStyle name="20% - akcent 4 2 2 4" xfId="1342"/>
    <cellStyle name="20% - akcent 4 2 2 5" xfId="1343"/>
    <cellStyle name="20% - akcent 4 2 2 6" xfId="1344"/>
    <cellStyle name="20% - akcent 4 2 2 7" xfId="1345"/>
    <cellStyle name="20% - akcent 4 2 20" xfId="1346"/>
    <cellStyle name="20% - akcent 4 2 20 2" xfId="1347"/>
    <cellStyle name="20% - akcent 4 2 20 3" xfId="1348"/>
    <cellStyle name="20% - akcent 4 2 20 4" xfId="1349"/>
    <cellStyle name="20% - akcent 4 2 20 5" xfId="1350"/>
    <cellStyle name="20% - akcent 4 2 20 6" xfId="1351"/>
    <cellStyle name="20% - akcent 4 2 21" xfId="1352"/>
    <cellStyle name="20% - akcent 4 2 21 2" xfId="1353"/>
    <cellStyle name="20% - akcent 4 2 21 3" xfId="1354"/>
    <cellStyle name="20% - akcent 4 2 21 4" xfId="1355"/>
    <cellStyle name="20% - akcent 4 2 21 5" xfId="1356"/>
    <cellStyle name="20% - akcent 4 2 21 6" xfId="1357"/>
    <cellStyle name="20% - akcent 4 2 22" xfId="1358"/>
    <cellStyle name="20% - akcent 4 2 22 2" xfId="1359"/>
    <cellStyle name="20% - akcent 4 2 22 3" xfId="1360"/>
    <cellStyle name="20% - akcent 4 2 22 4" xfId="1361"/>
    <cellStyle name="20% - akcent 4 2 22 5" xfId="1362"/>
    <cellStyle name="20% - akcent 4 2 22 6" xfId="1363"/>
    <cellStyle name="20% - akcent 4 2 23" xfId="1364"/>
    <cellStyle name="20% - akcent 4 2 23 2" xfId="1365"/>
    <cellStyle name="20% - akcent 4 2 23 3" xfId="1366"/>
    <cellStyle name="20% - akcent 4 2 23 4" xfId="1367"/>
    <cellStyle name="20% - akcent 4 2 23 5" xfId="1368"/>
    <cellStyle name="20% - akcent 4 2 23 6" xfId="1369"/>
    <cellStyle name="20% - akcent 4 2 24" xfId="1370"/>
    <cellStyle name="20% - akcent 4 2 24 2" xfId="1371"/>
    <cellStyle name="20% - akcent 4 2 24 3" xfId="1372"/>
    <cellStyle name="20% - akcent 4 2 24 4" xfId="1373"/>
    <cellStyle name="20% - akcent 4 2 24 5" xfId="1374"/>
    <cellStyle name="20% - akcent 4 2 24 6" xfId="1375"/>
    <cellStyle name="20% - akcent 4 2 25" xfId="1376"/>
    <cellStyle name="20% - akcent 4 2 25 2" xfId="1377"/>
    <cellStyle name="20% - akcent 4 2 25 3" xfId="1378"/>
    <cellStyle name="20% - akcent 4 2 25 4" xfId="1379"/>
    <cellStyle name="20% - akcent 4 2 25 5" xfId="1380"/>
    <cellStyle name="20% - akcent 4 2 25 6" xfId="1381"/>
    <cellStyle name="20% - akcent 4 2 26" xfId="1382"/>
    <cellStyle name="20% - akcent 4 2 26 2" xfId="1383"/>
    <cellStyle name="20% - akcent 4 2 26 3" xfId="1384"/>
    <cellStyle name="20% - akcent 4 2 26 4" xfId="1385"/>
    <cellStyle name="20% - akcent 4 2 26 5" xfId="1386"/>
    <cellStyle name="20% - akcent 4 2 26 6" xfId="1387"/>
    <cellStyle name="20% - akcent 4 2 27" xfId="1388"/>
    <cellStyle name="20% - akcent 4 2 27 2" xfId="1389"/>
    <cellStyle name="20% - akcent 4 2 27 3" xfId="1390"/>
    <cellStyle name="20% - akcent 4 2 27 4" xfId="1391"/>
    <cellStyle name="20% - akcent 4 2 27 5" xfId="1392"/>
    <cellStyle name="20% - akcent 4 2 27 6" xfId="1393"/>
    <cellStyle name="20% - akcent 4 2 28" xfId="1394"/>
    <cellStyle name="20% - akcent 4 2 28 2" xfId="1395"/>
    <cellStyle name="20% - akcent 4 2 28 3" xfId="1396"/>
    <cellStyle name="20% - akcent 4 2 28 4" xfId="1397"/>
    <cellStyle name="20% - akcent 4 2 28 5" xfId="1398"/>
    <cellStyle name="20% - akcent 4 2 28 6" xfId="1399"/>
    <cellStyle name="20% - akcent 4 2 29" xfId="1400"/>
    <cellStyle name="20% - akcent 4 2 29 2" xfId="1401"/>
    <cellStyle name="20% - akcent 4 2 3" xfId="1402"/>
    <cellStyle name="20% - akcent 4 2 3 2" xfId="1403"/>
    <cellStyle name="20% - akcent 4 2 3 3" xfId="1404"/>
    <cellStyle name="20% - akcent 4 2 3 4" xfId="1405"/>
    <cellStyle name="20% - akcent 4 2 3 5" xfId="1406"/>
    <cellStyle name="20% - akcent 4 2 3 6" xfId="1407"/>
    <cellStyle name="20% - akcent 4 2 3 7" xfId="1408"/>
    <cellStyle name="20% - akcent 4 2 30" xfId="1409"/>
    <cellStyle name="20% - akcent 4 2 30 2" xfId="1410"/>
    <cellStyle name="20% - akcent 4 2 31" xfId="1411"/>
    <cellStyle name="20% - akcent 4 2 31 2" xfId="1412"/>
    <cellStyle name="20% - akcent 4 2 32" xfId="1413"/>
    <cellStyle name="20% - akcent 4 2 32 2" xfId="1414"/>
    <cellStyle name="20% - akcent 4 2 33" xfId="1415"/>
    <cellStyle name="20% - akcent 4 2 34" xfId="1416"/>
    <cellStyle name="20% - akcent 4 2 35" xfId="1417"/>
    <cellStyle name="20% - akcent 4 2 36" xfId="1418"/>
    <cellStyle name="20% - akcent 4 2 37" xfId="1419"/>
    <cellStyle name="20% - akcent 4 2 38" xfId="1420"/>
    <cellStyle name="20% - akcent 4 2 39" xfId="1421"/>
    <cellStyle name="20% - akcent 4 2 4" xfId="1422"/>
    <cellStyle name="20% - akcent 4 2 4 2" xfId="1423"/>
    <cellStyle name="20% - akcent 4 2 4 3" xfId="1424"/>
    <cellStyle name="20% - akcent 4 2 4 4" xfId="1425"/>
    <cellStyle name="20% - akcent 4 2 4 5" xfId="1426"/>
    <cellStyle name="20% - akcent 4 2 4 6" xfId="1427"/>
    <cellStyle name="20% - akcent 4 2 4 7" xfId="1428"/>
    <cellStyle name="20% - akcent 4 2 40" xfId="1429"/>
    <cellStyle name="20% - akcent 4 2 41" xfId="1430"/>
    <cellStyle name="20% - akcent 4 2 42" xfId="1431"/>
    <cellStyle name="20% - akcent 4 2 43" xfId="1432"/>
    <cellStyle name="20% - akcent 4 2 44" xfId="1433"/>
    <cellStyle name="20% - akcent 4 2 45" xfId="1434"/>
    <cellStyle name="20% - akcent 4 2 46" xfId="1435"/>
    <cellStyle name="20% - akcent 4 2 47" xfId="1436"/>
    <cellStyle name="20% - akcent 4 2 48" xfId="1437"/>
    <cellStyle name="20% - akcent 4 2 49" xfId="1438"/>
    <cellStyle name="20% - akcent 4 2 5" xfId="1439"/>
    <cellStyle name="20% - akcent 4 2 5 2" xfId="1440"/>
    <cellStyle name="20% - akcent 4 2 5 3" xfId="1441"/>
    <cellStyle name="20% - akcent 4 2 5 4" xfId="1442"/>
    <cellStyle name="20% - akcent 4 2 5 5" xfId="1443"/>
    <cellStyle name="20% - akcent 4 2 5 6" xfId="1444"/>
    <cellStyle name="20% - akcent 4 2 50" xfId="1445"/>
    <cellStyle name="20% - akcent 4 2 51" xfId="1446"/>
    <cellStyle name="20% - akcent 4 2 6" xfId="1447"/>
    <cellStyle name="20% - akcent 4 2 6 2" xfId="1448"/>
    <cellStyle name="20% - akcent 4 2 6 3" xfId="1449"/>
    <cellStyle name="20% - akcent 4 2 6 4" xfId="1450"/>
    <cellStyle name="20% - akcent 4 2 6 5" xfId="1451"/>
    <cellStyle name="20% - akcent 4 2 6 6" xfId="1452"/>
    <cellStyle name="20% - akcent 4 2 7" xfId="1453"/>
    <cellStyle name="20% - akcent 4 2 7 2" xfId="1454"/>
    <cellStyle name="20% - akcent 4 2 7 3" xfId="1455"/>
    <cellStyle name="20% - akcent 4 2 7 4" xfId="1456"/>
    <cellStyle name="20% - akcent 4 2 7 5" xfId="1457"/>
    <cellStyle name="20% - akcent 4 2 7 6" xfId="1458"/>
    <cellStyle name="20% - akcent 4 2 8" xfId="1459"/>
    <cellStyle name="20% - akcent 4 2 8 2" xfId="1460"/>
    <cellStyle name="20% - akcent 4 2 8 3" xfId="1461"/>
    <cellStyle name="20% - akcent 4 2 8 4" xfId="1462"/>
    <cellStyle name="20% - akcent 4 2 8 5" xfId="1463"/>
    <cellStyle name="20% - akcent 4 2 8 6" xfId="1464"/>
    <cellStyle name="20% - akcent 4 2 9" xfId="1465"/>
    <cellStyle name="20% - akcent 4 2 9 2" xfId="1466"/>
    <cellStyle name="20% - akcent 4 2 9 3" xfId="1467"/>
    <cellStyle name="20% - akcent 4 2 9 4" xfId="1468"/>
    <cellStyle name="20% - akcent 4 2 9 5" xfId="1469"/>
    <cellStyle name="20% - akcent 4 2 9 6" xfId="1470"/>
    <cellStyle name="20% - akcent 4 20" xfId="1471"/>
    <cellStyle name="20% - akcent 4 21" xfId="1472"/>
    <cellStyle name="20% - akcent 4 22" xfId="1473"/>
    <cellStyle name="20% - akcent 4 23" xfId="1474"/>
    <cellStyle name="20% - akcent 4 24" xfId="1475"/>
    <cellStyle name="20% - akcent 4 25" xfId="1476"/>
    <cellStyle name="20% - akcent 4 26" xfId="1477"/>
    <cellStyle name="20% - akcent 4 27" xfId="1478"/>
    <cellStyle name="20% - akcent 4 28" xfId="1479"/>
    <cellStyle name="20% - akcent 4 29" xfId="1480"/>
    <cellStyle name="20% - akcent 4 3" xfId="1481"/>
    <cellStyle name="20% - akcent 4 3 2" xfId="1482"/>
    <cellStyle name="20% - akcent 4 3 2 2" xfId="1483"/>
    <cellStyle name="20% - akcent 4 3 3" xfId="1484"/>
    <cellStyle name="20% - akcent 4 3 3 2" xfId="1485"/>
    <cellStyle name="20% - akcent 4 3 4" xfId="1486"/>
    <cellStyle name="20% - akcent 4 3 4 2" xfId="1487"/>
    <cellStyle name="20% - akcent 4 3 5" xfId="1488"/>
    <cellStyle name="20% - akcent 4 3 6" xfId="1489"/>
    <cellStyle name="20% - akcent 4 3 7" xfId="1490"/>
    <cellStyle name="20% - akcent 4 3 8" xfId="1491"/>
    <cellStyle name="20% - akcent 4 30" xfId="1492"/>
    <cellStyle name="20% - akcent 4 30 2" xfId="1493"/>
    <cellStyle name="20% - akcent 4 31" xfId="1494"/>
    <cellStyle name="20% - akcent 4 31 2" xfId="1495"/>
    <cellStyle name="20% - akcent 4 32" xfId="1496"/>
    <cellStyle name="20% - akcent 4 32 2" xfId="1497"/>
    <cellStyle name="20% - akcent 4 33" xfId="1498"/>
    <cellStyle name="20% - akcent 4 33 2" xfId="1499"/>
    <cellStyle name="20% - akcent 4 34" xfId="1500"/>
    <cellStyle name="20% - akcent 4 34 2" xfId="1501"/>
    <cellStyle name="20% - akcent 4 35" xfId="1502"/>
    <cellStyle name="20% - akcent 4 35 2" xfId="1503"/>
    <cellStyle name="20% - akcent 4 36" xfId="1504"/>
    <cellStyle name="20% - akcent 4 36 2" xfId="1505"/>
    <cellStyle name="20% - akcent 4 37" xfId="1506"/>
    <cellStyle name="20% - akcent 4 37 2" xfId="1507"/>
    <cellStyle name="20% - akcent 4 38" xfId="1508"/>
    <cellStyle name="20% - akcent 4 38 2" xfId="1509"/>
    <cellStyle name="20% - akcent 4 39" xfId="1510"/>
    <cellStyle name="20% - akcent 4 39 2" xfId="1511"/>
    <cellStyle name="20% - akcent 4 4" xfId="1512"/>
    <cellStyle name="20% - akcent 4 4 2" xfId="1513"/>
    <cellStyle name="20% - akcent 4 4 2 2" xfId="1514"/>
    <cellStyle name="20% - akcent 4 4 3" xfId="1515"/>
    <cellStyle name="20% - akcent 4 4 3 2" xfId="1516"/>
    <cellStyle name="20% - akcent 4 4 4" xfId="1517"/>
    <cellStyle name="20% - akcent 4 4 4 2" xfId="1518"/>
    <cellStyle name="20% - akcent 4 4 5" xfId="1519"/>
    <cellStyle name="20% - akcent 4 4 6" xfId="1520"/>
    <cellStyle name="20% - akcent 4 4 7" xfId="1521"/>
    <cellStyle name="20% - akcent 4 4 8" xfId="1522"/>
    <cellStyle name="20% - akcent 4 40" xfId="1523"/>
    <cellStyle name="20% - akcent 4 40 2" xfId="1524"/>
    <cellStyle name="20% - akcent 4 41" xfId="1525"/>
    <cellStyle name="20% - akcent 4 41 2" xfId="1526"/>
    <cellStyle name="20% - akcent 4 42" xfId="1527"/>
    <cellStyle name="20% - akcent 4 42 2" xfId="1528"/>
    <cellStyle name="20% - akcent 4 43" xfId="1529"/>
    <cellStyle name="20% - akcent 4 43 2" xfId="1530"/>
    <cellStyle name="20% - akcent 4 44" xfId="1531"/>
    <cellStyle name="20% - akcent 4 44 2" xfId="1532"/>
    <cellStyle name="20% - akcent 4 45" xfId="1533"/>
    <cellStyle name="20% - akcent 4 45 2" xfId="1534"/>
    <cellStyle name="20% - akcent 4 46" xfId="1535"/>
    <cellStyle name="20% - akcent 4 46 2" xfId="1536"/>
    <cellStyle name="20% - akcent 4 47" xfId="1537"/>
    <cellStyle name="20% - akcent 4 47 2" xfId="1538"/>
    <cellStyle name="20% - akcent 4 48" xfId="1539"/>
    <cellStyle name="20% - akcent 4 48 2" xfId="1540"/>
    <cellStyle name="20% - akcent 4 49" xfId="1541"/>
    <cellStyle name="20% - akcent 4 49 2" xfId="1542"/>
    <cellStyle name="20% - akcent 4 5" xfId="1543"/>
    <cellStyle name="20% - akcent 4 5 2" xfId="1544"/>
    <cellStyle name="20% - akcent 4 5 3" xfId="1545"/>
    <cellStyle name="20% - akcent 4 50" xfId="1546"/>
    <cellStyle name="20% - akcent 4 50 2" xfId="1547"/>
    <cellStyle name="20% - akcent 4 51" xfId="1548"/>
    <cellStyle name="20% - akcent 4 51 2" xfId="1549"/>
    <cellStyle name="20% - akcent 4 52" xfId="1550"/>
    <cellStyle name="20% - akcent 4 52 2" xfId="1551"/>
    <cellStyle name="20% - akcent 4 53" xfId="1552"/>
    <cellStyle name="20% - akcent 4 53 2" xfId="1553"/>
    <cellStyle name="20% - akcent 4 54" xfId="1554"/>
    <cellStyle name="20% - akcent 4 54 2" xfId="1555"/>
    <cellStyle name="20% - akcent 4 55" xfId="1556"/>
    <cellStyle name="20% - akcent 4 55 2" xfId="1557"/>
    <cellStyle name="20% - akcent 4 56" xfId="1558"/>
    <cellStyle name="20% - akcent 4 56 2" xfId="1559"/>
    <cellStyle name="20% - akcent 4 57" xfId="1560"/>
    <cellStyle name="20% - akcent 4 57 2" xfId="1561"/>
    <cellStyle name="20% - akcent 4 58" xfId="1562"/>
    <cellStyle name="20% - akcent 4 58 2" xfId="1563"/>
    <cellStyle name="20% - akcent 4 59" xfId="1564"/>
    <cellStyle name="20% - akcent 4 59 2" xfId="1565"/>
    <cellStyle name="20% - akcent 4 6" xfId="1566"/>
    <cellStyle name="20% - akcent 4 60" xfId="1567"/>
    <cellStyle name="20% - akcent 4 60 2" xfId="1568"/>
    <cellStyle name="20% - akcent 4 61" xfId="1569"/>
    <cellStyle name="20% - akcent 4 61 2" xfId="1570"/>
    <cellStyle name="20% - akcent 4 62" xfId="1571"/>
    <cellStyle name="20% - akcent 4 62 2" xfId="1572"/>
    <cellStyle name="20% - akcent 4 63" xfId="1573"/>
    <cellStyle name="20% - akcent 4 63 2" xfId="1574"/>
    <cellStyle name="20% - akcent 4 64" xfId="1575"/>
    <cellStyle name="20% - akcent 4 64 2" xfId="1576"/>
    <cellStyle name="20% - akcent 4 65" xfId="1577"/>
    <cellStyle name="20% - akcent 4 65 2" xfId="1578"/>
    <cellStyle name="20% - akcent 4 66" xfId="1579"/>
    <cellStyle name="20% - akcent 4 66 2" xfId="1580"/>
    <cellStyle name="20% - akcent 4 67" xfId="1581"/>
    <cellStyle name="20% - akcent 4 67 2" xfId="1582"/>
    <cellStyle name="20% - akcent 4 68" xfId="1583"/>
    <cellStyle name="20% - akcent 4 68 2" xfId="1584"/>
    <cellStyle name="20% - akcent 4 69" xfId="1585"/>
    <cellStyle name="20% - akcent 4 69 2" xfId="1586"/>
    <cellStyle name="20% - akcent 4 7" xfId="1587"/>
    <cellStyle name="20% - akcent 4 70" xfId="1588"/>
    <cellStyle name="20% - akcent 4 70 2" xfId="1589"/>
    <cellStyle name="20% - akcent 4 71" xfId="1590"/>
    <cellStyle name="20% - akcent 4 71 2" xfId="1591"/>
    <cellStyle name="20% - akcent 4 72" xfId="1592"/>
    <cellStyle name="20% - akcent 4 72 2" xfId="1593"/>
    <cellStyle name="20% - akcent 4 73" xfId="1594"/>
    <cellStyle name="20% - akcent 4 73 2" xfId="1595"/>
    <cellStyle name="20% - akcent 4 74" xfId="1596"/>
    <cellStyle name="20% - akcent 4 74 2" xfId="1597"/>
    <cellStyle name="20% - akcent 4 75" xfId="1598"/>
    <cellStyle name="20% - akcent 4 75 2" xfId="1599"/>
    <cellStyle name="20% - akcent 4 76" xfId="1600"/>
    <cellStyle name="20% - akcent 4 76 2" xfId="1601"/>
    <cellStyle name="20% - akcent 4 77" xfId="1602"/>
    <cellStyle name="20% - akcent 4 77 2" xfId="1603"/>
    <cellStyle name="20% - akcent 4 78" xfId="1604"/>
    <cellStyle name="20% - akcent 4 78 2" xfId="1605"/>
    <cellStyle name="20% - akcent 4 79" xfId="1606"/>
    <cellStyle name="20% - akcent 4 79 2" xfId="1607"/>
    <cellStyle name="20% - akcent 4 8" xfId="1608"/>
    <cellStyle name="20% - akcent 4 80" xfId="1609"/>
    <cellStyle name="20% - akcent 4 80 2" xfId="1610"/>
    <cellStyle name="20% - akcent 4 81" xfId="1611"/>
    <cellStyle name="20% - akcent 4 81 2" xfId="1612"/>
    <cellStyle name="20% - akcent 4 82" xfId="1613"/>
    <cellStyle name="20% - akcent 4 82 2" xfId="1614"/>
    <cellStyle name="20% - akcent 4 83" xfId="1615"/>
    <cellStyle name="20% - akcent 4 83 2" xfId="1616"/>
    <cellStyle name="20% - akcent 4 84" xfId="1617"/>
    <cellStyle name="20% - akcent 4 84 2" xfId="1618"/>
    <cellStyle name="20% - akcent 4 85" xfId="1619"/>
    <cellStyle name="20% - akcent 4 85 2" xfId="1620"/>
    <cellStyle name="20% - akcent 4 86" xfId="1621"/>
    <cellStyle name="20% - akcent 4 86 2" xfId="1622"/>
    <cellStyle name="20% - akcent 4 87" xfId="1623"/>
    <cellStyle name="20% - akcent 4 87 2" xfId="1624"/>
    <cellStyle name="20% - akcent 4 88" xfId="1625"/>
    <cellStyle name="20% - akcent 4 88 2" xfId="1626"/>
    <cellStyle name="20% - akcent 4 89" xfId="1627"/>
    <cellStyle name="20% - akcent 4 89 2" xfId="1628"/>
    <cellStyle name="20% - akcent 4 9" xfId="1629"/>
    <cellStyle name="20% - akcent 4 90" xfId="1630"/>
    <cellStyle name="20% - akcent 4 90 2" xfId="1631"/>
    <cellStyle name="20% - akcent 4 91" xfId="1632"/>
    <cellStyle name="20% - akcent 4 91 2" xfId="1633"/>
    <cellStyle name="20% - akcent 4 92" xfId="1634"/>
    <cellStyle name="20% - akcent 4 92 2" xfId="1635"/>
    <cellStyle name="20% - akcent 4 93" xfId="1636"/>
    <cellStyle name="20% - akcent 4 93 2" xfId="1637"/>
    <cellStyle name="20% - akcent 4 94" xfId="1638"/>
    <cellStyle name="20% - akcent 4 94 2" xfId="1639"/>
    <cellStyle name="20% - akcent 4 95" xfId="1640"/>
    <cellStyle name="20% - akcent 4 95 2" xfId="1641"/>
    <cellStyle name="20% - akcent 4 96" xfId="1642"/>
    <cellStyle name="20% - akcent 4 96 2" xfId="1643"/>
    <cellStyle name="20% - akcent 4 97" xfId="1644"/>
    <cellStyle name="20% - akcent 4 97 2" xfId="1645"/>
    <cellStyle name="20% - akcent 4 98" xfId="1646"/>
    <cellStyle name="20% - akcent 4 98 2" xfId="1647"/>
    <cellStyle name="20% - akcent 4 99" xfId="1648"/>
    <cellStyle name="20% - akcent 4 99 2" xfId="1649"/>
    <cellStyle name="20% - akcent 5 10" xfId="1650"/>
    <cellStyle name="20% - akcent 5 100" xfId="1651"/>
    <cellStyle name="20% - akcent 5 100 2" xfId="1652"/>
    <cellStyle name="20% - akcent 5 101" xfId="1653"/>
    <cellStyle name="20% - akcent 5 101 2" xfId="1654"/>
    <cellStyle name="20% - akcent 5 102" xfId="1655"/>
    <cellStyle name="20% - akcent 5 102 2" xfId="1656"/>
    <cellStyle name="20% - akcent 5 103" xfId="1657"/>
    <cellStyle name="20% - akcent 5 103 2" xfId="1658"/>
    <cellStyle name="20% - akcent 5 104" xfId="1659"/>
    <cellStyle name="20% - akcent 5 104 2" xfId="1660"/>
    <cellStyle name="20% - akcent 5 105" xfId="1661"/>
    <cellStyle name="20% - akcent 5 105 2" xfId="1662"/>
    <cellStyle name="20% - akcent 5 106" xfId="1663"/>
    <cellStyle name="20% - akcent 5 106 2" xfId="1664"/>
    <cellStyle name="20% - akcent 5 107" xfId="1665"/>
    <cellStyle name="20% - akcent 5 107 2" xfId="1666"/>
    <cellStyle name="20% - akcent 5 108" xfId="1667"/>
    <cellStyle name="20% - akcent 5 108 2" xfId="1668"/>
    <cellStyle name="20% - akcent 5 109" xfId="1669"/>
    <cellStyle name="20% - akcent 5 109 2" xfId="1670"/>
    <cellStyle name="20% - akcent 5 11" xfId="1671"/>
    <cellStyle name="20% - akcent 5 110" xfId="1672"/>
    <cellStyle name="20% - akcent 5 110 2" xfId="1673"/>
    <cellStyle name="20% - akcent 5 111" xfId="1674"/>
    <cellStyle name="20% - akcent 5 111 2" xfId="1675"/>
    <cellStyle name="20% - akcent 5 112" xfId="1676"/>
    <cellStyle name="20% - akcent 5 112 2" xfId="1677"/>
    <cellStyle name="20% - akcent 5 113" xfId="1678"/>
    <cellStyle name="20% - akcent 5 113 2" xfId="1679"/>
    <cellStyle name="20% - akcent 5 114" xfId="1680"/>
    <cellStyle name="20% - akcent 5 114 2" xfId="1681"/>
    <cellStyle name="20% - akcent 5 115" xfId="1682"/>
    <cellStyle name="20% - akcent 5 115 2" xfId="1683"/>
    <cellStyle name="20% - akcent 5 116" xfId="1684"/>
    <cellStyle name="20% - akcent 5 116 2" xfId="1685"/>
    <cellStyle name="20% - akcent 5 117" xfId="1686"/>
    <cellStyle name="20% - akcent 5 117 2" xfId="1687"/>
    <cellStyle name="20% - akcent 5 118" xfId="1688"/>
    <cellStyle name="20% - akcent 5 118 2" xfId="1689"/>
    <cellStyle name="20% - akcent 5 119" xfId="1690"/>
    <cellStyle name="20% - akcent 5 119 2" xfId="1691"/>
    <cellStyle name="20% - akcent 5 12" xfId="1692"/>
    <cellStyle name="20% - akcent 5 120" xfId="1693"/>
    <cellStyle name="20% - akcent 5 121" xfId="1694"/>
    <cellStyle name="20% - akcent 5 13" xfId="1695"/>
    <cellStyle name="20% - akcent 5 14" xfId="1696"/>
    <cellStyle name="20% - akcent 5 15" xfId="1697"/>
    <cellStyle name="20% - akcent 5 16" xfId="1698"/>
    <cellStyle name="20% - akcent 5 17" xfId="1699"/>
    <cellStyle name="20% - akcent 5 18" xfId="1700"/>
    <cellStyle name="20% - akcent 5 19" xfId="1701"/>
    <cellStyle name="20% - akcent 5 2" xfId="1702"/>
    <cellStyle name="20% - akcent 5 2 10" xfId="1703"/>
    <cellStyle name="20% - akcent 5 2 10 2" xfId="1704"/>
    <cellStyle name="20% - akcent 5 2 10 3" xfId="1705"/>
    <cellStyle name="20% - akcent 5 2 10 4" xfId="1706"/>
    <cellStyle name="20% - akcent 5 2 10 5" xfId="1707"/>
    <cellStyle name="20% - akcent 5 2 10 6" xfId="1708"/>
    <cellStyle name="20% - akcent 5 2 11" xfId="1709"/>
    <cellStyle name="20% - akcent 5 2 11 2" xfId="1710"/>
    <cellStyle name="20% - akcent 5 2 11 3" xfId="1711"/>
    <cellStyle name="20% - akcent 5 2 11 4" xfId="1712"/>
    <cellStyle name="20% - akcent 5 2 11 5" xfId="1713"/>
    <cellStyle name="20% - akcent 5 2 11 6" xfId="1714"/>
    <cellStyle name="20% - akcent 5 2 12" xfId="1715"/>
    <cellStyle name="20% - akcent 5 2 12 2" xfId="1716"/>
    <cellStyle name="20% - akcent 5 2 12 3" xfId="1717"/>
    <cellStyle name="20% - akcent 5 2 12 4" xfId="1718"/>
    <cellStyle name="20% - akcent 5 2 12 5" xfId="1719"/>
    <cellStyle name="20% - akcent 5 2 12 6" xfId="1720"/>
    <cellStyle name="20% - akcent 5 2 13" xfId="1721"/>
    <cellStyle name="20% - akcent 5 2 13 2" xfId="1722"/>
    <cellStyle name="20% - akcent 5 2 13 3" xfId="1723"/>
    <cellStyle name="20% - akcent 5 2 13 4" xfId="1724"/>
    <cellStyle name="20% - akcent 5 2 13 5" xfId="1725"/>
    <cellStyle name="20% - akcent 5 2 13 6" xfId="1726"/>
    <cellStyle name="20% - akcent 5 2 14" xfId="1727"/>
    <cellStyle name="20% - akcent 5 2 14 2" xfId="1728"/>
    <cellStyle name="20% - akcent 5 2 14 3" xfId="1729"/>
    <cellStyle name="20% - akcent 5 2 14 4" xfId="1730"/>
    <cellStyle name="20% - akcent 5 2 14 5" xfId="1731"/>
    <cellStyle name="20% - akcent 5 2 14 6" xfId="1732"/>
    <cellStyle name="20% - akcent 5 2 15" xfId="1733"/>
    <cellStyle name="20% - akcent 5 2 15 2" xfId="1734"/>
    <cellStyle name="20% - akcent 5 2 15 3" xfId="1735"/>
    <cellStyle name="20% - akcent 5 2 15 4" xfId="1736"/>
    <cellStyle name="20% - akcent 5 2 15 5" xfId="1737"/>
    <cellStyle name="20% - akcent 5 2 15 6" xfId="1738"/>
    <cellStyle name="20% - akcent 5 2 16" xfId="1739"/>
    <cellStyle name="20% - akcent 5 2 16 2" xfId="1740"/>
    <cellStyle name="20% - akcent 5 2 16 3" xfId="1741"/>
    <cellStyle name="20% - akcent 5 2 16 4" xfId="1742"/>
    <cellStyle name="20% - akcent 5 2 16 5" xfId="1743"/>
    <cellStyle name="20% - akcent 5 2 16 6" xfId="1744"/>
    <cellStyle name="20% - akcent 5 2 17" xfId="1745"/>
    <cellStyle name="20% - akcent 5 2 17 2" xfId="1746"/>
    <cellStyle name="20% - akcent 5 2 17 3" xfId="1747"/>
    <cellStyle name="20% - akcent 5 2 17 4" xfId="1748"/>
    <cellStyle name="20% - akcent 5 2 17 5" xfId="1749"/>
    <cellStyle name="20% - akcent 5 2 17 6" xfId="1750"/>
    <cellStyle name="20% - akcent 5 2 18" xfId="1751"/>
    <cellStyle name="20% - akcent 5 2 18 2" xfId="1752"/>
    <cellStyle name="20% - akcent 5 2 18 3" xfId="1753"/>
    <cellStyle name="20% - akcent 5 2 18 4" xfId="1754"/>
    <cellStyle name="20% - akcent 5 2 18 5" xfId="1755"/>
    <cellStyle name="20% - akcent 5 2 18 6" xfId="1756"/>
    <cellStyle name="20% - akcent 5 2 19" xfId="1757"/>
    <cellStyle name="20% - akcent 5 2 19 2" xfId="1758"/>
    <cellStyle name="20% - akcent 5 2 19 3" xfId="1759"/>
    <cellStyle name="20% - akcent 5 2 19 4" xfId="1760"/>
    <cellStyle name="20% - akcent 5 2 19 5" xfId="1761"/>
    <cellStyle name="20% - akcent 5 2 19 6" xfId="1762"/>
    <cellStyle name="20% - akcent 5 2 2" xfId="1763"/>
    <cellStyle name="20% - akcent 5 2 2 2" xfId="1764"/>
    <cellStyle name="20% - akcent 5 2 2 3" xfId="1765"/>
    <cellStyle name="20% - akcent 5 2 2 4" xfId="1766"/>
    <cellStyle name="20% - akcent 5 2 2 5" xfId="1767"/>
    <cellStyle name="20% - akcent 5 2 2 6" xfId="1768"/>
    <cellStyle name="20% - akcent 5 2 2 7" xfId="1769"/>
    <cellStyle name="20% - akcent 5 2 20" xfId="1770"/>
    <cellStyle name="20% - akcent 5 2 20 2" xfId="1771"/>
    <cellStyle name="20% - akcent 5 2 20 3" xfId="1772"/>
    <cellStyle name="20% - akcent 5 2 20 4" xfId="1773"/>
    <cellStyle name="20% - akcent 5 2 20 5" xfId="1774"/>
    <cellStyle name="20% - akcent 5 2 20 6" xfId="1775"/>
    <cellStyle name="20% - akcent 5 2 21" xfId="1776"/>
    <cellStyle name="20% - akcent 5 2 21 2" xfId="1777"/>
    <cellStyle name="20% - akcent 5 2 21 3" xfId="1778"/>
    <cellStyle name="20% - akcent 5 2 21 4" xfId="1779"/>
    <cellStyle name="20% - akcent 5 2 21 5" xfId="1780"/>
    <cellStyle name="20% - akcent 5 2 21 6" xfId="1781"/>
    <cellStyle name="20% - akcent 5 2 22" xfId="1782"/>
    <cellStyle name="20% - akcent 5 2 22 2" xfId="1783"/>
    <cellStyle name="20% - akcent 5 2 22 3" xfId="1784"/>
    <cellStyle name="20% - akcent 5 2 22 4" xfId="1785"/>
    <cellStyle name="20% - akcent 5 2 22 5" xfId="1786"/>
    <cellStyle name="20% - akcent 5 2 22 6" xfId="1787"/>
    <cellStyle name="20% - akcent 5 2 23" xfId="1788"/>
    <cellStyle name="20% - akcent 5 2 23 2" xfId="1789"/>
    <cellStyle name="20% - akcent 5 2 23 3" xfId="1790"/>
    <cellStyle name="20% - akcent 5 2 23 4" xfId="1791"/>
    <cellStyle name="20% - akcent 5 2 23 5" xfId="1792"/>
    <cellStyle name="20% - akcent 5 2 23 6" xfId="1793"/>
    <cellStyle name="20% - akcent 5 2 24" xfId="1794"/>
    <cellStyle name="20% - akcent 5 2 24 2" xfId="1795"/>
    <cellStyle name="20% - akcent 5 2 24 3" xfId="1796"/>
    <cellStyle name="20% - akcent 5 2 24 4" xfId="1797"/>
    <cellStyle name="20% - akcent 5 2 24 5" xfId="1798"/>
    <cellStyle name="20% - akcent 5 2 24 6" xfId="1799"/>
    <cellStyle name="20% - akcent 5 2 25" xfId="1800"/>
    <cellStyle name="20% - akcent 5 2 25 2" xfId="1801"/>
    <cellStyle name="20% - akcent 5 2 25 3" xfId="1802"/>
    <cellStyle name="20% - akcent 5 2 25 4" xfId="1803"/>
    <cellStyle name="20% - akcent 5 2 25 5" xfId="1804"/>
    <cellStyle name="20% - akcent 5 2 25 6" xfId="1805"/>
    <cellStyle name="20% - akcent 5 2 26" xfId="1806"/>
    <cellStyle name="20% - akcent 5 2 26 2" xfId="1807"/>
    <cellStyle name="20% - akcent 5 2 26 3" xfId="1808"/>
    <cellStyle name="20% - akcent 5 2 26 4" xfId="1809"/>
    <cellStyle name="20% - akcent 5 2 26 5" xfId="1810"/>
    <cellStyle name="20% - akcent 5 2 26 6" xfId="1811"/>
    <cellStyle name="20% - akcent 5 2 27" xfId="1812"/>
    <cellStyle name="20% - akcent 5 2 27 2" xfId="1813"/>
    <cellStyle name="20% - akcent 5 2 27 3" xfId="1814"/>
    <cellStyle name="20% - akcent 5 2 27 4" xfId="1815"/>
    <cellStyle name="20% - akcent 5 2 27 5" xfId="1816"/>
    <cellStyle name="20% - akcent 5 2 27 6" xfId="1817"/>
    <cellStyle name="20% - akcent 5 2 28" xfId="1818"/>
    <cellStyle name="20% - akcent 5 2 28 2" xfId="1819"/>
    <cellStyle name="20% - akcent 5 2 28 3" xfId="1820"/>
    <cellStyle name="20% - akcent 5 2 28 4" xfId="1821"/>
    <cellStyle name="20% - akcent 5 2 28 5" xfId="1822"/>
    <cellStyle name="20% - akcent 5 2 28 6" xfId="1823"/>
    <cellStyle name="20% - akcent 5 2 29" xfId="1824"/>
    <cellStyle name="20% - akcent 5 2 29 2" xfId="1825"/>
    <cellStyle name="20% - akcent 5 2 3" xfId="1826"/>
    <cellStyle name="20% - akcent 5 2 3 2" xfId="1827"/>
    <cellStyle name="20% - akcent 5 2 3 3" xfId="1828"/>
    <cellStyle name="20% - akcent 5 2 3 4" xfId="1829"/>
    <cellStyle name="20% - akcent 5 2 3 5" xfId="1830"/>
    <cellStyle name="20% - akcent 5 2 3 6" xfId="1831"/>
    <cellStyle name="20% - akcent 5 2 3 7" xfId="1832"/>
    <cellStyle name="20% - akcent 5 2 30" xfId="1833"/>
    <cellStyle name="20% - akcent 5 2 30 2" xfId="1834"/>
    <cellStyle name="20% - akcent 5 2 31" xfId="1835"/>
    <cellStyle name="20% - akcent 5 2 31 2" xfId="1836"/>
    <cellStyle name="20% - akcent 5 2 32" xfId="1837"/>
    <cellStyle name="20% - akcent 5 2 32 2" xfId="1838"/>
    <cellStyle name="20% - akcent 5 2 33" xfId="1839"/>
    <cellStyle name="20% - akcent 5 2 34" xfId="1840"/>
    <cellStyle name="20% - akcent 5 2 35" xfId="1841"/>
    <cellStyle name="20% - akcent 5 2 36" xfId="1842"/>
    <cellStyle name="20% - akcent 5 2 37" xfId="1843"/>
    <cellStyle name="20% - akcent 5 2 38" xfId="1844"/>
    <cellStyle name="20% - akcent 5 2 39" xfId="1845"/>
    <cellStyle name="20% - akcent 5 2 4" xfId="1846"/>
    <cellStyle name="20% - akcent 5 2 4 2" xfId="1847"/>
    <cellStyle name="20% - akcent 5 2 4 3" xfId="1848"/>
    <cellStyle name="20% - akcent 5 2 4 4" xfId="1849"/>
    <cellStyle name="20% - akcent 5 2 4 5" xfId="1850"/>
    <cellStyle name="20% - akcent 5 2 4 6" xfId="1851"/>
    <cellStyle name="20% - akcent 5 2 4 7" xfId="1852"/>
    <cellStyle name="20% - akcent 5 2 40" xfId="1853"/>
    <cellStyle name="20% - akcent 5 2 41" xfId="1854"/>
    <cellStyle name="20% - akcent 5 2 42" xfId="1855"/>
    <cellStyle name="20% - akcent 5 2 43" xfId="1856"/>
    <cellStyle name="20% - akcent 5 2 44" xfId="1857"/>
    <cellStyle name="20% - akcent 5 2 45" xfId="1858"/>
    <cellStyle name="20% - akcent 5 2 46" xfId="1859"/>
    <cellStyle name="20% - akcent 5 2 47" xfId="1860"/>
    <cellStyle name="20% - akcent 5 2 48" xfId="1861"/>
    <cellStyle name="20% - akcent 5 2 49" xfId="1862"/>
    <cellStyle name="20% - akcent 5 2 5" xfId="1863"/>
    <cellStyle name="20% - akcent 5 2 5 2" xfId="1864"/>
    <cellStyle name="20% - akcent 5 2 5 3" xfId="1865"/>
    <cellStyle name="20% - akcent 5 2 5 4" xfId="1866"/>
    <cellStyle name="20% - akcent 5 2 5 5" xfId="1867"/>
    <cellStyle name="20% - akcent 5 2 5 6" xfId="1868"/>
    <cellStyle name="20% - akcent 5 2 50" xfId="1869"/>
    <cellStyle name="20% - akcent 5 2 51" xfId="1870"/>
    <cellStyle name="20% - akcent 5 2 6" xfId="1871"/>
    <cellStyle name="20% - akcent 5 2 6 2" xfId="1872"/>
    <cellStyle name="20% - akcent 5 2 6 3" xfId="1873"/>
    <cellStyle name="20% - akcent 5 2 6 4" xfId="1874"/>
    <cellStyle name="20% - akcent 5 2 6 5" xfId="1875"/>
    <cellStyle name="20% - akcent 5 2 6 6" xfId="1876"/>
    <cellStyle name="20% - akcent 5 2 7" xfId="1877"/>
    <cellStyle name="20% - akcent 5 2 7 2" xfId="1878"/>
    <cellStyle name="20% - akcent 5 2 7 3" xfId="1879"/>
    <cellStyle name="20% - akcent 5 2 7 4" xfId="1880"/>
    <cellStyle name="20% - akcent 5 2 7 5" xfId="1881"/>
    <cellStyle name="20% - akcent 5 2 7 6" xfId="1882"/>
    <cellStyle name="20% - akcent 5 2 8" xfId="1883"/>
    <cellStyle name="20% - akcent 5 2 8 2" xfId="1884"/>
    <cellStyle name="20% - akcent 5 2 8 3" xfId="1885"/>
    <cellStyle name="20% - akcent 5 2 8 4" xfId="1886"/>
    <cellStyle name="20% - akcent 5 2 8 5" xfId="1887"/>
    <cellStyle name="20% - akcent 5 2 8 6" xfId="1888"/>
    <cellStyle name="20% - akcent 5 2 9" xfId="1889"/>
    <cellStyle name="20% - akcent 5 2 9 2" xfId="1890"/>
    <cellStyle name="20% - akcent 5 2 9 3" xfId="1891"/>
    <cellStyle name="20% - akcent 5 2 9 4" xfId="1892"/>
    <cellStyle name="20% - akcent 5 2 9 5" xfId="1893"/>
    <cellStyle name="20% - akcent 5 2 9 6" xfId="1894"/>
    <cellStyle name="20% - akcent 5 20" xfId="1895"/>
    <cellStyle name="20% - akcent 5 21" xfId="1896"/>
    <cellStyle name="20% - akcent 5 22" xfId="1897"/>
    <cellStyle name="20% - akcent 5 23" xfId="1898"/>
    <cellStyle name="20% - akcent 5 24" xfId="1899"/>
    <cellStyle name="20% - akcent 5 25" xfId="1900"/>
    <cellStyle name="20% - akcent 5 26" xfId="1901"/>
    <cellStyle name="20% - akcent 5 27" xfId="1902"/>
    <cellStyle name="20% - akcent 5 28" xfId="1903"/>
    <cellStyle name="20% - akcent 5 29" xfId="1904"/>
    <cellStyle name="20% - akcent 5 3" xfId="1905"/>
    <cellStyle name="20% - akcent 5 3 2" xfId="1906"/>
    <cellStyle name="20% - akcent 5 3 2 2" xfId="1907"/>
    <cellStyle name="20% - akcent 5 3 3" xfId="1908"/>
    <cellStyle name="20% - akcent 5 3 3 2" xfId="1909"/>
    <cellStyle name="20% - akcent 5 3 4" xfId="1910"/>
    <cellStyle name="20% - akcent 5 3 4 2" xfId="1911"/>
    <cellStyle name="20% - akcent 5 3 5" xfId="1912"/>
    <cellStyle name="20% - akcent 5 3 6" xfId="1913"/>
    <cellStyle name="20% - akcent 5 3 7" xfId="1914"/>
    <cellStyle name="20% - akcent 5 3 8" xfId="1915"/>
    <cellStyle name="20% - akcent 5 30" xfId="1916"/>
    <cellStyle name="20% - akcent 5 30 2" xfId="1917"/>
    <cellStyle name="20% - akcent 5 31" xfId="1918"/>
    <cellStyle name="20% - akcent 5 31 2" xfId="1919"/>
    <cellStyle name="20% - akcent 5 32" xfId="1920"/>
    <cellStyle name="20% - akcent 5 32 2" xfId="1921"/>
    <cellStyle name="20% - akcent 5 33" xfId="1922"/>
    <cellStyle name="20% - akcent 5 33 2" xfId="1923"/>
    <cellStyle name="20% - akcent 5 34" xfId="1924"/>
    <cellStyle name="20% - akcent 5 34 2" xfId="1925"/>
    <cellStyle name="20% - akcent 5 35" xfId="1926"/>
    <cellStyle name="20% - akcent 5 35 2" xfId="1927"/>
    <cellStyle name="20% - akcent 5 36" xfId="1928"/>
    <cellStyle name="20% - akcent 5 36 2" xfId="1929"/>
    <cellStyle name="20% - akcent 5 37" xfId="1930"/>
    <cellStyle name="20% - akcent 5 37 2" xfId="1931"/>
    <cellStyle name="20% - akcent 5 38" xfId="1932"/>
    <cellStyle name="20% - akcent 5 38 2" xfId="1933"/>
    <cellStyle name="20% - akcent 5 39" xfId="1934"/>
    <cellStyle name="20% - akcent 5 39 2" xfId="1935"/>
    <cellStyle name="20% - akcent 5 4" xfId="1936"/>
    <cellStyle name="20% - akcent 5 4 2" xfId="1937"/>
    <cellStyle name="20% - akcent 5 4 2 2" xfId="1938"/>
    <cellStyle name="20% - akcent 5 4 3" xfId="1939"/>
    <cellStyle name="20% - akcent 5 4 3 2" xfId="1940"/>
    <cellStyle name="20% - akcent 5 4 4" xfId="1941"/>
    <cellStyle name="20% - akcent 5 4 4 2" xfId="1942"/>
    <cellStyle name="20% - akcent 5 4 5" xfId="1943"/>
    <cellStyle name="20% - akcent 5 4 6" xfId="1944"/>
    <cellStyle name="20% - akcent 5 4 7" xfId="1945"/>
    <cellStyle name="20% - akcent 5 4 8" xfId="1946"/>
    <cellStyle name="20% - akcent 5 40" xfId="1947"/>
    <cellStyle name="20% - akcent 5 40 2" xfId="1948"/>
    <cellStyle name="20% - akcent 5 41" xfId="1949"/>
    <cellStyle name="20% - akcent 5 41 2" xfId="1950"/>
    <cellStyle name="20% - akcent 5 42" xfId="1951"/>
    <cellStyle name="20% - akcent 5 42 2" xfId="1952"/>
    <cellStyle name="20% - akcent 5 43" xfId="1953"/>
    <cellStyle name="20% - akcent 5 43 2" xfId="1954"/>
    <cellStyle name="20% - akcent 5 44" xfId="1955"/>
    <cellStyle name="20% - akcent 5 44 2" xfId="1956"/>
    <cellStyle name="20% - akcent 5 45" xfId="1957"/>
    <cellStyle name="20% - akcent 5 45 2" xfId="1958"/>
    <cellStyle name="20% - akcent 5 46" xfId="1959"/>
    <cellStyle name="20% - akcent 5 46 2" xfId="1960"/>
    <cellStyle name="20% - akcent 5 47" xfId="1961"/>
    <cellStyle name="20% - akcent 5 47 2" xfId="1962"/>
    <cellStyle name="20% - akcent 5 48" xfId="1963"/>
    <cellStyle name="20% - akcent 5 48 2" xfId="1964"/>
    <cellStyle name="20% - akcent 5 49" xfId="1965"/>
    <cellStyle name="20% - akcent 5 49 2" xfId="1966"/>
    <cellStyle name="20% - akcent 5 5" xfId="1967"/>
    <cellStyle name="20% - akcent 5 5 2" xfId="1968"/>
    <cellStyle name="20% - akcent 5 5 3" xfId="1969"/>
    <cellStyle name="20% - akcent 5 50" xfId="1970"/>
    <cellStyle name="20% - akcent 5 50 2" xfId="1971"/>
    <cellStyle name="20% - akcent 5 51" xfId="1972"/>
    <cellStyle name="20% - akcent 5 51 2" xfId="1973"/>
    <cellStyle name="20% - akcent 5 52" xfId="1974"/>
    <cellStyle name="20% - akcent 5 52 2" xfId="1975"/>
    <cellStyle name="20% - akcent 5 53" xfId="1976"/>
    <cellStyle name="20% - akcent 5 53 2" xfId="1977"/>
    <cellStyle name="20% - akcent 5 54" xfId="1978"/>
    <cellStyle name="20% - akcent 5 54 2" xfId="1979"/>
    <cellStyle name="20% - akcent 5 55" xfId="1980"/>
    <cellStyle name="20% - akcent 5 55 2" xfId="1981"/>
    <cellStyle name="20% - akcent 5 56" xfId="1982"/>
    <cellStyle name="20% - akcent 5 56 2" xfId="1983"/>
    <cellStyle name="20% - akcent 5 57" xfId="1984"/>
    <cellStyle name="20% - akcent 5 57 2" xfId="1985"/>
    <cellStyle name="20% - akcent 5 58" xfId="1986"/>
    <cellStyle name="20% - akcent 5 58 2" xfId="1987"/>
    <cellStyle name="20% - akcent 5 59" xfId="1988"/>
    <cellStyle name="20% - akcent 5 59 2" xfId="1989"/>
    <cellStyle name="20% - akcent 5 6" xfId="1990"/>
    <cellStyle name="20% - akcent 5 60" xfId="1991"/>
    <cellStyle name="20% - akcent 5 60 2" xfId="1992"/>
    <cellStyle name="20% - akcent 5 61" xfId="1993"/>
    <cellStyle name="20% - akcent 5 61 2" xfId="1994"/>
    <cellStyle name="20% - akcent 5 62" xfId="1995"/>
    <cellStyle name="20% - akcent 5 62 2" xfId="1996"/>
    <cellStyle name="20% - akcent 5 63" xfId="1997"/>
    <cellStyle name="20% - akcent 5 63 2" xfId="1998"/>
    <cellStyle name="20% - akcent 5 64" xfId="1999"/>
    <cellStyle name="20% - akcent 5 64 2" xfId="2000"/>
    <cellStyle name="20% - akcent 5 65" xfId="2001"/>
    <cellStyle name="20% - akcent 5 65 2" xfId="2002"/>
    <cellStyle name="20% - akcent 5 66" xfId="2003"/>
    <cellStyle name="20% - akcent 5 66 2" xfId="2004"/>
    <cellStyle name="20% - akcent 5 67" xfId="2005"/>
    <cellStyle name="20% - akcent 5 67 2" xfId="2006"/>
    <cellStyle name="20% - akcent 5 68" xfId="2007"/>
    <cellStyle name="20% - akcent 5 68 2" xfId="2008"/>
    <cellStyle name="20% - akcent 5 69" xfId="2009"/>
    <cellStyle name="20% - akcent 5 69 2" xfId="2010"/>
    <cellStyle name="20% - akcent 5 7" xfId="2011"/>
    <cellStyle name="20% - akcent 5 70" xfId="2012"/>
    <cellStyle name="20% - akcent 5 70 2" xfId="2013"/>
    <cellStyle name="20% - akcent 5 71" xfId="2014"/>
    <cellStyle name="20% - akcent 5 71 2" xfId="2015"/>
    <cellStyle name="20% - akcent 5 72" xfId="2016"/>
    <cellStyle name="20% - akcent 5 72 2" xfId="2017"/>
    <cellStyle name="20% - akcent 5 73" xfId="2018"/>
    <cellStyle name="20% - akcent 5 73 2" xfId="2019"/>
    <cellStyle name="20% - akcent 5 74" xfId="2020"/>
    <cellStyle name="20% - akcent 5 74 2" xfId="2021"/>
    <cellStyle name="20% - akcent 5 75" xfId="2022"/>
    <cellStyle name="20% - akcent 5 75 2" xfId="2023"/>
    <cellStyle name="20% - akcent 5 76" xfId="2024"/>
    <cellStyle name="20% - akcent 5 76 2" xfId="2025"/>
    <cellStyle name="20% - akcent 5 77" xfId="2026"/>
    <cellStyle name="20% - akcent 5 77 2" xfId="2027"/>
    <cellStyle name="20% - akcent 5 78" xfId="2028"/>
    <cellStyle name="20% - akcent 5 78 2" xfId="2029"/>
    <cellStyle name="20% - akcent 5 79" xfId="2030"/>
    <cellStyle name="20% - akcent 5 79 2" xfId="2031"/>
    <cellStyle name="20% - akcent 5 8" xfId="2032"/>
    <cellStyle name="20% - akcent 5 80" xfId="2033"/>
    <cellStyle name="20% - akcent 5 80 2" xfId="2034"/>
    <cellStyle name="20% - akcent 5 81" xfId="2035"/>
    <cellStyle name="20% - akcent 5 81 2" xfId="2036"/>
    <cellStyle name="20% - akcent 5 82" xfId="2037"/>
    <cellStyle name="20% - akcent 5 82 2" xfId="2038"/>
    <cellStyle name="20% - akcent 5 83" xfId="2039"/>
    <cellStyle name="20% - akcent 5 83 2" xfId="2040"/>
    <cellStyle name="20% - akcent 5 84" xfId="2041"/>
    <cellStyle name="20% - akcent 5 84 2" xfId="2042"/>
    <cellStyle name="20% - akcent 5 85" xfId="2043"/>
    <cellStyle name="20% - akcent 5 85 2" xfId="2044"/>
    <cellStyle name="20% - akcent 5 86" xfId="2045"/>
    <cellStyle name="20% - akcent 5 86 2" xfId="2046"/>
    <cellStyle name="20% - akcent 5 87" xfId="2047"/>
    <cellStyle name="20% - akcent 5 87 2" xfId="2048"/>
    <cellStyle name="20% - akcent 5 88" xfId="2049"/>
    <cellStyle name="20% - akcent 5 88 2" xfId="2050"/>
    <cellStyle name="20% - akcent 5 89" xfId="2051"/>
    <cellStyle name="20% - akcent 5 89 2" xfId="2052"/>
    <cellStyle name="20% - akcent 5 9" xfId="2053"/>
    <cellStyle name="20% - akcent 5 90" xfId="2054"/>
    <cellStyle name="20% - akcent 5 90 2" xfId="2055"/>
    <cellStyle name="20% - akcent 5 91" xfId="2056"/>
    <cellStyle name="20% - akcent 5 91 2" xfId="2057"/>
    <cellStyle name="20% - akcent 5 92" xfId="2058"/>
    <cellStyle name="20% - akcent 5 92 2" xfId="2059"/>
    <cellStyle name="20% - akcent 5 93" xfId="2060"/>
    <cellStyle name="20% - akcent 5 93 2" xfId="2061"/>
    <cellStyle name="20% - akcent 5 94" xfId="2062"/>
    <cellStyle name="20% - akcent 5 94 2" xfId="2063"/>
    <cellStyle name="20% - akcent 5 95" xfId="2064"/>
    <cellStyle name="20% - akcent 5 95 2" xfId="2065"/>
    <cellStyle name="20% - akcent 5 96" xfId="2066"/>
    <cellStyle name="20% - akcent 5 96 2" xfId="2067"/>
    <cellStyle name="20% - akcent 5 97" xfId="2068"/>
    <cellStyle name="20% - akcent 5 97 2" xfId="2069"/>
    <cellStyle name="20% - akcent 5 98" xfId="2070"/>
    <cellStyle name="20% - akcent 5 98 2" xfId="2071"/>
    <cellStyle name="20% - akcent 5 99" xfId="2072"/>
    <cellStyle name="20% - akcent 5 99 2" xfId="2073"/>
    <cellStyle name="20% - akcent 6 10" xfId="2074"/>
    <cellStyle name="20% - akcent 6 100" xfId="2075"/>
    <cellStyle name="20% - akcent 6 100 2" xfId="2076"/>
    <cellStyle name="20% - akcent 6 101" xfId="2077"/>
    <cellStyle name="20% - akcent 6 101 2" xfId="2078"/>
    <cellStyle name="20% - akcent 6 102" xfId="2079"/>
    <cellStyle name="20% - akcent 6 102 2" xfId="2080"/>
    <cellStyle name="20% - akcent 6 103" xfId="2081"/>
    <cellStyle name="20% - akcent 6 103 2" xfId="2082"/>
    <cellStyle name="20% - akcent 6 104" xfId="2083"/>
    <cellStyle name="20% - akcent 6 104 2" xfId="2084"/>
    <cellStyle name="20% - akcent 6 105" xfId="2085"/>
    <cellStyle name="20% - akcent 6 105 2" xfId="2086"/>
    <cellStyle name="20% - akcent 6 106" xfId="2087"/>
    <cellStyle name="20% - akcent 6 106 2" xfId="2088"/>
    <cellStyle name="20% - akcent 6 107" xfId="2089"/>
    <cellStyle name="20% - akcent 6 107 2" xfId="2090"/>
    <cellStyle name="20% - akcent 6 108" xfId="2091"/>
    <cellStyle name="20% - akcent 6 108 2" xfId="2092"/>
    <cellStyle name="20% - akcent 6 109" xfId="2093"/>
    <cellStyle name="20% - akcent 6 109 2" xfId="2094"/>
    <cellStyle name="20% - akcent 6 11" xfId="2095"/>
    <cellStyle name="20% - akcent 6 110" xfId="2096"/>
    <cellStyle name="20% - akcent 6 110 2" xfId="2097"/>
    <cellStyle name="20% - akcent 6 111" xfId="2098"/>
    <cellStyle name="20% - akcent 6 111 2" xfId="2099"/>
    <cellStyle name="20% - akcent 6 112" xfId="2100"/>
    <cellStyle name="20% - akcent 6 112 2" xfId="2101"/>
    <cellStyle name="20% - akcent 6 113" xfId="2102"/>
    <cellStyle name="20% - akcent 6 113 2" xfId="2103"/>
    <cellStyle name="20% - akcent 6 114" xfId="2104"/>
    <cellStyle name="20% - akcent 6 114 2" xfId="2105"/>
    <cellStyle name="20% - akcent 6 115" xfId="2106"/>
    <cellStyle name="20% - akcent 6 115 2" xfId="2107"/>
    <cellStyle name="20% - akcent 6 116" xfId="2108"/>
    <cellStyle name="20% - akcent 6 116 2" xfId="2109"/>
    <cellStyle name="20% - akcent 6 117" xfId="2110"/>
    <cellStyle name="20% - akcent 6 117 2" xfId="2111"/>
    <cellStyle name="20% - akcent 6 118" xfId="2112"/>
    <cellStyle name="20% - akcent 6 118 2" xfId="2113"/>
    <cellStyle name="20% - akcent 6 119" xfId="2114"/>
    <cellStyle name="20% - akcent 6 119 2" xfId="2115"/>
    <cellStyle name="20% - akcent 6 12" xfId="2116"/>
    <cellStyle name="20% - akcent 6 120" xfId="2117"/>
    <cellStyle name="20% - akcent 6 121" xfId="2118"/>
    <cellStyle name="20% - akcent 6 13" xfId="2119"/>
    <cellStyle name="20% - akcent 6 14" xfId="2120"/>
    <cellStyle name="20% - akcent 6 15" xfId="2121"/>
    <cellStyle name="20% - akcent 6 16" xfId="2122"/>
    <cellStyle name="20% - akcent 6 17" xfId="2123"/>
    <cellStyle name="20% - akcent 6 18" xfId="2124"/>
    <cellStyle name="20% - akcent 6 19" xfId="2125"/>
    <cellStyle name="20% - akcent 6 2" xfId="2126"/>
    <cellStyle name="20% - akcent 6 2 10" xfId="2127"/>
    <cellStyle name="20% - akcent 6 2 10 2" xfId="2128"/>
    <cellStyle name="20% - akcent 6 2 10 3" xfId="2129"/>
    <cellStyle name="20% - akcent 6 2 10 4" xfId="2130"/>
    <cellStyle name="20% - akcent 6 2 10 5" xfId="2131"/>
    <cellStyle name="20% - akcent 6 2 10 6" xfId="2132"/>
    <cellStyle name="20% - akcent 6 2 11" xfId="2133"/>
    <cellStyle name="20% - akcent 6 2 11 2" xfId="2134"/>
    <cellStyle name="20% - akcent 6 2 11 3" xfId="2135"/>
    <cellStyle name="20% - akcent 6 2 11 4" xfId="2136"/>
    <cellStyle name="20% - akcent 6 2 11 5" xfId="2137"/>
    <cellStyle name="20% - akcent 6 2 11 6" xfId="2138"/>
    <cellStyle name="20% - akcent 6 2 12" xfId="2139"/>
    <cellStyle name="20% - akcent 6 2 12 2" xfId="2140"/>
    <cellStyle name="20% - akcent 6 2 12 3" xfId="2141"/>
    <cellStyle name="20% - akcent 6 2 12 4" xfId="2142"/>
    <cellStyle name="20% - akcent 6 2 12 5" xfId="2143"/>
    <cellStyle name="20% - akcent 6 2 12 6" xfId="2144"/>
    <cellStyle name="20% - akcent 6 2 13" xfId="2145"/>
    <cellStyle name="20% - akcent 6 2 13 2" xfId="2146"/>
    <cellStyle name="20% - akcent 6 2 13 3" xfId="2147"/>
    <cellStyle name="20% - akcent 6 2 13 4" xfId="2148"/>
    <cellStyle name="20% - akcent 6 2 13 5" xfId="2149"/>
    <cellStyle name="20% - akcent 6 2 13 6" xfId="2150"/>
    <cellStyle name="20% - akcent 6 2 14" xfId="2151"/>
    <cellStyle name="20% - akcent 6 2 14 2" xfId="2152"/>
    <cellStyle name="20% - akcent 6 2 14 3" xfId="2153"/>
    <cellStyle name="20% - akcent 6 2 14 4" xfId="2154"/>
    <cellStyle name="20% - akcent 6 2 14 5" xfId="2155"/>
    <cellStyle name="20% - akcent 6 2 14 6" xfId="2156"/>
    <cellStyle name="20% - akcent 6 2 15" xfId="2157"/>
    <cellStyle name="20% - akcent 6 2 15 2" xfId="2158"/>
    <cellStyle name="20% - akcent 6 2 15 3" xfId="2159"/>
    <cellStyle name="20% - akcent 6 2 15 4" xfId="2160"/>
    <cellStyle name="20% - akcent 6 2 15 5" xfId="2161"/>
    <cellStyle name="20% - akcent 6 2 15 6" xfId="2162"/>
    <cellStyle name="20% - akcent 6 2 16" xfId="2163"/>
    <cellStyle name="20% - akcent 6 2 16 2" xfId="2164"/>
    <cellStyle name="20% - akcent 6 2 16 3" xfId="2165"/>
    <cellStyle name="20% - akcent 6 2 16 4" xfId="2166"/>
    <cellStyle name="20% - akcent 6 2 16 5" xfId="2167"/>
    <cellStyle name="20% - akcent 6 2 16 6" xfId="2168"/>
    <cellStyle name="20% - akcent 6 2 17" xfId="2169"/>
    <cellStyle name="20% - akcent 6 2 17 2" xfId="2170"/>
    <cellStyle name="20% - akcent 6 2 17 3" xfId="2171"/>
    <cellStyle name="20% - akcent 6 2 17 4" xfId="2172"/>
    <cellStyle name="20% - akcent 6 2 17 5" xfId="2173"/>
    <cellStyle name="20% - akcent 6 2 17 6" xfId="2174"/>
    <cellStyle name="20% - akcent 6 2 18" xfId="2175"/>
    <cellStyle name="20% - akcent 6 2 18 2" xfId="2176"/>
    <cellStyle name="20% - akcent 6 2 18 3" xfId="2177"/>
    <cellStyle name="20% - akcent 6 2 18 4" xfId="2178"/>
    <cellStyle name="20% - akcent 6 2 18 5" xfId="2179"/>
    <cellStyle name="20% - akcent 6 2 18 6" xfId="2180"/>
    <cellStyle name="20% - akcent 6 2 19" xfId="2181"/>
    <cellStyle name="20% - akcent 6 2 19 2" xfId="2182"/>
    <cellStyle name="20% - akcent 6 2 19 3" xfId="2183"/>
    <cellStyle name="20% - akcent 6 2 19 4" xfId="2184"/>
    <cellStyle name="20% - akcent 6 2 19 5" xfId="2185"/>
    <cellStyle name="20% - akcent 6 2 19 6" xfId="2186"/>
    <cellStyle name="20% - akcent 6 2 2" xfId="2187"/>
    <cellStyle name="20% - akcent 6 2 2 2" xfId="2188"/>
    <cellStyle name="20% - akcent 6 2 2 3" xfId="2189"/>
    <cellStyle name="20% - akcent 6 2 2 4" xfId="2190"/>
    <cellStyle name="20% - akcent 6 2 2 5" xfId="2191"/>
    <cellStyle name="20% - akcent 6 2 2 6" xfId="2192"/>
    <cellStyle name="20% - akcent 6 2 2 7" xfId="2193"/>
    <cellStyle name="20% - akcent 6 2 20" xfId="2194"/>
    <cellStyle name="20% - akcent 6 2 20 2" xfId="2195"/>
    <cellStyle name="20% - akcent 6 2 20 3" xfId="2196"/>
    <cellStyle name="20% - akcent 6 2 20 4" xfId="2197"/>
    <cellStyle name="20% - akcent 6 2 20 5" xfId="2198"/>
    <cellStyle name="20% - akcent 6 2 20 6" xfId="2199"/>
    <cellStyle name="20% - akcent 6 2 21" xfId="2200"/>
    <cellStyle name="20% - akcent 6 2 21 2" xfId="2201"/>
    <cellStyle name="20% - akcent 6 2 21 3" xfId="2202"/>
    <cellStyle name="20% - akcent 6 2 21 4" xfId="2203"/>
    <cellStyle name="20% - akcent 6 2 21 5" xfId="2204"/>
    <cellStyle name="20% - akcent 6 2 21 6" xfId="2205"/>
    <cellStyle name="20% - akcent 6 2 22" xfId="2206"/>
    <cellStyle name="20% - akcent 6 2 22 2" xfId="2207"/>
    <cellStyle name="20% - akcent 6 2 22 3" xfId="2208"/>
    <cellStyle name="20% - akcent 6 2 22 4" xfId="2209"/>
    <cellStyle name="20% - akcent 6 2 22 5" xfId="2210"/>
    <cellStyle name="20% - akcent 6 2 22 6" xfId="2211"/>
    <cellStyle name="20% - akcent 6 2 23" xfId="2212"/>
    <cellStyle name="20% - akcent 6 2 23 2" xfId="2213"/>
    <cellStyle name="20% - akcent 6 2 23 3" xfId="2214"/>
    <cellStyle name="20% - akcent 6 2 23 4" xfId="2215"/>
    <cellStyle name="20% - akcent 6 2 23 5" xfId="2216"/>
    <cellStyle name="20% - akcent 6 2 23 6" xfId="2217"/>
    <cellStyle name="20% - akcent 6 2 24" xfId="2218"/>
    <cellStyle name="20% - akcent 6 2 24 2" xfId="2219"/>
    <cellStyle name="20% - akcent 6 2 24 3" xfId="2220"/>
    <cellStyle name="20% - akcent 6 2 24 4" xfId="2221"/>
    <cellStyle name="20% - akcent 6 2 24 5" xfId="2222"/>
    <cellStyle name="20% - akcent 6 2 24 6" xfId="2223"/>
    <cellStyle name="20% - akcent 6 2 25" xfId="2224"/>
    <cellStyle name="20% - akcent 6 2 25 2" xfId="2225"/>
    <cellStyle name="20% - akcent 6 2 25 3" xfId="2226"/>
    <cellStyle name="20% - akcent 6 2 25 4" xfId="2227"/>
    <cellStyle name="20% - akcent 6 2 25 5" xfId="2228"/>
    <cellStyle name="20% - akcent 6 2 25 6" xfId="2229"/>
    <cellStyle name="20% - akcent 6 2 26" xfId="2230"/>
    <cellStyle name="20% - akcent 6 2 26 2" xfId="2231"/>
    <cellStyle name="20% - akcent 6 2 26 3" xfId="2232"/>
    <cellStyle name="20% - akcent 6 2 26 4" xfId="2233"/>
    <cellStyle name="20% - akcent 6 2 26 5" xfId="2234"/>
    <cellStyle name="20% - akcent 6 2 26 6" xfId="2235"/>
    <cellStyle name="20% - akcent 6 2 27" xfId="2236"/>
    <cellStyle name="20% - akcent 6 2 27 2" xfId="2237"/>
    <cellStyle name="20% - akcent 6 2 27 3" xfId="2238"/>
    <cellStyle name="20% - akcent 6 2 27 4" xfId="2239"/>
    <cellStyle name="20% - akcent 6 2 27 5" xfId="2240"/>
    <cellStyle name="20% - akcent 6 2 27 6" xfId="2241"/>
    <cellStyle name="20% - akcent 6 2 28" xfId="2242"/>
    <cellStyle name="20% - akcent 6 2 28 2" xfId="2243"/>
    <cellStyle name="20% - akcent 6 2 28 3" xfId="2244"/>
    <cellStyle name="20% - akcent 6 2 28 4" xfId="2245"/>
    <cellStyle name="20% - akcent 6 2 28 5" xfId="2246"/>
    <cellStyle name="20% - akcent 6 2 28 6" xfId="2247"/>
    <cellStyle name="20% - akcent 6 2 29" xfId="2248"/>
    <cellStyle name="20% - akcent 6 2 29 2" xfId="2249"/>
    <cellStyle name="20% - akcent 6 2 3" xfId="2250"/>
    <cellStyle name="20% - akcent 6 2 3 2" xfId="2251"/>
    <cellStyle name="20% - akcent 6 2 3 3" xfId="2252"/>
    <cellStyle name="20% - akcent 6 2 3 4" xfId="2253"/>
    <cellStyle name="20% - akcent 6 2 3 5" xfId="2254"/>
    <cellStyle name="20% - akcent 6 2 3 6" xfId="2255"/>
    <cellStyle name="20% - akcent 6 2 3 7" xfId="2256"/>
    <cellStyle name="20% - akcent 6 2 30" xfId="2257"/>
    <cellStyle name="20% - akcent 6 2 30 2" xfId="2258"/>
    <cellStyle name="20% - akcent 6 2 31" xfId="2259"/>
    <cellStyle name="20% - akcent 6 2 31 2" xfId="2260"/>
    <cellStyle name="20% - akcent 6 2 32" xfId="2261"/>
    <cellStyle name="20% - akcent 6 2 32 2" xfId="2262"/>
    <cellStyle name="20% - akcent 6 2 33" xfId="2263"/>
    <cellStyle name="20% - akcent 6 2 34" xfId="2264"/>
    <cellStyle name="20% - akcent 6 2 35" xfId="2265"/>
    <cellStyle name="20% - akcent 6 2 36" xfId="2266"/>
    <cellStyle name="20% - akcent 6 2 37" xfId="2267"/>
    <cellStyle name="20% - akcent 6 2 38" xfId="2268"/>
    <cellStyle name="20% - akcent 6 2 39" xfId="2269"/>
    <cellStyle name="20% - akcent 6 2 4" xfId="2270"/>
    <cellStyle name="20% - akcent 6 2 4 2" xfId="2271"/>
    <cellStyle name="20% - akcent 6 2 4 3" xfId="2272"/>
    <cellStyle name="20% - akcent 6 2 4 4" xfId="2273"/>
    <cellStyle name="20% - akcent 6 2 4 5" xfId="2274"/>
    <cellStyle name="20% - akcent 6 2 4 6" xfId="2275"/>
    <cellStyle name="20% - akcent 6 2 4 7" xfId="2276"/>
    <cellStyle name="20% - akcent 6 2 40" xfId="2277"/>
    <cellStyle name="20% - akcent 6 2 41" xfId="2278"/>
    <cellStyle name="20% - akcent 6 2 42" xfId="2279"/>
    <cellStyle name="20% - akcent 6 2 43" xfId="2280"/>
    <cellStyle name="20% - akcent 6 2 44" xfId="2281"/>
    <cellStyle name="20% - akcent 6 2 45" xfId="2282"/>
    <cellStyle name="20% - akcent 6 2 46" xfId="2283"/>
    <cellStyle name="20% - akcent 6 2 47" xfId="2284"/>
    <cellStyle name="20% - akcent 6 2 48" xfId="2285"/>
    <cellStyle name="20% - akcent 6 2 49" xfId="2286"/>
    <cellStyle name="20% - akcent 6 2 5" xfId="2287"/>
    <cellStyle name="20% - akcent 6 2 5 2" xfId="2288"/>
    <cellStyle name="20% - akcent 6 2 5 3" xfId="2289"/>
    <cellStyle name="20% - akcent 6 2 5 4" xfId="2290"/>
    <cellStyle name="20% - akcent 6 2 5 5" xfId="2291"/>
    <cellStyle name="20% - akcent 6 2 5 6" xfId="2292"/>
    <cellStyle name="20% - akcent 6 2 50" xfId="2293"/>
    <cellStyle name="20% - akcent 6 2 51" xfId="2294"/>
    <cellStyle name="20% - akcent 6 2 6" xfId="2295"/>
    <cellStyle name="20% - akcent 6 2 6 2" xfId="2296"/>
    <cellStyle name="20% - akcent 6 2 6 3" xfId="2297"/>
    <cellStyle name="20% - akcent 6 2 6 4" xfId="2298"/>
    <cellStyle name="20% - akcent 6 2 6 5" xfId="2299"/>
    <cellStyle name="20% - akcent 6 2 6 6" xfId="2300"/>
    <cellStyle name="20% - akcent 6 2 7" xfId="2301"/>
    <cellStyle name="20% - akcent 6 2 7 2" xfId="2302"/>
    <cellStyle name="20% - akcent 6 2 7 3" xfId="2303"/>
    <cellStyle name="20% - akcent 6 2 7 4" xfId="2304"/>
    <cellStyle name="20% - akcent 6 2 7 5" xfId="2305"/>
    <cellStyle name="20% - akcent 6 2 7 6" xfId="2306"/>
    <cellStyle name="20% - akcent 6 2 8" xfId="2307"/>
    <cellStyle name="20% - akcent 6 2 8 2" xfId="2308"/>
    <cellStyle name="20% - akcent 6 2 8 3" xfId="2309"/>
    <cellStyle name="20% - akcent 6 2 8 4" xfId="2310"/>
    <cellStyle name="20% - akcent 6 2 8 5" xfId="2311"/>
    <cellStyle name="20% - akcent 6 2 8 6" xfId="2312"/>
    <cellStyle name="20% - akcent 6 2 9" xfId="2313"/>
    <cellStyle name="20% - akcent 6 2 9 2" xfId="2314"/>
    <cellStyle name="20% - akcent 6 2 9 3" xfId="2315"/>
    <cellStyle name="20% - akcent 6 2 9 4" xfId="2316"/>
    <cellStyle name="20% - akcent 6 2 9 5" xfId="2317"/>
    <cellStyle name="20% - akcent 6 2 9 6" xfId="2318"/>
    <cellStyle name="20% - akcent 6 20" xfId="2319"/>
    <cellStyle name="20% - akcent 6 21" xfId="2320"/>
    <cellStyle name="20% - akcent 6 22" xfId="2321"/>
    <cellStyle name="20% - akcent 6 23" xfId="2322"/>
    <cellStyle name="20% - akcent 6 24" xfId="2323"/>
    <cellStyle name="20% - akcent 6 25" xfId="2324"/>
    <cellStyle name="20% - akcent 6 26" xfId="2325"/>
    <cellStyle name="20% - akcent 6 27" xfId="2326"/>
    <cellStyle name="20% - akcent 6 28" xfId="2327"/>
    <cellStyle name="20% - akcent 6 29" xfId="2328"/>
    <cellStyle name="20% - akcent 6 3" xfId="2329"/>
    <cellStyle name="20% - akcent 6 3 2" xfId="2330"/>
    <cellStyle name="20% - akcent 6 3 2 2" xfId="2331"/>
    <cellStyle name="20% - akcent 6 3 3" xfId="2332"/>
    <cellStyle name="20% - akcent 6 3 3 2" xfId="2333"/>
    <cellStyle name="20% - akcent 6 3 4" xfId="2334"/>
    <cellStyle name="20% - akcent 6 3 4 2" xfId="2335"/>
    <cellStyle name="20% - akcent 6 3 5" xfId="2336"/>
    <cellStyle name="20% - akcent 6 3 6" xfId="2337"/>
    <cellStyle name="20% - akcent 6 3 7" xfId="2338"/>
    <cellStyle name="20% - akcent 6 3 8" xfId="2339"/>
    <cellStyle name="20% - akcent 6 30" xfId="2340"/>
    <cellStyle name="20% - akcent 6 30 2" xfId="2341"/>
    <cellStyle name="20% - akcent 6 31" xfId="2342"/>
    <cellStyle name="20% - akcent 6 31 2" xfId="2343"/>
    <cellStyle name="20% - akcent 6 32" xfId="2344"/>
    <cellStyle name="20% - akcent 6 32 2" xfId="2345"/>
    <cellStyle name="20% - akcent 6 33" xfId="2346"/>
    <cellStyle name="20% - akcent 6 33 2" xfId="2347"/>
    <cellStyle name="20% - akcent 6 34" xfId="2348"/>
    <cellStyle name="20% - akcent 6 34 2" xfId="2349"/>
    <cellStyle name="20% - akcent 6 35" xfId="2350"/>
    <cellStyle name="20% - akcent 6 35 2" xfId="2351"/>
    <cellStyle name="20% - akcent 6 36" xfId="2352"/>
    <cellStyle name="20% - akcent 6 36 2" xfId="2353"/>
    <cellStyle name="20% - akcent 6 37" xfId="2354"/>
    <cellStyle name="20% - akcent 6 37 2" xfId="2355"/>
    <cellStyle name="20% - akcent 6 38" xfId="2356"/>
    <cellStyle name="20% - akcent 6 38 2" xfId="2357"/>
    <cellStyle name="20% - akcent 6 39" xfId="2358"/>
    <cellStyle name="20% - akcent 6 39 2" xfId="2359"/>
    <cellStyle name="20% - akcent 6 4" xfId="2360"/>
    <cellStyle name="20% - akcent 6 4 2" xfId="2361"/>
    <cellStyle name="20% - akcent 6 4 2 2" xfId="2362"/>
    <cellStyle name="20% - akcent 6 4 3" xfId="2363"/>
    <cellStyle name="20% - akcent 6 4 3 2" xfId="2364"/>
    <cellStyle name="20% - akcent 6 4 4" xfId="2365"/>
    <cellStyle name="20% - akcent 6 4 4 2" xfId="2366"/>
    <cellStyle name="20% - akcent 6 4 5" xfId="2367"/>
    <cellStyle name="20% - akcent 6 4 6" xfId="2368"/>
    <cellStyle name="20% - akcent 6 4 7" xfId="2369"/>
    <cellStyle name="20% - akcent 6 4 8" xfId="2370"/>
    <cellStyle name="20% - akcent 6 40" xfId="2371"/>
    <cellStyle name="20% - akcent 6 40 2" xfId="2372"/>
    <cellStyle name="20% - akcent 6 41" xfId="2373"/>
    <cellStyle name="20% - akcent 6 41 2" xfId="2374"/>
    <cellStyle name="20% - akcent 6 42" xfId="2375"/>
    <cellStyle name="20% - akcent 6 42 2" xfId="2376"/>
    <cellStyle name="20% - akcent 6 43" xfId="2377"/>
    <cellStyle name="20% - akcent 6 43 2" xfId="2378"/>
    <cellStyle name="20% - akcent 6 44" xfId="2379"/>
    <cellStyle name="20% - akcent 6 44 2" xfId="2380"/>
    <cellStyle name="20% - akcent 6 45" xfId="2381"/>
    <cellStyle name="20% - akcent 6 45 2" xfId="2382"/>
    <cellStyle name="20% - akcent 6 46" xfId="2383"/>
    <cellStyle name="20% - akcent 6 46 2" xfId="2384"/>
    <cellStyle name="20% - akcent 6 47" xfId="2385"/>
    <cellStyle name="20% - akcent 6 47 2" xfId="2386"/>
    <cellStyle name="20% - akcent 6 48" xfId="2387"/>
    <cellStyle name="20% - akcent 6 48 2" xfId="2388"/>
    <cellStyle name="20% - akcent 6 49" xfId="2389"/>
    <cellStyle name="20% - akcent 6 49 2" xfId="2390"/>
    <cellStyle name="20% - akcent 6 5" xfId="2391"/>
    <cellStyle name="20% - akcent 6 5 2" xfId="2392"/>
    <cellStyle name="20% - akcent 6 5 3" xfId="2393"/>
    <cellStyle name="20% - akcent 6 50" xfId="2394"/>
    <cellStyle name="20% - akcent 6 50 2" xfId="2395"/>
    <cellStyle name="20% - akcent 6 51" xfId="2396"/>
    <cellStyle name="20% - akcent 6 51 2" xfId="2397"/>
    <cellStyle name="20% - akcent 6 52" xfId="2398"/>
    <cellStyle name="20% - akcent 6 52 2" xfId="2399"/>
    <cellStyle name="20% - akcent 6 53" xfId="2400"/>
    <cellStyle name="20% - akcent 6 53 2" xfId="2401"/>
    <cellStyle name="20% - akcent 6 54" xfId="2402"/>
    <cellStyle name="20% - akcent 6 54 2" xfId="2403"/>
    <cellStyle name="20% - akcent 6 55" xfId="2404"/>
    <cellStyle name="20% - akcent 6 55 2" xfId="2405"/>
    <cellStyle name="20% - akcent 6 56" xfId="2406"/>
    <cellStyle name="20% - akcent 6 56 2" xfId="2407"/>
    <cellStyle name="20% - akcent 6 57" xfId="2408"/>
    <cellStyle name="20% - akcent 6 57 2" xfId="2409"/>
    <cellStyle name="20% - akcent 6 58" xfId="2410"/>
    <cellStyle name="20% - akcent 6 58 2" xfId="2411"/>
    <cellStyle name="20% - akcent 6 59" xfId="2412"/>
    <cellStyle name="20% - akcent 6 59 2" xfId="2413"/>
    <cellStyle name="20% - akcent 6 6" xfId="2414"/>
    <cellStyle name="20% - akcent 6 60" xfId="2415"/>
    <cellStyle name="20% - akcent 6 60 2" xfId="2416"/>
    <cellStyle name="20% - akcent 6 61" xfId="2417"/>
    <cellStyle name="20% - akcent 6 61 2" xfId="2418"/>
    <cellStyle name="20% - akcent 6 62" xfId="2419"/>
    <cellStyle name="20% - akcent 6 62 2" xfId="2420"/>
    <cellStyle name="20% - akcent 6 63" xfId="2421"/>
    <cellStyle name="20% - akcent 6 63 2" xfId="2422"/>
    <cellStyle name="20% - akcent 6 64" xfId="2423"/>
    <cellStyle name="20% - akcent 6 64 2" xfId="2424"/>
    <cellStyle name="20% - akcent 6 65" xfId="2425"/>
    <cellStyle name="20% - akcent 6 65 2" xfId="2426"/>
    <cellStyle name="20% - akcent 6 66" xfId="2427"/>
    <cellStyle name="20% - akcent 6 66 2" xfId="2428"/>
    <cellStyle name="20% - akcent 6 67" xfId="2429"/>
    <cellStyle name="20% - akcent 6 67 2" xfId="2430"/>
    <cellStyle name="20% - akcent 6 68" xfId="2431"/>
    <cellStyle name="20% - akcent 6 68 2" xfId="2432"/>
    <cellStyle name="20% - akcent 6 69" xfId="2433"/>
    <cellStyle name="20% - akcent 6 69 2" xfId="2434"/>
    <cellStyle name="20% - akcent 6 7" xfId="2435"/>
    <cellStyle name="20% - akcent 6 70" xfId="2436"/>
    <cellStyle name="20% - akcent 6 70 2" xfId="2437"/>
    <cellStyle name="20% - akcent 6 71" xfId="2438"/>
    <cellStyle name="20% - akcent 6 71 2" xfId="2439"/>
    <cellStyle name="20% - akcent 6 72" xfId="2440"/>
    <cellStyle name="20% - akcent 6 72 2" xfId="2441"/>
    <cellStyle name="20% - akcent 6 73" xfId="2442"/>
    <cellStyle name="20% - akcent 6 73 2" xfId="2443"/>
    <cellStyle name="20% - akcent 6 74" xfId="2444"/>
    <cellStyle name="20% - akcent 6 74 2" xfId="2445"/>
    <cellStyle name="20% - akcent 6 75" xfId="2446"/>
    <cellStyle name="20% - akcent 6 75 2" xfId="2447"/>
    <cellStyle name="20% - akcent 6 76" xfId="2448"/>
    <cellStyle name="20% - akcent 6 76 2" xfId="2449"/>
    <cellStyle name="20% - akcent 6 77" xfId="2450"/>
    <cellStyle name="20% - akcent 6 77 2" xfId="2451"/>
    <cellStyle name="20% - akcent 6 78" xfId="2452"/>
    <cellStyle name="20% - akcent 6 78 2" xfId="2453"/>
    <cellStyle name="20% - akcent 6 79" xfId="2454"/>
    <cellStyle name="20% - akcent 6 79 2" xfId="2455"/>
    <cellStyle name="20% - akcent 6 8" xfId="2456"/>
    <cellStyle name="20% - akcent 6 80" xfId="2457"/>
    <cellStyle name="20% - akcent 6 80 2" xfId="2458"/>
    <cellStyle name="20% - akcent 6 81" xfId="2459"/>
    <cellStyle name="20% - akcent 6 81 2" xfId="2460"/>
    <cellStyle name="20% - akcent 6 82" xfId="2461"/>
    <cellStyle name="20% - akcent 6 82 2" xfId="2462"/>
    <cellStyle name="20% - akcent 6 83" xfId="2463"/>
    <cellStyle name="20% - akcent 6 83 2" xfId="2464"/>
    <cellStyle name="20% - akcent 6 84" xfId="2465"/>
    <cellStyle name="20% - akcent 6 84 2" xfId="2466"/>
    <cellStyle name="20% - akcent 6 85" xfId="2467"/>
    <cellStyle name="20% - akcent 6 85 2" xfId="2468"/>
    <cellStyle name="20% - akcent 6 86" xfId="2469"/>
    <cellStyle name="20% - akcent 6 86 2" xfId="2470"/>
    <cellStyle name="20% - akcent 6 87" xfId="2471"/>
    <cellStyle name="20% - akcent 6 87 2" xfId="2472"/>
    <cellStyle name="20% - akcent 6 88" xfId="2473"/>
    <cellStyle name="20% - akcent 6 88 2" xfId="2474"/>
    <cellStyle name="20% - akcent 6 89" xfId="2475"/>
    <cellStyle name="20% - akcent 6 89 2" xfId="2476"/>
    <cellStyle name="20% - akcent 6 9" xfId="2477"/>
    <cellStyle name="20% - akcent 6 90" xfId="2478"/>
    <cellStyle name="20% - akcent 6 90 2" xfId="2479"/>
    <cellStyle name="20% - akcent 6 91" xfId="2480"/>
    <cellStyle name="20% - akcent 6 91 2" xfId="2481"/>
    <cellStyle name="20% - akcent 6 92" xfId="2482"/>
    <cellStyle name="20% - akcent 6 92 2" xfId="2483"/>
    <cellStyle name="20% - akcent 6 93" xfId="2484"/>
    <cellStyle name="20% - akcent 6 93 2" xfId="2485"/>
    <cellStyle name="20% - akcent 6 94" xfId="2486"/>
    <cellStyle name="20% - akcent 6 94 2" xfId="2487"/>
    <cellStyle name="20% - akcent 6 95" xfId="2488"/>
    <cellStyle name="20% - akcent 6 95 2" xfId="2489"/>
    <cellStyle name="20% - akcent 6 96" xfId="2490"/>
    <cellStyle name="20% - akcent 6 96 2" xfId="2491"/>
    <cellStyle name="20% - akcent 6 97" xfId="2492"/>
    <cellStyle name="20% - akcent 6 97 2" xfId="2493"/>
    <cellStyle name="20% - akcent 6 98" xfId="2494"/>
    <cellStyle name="20% - akcent 6 98 2" xfId="2495"/>
    <cellStyle name="20% - akcent 6 99" xfId="2496"/>
    <cellStyle name="20% - akcent 6 99 2" xfId="2497"/>
    <cellStyle name="40% - akcent 1 10" xfId="2498"/>
    <cellStyle name="40% - akcent 1 100" xfId="2499"/>
    <cellStyle name="40% - akcent 1 100 2" xfId="2500"/>
    <cellStyle name="40% - akcent 1 101" xfId="2501"/>
    <cellStyle name="40% - akcent 1 101 2" xfId="2502"/>
    <cellStyle name="40% - akcent 1 102" xfId="2503"/>
    <cellStyle name="40% - akcent 1 102 2" xfId="2504"/>
    <cellStyle name="40% - akcent 1 103" xfId="2505"/>
    <cellStyle name="40% - akcent 1 103 2" xfId="2506"/>
    <cellStyle name="40% - akcent 1 104" xfId="2507"/>
    <cellStyle name="40% - akcent 1 104 2" xfId="2508"/>
    <cellStyle name="40% - akcent 1 105" xfId="2509"/>
    <cellStyle name="40% - akcent 1 105 2" xfId="2510"/>
    <cellStyle name="40% - akcent 1 106" xfId="2511"/>
    <cellStyle name="40% - akcent 1 106 2" xfId="2512"/>
    <cellStyle name="40% - akcent 1 107" xfId="2513"/>
    <cellStyle name="40% - akcent 1 107 2" xfId="2514"/>
    <cellStyle name="40% - akcent 1 108" xfId="2515"/>
    <cellStyle name="40% - akcent 1 108 2" xfId="2516"/>
    <cellStyle name="40% - akcent 1 109" xfId="2517"/>
    <cellStyle name="40% - akcent 1 109 2" xfId="2518"/>
    <cellStyle name="40% - akcent 1 11" xfId="2519"/>
    <cellStyle name="40% - akcent 1 110" xfId="2520"/>
    <cellStyle name="40% - akcent 1 110 2" xfId="2521"/>
    <cellStyle name="40% - akcent 1 111" xfId="2522"/>
    <cellStyle name="40% - akcent 1 111 2" xfId="2523"/>
    <cellStyle name="40% - akcent 1 112" xfId="2524"/>
    <cellStyle name="40% - akcent 1 112 2" xfId="2525"/>
    <cellStyle name="40% - akcent 1 113" xfId="2526"/>
    <cellStyle name="40% - akcent 1 113 2" xfId="2527"/>
    <cellStyle name="40% - akcent 1 114" xfId="2528"/>
    <cellStyle name="40% - akcent 1 114 2" xfId="2529"/>
    <cellStyle name="40% - akcent 1 115" xfId="2530"/>
    <cellStyle name="40% - akcent 1 115 2" xfId="2531"/>
    <cellStyle name="40% - akcent 1 116" xfId="2532"/>
    <cellStyle name="40% - akcent 1 116 2" xfId="2533"/>
    <cellStyle name="40% - akcent 1 117" xfId="2534"/>
    <cellStyle name="40% - akcent 1 117 2" xfId="2535"/>
    <cellStyle name="40% - akcent 1 118" xfId="2536"/>
    <cellStyle name="40% - akcent 1 118 2" xfId="2537"/>
    <cellStyle name="40% - akcent 1 119" xfId="2538"/>
    <cellStyle name="40% - akcent 1 119 2" xfId="2539"/>
    <cellStyle name="40% - akcent 1 12" xfId="2540"/>
    <cellStyle name="40% - akcent 1 120" xfId="2541"/>
    <cellStyle name="40% - akcent 1 121" xfId="2542"/>
    <cellStyle name="40% - akcent 1 13" xfId="2543"/>
    <cellStyle name="40% - akcent 1 14" xfId="2544"/>
    <cellStyle name="40% - akcent 1 15" xfId="2545"/>
    <cellStyle name="40% - akcent 1 16" xfId="2546"/>
    <cellStyle name="40% - akcent 1 17" xfId="2547"/>
    <cellStyle name="40% - akcent 1 18" xfId="2548"/>
    <cellStyle name="40% - akcent 1 19" xfId="2549"/>
    <cellStyle name="40% - akcent 1 2" xfId="2550"/>
    <cellStyle name="40% - akcent 1 2 10" xfId="2551"/>
    <cellStyle name="40% - akcent 1 2 10 2" xfId="2552"/>
    <cellStyle name="40% - akcent 1 2 10 3" xfId="2553"/>
    <cellStyle name="40% - akcent 1 2 10 4" xfId="2554"/>
    <cellStyle name="40% - akcent 1 2 10 5" xfId="2555"/>
    <cellStyle name="40% - akcent 1 2 10 6" xfId="2556"/>
    <cellStyle name="40% - akcent 1 2 11" xfId="2557"/>
    <cellStyle name="40% - akcent 1 2 11 2" xfId="2558"/>
    <cellStyle name="40% - akcent 1 2 11 3" xfId="2559"/>
    <cellStyle name="40% - akcent 1 2 11 4" xfId="2560"/>
    <cellStyle name="40% - akcent 1 2 11 5" xfId="2561"/>
    <cellStyle name="40% - akcent 1 2 11 6" xfId="2562"/>
    <cellStyle name="40% - akcent 1 2 12" xfId="2563"/>
    <cellStyle name="40% - akcent 1 2 12 2" xfId="2564"/>
    <cellStyle name="40% - akcent 1 2 12 3" xfId="2565"/>
    <cellStyle name="40% - akcent 1 2 12 4" xfId="2566"/>
    <cellStyle name="40% - akcent 1 2 12 5" xfId="2567"/>
    <cellStyle name="40% - akcent 1 2 12 6" xfId="2568"/>
    <cellStyle name="40% - akcent 1 2 13" xfId="2569"/>
    <cellStyle name="40% - akcent 1 2 13 2" xfId="2570"/>
    <cellStyle name="40% - akcent 1 2 13 3" xfId="2571"/>
    <cellStyle name="40% - akcent 1 2 13 4" xfId="2572"/>
    <cellStyle name="40% - akcent 1 2 13 5" xfId="2573"/>
    <cellStyle name="40% - akcent 1 2 13 6" xfId="2574"/>
    <cellStyle name="40% - akcent 1 2 14" xfId="2575"/>
    <cellStyle name="40% - akcent 1 2 14 2" xfId="2576"/>
    <cellStyle name="40% - akcent 1 2 14 3" xfId="2577"/>
    <cellStyle name="40% - akcent 1 2 14 4" xfId="2578"/>
    <cellStyle name="40% - akcent 1 2 14 5" xfId="2579"/>
    <cellStyle name="40% - akcent 1 2 14 6" xfId="2580"/>
    <cellStyle name="40% - akcent 1 2 15" xfId="2581"/>
    <cellStyle name="40% - akcent 1 2 15 2" xfId="2582"/>
    <cellStyle name="40% - akcent 1 2 15 3" xfId="2583"/>
    <cellStyle name="40% - akcent 1 2 15 4" xfId="2584"/>
    <cellStyle name="40% - akcent 1 2 15 5" xfId="2585"/>
    <cellStyle name="40% - akcent 1 2 15 6" xfId="2586"/>
    <cellStyle name="40% - akcent 1 2 16" xfId="2587"/>
    <cellStyle name="40% - akcent 1 2 16 2" xfId="2588"/>
    <cellStyle name="40% - akcent 1 2 16 3" xfId="2589"/>
    <cellStyle name="40% - akcent 1 2 16 4" xfId="2590"/>
    <cellStyle name="40% - akcent 1 2 16 5" xfId="2591"/>
    <cellStyle name="40% - akcent 1 2 16 6" xfId="2592"/>
    <cellStyle name="40% - akcent 1 2 17" xfId="2593"/>
    <cellStyle name="40% - akcent 1 2 17 2" xfId="2594"/>
    <cellStyle name="40% - akcent 1 2 17 3" xfId="2595"/>
    <cellStyle name="40% - akcent 1 2 17 4" xfId="2596"/>
    <cellStyle name="40% - akcent 1 2 17 5" xfId="2597"/>
    <cellStyle name="40% - akcent 1 2 17 6" xfId="2598"/>
    <cellStyle name="40% - akcent 1 2 18" xfId="2599"/>
    <cellStyle name="40% - akcent 1 2 18 2" xfId="2600"/>
    <cellStyle name="40% - akcent 1 2 18 3" xfId="2601"/>
    <cellStyle name="40% - akcent 1 2 18 4" xfId="2602"/>
    <cellStyle name="40% - akcent 1 2 18 5" xfId="2603"/>
    <cellStyle name="40% - akcent 1 2 18 6" xfId="2604"/>
    <cellStyle name="40% - akcent 1 2 19" xfId="2605"/>
    <cellStyle name="40% - akcent 1 2 19 2" xfId="2606"/>
    <cellStyle name="40% - akcent 1 2 19 3" xfId="2607"/>
    <cellStyle name="40% - akcent 1 2 19 4" xfId="2608"/>
    <cellStyle name="40% - akcent 1 2 19 5" xfId="2609"/>
    <cellStyle name="40% - akcent 1 2 19 6" xfId="2610"/>
    <cellStyle name="40% - akcent 1 2 2" xfId="2611"/>
    <cellStyle name="40% - akcent 1 2 2 2" xfId="2612"/>
    <cellStyle name="40% - akcent 1 2 2 3" xfId="2613"/>
    <cellStyle name="40% - akcent 1 2 2 4" xfId="2614"/>
    <cellStyle name="40% - akcent 1 2 2 5" xfId="2615"/>
    <cellStyle name="40% - akcent 1 2 2 6" xfId="2616"/>
    <cellStyle name="40% - akcent 1 2 2 7" xfId="2617"/>
    <cellStyle name="40% - akcent 1 2 20" xfId="2618"/>
    <cellStyle name="40% - akcent 1 2 20 2" xfId="2619"/>
    <cellStyle name="40% - akcent 1 2 20 3" xfId="2620"/>
    <cellStyle name="40% - akcent 1 2 20 4" xfId="2621"/>
    <cellStyle name="40% - akcent 1 2 20 5" xfId="2622"/>
    <cellStyle name="40% - akcent 1 2 20 6" xfId="2623"/>
    <cellStyle name="40% - akcent 1 2 21" xfId="2624"/>
    <cellStyle name="40% - akcent 1 2 21 2" xfId="2625"/>
    <cellStyle name="40% - akcent 1 2 21 3" xfId="2626"/>
    <cellStyle name="40% - akcent 1 2 21 4" xfId="2627"/>
    <cellStyle name="40% - akcent 1 2 21 5" xfId="2628"/>
    <cellStyle name="40% - akcent 1 2 21 6" xfId="2629"/>
    <cellStyle name="40% - akcent 1 2 22" xfId="2630"/>
    <cellStyle name="40% - akcent 1 2 22 2" xfId="2631"/>
    <cellStyle name="40% - akcent 1 2 22 3" xfId="2632"/>
    <cellStyle name="40% - akcent 1 2 22 4" xfId="2633"/>
    <cellStyle name="40% - akcent 1 2 22 5" xfId="2634"/>
    <cellStyle name="40% - akcent 1 2 22 6" xfId="2635"/>
    <cellStyle name="40% - akcent 1 2 23" xfId="2636"/>
    <cellStyle name="40% - akcent 1 2 23 2" xfId="2637"/>
    <cellStyle name="40% - akcent 1 2 23 3" xfId="2638"/>
    <cellStyle name="40% - akcent 1 2 23 4" xfId="2639"/>
    <cellStyle name="40% - akcent 1 2 23 5" xfId="2640"/>
    <cellStyle name="40% - akcent 1 2 23 6" xfId="2641"/>
    <cellStyle name="40% - akcent 1 2 24" xfId="2642"/>
    <cellStyle name="40% - akcent 1 2 24 2" xfId="2643"/>
    <cellStyle name="40% - akcent 1 2 24 3" xfId="2644"/>
    <cellStyle name="40% - akcent 1 2 24 4" xfId="2645"/>
    <cellStyle name="40% - akcent 1 2 24 5" xfId="2646"/>
    <cellStyle name="40% - akcent 1 2 24 6" xfId="2647"/>
    <cellStyle name="40% - akcent 1 2 25" xfId="2648"/>
    <cellStyle name="40% - akcent 1 2 25 2" xfId="2649"/>
    <cellStyle name="40% - akcent 1 2 25 3" xfId="2650"/>
    <cellStyle name="40% - akcent 1 2 25 4" xfId="2651"/>
    <cellStyle name="40% - akcent 1 2 25 5" xfId="2652"/>
    <cellStyle name="40% - akcent 1 2 25 6" xfId="2653"/>
    <cellStyle name="40% - akcent 1 2 26" xfId="2654"/>
    <cellStyle name="40% - akcent 1 2 26 2" xfId="2655"/>
    <cellStyle name="40% - akcent 1 2 26 3" xfId="2656"/>
    <cellStyle name="40% - akcent 1 2 26 4" xfId="2657"/>
    <cellStyle name="40% - akcent 1 2 26 5" xfId="2658"/>
    <cellStyle name="40% - akcent 1 2 26 6" xfId="2659"/>
    <cellStyle name="40% - akcent 1 2 27" xfId="2660"/>
    <cellStyle name="40% - akcent 1 2 27 2" xfId="2661"/>
    <cellStyle name="40% - akcent 1 2 27 3" xfId="2662"/>
    <cellStyle name="40% - akcent 1 2 27 4" xfId="2663"/>
    <cellStyle name="40% - akcent 1 2 27 5" xfId="2664"/>
    <cellStyle name="40% - akcent 1 2 27 6" xfId="2665"/>
    <cellStyle name="40% - akcent 1 2 28" xfId="2666"/>
    <cellStyle name="40% - akcent 1 2 28 2" xfId="2667"/>
    <cellStyle name="40% - akcent 1 2 28 3" xfId="2668"/>
    <cellStyle name="40% - akcent 1 2 28 4" xfId="2669"/>
    <cellStyle name="40% - akcent 1 2 28 5" xfId="2670"/>
    <cellStyle name="40% - akcent 1 2 28 6" xfId="2671"/>
    <cellStyle name="40% - akcent 1 2 29" xfId="2672"/>
    <cellStyle name="40% - akcent 1 2 29 2" xfId="2673"/>
    <cellStyle name="40% - akcent 1 2 3" xfId="2674"/>
    <cellStyle name="40% - akcent 1 2 3 2" xfId="2675"/>
    <cellStyle name="40% - akcent 1 2 3 3" xfId="2676"/>
    <cellStyle name="40% - akcent 1 2 3 4" xfId="2677"/>
    <cellStyle name="40% - akcent 1 2 3 5" xfId="2678"/>
    <cellStyle name="40% - akcent 1 2 3 6" xfId="2679"/>
    <cellStyle name="40% - akcent 1 2 3 7" xfId="2680"/>
    <cellStyle name="40% - akcent 1 2 30" xfId="2681"/>
    <cellStyle name="40% - akcent 1 2 30 2" xfId="2682"/>
    <cellStyle name="40% - akcent 1 2 31" xfId="2683"/>
    <cellStyle name="40% - akcent 1 2 31 2" xfId="2684"/>
    <cellStyle name="40% - akcent 1 2 32" xfId="2685"/>
    <cellStyle name="40% - akcent 1 2 32 2" xfId="2686"/>
    <cellStyle name="40% - akcent 1 2 33" xfId="2687"/>
    <cellStyle name="40% - akcent 1 2 34" xfId="2688"/>
    <cellStyle name="40% - akcent 1 2 35" xfId="2689"/>
    <cellStyle name="40% - akcent 1 2 36" xfId="2690"/>
    <cellStyle name="40% - akcent 1 2 37" xfId="2691"/>
    <cellStyle name="40% - akcent 1 2 38" xfId="2692"/>
    <cellStyle name="40% - akcent 1 2 39" xfId="2693"/>
    <cellStyle name="40% - akcent 1 2 4" xfId="2694"/>
    <cellStyle name="40% - akcent 1 2 4 2" xfId="2695"/>
    <cellStyle name="40% - akcent 1 2 4 3" xfId="2696"/>
    <cellStyle name="40% - akcent 1 2 4 4" xfId="2697"/>
    <cellStyle name="40% - akcent 1 2 4 5" xfId="2698"/>
    <cellStyle name="40% - akcent 1 2 4 6" xfId="2699"/>
    <cellStyle name="40% - akcent 1 2 4 7" xfId="2700"/>
    <cellStyle name="40% - akcent 1 2 40" xfId="2701"/>
    <cellStyle name="40% - akcent 1 2 41" xfId="2702"/>
    <cellStyle name="40% - akcent 1 2 42" xfId="2703"/>
    <cellStyle name="40% - akcent 1 2 43" xfId="2704"/>
    <cellStyle name="40% - akcent 1 2 44" xfId="2705"/>
    <cellStyle name="40% - akcent 1 2 45" xfId="2706"/>
    <cellStyle name="40% - akcent 1 2 46" xfId="2707"/>
    <cellStyle name="40% - akcent 1 2 47" xfId="2708"/>
    <cellStyle name="40% - akcent 1 2 48" xfId="2709"/>
    <cellStyle name="40% - akcent 1 2 49" xfId="2710"/>
    <cellStyle name="40% - akcent 1 2 5" xfId="2711"/>
    <cellStyle name="40% - akcent 1 2 5 2" xfId="2712"/>
    <cellStyle name="40% - akcent 1 2 5 3" xfId="2713"/>
    <cellStyle name="40% - akcent 1 2 5 4" xfId="2714"/>
    <cellStyle name="40% - akcent 1 2 5 5" xfId="2715"/>
    <cellStyle name="40% - akcent 1 2 5 6" xfId="2716"/>
    <cellStyle name="40% - akcent 1 2 50" xfId="2717"/>
    <cellStyle name="40% - akcent 1 2 51" xfId="2718"/>
    <cellStyle name="40% - akcent 1 2 6" xfId="2719"/>
    <cellStyle name="40% - akcent 1 2 6 2" xfId="2720"/>
    <cellStyle name="40% - akcent 1 2 6 3" xfId="2721"/>
    <cellStyle name="40% - akcent 1 2 6 4" xfId="2722"/>
    <cellStyle name="40% - akcent 1 2 6 5" xfId="2723"/>
    <cellStyle name="40% - akcent 1 2 6 6" xfId="2724"/>
    <cellStyle name="40% - akcent 1 2 7" xfId="2725"/>
    <cellStyle name="40% - akcent 1 2 7 2" xfId="2726"/>
    <cellStyle name="40% - akcent 1 2 7 3" xfId="2727"/>
    <cellStyle name="40% - akcent 1 2 7 4" xfId="2728"/>
    <cellStyle name="40% - akcent 1 2 7 5" xfId="2729"/>
    <cellStyle name="40% - akcent 1 2 7 6" xfId="2730"/>
    <cellStyle name="40% - akcent 1 2 8" xfId="2731"/>
    <cellStyle name="40% - akcent 1 2 8 2" xfId="2732"/>
    <cellStyle name="40% - akcent 1 2 8 3" xfId="2733"/>
    <cellStyle name="40% - akcent 1 2 8 4" xfId="2734"/>
    <cellStyle name="40% - akcent 1 2 8 5" xfId="2735"/>
    <cellStyle name="40% - akcent 1 2 8 6" xfId="2736"/>
    <cellStyle name="40% - akcent 1 2 9" xfId="2737"/>
    <cellStyle name="40% - akcent 1 2 9 2" xfId="2738"/>
    <cellStyle name="40% - akcent 1 2 9 3" xfId="2739"/>
    <cellStyle name="40% - akcent 1 2 9 4" xfId="2740"/>
    <cellStyle name="40% - akcent 1 2 9 5" xfId="2741"/>
    <cellStyle name="40% - akcent 1 2 9 6" xfId="2742"/>
    <cellStyle name="40% - akcent 1 20" xfId="2743"/>
    <cellStyle name="40% - akcent 1 21" xfId="2744"/>
    <cellStyle name="40% - akcent 1 22" xfId="2745"/>
    <cellStyle name="40% - akcent 1 23" xfId="2746"/>
    <cellStyle name="40% - akcent 1 24" xfId="2747"/>
    <cellStyle name="40% - akcent 1 25" xfId="2748"/>
    <cellStyle name="40% - akcent 1 26" xfId="2749"/>
    <cellStyle name="40% - akcent 1 27" xfId="2750"/>
    <cellStyle name="40% - akcent 1 28" xfId="2751"/>
    <cellStyle name="40% - akcent 1 29" xfId="2752"/>
    <cellStyle name="40% - akcent 1 3" xfId="2753"/>
    <cellStyle name="40% - akcent 1 3 2" xfId="2754"/>
    <cellStyle name="40% - akcent 1 3 2 2" xfId="2755"/>
    <cellStyle name="40% - akcent 1 3 3" xfId="2756"/>
    <cellStyle name="40% - akcent 1 3 3 2" xfId="2757"/>
    <cellStyle name="40% - akcent 1 3 4" xfId="2758"/>
    <cellStyle name="40% - akcent 1 3 4 2" xfId="2759"/>
    <cellStyle name="40% - akcent 1 3 5" xfId="2760"/>
    <cellStyle name="40% - akcent 1 3 6" xfId="2761"/>
    <cellStyle name="40% - akcent 1 3 7" xfId="2762"/>
    <cellStyle name="40% - akcent 1 3 8" xfId="2763"/>
    <cellStyle name="40% - akcent 1 30" xfId="2764"/>
    <cellStyle name="40% - akcent 1 30 2" xfId="2765"/>
    <cellStyle name="40% - akcent 1 31" xfId="2766"/>
    <cellStyle name="40% - akcent 1 31 2" xfId="2767"/>
    <cellStyle name="40% - akcent 1 32" xfId="2768"/>
    <cellStyle name="40% - akcent 1 32 2" xfId="2769"/>
    <cellStyle name="40% - akcent 1 33" xfId="2770"/>
    <cellStyle name="40% - akcent 1 33 2" xfId="2771"/>
    <cellStyle name="40% - akcent 1 34" xfId="2772"/>
    <cellStyle name="40% - akcent 1 34 2" xfId="2773"/>
    <cellStyle name="40% - akcent 1 35" xfId="2774"/>
    <cellStyle name="40% - akcent 1 35 2" xfId="2775"/>
    <cellStyle name="40% - akcent 1 36" xfId="2776"/>
    <cellStyle name="40% - akcent 1 36 2" xfId="2777"/>
    <cellStyle name="40% - akcent 1 37" xfId="2778"/>
    <cellStyle name="40% - akcent 1 37 2" xfId="2779"/>
    <cellStyle name="40% - akcent 1 38" xfId="2780"/>
    <cellStyle name="40% - akcent 1 38 2" xfId="2781"/>
    <cellStyle name="40% - akcent 1 39" xfId="2782"/>
    <cellStyle name="40% - akcent 1 39 2" xfId="2783"/>
    <cellStyle name="40% - akcent 1 4" xfId="2784"/>
    <cellStyle name="40% - akcent 1 4 2" xfId="2785"/>
    <cellStyle name="40% - akcent 1 4 2 2" xfId="2786"/>
    <cellStyle name="40% - akcent 1 4 3" xfId="2787"/>
    <cellStyle name="40% - akcent 1 4 3 2" xfId="2788"/>
    <cellStyle name="40% - akcent 1 4 4" xfId="2789"/>
    <cellStyle name="40% - akcent 1 4 4 2" xfId="2790"/>
    <cellStyle name="40% - akcent 1 4 5" xfId="2791"/>
    <cellStyle name="40% - akcent 1 4 6" xfId="2792"/>
    <cellStyle name="40% - akcent 1 4 7" xfId="2793"/>
    <cellStyle name="40% - akcent 1 4 8" xfId="2794"/>
    <cellStyle name="40% - akcent 1 40" xfId="2795"/>
    <cellStyle name="40% - akcent 1 40 2" xfId="2796"/>
    <cellStyle name="40% - akcent 1 41" xfId="2797"/>
    <cellStyle name="40% - akcent 1 41 2" xfId="2798"/>
    <cellStyle name="40% - akcent 1 42" xfId="2799"/>
    <cellStyle name="40% - akcent 1 42 2" xfId="2800"/>
    <cellStyle name="40% - akcent 1 43" xfId="2801"/>
    <cellStyle name="40% - akcent 1 43 2" xfId="2802"/>
    <cellStyle name="40% - akcent 1 44" xfId="2803"/>
    <cellStyle name="40% - akcent 1 44 2" xfId="2804"/>
    <cellStyle name="40% - akcent 1 45" xfId="2805"/>
    <cellStyle name="40% - akcent 1 45 2" xfId="2806"/>
    <cellStyle name="40% - akcent 1 46" xfId="2807"/>
    <cellStyle name="40% - akcent 1 46 2" xfId="2808"/>
    <cellStyle name="40% - akcent 1 47" xfId="2809"/>
    <cellStyle name="40% - akcent 1 47 2" xfId="2810"/>
    <cellStyle name="40% - akcent 1 48" xfId="2811"/>
    <cellStyle name="40% - akcent 1 48 2" xfId="2812"/>
    <cellStyle name="40% - akcent 1 49" xfId="2813"/>
    <cellStyle name="40% - akcent 1 49 2" xfId="2814"/>
    <cellStyle name="40% - akcent 1 5" xfId="2815"/>
    <cellStyle name="40% - akcent 1 5 2" xfId="2816"/>
    <cellStyle name="40% - akcent 1 5 3" xfId="2817"/>
    <cellStyle name="40% - akcent 1 50" xfId="2818"/>
    <cellStyle name="40% - akcent 1 50 2" xfId="2819"/>
    <cellStyle name="40% - akcent 1 51" xfId="2820"/>
    <cellStyle name="40% - akcent 1 51 2" xfId="2821"/>
    <cellStyle name="40% - akcent 1 52" xfId="2822"/>
    <cellStyle name="40% - akcent 1 52 2" xfId="2823"/>
    <cellStyle name="40% - akcent 1 53" xfId="2824"/>
    <cellStyle name="40% - akcent 1 53 2" xfId="2825"/>
    <cellStyle name="40% - akcent 1 54" xfId="2826"/>
    <cellStyle name="40% - akcent 1 54 2" xfId="2827"/>
    <cellStyle name="40% - akcent 1 55" xfId="2828"/>
    <cellStyle name="40% - akcent 1 55 2" xfId="2829"/>
    <cellStyle name="40% - akcent 1 56" xfId="2830"/>
    <cellStyle name="40% - akcent 1 56 2" xfId="2831"/>
    <cellStyle name="40% - akcent 1 57" xfId="2832"/>
    <cellStyle name="40% - akcent 1 57 2" xfId="2833"/>
    <cellStyle name="40% - akcent 1 58" xfId="2834"/>
    <cellStyle name="40% - akcent 1 58 2" xfId="2835"/>
    <cellStyle name="40% - akcent 1 59" xfId="2836"/>
    <cellStyle name="40% - akcent 1 59 2" xfId="2837"/>
    <cellStyle name="40% - akcent 1 6" xfId="2838"/>
    <cellStyle name="40% - akcent 1 60" xfId="2839"/>
    <cellStyle name="40% - akcent 1 60 2" xfId="2840"/>
    <cellStyle name="40% - akcent 1 61" xfId="2841"/>
    <cellStyle name="40% - akcent 1 61 2" xfId="2842"/>
    <cellStyle name="40% - akcent 1 62" xfId="2843"/>
    <cellStyle name="40% - akcent 1 62 2" xfId="2844"/>
    <cellStyle name="40% - akcent 1 63" xfId="2845"/>
    <cellStyle name="40% - akcent 1 63 2" xfId="2846"/>
    <cellStyle name="40% - akcent 1 64" xfId="2847"/>
    <cellStyle name="40% - akcent 1 64 2" xfId="2848"/>
    <cellStyle name="40% - akcent 1 65" xfId="2849"/>
    <cellStyle name="40% - akcent 1 65 2" xfId="2850"/>
    <cellStyle name="40% - akcent 1 66" xfId="2851"/>
    <cellStyle name="40% - akcent 1 66 2" xfId="2852"/>
    <cellStyle name="40% - akcent 1 67" xfId="2853"/>
    <cellStyle name="40% - akcent 1 67 2" xfId="2854"/>
    <cellStyle name="40% - akcent 1 68" xfId="2855"/>
    <cellStyle name="40% - akcent 1 68 2" xfId="2856"/>
    <cellStyle name="40% - akcent 1 69" xfId="2857"/>
    <cellStyle name="40% - akcent 1 69 2" xfId="2858"/>
    <cellStyle name="40% - akcent 1 7" xfId="2859"/>
    <cellStyle name="40% - akcent 1 70" xfId="2860"/>
    <cellStyle name="40% - akcent 1 70 2" xfId="2861"/>
    <cellStyle name="40% - akcent 1 71" xfId="2862"/>
    <cellStyle name="40% - akcent 1 71 2" xfId="2863"/>
    <cellStyle name="40% - akcent 1 72" xfId="2864"/>
    <cellStyle name="40% - akcent 1 72 2" xfId="2865"/>
    <cellStyle name="40% - akcent 1 73" xfId="2866"/>
    <cellStyle name="40% - akcent 1 73 2" xfId="2867"/>
    <cellStyle name="40% - akcent 1 74" xfId="2868"/>
    <cellStyle name="40% - akcent 1 74 2" xfId="2869"/>
    <cellStyle name="40% - akcent 1 75" xfId="2870"/>
    <cellStyle name="40% - akcent 1 75 2" xfId="2871"/>
    <cellStyle name="40% - akcent 1 76" xfId="2872"/>
    <cellStyle name="40% - akcent 1 76 2" xfId="2873"/>
    <cellStyle name="40% - akcent 1 77" xfId="2874"/>
    <cellStyle name="40% - akcent 1 77 2" xfId="2875"/>
    <cellStyle name="40% - akcent 1 78" xfId="2876"/>
    <cellStyle name="40% - akcent 1 78 2" xfId="2877"/>
    <cellStyle name="40% - akcent 1 79" xfId="2878"/>
    <cellStyle name="40% - akcent 1 79 2" xfId="2879"/>
    <cellStyle name="40% - akcent 1 8" xfId="2880"/>
    <cellStyle name="40% - akcent 1 80" xfId="2881"/>
    <cellStyle name="40% - akcent 1 80 2" xfId="2882"/>
    <cellStyle name="40% - akcent 1 81" xfId="2883"/>
    <cellStyle name="40% - akcent 1 81 2" xfId="2884"/>
    <cellStyle name="40% - akcent 1 82" xfId="2885"/>
    <cellStyle name="40% - akcent 1 82 2" xfId="2886"/>
    <cellStyle name="40% - akcent 1 83" xfId="2887"/>
    <cellStyle name="40% - akcent 1 83 2" xfId="2888"/>
    <cellStyle name="40% - akcent 1 84" xfId="2889"/>
    <cellStyle name="40% - akcent 1 84 2" xfId="2890"/>
    <cellStyle name="40% - akcent 1 85" xfId="2891"/>
    <cellStyle name="40% - akcent 1 85 2" xfId="2892"/>
    <cellStyle name="40% - akcent 1 86" xfId="2893"/>
    <cellStyle name="40% - akcent 1 86 2" xfId="2894"/>
    <cellStyle name="40% - akcent 1 87" xfId="2895"/>
    <cellStyle name="40% - akcent 1 87 2" xfId="2896"/>
    <cellStyle name="40% - akcent 1 88" xfId="2897"/>
    <cellStyle name="40% - akcent 1 88 2" xfId="2898"/>
    <cellStyle name="40% - akcent 1 89" xfId="2899"/>
    <cellStyle name="40% - akcent 1 89 2" xfId="2900"/>
    <cellStyle name="40% - akcent 1 9" xfId="2901"/>
    <cellStyle name="40% - akcent 1 90" xfId="2902"/>
    <cellStyle name="40% - akcent 1 90 2" xfId="2903"/>
    <cellStyle name="40% - akcent 1 91" xfId="2904"/>
    <cellStyle name="40% - akcent 1 91 2" xfId="2905"/>
    <cellStyle name="40% - akcent 1 92" xfId="2906"/>
    <cellStyle name="40% - akcent 1 92 2" xfId="2907"/>
    <cellStyle name="40% - akcent 1 93" xfId="2908"/>
    <cellStyle name="40% - akcent 1 93 2" xfId="2909"/>
    <cellStyle name="40% - akcent 1 94" xfId="2910"/>
    <cellStyle name="40% - akcent 1 94 2" xfId="2911"/>
    <cellStyle name="40% - akcent 1 95" xfId="2912"/>
    <cellStyle name="40% - akcent 1 95 2" xfId="2913"/>
    <cellStyle name="40% - akcent 1 96" xfId="2914"/>
    <cellStyle name="40% - akcent 1 96 2" xfId="2915"/>
    <cellStyle name="40% - akcent 1 97" xfId="2916"/>
    <cellStyle name="40% - akcent 1 97 2" xfId="2917"/>
    <cellStyle name="40% - akcent 1 98" xfId="2918"/>
    <cellStyle name="40% - akcent 1 98 2" xfId="2919"/>
    <cellStyle name="40% - akcent 1 99" xfId="2920"/>
    <cellStyle name="40% - akcent 1 99 2" xfId="2921"/>
    <cellStyle name="40% - akcent 2 10" xfId="2922"/>
    <cellStyle name="40% - akcent 2 100" xfId="2923"/>
    <cellStyle name="40% - akcent 2 100 2" xfId="2924"/>
    <cellStyle name="40% - akcent 2 101" xfId="2925"/>
    <cellStyle name="40% - akcent 2 101 2" xfId="2926"/>
    <cellStyle name="40% - akcent 2 102" xfId="2927"/>
    <cellStyle name="40% - akcent 2 102 2" xfId="2928"/>
    <cellStyle name="40% - akcent 2 103" xfId="2929"/>
    <cellStyle name="40% - akcent 2 103 2" xfId="2930"/>
    <cellStyle name="40% - akcent 2 104" xfId="2931"/>
    <cellStyle name="40% - akcent 2 104 2" xfId="2932"/>
    <cellStyle name="40% - akcent 2 105" xfId="2933"/>
    <cellStyle name="40% - akcent 2 105 2" xfId="2934"/>
    <cellStyle name="40% - akcent 2 106" xfId="2935"/>
    <cellStyle name="40% - akcent 2 106 2" xfId="2936"/>
    <cellStyle name="40% - akcent 2 107" xfId="2937"/>
    <cellStyle name="40% - akcent 2 107 2" xfId="2938"/>
    <cellStyle name="40% - akcent 2 108" xfId="2939"/>
    <cellStyle name="40% - akcent 2 108 2" xfId="2940"/>
    <cellStyle name="40% - akcent 2 109" xfId="2941"/>
    <cellStyle name="40% - akcent 2 109 2" xfId="2942"/>
    <cellStyle name="40% - akcent 2 11" xfId="2943"/>
    <cellStyle name="40% - akcent 2 110" xfId="2944"/>
    <cellStyle name="40% - akcent 2 110 2" xfId="2945"/>
    <cellStyle name="40% - akcent 2 111" xfId="2946"/>
    <cellStyle name="40% - akcent 2 111 2" xfId="2947"/>
    <cellStyle name="40% - akcent 2 112" xfId="2948"/>
    <cellStyle name="40% - akcent 2 112 2" xfId="2949"/>
    <cellStyle name="40% - akcent 2 113" xfId="2950"/>
    <cellStyle name="40% - akcent 2 113 2" xfId="2951"/>
    <cellStyle name="40% - akcent 2 114" xfId="2952"/>
    <cellStyle name="40% - akcent 2 114 2" xfId="2953"/>
    <cellStyle name="40% - akcent 2 115" xfId="2954"/>
    <cellStyle name="40% - akcent 2 115 2" xfId="2955"/>
    <cellStyle name="40% - akcent 2 116" xfId="2956"/>
    <cellStyle name="40% - akcent 2 116 2" xfId="2957"/>
    <cellStyle name="40% - akcent 2 117" xfId="2958"/>
    <cellStyle name="40% - akcent 2 117 2" xfId="2959"/>
    <cellStyle name="40% - akcent 2 118" xfId="2960"/>
    <cellStyle name="40% - akcent 2 118 2" xfId="2961"/>
    <cellStyle name="40% - akcent 2 119" xfId="2962"/>
    <cellStyle name="40% - akcent 2 119 2" xfId="2963"/>
    <cellStyle name="40% - akcent 2 12" xfId="2964"/>
    <cellStyle name="40% - akcent 2 120" xfId="2965"/>
    <cellStyle name="40% - akcent 2 121" xfId="2966"/>
    <cellStyle name="40% - akcent 2 13" xfId="2967"/>
    <cellStyle name="40% - akcent 2 14" xfId="2968"/>
    <cellStyle name="40% - akcent 2 15" xfId="2969"/>
    <cellStyle name="40% - akcent 2 16" xfId="2970"/>
    <cellStyle name="40% - akcent 2 17" xfId="2971"/>
    <cellStyle name="40% - akcent 2 18" xfId="2972"/>
    <cellStyle name="40% - akcent 2 19" xfId="2973"/>
    <cellStyle name="40% - akcent 2 2" xfId="2974"/>
    <cellStyle name="40% - akcent 2 2 10" xfId="2975"/>
    <cellStyle name="40% - akcent 2 2 10 2" xfId="2976"/>
    <cellStyle name="40% - akcent 2 2 10 3" xfId="2977"/>
    <cellStyle name="40% - akcent 2 2 10 4" xfId="2978"/>
    <cellStyle name="40% - akcent 2 2 10 5" xfId="2979"/>
    <cellStyle name="40% - akcent 2 2 10 6" xfId="2980"/>
    <cellStyle name="40% - akcent 2 2 11" xfId="2981"/>
    <cellStyle name="40% - akcent 2 2 11 2" xfId="2982"/>
    <cellStyle name="40% - akcent 2 2 11 3" xfId="2983"/>
    <cellStyle name="40% - akcent 2 2 11 4" xfId="2984"/>
    <cellStyle name="40% - akcent 2 2 11 5" xfId="2985"/>
    <cellStyle name="40% - akcent 2 2 11 6" xfId="2986"/>
    <cellStyle name="40% - akcent 2 2 12" xfId="2987"/>
    <cellStyle name="40% - akcent 2 2 12 2" xfId="2988"/>
    <cellStyle name="40% - akcent 2 2 12 3" xfId="2989"/>
    <cellStyle name="40% - akcent 2 2 12 4" xfId="2990"/>
    <cellStyle name="40% - akcent 2 2 12 5" xfId="2991"/>
    <cellStyle name="40% - akcent 2 2 12 6" xfId="2992"/>
    <cellStyle name="40% - akcent 2 2 13" xfId="2993"/>
    <cellStyle name="40% - akcent 2 2 13 2" xfId="2994"/>
    <cellStyle name="40% - akcent 2 2 13 3" xfId="2995"/>
    <cellStyle name="40% - akcent 2 2 13 4" xfId="2996"/>
    <cellStyle name="40% - akcent 2 2 13 5" xfId="2997"/>
    <cellStyle name="40% - akcent 2 2 13 6" xfId="2998"/>
    <cellStyle name="40% - akcent 2 2 14" xfId="2999"/>
    <cellStyle name="40% - akcent 2 2 14 2" xfId="3000"/>
    <cellStyle name="40% - akcent 2 2 14 3" xfId="3001"/>
    <cellStyle name="40% - akcent 2 2 14 4" xfId="3002"/>
    <cellStyle name="40% - akcent 2 2 14 5" xfId="3003"/>
    <cellStyle name="40% - akcent 2 2 14 6" xfId="3004"/>
    <cellStyle name="40% - akcent 2 2 15" xfId="3005"/>
    <cellStyle name="40% - akcent 2 2 15 2" xfId="3006"/>
    <cellStyle name="40% - akcent 2 2 15 3" xfId="3007"/>
    <cellStyle name="40% - akcent 2 2 15 4" xfId="3008"/>
    <cellStyle name="40% - akcent 2 2 15 5" xfId="3009"/>
    <cellStyle name="40% - akcent 2 2 15 6" xfId="3010"/>
    <cellStyle name="40% - akcent 2 2 16" xfId="3011"/>
    <cellStyle name="40% - akcent 2 2 16 2" xfId="3012"/>
    <cellStyle name="40% - akcent 2 2 16 3" xfId="3013"/>
    <cellStyle name="40% - akcent 2 2 16 4" xfId="3014"/>
    <cellStyle name="40% - akcent 2 2 16 5" xfId="3015"/>
    <cellStyle name="40% - akcent 2 2 16 6" xfId="3016"/>
    <cellStyle name="40% - akcent 2 2 17" xfId="3017"/>
    <cellStyle name="40% - akcent 2 2 17 2" xfId="3018"/>
    <cellStyle name="40% - akcent 2 2 17 3" xfId="3019"/>
    <cellStyle name="40% - akcent 2 2 17 4" xfId="3020"/>
    <cellStyle name="40% - akcent 2 2 17 5" xfId="3021"/>
    <cellStyle name="40% - akcent 2 2 17 6" xfId="3022"/>
    <cellStyle name="40% - akcent 2 2 18" xfId="3023"/>
    <cellStyle name="40% - akcent 2 2 18 2" xfId="3024"/>
    <cellStyle name="40% - akcent 2 2 18 3" xfId="3025"/>
    <cellStyle name="40% - akcent 2 2 18 4" xfId="3026"/>
    <cellStyle name="40% - akcent 2 2 18 5" xfId="3027"/>
    <cellStyle name="40% - akcent 2 2 18 6" xfId="3028"/>
    <cellStyle name="40% - akcent 2 2 19" xfId="3029"/>
    <cellStyle name="40% - akcent 2 2 19 2" xfId="3030"/>
    <cellStyle name="40% - akcent 2 2 19 3" xfId="3031"/>
    <cellStyle name="40% - akcent 2 2 19 4" xfId="3032"/>
    <cellStyle name="40% - akcent 2 2 19 5" xfId="3033"/>
    <cellStyle name="40% - akcent 2 2 19 6" xfId="3034"/>
    <cellStyle name="40% - akcent 2 2 2" xfId="3035"/>
    <cellStyle name="40% - akcent 2 2 2 2" xfId="3036"/>
    <cellStyle name="40% - akcent 2 2 2 3" xfId="3037"/>
    <cellStyle name="40% - akcent 2 2 2 4" xfId="3038"/>
    <cellStyle name="40% - akcent 2 2 2 5" xfId="3039"/>
    <cellStyle name="40% - akcent 2 2 2 6" xfId="3040"/>
    <cellStyle name="40% - akcent 2 2 2 7" xfId="3041"/>
    <cellStyle name="40% - akcent 2 2 20" xfId="3042"/>
    <cellStyle name="40% - akcent 2 2 20 2" xfId="3043"/>
    <cellStyle name="40% - akcent 2 2 20 3" xfId="3044"/>
    <cellStyle name="40% - akcent 2 2 20 4" xfId="3045"/>
    <cellStyle name="40% - akcent 2 2 20 5" xfId="3046"/>
    <cellStyle name="40% - akcent 2 2 20 6" xfId="3047"/>
    <cellStyle name="40% - akcent 2 2 21" xfId="3048"/>
    <cellStyle name="40% - akcent 2 2 21 2" xfId="3049"/>
    <cellStyle name="40% - akcent 2 2 21 3" xfId="3050"/>
    <cellStyle name="40% - akcent 2 2 21 4" xfId="3051"/>
    <cellStyle name="40% - akcent 2 2 21 5" xfId="3052"/>
    <cellStyle name="40% - akcent 2 2 21 6" xfId="3053"/>
    <cellStyle name="40% - akcent 2 2 22" xfId="3054"/>
    <cellStyle name="40% - akcent 2 2 22 2" xfId="3055"/>
    <cellStyle name="40% - akcent 2 2 22 3" xfId="3056"/>
    <cellStyle name="40% - akcent 2 2 22 4" xfId="3057"/>
    <cellStyle name="40% - akcent 2 2 22 5" xfId="3058"/>
    <cellStyle name="40% - akcent 2 2 22 6" xfId="3059"/>
    <cellStyle name="40% - akcent 2 2 23" xfId="3060"/>
    <cellStyle name="40% - akcent 2 2 23 2" xfId="3061"/>
    <cellStyle name="40% - akcent 2 2 23 3" xfId="3062"/>
    <cellStyle name="40% - akcent 2 2 23 4" xfId="3063"/>
    <cellStyle name="40% - akcent 2 2 23 5" xfId="3064"/>
    <cellStyle name="40% - akcent 2 2 23 6" xfId="3065"/>
    <cellStyle name="40% - akcent 2 2 24" xfId="3066"/>
    <cellStyle name="40% - akcent 2 2 24 2" xfId="3067"/>
    <cellStyle name="40% - akcent 2 2 24 3" xfId="3068"/>
    <cellStyle name="40% - akcent 2 2 24 4" xfId="3069"/>
    <cellStyle name="40% - akcent 2 2 24 5" xfId="3070"/>
    <cellStyle name="40% - akcent 2 2 24 6" xfId="3071"/>
    <cellStyle name="40% - akcent 2 2 25" xfId="3072"/>
    <cellStyle name="40% - akcent 2 2 25 2" xfId="3073"/>
    <cellStyle name="40% - akcent 2 2 25 3" xfId="3074"/>
    <cellStyle name="40% - akcent 2 2 25 4" xfId="3075"/>
    <cellStyle name="40% - akcent 2 2 25 5" xfId="3076"/>
    <cellStyle name="40% - akcent 2 2 25 6" xfId="3077"/>
    <cellStyle name="40% - akcent 2 2 26" xfId="3078"/>
    <cellStyle name="40% - akcent 2 2 26 2" xfId="3079"/>
    <cellStyle name="40% - akcent 2 2 26 3" xfId="3080"/>
    <cellStyle name="40% - akcent 2 2 26 4" xfId="3081"/>
    <cellStyle name="40% - akcent 2 2 26 5" xfId="3082"/>
    <cellStyle name="40% - akcent 2 2 26 6" xfId="3083"/>
    <cellStyle name="40% - akcent 2 2 27" xfId="3084"/>
    <cellStyle name="40% - akcent 2 2 27 2" xfId="3085"/>
    <cellStyle name="40% - akcent 2 2 27 3" xfId="3086"/>
    <cellStyle name="40% - akcent 2 2 27 4" xfId="3087"/>
    <cellStyle name="40% - akcent 2 2 27 5" xfId="3088"/>
    <cellStyle name="40% - akcent 2 2 27 6" xfId="3089"/>
    <cellStyle name="40% - akcent 2 2 28" xfId="3090"/>
    <cellStyle name="40% - akcent 2 2 28 2" xfId="3091"/>
    <cellStyle name="40% - akcent 2 2 28 3" xfId="3092"/>
    <cellStyle name="40% - akcent 2 2 28 4" xfId="3093"/>
    <cellStyle name="40% - akcent 2 2 28 5" xfId="3094"/>
    <cellStyle name="40% - akcent 2 2 28 6" xfId="3095"/>
    <cellStyle name="40% - akcent 2 2 29" xfId="3096"/>
    <cellStyle name="40% - akcent 2 2 29 2" xfId="3097"/>
    <cellStyle name="40% - akcent 2 2 3" xfId="3098"/>
    <cellStyle name="40% - akcent 2 2 3 2" xfId="3099"/>
    <cellStyle name="40% - akcent 2 2 3 3" xfId="3100"/>
    <cellStyle name="40% - akcent 2 2 3 4" xfId="3101"/>
    <cellStyle name="40% - akcent 2 2 3 5" xfId="3102"/>
    <cellStyle name="40% - akcent 2 2 3 6" xfId="3103"/>
    <cellStyle name="40% - akcent 2 2 3 7" xfId="3104"/>
    <cellStyle name="40% - akcent 2 2 30" xfId="3105"/>
    <cellStyle name="40% - akcent 2 2 30 2" xfId="3106"/>
    <cellStyle name="40% - akcent 2 2 31" xfId="3107"/>
    <cellStyle name="40% - akcent 2 2 31 2" xfId="3108"/>
    <cellStyle name="40% - akcent 2 2 32" xfId="3109"/>
    <cellStyle name="40% - akcent 2 2 32 2" xfId="3110"/>
    <cellStyle name="40% - akcent 2 2 33" xfId="3111"/>
    <cellStyle name="40% - akcent 2 2 34" xfId="3112"/>
    <cellStyle name="40% - akcent 2 2 35" xfId="3113"/>
    <cellStyle name="40% - akcent 2 2 36" xfId="3114"/>
    <cellStyle name="40% - akcent 2 2 37" xfId="3115"/>
    <cellStyle name="40% - akcent 2 2 38" xfId="3116"/>
    <cellStyle name="40% - akcent 2 2 39" xfId="3117"/>
    <cellStyle name="40% - akcent 2 2 4" xfId="3118"/>
    <cellStyle name="40% - akcent 2 2 4 2" xfId="3119"/>
    <cellStyle name="40% - akcent 2 2 4 3" xfId="3120"/>
    <cellStyle name="40% - akcent 2 2 4 4" xfId="3121"/>
    <cellStyle name="40% - akcent 2 2 4 5" xfId="3122"/>
    <cellStyle name="40% - akcent 2 2 4 6" xfId="3123"/>
    <cellStyle name="40% - akcent 2 2 4 7" xfId="3124"/>
    <cellStyle name="40% - akcent 2 2 40" xfId="3125"/>
    <cellStyle name="40% - akcent 2 2 41" xfId="3126"/>
    <cellStyle name="40% - akcent 2 2 42" xfId="3127"/>
    <cellStyle name="40% - akcent 2 2 43" xfId="3128"/>
    <cellStyle name="40% - akcent 2 2 44" xfId="3129"/>
    <cellStyle name="40% - akcent 2 2 45" xfId="3130"/>
    <cellStyle name="40% - akcent 2 2 46" xfId="3131"/>
    <cellStyle name="40% - akcent 2 2 47" xfId="3132"/>
    <cellStyle name="40% - akcent 2 2 48" xfId="3133"/>
    <cellStyle name="40% - akcent 2 2 49" xfId="3134"/>
    <cellStyle name="40% - akcent 2 2 5" xfId="3135"/>
    <cellStyle name="40% - akcent 2 2 5 2" xfId="3136"/>
    <cellStyle name="40% - akcent 2 2 5 3" xfId="3137"/>
    <cellStyle name="40% - akcent 2 2 5 4" xfId="3138"/>
    <cellStyle name="40% - akcent 2 2 5 5" xfId="3139"/>
    <cellStyle name="40% - akcent 2 2 5 6" xfId="3140"/>
    <cellStyle name="40% - akcent 2 2 50" xfId="3141"/>
    <cellStyle name="40% - akcent 2 2 51" xfId="3142"/>
    <cellStyle name="40% - akcent 2 2 6" xfId="3143"/>
    <cellStyle name="40% - akcent 2 2 6 2" xfId="3144"/>
    <cellStyle name="40% - akcent 2 2 6 3" xfId="3145"/>
    <cellStyle name="40% - akcent 2 2 6 4" xfId="3146"/>
    <cellStyle name="40% - akcent 2 2 6 5" xfId="3147"/>
    <cellStyle name="40% - akcent 2 2 6 6" xfId="3148"/>
    <cellStyle name="40% - akcent 2 2 7" xfId="3149"/>
    <cellStyle name="40% - akcent 2 2 7 2" xfId="3150"/>
    <cellStyle name="40% - akcent 2 2 7 3" xfId="3151"/>
    <cellStyle name="40% - akcent 2 2 7 4" xfId="3152"/>
    <cellStyle name="40% - akcent 2 2 7 5" xfId="3153"/>
    <cellStyle name="40% - akcent 2 2 7 6" xfId="3154"/>
    <cellStyle name="40% - akcent 2 2 8" xfId="3155"/>
    <cellStyle name="40% - akcent 2 2 8 2" xfId="3156"/>
    <cellStyle name="40% - akcent 2 2 8 3" xfId="3157"/>
    <cellStyle name="40% - akcent 2 2 8 4" xfId="3158"/>
    <cellStyle name="40% - akcent 2 2 8 5" xfId="3159"/>
    <cellStyle name="40% - akcent 2 2 8 6" xfId="3160"/>
    <cellStyle name="40% - akcent 2 2 9" xfId="3161"/>
    <cellStyle name="40% - akcent 2 2 9 2" xfId="3162"/>
    <cellStyle name="40% - akcent 2 2 9 3" xfId="3163"/>
    <cellStyle name="40% - akcent 2 2 9 4" xfId="3164"/>
    <cellStyle name="40% - akcent 2 2 9 5" xfId="3165"/>
    <cellStyle name="40% - akcent 2 2 9 6" xfId="3166"/>
    <cellStyle name="40% - akcent 2 20" xfId="3167"/>
    <cellStyle name="40% - akcent 2 21" xfId="3168"/>
    <cellStyle name="40% - akcent 2 22" xfId="3169"/>
    <cellStyle name="40% - akcent 2 23" xfId="3170"/>
    <cellStyle name="40% - akcent 2 24" xfId="3171"/>
    <cellStyle name="40% - akcent 2 25" xfId="3172"/>
    <cellStyle name="40% - akcent 2 26" xfId="3173"/>
    <cellStyle name="40% - akcent 2 27" xfId="3174"/>
    <cellStyle name="40% - akcent 2 28" xfId="3175"/>
    <cellStyle name="40% - akcent 2 29" xfId="3176"/>
    <cellStyle name="40% - akcent 2 3" xfId="3177"/>
    <cellStyle name="40% - akcent 2 3 2" xfId="3178"/>
    <cellStyle name="40% - akcent 2 3 2 2" xfId="3179"/>
    <cellStyle name="40% - akcent 2 3 3" xfId="3180"/>
    <cellStyle name="40% - akcent 2 3 3 2" xfId="3181"/>
    <cellStyle name="40% - akcent 2 3 4" xfId="3182"/>
    <cellStyle name="40% - akcent 2 3 4 2" xfId="3183"/>
    <cellStyle name="40% - akcent 2 3 5" xfId="3184"/>
    <cellStyle name="40% - akcent 2 3 6" xfId="3185"/>
    <cellStyle name="40% - akcent 2 3 7" xfId="3186"/>
    <cellStyle name="40% - akcent 2 3 8" xfId="3187"/>
    <cellStyle name="40% - akcent 2 30" xfId="3188"/>
    <cellStyle name="40% - akcent 2 30 2" xfId="3189"/>
    <cellStyle name="40% - akcent 2 31" xfId="3190"/>
    <cellStyle name="40% - akcent 2 31 2" xfId="3191"/>
    <cellStyle name="40% - akcent 2 32" xfId="3192"/>
    <cellStyle name="40% - akcent 2 32 2" xfId="3193"/>
    <cellStyle name="40% - akcent 2 33" xfId="3194"/>
    <cellStyle name="40% - akcent 2 33 2" xfId="3195"/>
    <cellStyle name="40% - akcent 2 34" xfId="3196"/>
    <cellStyle name="40% - akcent 2 34 2" xfId="3197"/>
    <cellStyle name="40% - akcent 2 35" xfId="3198"/>
    <cellStyle name="40% - akcent 2 35 2" xfId="3199"/>
    <cellStyle name="40% - akcent 2 36" xfId="3200"/>
    <cellStyle name="40% - akcent 2 36 2" xfId="3201"/>
    <cellStyle name="40% - akcent 2 37" xfId="3202"/>
    <cellStyle name="40% - akcent 2 37 2" xfId="3203"/>
    <cellStyle name="40% - akcent 2 38" xfId="3204"/>
    <cellStyle name="40% - akcent 2 38 2" xfId="3205"/>
    <cellStyle name="40% - akcent 2 39" xfId="3206"/>
    <cellStyle name="40% - akcent 2 39 2" xfId="3207"/>
    <cellStyle name="40% - akcent 2 4" xfId="3208"/>
    <cellStyle name="40% - akcent 2 4 2" xfId="3209"/>
    <cellStyle name="40% - akcent 2 4 2 2" xfId="3210"/>
    <cellStyle name="40% - akcent 2 4 3" xfId="3211"/>
    <cellStyle name="40% - akcent 2 4 3 2" xfId="3212"/>
    <cellStyle name="40% - akcent 2 4 4" xfId="3213"/>
    <cellStyle name="40% - akcent 2 4 4 2" xfId="3214"/>
    <cellStyle name="40% - akcent 2 4 5" xfId="3215"/>
    <cellStyle name="40% - akcent 2 4 6" xfId="3216"/>
    <cellStyle name="40% - akcent 2 4 7" xfId="3217"/>
    <cellStyle name="40% - akcent 2 4 8" xfId="3218"/>
    <cellStyle name="40% - akcent 2 40" xfId="3219"/>
    <cellStyle name="40% - akcent 2 40 2" xfId="3220"/>
    <cellStyle name="40% - akcent 2 41" xfId="3221"/>
    <cellStyle name="40% - akcent 2 41 2" xfId="3222"/>
    <cellStyle name="40% - akcent 2 42" xfId="3223"/>
    <cellStyle name="40% - akcent 2 42 2" xfId="3224"/>
    <cellStyle name="40% - akcent 2 43" xfId="3225"/>
    <cellStyle name="40% - akcent 2 43 2" xfId="3226"/>
    <cellStyle name="40% - akcent 2 44" xfId="3227"/>
    <cellStyle name="40% - akcent 2 44 2" xfId="3228"/>
    <cellStyle name="40% - akcent 2 45" xfId="3229"/>
    <cellStyle name="40% - akcent 2 45 2" xfId="3230"/>
    <cellStyle name="40% - akcent 2 46" xfId="3231"/>
    <cellStyle name="40% - akcent 2 46 2" xfId="3232"/>
    <cellStyle name="40% - akcent 2 47" xfId="3233"/>
    <cellStyle name="40% - akcent 2 47 2" xfId="3234"/>
    <cellStyle name="40% - akcent 2 48" xfId="3235"/>
    <cellStyle name="40% - akcent 2 48 2" xfId="3236"/>
    <cellStyle name="40% - akcent 2 49" xfId="3237"/>
    <cellStyle name="40% - akcent 2 49 2" xfId="3238"/>
    <cellStyle name="40% - akcent 2 5" xfId="3239"/>
    <cellStyle name="40% - akcent 2 5 2" xfId="3240"/>
    <cellStyle name="40% - akcent 2 5 3" xfId="3241"/>
    <cellStyle name="40% - akcent 2 50" xfId="3242"/>
    <cellStyle name="40% - akcent 2 50 2" xfId="3243"/>
    <cellStyle name="40% - akcent 2 51" xfId="3244"/>
    <cellStyle name="40% - akcent 2 51 2" xfId="3245"/>
    <cellStyle name="40% - akcent 2 52" xfId="3246"/>
    <cellStyle name="40% - akcent 2 52 2" xfId="3247"/>
    <cellStyle name="40% - akcent 2 53" xfId="3248"/>
    <cellStyle name="40% - akcent 2 53 2" xfId="3249"/>
    <cellStyle name="40% - akcent 2 54" xfId="3250"/>
    <cellStyle name="40% - akcent 2 54 2" xfId="3251"/>
    <cellStyle name="40% - akcent 2 55" xfId="3252"/>
    <cellStyle name="40% - akcent 2 55 2" xfId="3253"/>
    <cellStyle name="40% - akcent 2 56" xfId="3254"/>
    <cellStyle name="40% - akcent 2 56 2" xfId="3255"/>
    <cellStyle name="40% - akcent 2 57" xfId="3256"/>
    <cellStyle name="40% - akcent 2 57 2" xfId="3257"/>
    <cellStyle name="40% - akcent 2 58" xfId="3258"/>
    <cellStyle name="40% - akcent 2 58 2" xfId="3259"/>
    <cellStyle name="40% - akcent 2 59" xfId="3260"/>
    <cellStyle name="40% - akcent 2 59 2" xfId="3261"/>
    <cellStyle name="40% - akcent 2 6" xfId="3262"/>
    <cellStyle name="40% - akcent 2 60" xfId="3263"/>
    <cellStyle name="40% - akcent 2 60 2" xfId="3264"/>
    <cellStyle name="40% - akcent 2 61" xfId="3265"/>
    <cellStyle name="40% - akcent 2 61 2" xfId="3266"/>
    <cellStyle name="40% - akcent 2 62" xfId="3267"/>
    <cellStyle name="40% - akcent 2 62 2" xfId="3268"/>
    <cellStyle name="40% - akcent 2 63" xfId="3269"/>
    <cellStyle name="40% - akcent 2 63 2" xfId="3270"/>
    <cellStyle name="40% - akcent 2 64" xfId="3271"/>
    <cellStyle name="40% - akcent 2 64 2" xfId="3272"/>
    <cellStyle name="40% - akcent 2 65" xfId="3273"/>
    <cellStyle name="40% - akcent 2 65 2" xfId="3274"/>
    <cellStyle name="40% - akcent 2 66" xfId="3275"/>
    <cellStyle name="40% - akcent 2 66 2" xfId="3276"/>
    <cellStyle name="40% - akcent 2 67" xfId="3277"/>
    <cellStyle name="40% - akcent 2 67 2" xfId="3278"/>
    <cellStyle name="40% - akcent 2 68" xfId="3279"/>
    <cellStyle name="40% - akcent 2 68 2" xfId="3280"/>
    <cellStyle name="40% - akcent 2 69" xfId="3281"/>
    <cellStyle name="40% - akcent 2 69 2" xfId="3282"/>
    <cellStyle name="40% - akcent 2 7" xfId="3283"/>
    <cellStyle name="40% - akcent 2 70" xfId="3284"/>
    <cellStyle name="40% - akcent 2 70 2" xfId="3285"/>
    <cellStyle name="40% - akcent 2 71" xfId="3286"/>
    <cellStyle name="40% - akcent 2 71 2" xfId="3287"/>
    <cellStyle name="40% - akcent 2 72" xfId="3288"/>
    <cellStyle name="40% - akcent 2 72 2" xfId="3289"/>
    <cellStyle name="40% - akcent 2 73" xfId="3290"/>
    <cellStyle name="40% - akcent 2 73 2" xfId="3291"/>
    <cellStyle name="40% - akcent 2 74" xfId="3292"/>
    <cellStyle name="40% - akcent 2 74 2" xfId="3293"/>
    <cellStyle name="40% - akcent 2 75" xfId="3294"/>
    <cellStyle name="40% - akcent 2 75 2" xfId="3295"/>
    <cellStyle name="40% - akcent 2 76" xfId="3296"/>
    <cellStyle name="40% - akcent 2 76 2" xfId="3297"/>
    <cellStyle name="40% - akcent 2 77" xfId="3298"/>
    <cellStyle name="40% - akcent 2 77 2" xfId="3299"/>
    <cellStyle name="40% - akcent 2 78" xfId="3300"/>
    <cellStyle name="40% - akcent 2 78 2" xfId="3301"/>
    <cellStyle name="40% - akcent 2 79" xfId="3302"/>
    <cellStyle name="40% - akcent 2 79 2" xfId="3303"/>
    <cellStyle name="40% - akcent 2 8" xfId="3304"/>
    <cellStyle name="40% - akcent 2 80" xfId="3305"/>
    <cellStyle name="40% - akcent 2 80 2" xfId="3306"/>
    <cellStyle name="40% - akcent 2 81" xfId="3307"/>
    <cellStyle name="40% - akcent 2 81 2" xfId="3308"/>
    <cellStyle name="40% - akcent 2 82" xfId="3309"/>
    <cellStyle name="40% - akcent 2 82 2" xfId="3310"/>
    <cellStyle name="40% - akcent 2 83" xfId="3311"/>
    <cellStyle name="40% - akcent 2 83 2" xfId="3312"/>
    <cellStyle name="40% - akcent 2 84" xfId="3313"/>
    <cellStyle name="40% - akcent 2 84 2" xfId="3314"/>
    <cellStyle name="40% - akcent 2 85" xfId="3315"/>
    <cellStyle name="40% - akcent 2 85 2" xfId="3316"/>
    <cellStyle name="40% - akcent 2 86" xfId="3317"/>
    <cellStyle name="40% - akcent 2 86 2" xfId="3318"/>
    <cellStyle name="40% - akcent 2 87" xfId="3319"/>
    <cellStyle name="40% - akcent 2 87 2" xfId="3320"/>
    <cellStyle name="40% - akcent 2 88" xfId="3321"/>
    <cellStyle name="40% - akcent 2 88 2" xfId="3322"/>
    <cellStyle name="40% - akcent 2 89" xfId="3323"/>
    <cellStyle name="40% - akcent 2 89 2" xfId="3324"/>
    <cellStyle name="40% - akcent 2 9" xfId="3325"/>
    <cellStyle name="40% - akcent 2 90" xfId="3326"/>
    <cellStyle name="40% - akcent 2 90 2" xfId="3327"/>
    <cellStyle name="40% - akcent 2 91" xfId="3328"/>
    <cellStyle name="40% - akcent 2 91 2" xfId="3329"/>
    <cellStyle name="40% - akcent 2 92" xfId="3330"/>
    <cellStyle name="40% - akcent 2 92 2" xfId="3331"/>
    <cellStyle name="40% - akcent 2 93" xfId="3332"/>
    <cellStyle name="40% - akcent 2 93 2" xfId="3333"/>
    <cellStyle name="40% - akcent 2 94" xfId="3334"/>
    <cellStyle name="40% - akcent 2 94 2" xfId="3335"/>
    <cellStyle name="40% - akcent 2 95" xfId="3336"/>
    <cellStyle name="40% - akcent 2 95 2" xfId="3337"/>
    <cellStyle name="40% - akcent 2 96" xfId="3338"/>
    <cellStyle name="40% - akcent 2 96 2" xfId="3339"/>
    <cellStyle name="40% - akcent 2 97" xfId="3340"/>
    <cellStyle name="40% - akcent 2 97 2" xfId="3341"/>
    <cellStyle name="40% - akcent 2 98" xfId="3342"/>
    <cellStyle name="40% - akcent 2 98 2" xfId="3343"/>
    <cellStyle name="40% - akcent 2 99" xfId="3344"/>
    <cellStyle name="40% - akcent 2 99 2" xfId="3345"/>
    <cellStyle name="40% - akcent 3 10" xfId="3346"/>
    <cellStyle name="40% - akcent 3 100" xfId="3347"/>
    <cellStyle name="40% - akcent 3 100 2" xfId="3348"/>
    <cellStyle name="40% - akcent 3 101" xfId="3349"/>
    <cellStyle name="40% - akcent 3 101 2" xfId="3350"/>
    <cellStyle name="40% - akcent 3 102" xfId="3351"/>
    <cellStyle name="40% - akcent 3 102 2" xfId="3352"/>
    <cellStyle name="40% - akcent 3 103" xfId="3353"/>
    <cellStyle name="40% - akcent 3 103 2" xfId="3354"/>
    <cellStyle name="40% - akcent 3 104" xfId="3355"/>
    <cellStyle name="40% - akcent 3 104 2" xfId="3356"/>
    <cellStyle name="40% - akcent 3 105" xfId="3357"/>
    <cellStyle name="40% - akcent 3 105 2" xfId="3358"/>
    <cellStyle name="40% - akcent 3 106" xfId="3359"/>
    <cellStyle name="40% - akcent 3 106 2" xfId="3360"/>
    <cellStyle name="40% - akcent 3 107" xfId="3361"/>
    <cellStyle name="40% - akcent 3 107 2" xfId="3362"/>
    <cellStyle name="40% - akcent 3 108" xfId="3363"/>
    <cellStyle name="40% - akcent 3 108 2" xfId="3364"/>
    <cellStyle name="40% - akcent 3 109" xfId="3365"/>
    <cellStyle name="40% - akcent 3 109 2" xfId="3366"/>
    <cellStyle name="40% - akcent 3 11" xfId="3367"/>
    <cellStyle name="40% - akcent 3 110" xfId="3368"/>
    <cellStyle name="40% - akcent 3 110 2" xfId="3369"/>
    <cellStyle name="40% - akcent 3 111" xfId="3370"/>
    <cellStyle name="40% - akcent 3 111 2" xfId="3371"/>
    <cellStyle name="40% - akcent 3 112" xfId="3372"/>
    <cellStyle name="40% - akcent 3 112 2" xfId="3373"/>
    <cellStyle name="40% - akcent 3 113" xfId="3374"/>
    <cellStyle name="40% - akcent 3 113 2" xfId="3375"/>
    <cellStyle name="40% - akcent 3 114" xfId="3376"/>
    <cellStyle name="40% - akcent 3 114 2" xfId="3377"/>
    <cellStyle name="40% - akcent 3 115" xfId="3378"/>
    <cellStyle name="40% - akcent 3 115 2" xfId="3379"/>
    <cellStyle name="40% - akcent 3 116" xfId="3380"/>
    <cellStyle name="40% - akcent 3 116 2" xfId="3381"/>
    <cellStyle name="40% - akcent 3 117" xfId="3382"/>
    <cellStyle name="40% - akcent 3 117 2" xfId="3383"/>
    <cellStyle name="40% - akcent 3 118" xfId="3384"/>
    <cellStyle name="40% - akcent 3 118 2" xfId="3385"/>
    <cellStyle name="40% - akcent 3 119" xfId="3386"/>
    <cellStyle name="40% - akcent 3 119 2" xfId="3387"/>
    <cellStyle name="40% - akcent 3 12" xfId="3388"/>
    <cellStyle name="40% - akcent 3 120" xfId="3389"/>
    <cellStyle name="40% - akcent 3 121" xfId="3390"/>
    <cellStyle name="40% - akcent 3 13" xfId="3391"/>
    <cellStyle name="40% - akcent 3 14" xfId="3392"/>
    <cellStyle name="40% - akcent 3 15" xfId="3393"/>
    <cellStyle name="40% - akcent 3 16" xfId="3394"/>
    <cellStyle name="40% - akcent 3 17" xfId="3395"/>
    <cellStyle name="40% - akcent 3 18" xfId="3396"/>
    <cellStyle name="40% - akcent 3 19" xfId="3397"/>
    <cellStyle name="40% - akcent 3 2" xfId="3398"/>
    <cellStyle name="40% - akcent 3 2 10" xfId="3399"/>
    <cellStyle name="40% - akcent 3 2 10 2" xfId="3400"/>
    <cellStyle name="40% - akcent 3 2 10 3" xfId="3401"/>
    <cellStyle name="40% - akcent 3 2 10 4" xfId="3402"/>
    <cellStyle name="40% - akcent 3 2 10 5" xfId="3403"/>
    <cellStyle name="40% - akcent 3 2 10 6" xfId="3404"/>
    <cellStyle name="40% - akcent 3 2 11" xfId="3405"/>
    <cellStyle name="40% - akcent 3 2 11 2" xfId="3406"/>
    <cellStyle name="40% - akcent 3 2 11 3" xfId="3407"/>
    <cellStyle name="40% - akcent 3 2 11 4" xfId="3408"/>
    <cellStyle name="40% - akcent 3 2 11 5" xfId="3409"/>
    <cellStyle name="40% - akcent 3 2 11 6" xfId="3410"/>
    <cellStyle name="40% - akcent 3 2 12" xfId="3411"/>
    <cellStyle name="40% - akcent 3 2 12 2" xfId="3412"/>
    <cellStyle name="40% - akcent 3 2 12 3" xfId="3413"/>
    <cellStyle name="40% - akcent 3 2 12 4" xfId="3414"/>
    <cellStyle name="40% - akcent 3 2 12 5" xfId="3415"/>
    <cellStyle name="40% - akcent 3 2 12 6" xfId="3416"/>
    <cellStyle name="40% - akcent 3 2 13" xfId="3417"/>
    <cellStyle name="40% - akcent 3 2 13 2" xfId="3418"/>
    <cellStyle name="40% - akcent 3 2 13 3" xfId="3419"/>
    <cellStyle name="40% - akcent 3 2 13 4" xfId="3420"/>
    <cellStyle name="40% - akcent 3 2 13 5" xfId="3421"/>
    <cellStyle name="40% - akcent 3 2 13 6" xfId="3422"/>
    <cellStyle name="40% - akcent 3 2 14" xfId="3423"/>
    <cellStyle name="40% - akcent 3 2 14 2" xfId="3424"/>
    <cellStyle name="40% - akcent 3 2 14 3" xfId="3425"/>
    <cellStyle name="40% - akcent 3 2 14 4" xfId="3426"/>
    <cellStyle name="40% - akcent 3 2 14 5" xfId="3427"/>
    <cellStyle name="40% - akcent 3 2 14 6" xfId="3428"/>
    <cellStyle name="40% - akcent 3 2 15" xfId="3429"/>
    <cellStyle name="40% - akcent 3 2 15 2" xfId="3430"/>
    <cellStyle name="40% - akcent 3 2 15 3" xfId="3431"/>
    <cellStyle name="40% - akcent 3 2 15 4" xfId="3432"/>
    <cellStyle name="40% - akcent 3 2 15 5" xfId="3433"/>
    <cellStyle name="40% - akcent 3 2 15 6" xfId="3434"/>
    <cellStyle name="40% - akcent 3 2 16" xfId="3435"/>
    <cellStyle name="40% - akcent 3 2 16 2" xfId="3436"/>
    <cellStyle name="40% - akcent 3 2 16 3" xfId="3437"/>
    <cellStyle name="40% - akcent 3 2 16 4" xfId="3438"/>
    <cellStyle name="40% - akcent 3 2 16 5" xfId="3439"/>
    <cellStyle name="40% - akcent 3 2 16 6" xfId="3440"/>
    <cellStyle name="40% - akcent 3 2 17" xfId="3441"/>
    <cellStyle name="40% - akcent 3 2 17 2" xfId="3442"/>
    <cellStyle name="40% - akcent 3 2 17 3" xfId="3443"/>
    <cellStyle name="40% - akcent 3 2 17 4" xfId="3444"/>
    <cellStyle name="40% - akcent 3 2 17 5" xfId="3445"/>
    <cellStyle name="40% - akcent 3 2 17 6" xfId="3446"/>
    <cellStyle name="40% - akcent 3 2 18" xfId="3447"/>
    <cellStyle name="40% - akcent 3 2 18 2" xfId="3448"/>
    <cellStyle name="40% - akcent 3 2 18 3" xfId="3449"/>
    <cellStyle name="40% - akcent 3 2 18 4" xfId="3450"/>
    <cellStyle name="40% - akcent 3 2 18 5" xfId="3451"/>
    <cellStyle name="40% - akcent 3 2 18 6" xfId="3452"/>
    <cellStyle name="40% - akcent 3 2 19" xfId="3453"/>
    <cellStyle name="40% - akcent 3 2 19 2" xfId="3454"/>
    <cellStyle name="40% - akcent 3 2 19 3" xfId="3455"/>
    <cellStyle name="40% - akcent 3 2 19 4" xfId="3456"/>
    <cellStyle name="40% - akcent 3 2 19 5" xfId="3457"/>
    <cellStyle name="40% - akcent 3 2 19 6" xfId="3458"/>
    <cellStyle name="40% - akcent 3 2 2" xfId="3459"/>
    <cellStyle name="40% - akcent 3 2 2 2" xfId="3460"/>
    <cellStyle name="40% - akcent 3 2 2 3" xfId="3461"/>
    <cellStyle name="40% - akcent 3 2 2 4" xfId="3462"/>
    <cellStyle name="40% - akcent 3 2 2 5" xfId="3463"/>
    <cellStyle name="40% - akcent 3 2 2 6" xfId="3464"/>
    <cellStyle name="40% - akcent 3 2 2 7" xfId="3465"/>
    <cellStyle name="40% - akcent 3 2 20" xfId="3466"/>
    <cellStyle name="40% - akcent 3 2 20 2" xfId="3467"/>
    <cellStyle name="40% - akcent 3 2 20 3" xfId="3468"/>
    <cellStyle name="40% - akcent 3 2 20 4" xfId="3469"/>
    <cellStyle name="40% - akcent 3 2 20 5" xfId="3470"/>
    <cellStyle name="40% - akcent 3 2 20 6" xfId="3471"/>
    <cellStyle name="40% - akcent 3 2 21" xfId="3472"/>
    <cellStyle name="40% - akcent 3 2 21 2" xfId="3473"/>
    <cellStyle name="40% - akcent 3 2 21 3" xfId="3474"/>
    <cellStyle name="40% - akcent 3 2 21 4" xfId="3475"/>
    <cellStyle name="40% - akcent 3 2 21 5" xfId="3476"/>
    <cellStyle name="40% - akcent 3 2 21 6" xfId="3477"/>
    <cellStyle name="40% - akcent 3 2 22" xfId="3478"/>
    <cellStyle name="40% - akcent 3 2 22 2" xfId="3479"/>
    <cellStyle name="40% - akcent 3 2 22 3" xfId="3480"/>
    <cellStyle name="40% - akcent 3 2 22 4" xfId="3481"/>
    <cellStyle name="40% - akcent 3 2 22 5" xfId="3482"/>
    <cellStyle name="40% - akcent 3 2 22 6" xfId="3483"/>
    <cellStyle name="40% - akcent 3 2 23" xfId="3484"/>
    <cellStyle name="40% - akcent 3 2 23 2" xfId="3485"/>
    <cellStyle name="40% - akcent 3 2 23 3" xfId="3486"/>
    <cellStyle name="40% - akcent 3 2 23 4" xfId="3487"/>
    <cellStyle name="40% - akcent 3 2 23 5" xfId="3488"/>
    <cellStyle name="40% - akcent 3 2 23 6" xfId="3489"/>
    <cellStyle name="40% - akcent 3 2 24" xfId="3490"/>
    <cellStyle name="40% - akcent 3 2 24 2" xfId="3491"/>
    <cellStyle name="40% - akcent 3 2 24 3" xfId="3492"/>
    <cellStyle name="40% - akcent 3 2 24 4" xfId="3493"/>
    <cellStyle name="40% - akcent 3 2 24 5" xfId="3494"/>
    <cellStyle name="40% - akcent 3 2 24 6" xfId="3495"/>
    <cellStyle name="40% - akcent 3 2 25" xfId="3496"/>
    <cellStyle name="40% - akcent 3 2 25 2" xfId="3497"/>
    <cellStyle name="40% - akcent 3 2 25 3" xfId="3498"/>
    <cellStyle name="40% - akcent 3 2 25 4" xfId="3499"/>
    <cellStyle name="40% - akcent 3 2 25 5" xfId="3500"/>
    <cellStyle name="40% - akcent 3 2 25 6" xfId="3501"/>
    <cellStyle name="40% - akcent 3 2 26" xfId="3502"/>
    <cellStyle name="40% - akcent 3 2 26 2" xfId="3503"/>
    <cellStyle name="40% - akcent 3 2 26 3" xfId="3504"/>
    <cellStyle name="40% - akcent 3 2 26 4" xfId="3505"/>
    <cellStyle name="40% - akcent 3 2 26 5" xfId="3506"/>
    <cellStyle name="40% - akcent 3 2 26 6" xfId="3507"/>
    <cellStyle name="40% - akcent 3 2 27" xfId="3508"/>
    <cellStyle name="40% - akcent 3 2 27 2" xfId="3509"/>
    <cellStyle name="40% - akcent 3 2 27 3" xfId="3510"/>
    <cellStyle name="40% - akcent 3 2 27 4" xfId="3511"/>
    <cellStyle name="40% - akcent 3 2 27 5" xfId="3512"/>
    <cellStyle name="40% - akcent 3 2 27 6" xfId="3513"/>
    <cellStyle name="40% - akcent 3 2 28" xfId="3514"/>
    <cellStyle name="40% - akcent 3 2 28 2" xfId="3515"/>
    <cellStyle name="40% - akcent 3 2 28 3" xfId="3516"/>
    <cellStyle name="40% - akcent 3 2 28 4" xfId="3517"/>
    <cellStyle name="40% - akcent 3 2 28 5" xfId="3518"/>
    <cellStyle name="40% - akcent 3 2 28 6" xfId="3519"/>
    <cellStyle name="40% - akcent 3 2 29" xfId="3520"/>
    <cellStyle name="40% - akcent 3 2 29 2" xfId="3521"/>
    <cellStyle name="40% - akcent 3 2 3" xfId="3522"/>
    <cellStyle name="40% - akcent 3 2 3 2" xfId="3523"/>
    <cellStyle name="40% - akcent 3 2 3 3" xfId="3524"/>
    <cellStyle name="40% - akcent 3 2 3 4" xfId="3525"/>
    <cellStyle name="40% - akcent 3 2 3 5" xfId="3526"/>
    <cellStyle name="40% - akcent 3 2 3 6" xfId="3527"/>
    <cellStyle name="40% - akcent 3 2 3 7" xfId="3528"/>
    <cellStyle name="40% - akcent 3 2 30" xfId="3529"/>
    <cellStyle name="40% - akcent 3 2 30 2" xfId="3530"/>
    <cellStyle name="40% - akcent 3 2 31" xfId="3531"/>
    <cellStyle name="40% - akcent 3 2 31 2" xfId="3532"/>
    <cellStyle name="40% - akcent 3 2 32" xfId="3533"/>
    <cellStyle name="40% - akcent 3 2 32 2" xfId="3534"/>
    <cellStyle name="40% - akcent 3 2 33" xfId="3535"/>
    <cellStyle name="40% - akcent 3 2 34" xfId="3536"/>
    <cellStyle name="40% - akcent 3 2 35" xfId="3537"/>
    <cellStyle name="40% - akcent 3 2 36" xfId="3538"/>
    <cellStyle name="40% - akcent 3 2 37" xfId="3539"/>
    <cellStyle name="40% - akcent 3 2 38" xfId="3540"/>
    <cellStyle name="40% - akcent 3 2 39" xfId="3541"/>
    <cellStyle name="40% - akcent 3 2 4" xfId="3542"/>
    <cellStyle name="40% - akcent 3 2 4 2" xfId="3543"/>
    <cellStyle name="40% - akcent 3 2 4 3" xfId="3544"/>
    <cellStyle name="40% - akcent 3 2 4 4" xfId="3545"/>
    <cellStyle name="40% - akcent 3 2 4 5" xfId="3546"/>
    <cellStyle name="40% - akcent 3 2 4 6" xfId="3547"/>
    <cellStyle name="40% - akcent 3 2 4 7" xfId="3548"/>
    <cellStyle name="40% - akcent 3 2 40" xfId="3549"/>
    <cellStyle name="40% - akcent 3 2 41" xfId="3550"/>
    <cellStyle name="40% - akcent 3 2 42" xfId="3551"/>
    <cellStyle name="40% - akcent 3 2 43" xfId="3552"/>
    <cellStyle name="40% - akcent 3 2 44" xfId="3553"/>
    <cellStyle name="40% - akcent 3 2 45" xfId="3554"/>
    <cellStyle name="40% - akcent 3 2 46" xfId="3555"/>
    <cellStyle name="40% - akcent 3 2 47" xfId="3556"/>
    <cellStyle name="40% - akcent 3 2 48" xfId="3557"/>
    <cellStyle name="40% - akcent 3 2 49" xfId="3558"/>
    <cellStyle name="40% - akcent 3 2 5" xfId="3559"/>
    <cellStyle name="40% - akcent 3 2 5 2" xfId="3560"/>
    <cellStyle name="40% - akcent 3 2 5 3" xfId="3561"/>
    <cellStyle name="40% - akcent 3 2 5 4" xfId="3562"/>
    <cellStyle name="40% - akcent 3 2 5 5" xfId="3563"/>
    <cellStyle name="40% - akcent 3 2 5 6" xfId="3564"/>
    <cellStyle name="40% - akcent 3 2 50" xfId="3565"/>
    <cellStyle name="40% - akcent 3 2 51" xfId="3566"/>
    <cellStyle name="40% - akcent 3 2 6" xfId="3567"/>
    <cellStyle name="40% - akcent 3 2 6 2" xfId="3568"/>
    <cellStyle name="40% - akcent 3 2 6 3" xfId="3569"/>
    <cellStyle name="40% - akcent 3 2 6 4" xfId="3570"/>
    <cellStyle name="40% - akcent 3 2 6 5" xfId="3571"/>
    <cellStyle name="40% - akcent 3 2 6 6" xfId="3572"/>
    <cellStyle name="40% - akcent 3 2 7" xfId="3573"/>
    <cellStyle name="40% - akcent 3 2 7 2" xfId="3574"/>
    <cellStyle name="40% - akcent 3 2 7 3" xfId="3575"/>
    <cellStyle name="40% - akcent 3 2 7 4" xfId="3576"/>
    <cellStyle name="40% - akcent 3 2 7 5" xfId="3577"/>
    <cellStyle name="40% - akcent 3 2 7 6" xfId="3578"/>
    <cellStyle name="40% - akcent 3 2 8" xfId="3579"/>
    <cellStyle name="40% - akcent 3 2 8 2" xfId="3580"/>
    <cellStyle name="40% - akcent 3 2 8 3" xfId="3581"/>
    <cellStyle name="40% - akcent 3 2 8 4" xfId="3582"/>
    <cellStyle name="40% - akcent 3 2 8 5" xfId="3583"/>
    <cellStyle name="40% - akcent 3 2 8 6" xfId="3584"/>
    <cellStyle name="40% - akcent 3 2 9" xfId="3585"/>
    <cellStyle name="40% - akcent 3 2 9 2" xfId="3586"/>
    <cellStyle name="40% - akcent 3 2 9 3" xfId="3587"/>
    <cellStyle name="40% - akcent 3 2 9 4" xfId="3588"/>
    <cellStyle name="40% - akcent 3 2 9 5" xfId="3589"/>
    <cellStyle name="40% - akcent 3 2 9 6" xfId="3590"/>
    <cellStyle name="40% - akcent 3 20" xfId="3591"/>
    <cellStyle name="40% - akcent 3 21" xfId="3592"/>
    <cellStyle name="40% - akcent 3 22" xfId="3593"/>
    <cellStyle name="40% - akcent 3 23" xfId="3594"/>
    <cellStyle name="40% - akcent 3 24" xfId="3595"/>
    <cellStyle name="40% - akcent 3 25" xfId="3596"/>
    <cellStyle name="40% - akcent 3 26" xfId="3597"/>
    <cellStyle name="40% - akcent 3 27" xfId="3598"/>
    <cellStyle name="40% - akcent 3 28" xfId="3599"/>
    <cellStyle name="40% - akcent 3 29" xfId="3600"/>
    <cellStyle name="40% - akcent 3 3" xfId="3601"/>
    <cellStyle name="40% - akcent 3 3 2" xfId="3602"/>
    <cellStyle name="40% - akcent 3 3 2 2" xfId="3603"/>
    <cellStyle name="40% - akcent 3 3 3" xfId="3604"/>
    <cellStyle name="40% - akcent 3 3 3 2" xfId="3605"/>
    <cellStyle name="40% - akcent 3 3 4" xfId="3606"/>
    <cellStyle name="40% - akcent 3 3 4 2" xfId="3607"/>
    <cellStyle name="40% - akcent 3 3 5" xfId="3608"/>
    <cellStyle name="40% - akcent 3 3 6" xfId="3609"/>
    <cellStyle name="40% - akcent 3 3 7" xfId="3610"/>
    <cellStyle name="40% - akcent 3 3 8" xfId="3611"/>
    <cellStyle name="40% - akcent 3 30" xfId="3612"/>
    <cellStyle name="40% - akcent 3 30 2" xfId="3613"/>
    <cellStyle name="40% - akcent 3 31" xfId="3614"/>
    <cellStyle name="40% - akcent 3 31 2" xfId="3615"/>
    <cellStyle name="40% - akcent 3 32" xfId="3616"/>
    <cellStyle name="40% - akcent 3 32 2" xfId="3617"/>
    <cellStyle name="40% - akcent 3 33" xfId="3618"/>
    <cellStyle name="40% - akcent 3 33 2" xfId="3619"/>
    <cellStyle name="40% - akcent 3 34" xfId="3620"/>
    <cellStyle name="40% - akcent 3 34 2" xfId="3621"/>
    <cellStyle name="40% - akcent 3 35" xfId="3622"/>
    <cellStyle name="40% - akcent 3 35 2" xfId="3623"/>
    <cellStyle name="40% - akcent 3 36" xfId="3624"/>
    <cellStyle name="40% - akcent 3 36 2" xfId="3625"/>
    <cellStyle name="40% - akcent 3 37" xfId="3626"/>
    <cellStyle name="40% - akcent 3 37 2" xfId="3627"/>
    <cellStyle name="40% - akcent 3 38" xfId="3628"/>
    <cellStyle name="40% - akcent 3 38 2" xfId="3629"/>
    <cellStyle name="40% - akcent 3 39" xfId="3630"/>
    <cellStyle name="40% - akcent 3 39 2" xfId="3631"/>
    <cellStyle name="40% - akcent 3 4" xfId="3632"/>
    <cellStyle name="40% - akcent 3 4 2" xfId="3633"/>
    <cellStyle name="40% - akcent 3 4 2 2" xfId="3634"/>
    <cellStyle name="40% - akcent 3 4 3" xfId="3635"/>
    <cellStyle name="40% - akcent 3 4 3 2" xfId="3636"/>
    <cellStyle name="40% - akcent 3 4 4" xfId="3637"/>
    <cellStyle name="40% - akcent 3 4 4 2" xfId="3638"/>
    <cellStyle name="40% - akcent 3 4 5" xfId="3639"/>
    <cellStyle name="40% - akcent 3 4 6" xfId="3640"/>
    <cellStyle name="40% - akcent 3 4 7" xfId="3641"/>
    <cellStyle name="40% - akcent 3 4 8" xfId="3642"/>
    <cellStyle name="40% - akcent 3 40" xfId="3643"/>
    <cellStyle name="40% - akcent 3 40 2" xfId="3644"/>
    <cellStyle name="40% - akcent 3 41" xfId="3645"/>
    <cellStyle name="40% - akcent 3 41 2" xfId="3646"/>
    <cellStyle name="40% - akcent 3 42" xfId="3647"/>
    <cellStyle name="40% - akcent 3 42 2" xfId="3648"/>
    <cellStyle name="40% - akcent 3 43" xfId="3649"/>
    <cellStyle name="40% - akcent 3 43 2" xfId="3650"/>
    <cellStyle name="40% - akcent 3 44" xfId="3651"/>
    <cellStyle name="40% - akcent 3 44 2" xfId="3652"/>
    <cellStyle name="40% - akcent 3 45" xfId="3653"/>
    <cellStyle name="40% - akcent 3 45 2" xfId="3654"/>
    <cellStyle name="40% - akcent 3 46" xfId="3655"/>
    <cellStyle name="40% - akcent 3 46 2" xfId="3656"/>
    <cellStyle name="40% - akcent 3 47" xfId="3657"/>
    <cellStyle name="40% - akcent 3 47 2" xfId="3658"/>
    <cellStyle name="40% - akcent 3 48" xfId="3659"/>
    <cellStyle name="40% - akcent 3 48 2" xfId="3660"/>
    <cellStyle name="40% - akcent 3 49" xfId="3661"/>
    <cellStyle name="40% - akcent 3 49 2" xfId="3662"/>
    <cellStyle name="40% - akcent 3 5" xfId="3663"/>
    <cellStyle name="40% - akcent 3 5 2" xfId="3664"/>
    <cellStyle name="40% - akcent 3 5 3" xfId="3665"/>
    <cellStyle name="40% - akcent 3 50" xfId="3666"/>
    <cellStyle name="40% - akcent 3 50 2" xfId="3667"/>
    <cellStyle name="40% - akcent 3 51" xfId="3668"/>
    <cellStyle name="40% - akcent 3 51 2" xfId="3669"/>
    <cellStyle name="40% - akcent 3 52" xfId="3670"/>
    <cellStyle name="40% - akcent 3 52 2" xfId="3671"/>
    <cellStyle name="40% - akcent 3 53" xfId="3672"/>
    <cellStyle name="40% - akcent 3 53 2" xfId="3673"/>
    <cellStyle name="40% - akcent 3 54" xfId="3674"/>
    <cellStyle name="40% - akcent 3 54 2" xfId="3675"/>
    <cellStyle name="40% - akcent 3 55" xfId="3676"/>
    <cellStyle name="40% - akcent 3 55 2" xfId="3677"/>
    <cellStyle name="40% - akcent 3 56" xfId="3678"/>
    <cellStyle name="40% - akcent 3 56 2" xfId="3679"/>
    <cellStyle name="40% - akcent 3 57" xfId="3680"/>
    <cellStyle name="40% - akcent 3 57 2" xfId="3681"/>
    <cellStyle name="40% - akcent 3 58" xfId="3682"/>
    <cellStyle name="40% - akcent 3 58 2" xfId="3683"/>
    <cellStyle name="40% - akcent 3 59" xfId="3684"/>
    <cellStyle name="40% - akcent 3 59 2" xfId="3685"/>
    <cellStyle name="40% - akcent 3 6" xfId="3686"/>
    <cellStyle name="40% - akcent 3 60" xfId="3687"/>
    <cellStyle name="40% - akcent 3 60 2" xfId="3688"/>
    <cellStyle name="40% - akcent 3 61" xfId="3689"/>
    <cellStyle name="40% - akcent 3 61 2" xfId="3690"/>
    <cellStyle name="40% - akcent 3 62" xfId="3691"/>
    <cellStyle name="40% - akcent 3 62 2" xfId="3692"/>
    <cellStyle name="40% - akcent 3 63" xfId="3693"/>
    <cellStyle name="40% - akcent 3 63 2" xfId="3694"/>
    <cellStyle name="40% - akcent 3 64" xfId="3695"/>
    <cellStyle name="40% - akcent 3 64 2" xfId="3696"/>
    <cellStyle name="40% - akcent 3 65" xfId="3697"/>
    <cellStyle name="40% - akcent 3 65 2" xfId="3698"/>
    <cellStyle name="40% - akcent 3 66" xfId="3699"/>
    <cellStyle name="40% - akcent 3 66 2" xfId="3700"/>
    <cellStyle name="40% - akcent 3 67" xfId="3701"/>
    <cellStyle name="40% - akcent 3 67 2" xfId="3702"/>
    <cellStyle name="40% - akcent 3 68" xfId="3703"/>
    <cellStyle name="40% - akcent 3 68 2" xfId="3704"/>
    <cellStyle name="40% - akcent 3 69" xfId="3705"/>
    <cellStyle name="40% - akcent 3 69 2" xfId="3706"/>
    <cellStyle name="40% - akcent 3 7" xfId="3707"/>
    <cellStyle name="40% - akcent 3 70" xfId="3708"/>
    <cellStyle name="40% - akcent 3 70 2" xfId="3709"/>
    <cellStyle name="40% - akcent 3 71" xfId="3710"/>
    <cellStyle name="40% - akcent 3 71 2" xfId="3711"/>
    <cellStyle name="40% - akcent 3 72" xfId="3712"/>
    <cellStyle name="40% - akcent 3 72 2" xfId="3713"/>
    <cellStyle name="40% - akcent 3 73" xfId="3714"/>
    <cellStyle name="40% - akcent 3 73 2" xfId="3715"/>
    <cellStyle name="40% - akcent 3 74" xfId="3716"/>
    <cellStyle name="40% - akcent 3 74 2" xfId="3717"/>
    <cellStyle name="40% - akcent 3 75" xfId="3718"/>
    <cellStyle name="40% - akcent 3 75 2" xfId="3719"/>
    <cellStyle name="40% - akcent 3 76" xfId="3720"/>
    <cellStyle name="40% - akcent 3 76 2" xfId="3721"/>
    <cellStyle name="40% - akcent 3 77" xfId="3722"/>
    <cellStyle name="40% - akcent 3 77 2" xfId="3723"/>
    <cellStyle name="40% - akcent 3 78" xfId="3724"/>
    <cellStyle name="40% - akcent 3 78 2" xfId="3725"/>
    <cellStyle name="40% - akcent 3 79" xfId="3726"/>
    <cellStyle name="40% - akcent 3 79 2" xfId="3727"/>
    <cellStyle name="40% - akcent 3 8" xfId="3728"/>
    <cellStyle name="40% - akcent 3 80" xfId="3729"/>
    <cellStyle name="40% - akcent 3 80 2" xfId="3730"/>
    <cellStyle name="40% - akcent 3 81" xfId="3731"/>
    <cellStyle name="40% - akcent 3 81 2" xfId="3732"/>
    <cellStyle name="40% - akcent 3 82" xfId="3733"/>
    <cellStyle name="40% - akcent 3 82 2" xfId="3734"/>
    <cellStyle name="40% - akcent 3 83" xfId="3735"/>
    <cellStyle name="40% - akcent 3 83 2" xfId="3736"/>
    <cellStyle name="40% - akcent 3 84" xfId="3737"/>
    <cellStyle name="40% - akcent 3 84 2" xfId="3738"/>
    <cellStyle name="40% - akcent 3 85" xfId="3739"/>
    <cellStyle name="40% - akcent 3 85 2" xfId="3740"/>
    <cellStyle name="40% - akcent 3 86" xfId="3741"/>
    <cellStyle name="40% - akcent 3 86 2" xfId="3742"/>
    <cellStyle name="40% - akcent 3 87" xfId="3743"/>
    <cellStyle name="40% - akcent 3 87 2" xfId="3744"/>
    <cellStyle name="40% - akcent 3 88" xfId="3745"/>
    <cellStyle name="40% - akcent 3 88 2" xfId="3746"/>
    <cellStyle name="40% - akcent 3 89" xfId="3747"/>
    <cellStyle name="40% - akcent 3 89 2" xfId="3748"/>
    <cellStyle name="40% - akcent 3 9" xfId="3749"/>
    <cellStyle name="40% - akcent 3 90" xfId="3750"/>
    <cellStyle name="40% - akcent 3 90 2" xfId="3751"/>
    <cellStyle name="40% - akcent 3 91" xfId="3752"/>
    <cellStyle name="40% - akcent 3 91 2" xfId="3753"/>
    <cellStyle name="40% - akcent 3 92" xfId="3754"/>
    <cellStyle name="40% - akcent 3 92 2" xfId="3755"/>
    <cellStyle name="40% - akcent 3 93" xfId="3756"/>
    <cellStyle name="40% - akcent 3 93 2" xfId="3757"/>
    <cellStyle name="40% - akcent 3 94" xfId="3758"/>
    <cellStyle name="40% - akcent 3 94 2" xfId="3759"/>
    <cellStyle name="40% - akcent 3 95" xfId="3760"/>
    <cellStyle name="40% - akcent 3 95 2" xfId="3761"/>
    <cellStyle name="40% - akcent 3 96" xfId="3762"/>
    <cellStyle name="40% - akcent 3 96 2" xfId="3763"/>
    <cellStyle name="40% - akcent 3 97" xfId="3764"/>
    <cellStyle name="40% - akcent 3 97 2" xfId="3765"/>
    <cellStyle name="40% - akcent 3 98" xfId="3766"/>
    <cellStyle name="40% - akcent 3 98 2" xfId="3767"/>
    <cellStyle name="40% - akcent 3 99" xfId="3768"/>
    <cellStyle name="40% - akcent 3 99 2" xfId="3769"/>
    <cellStyle name="40% - akcent 4 10" xfId="3770"/>
    <cellStyle name="40% - akcent 4 100" xfId="3771"/>
    <cellStyle name="40% - akcent 4 100 2" xfId="3772"/>
    <cellStyle name="40% - akcent 4 101" xfId="3773"/>
    <cellStyle name="40% - akcent 4 101 2" xfId="3774"/>
    <cellStyle name="40% - akcent 4 102" xfId="3775"/>
    <cellStyle name="40% - akcent 4 102 2" xfId="3776"/>
    <cellStyle name="40% - akcent 4 103" xfId="3777"/>
    <cellStyle name="40% - akcent 4 103 2" xfId="3778"/>
    <cellStyle name="40% - akcent 4 104" xfId="3779"/>
    <cellStyle name="40% - akcent 4 104 2" xfId="3780"/>
    <cellStyle name="40% - akcent 4 105" xfId="3781"/>
    <cellStyle name="40% - akcent 4 105 2" xfId="3782"/>
    <cellStyle name="40% - akcent 4 106" xfId="3783"/>
    <cellStyle name="40% - akcent 4 106 2" xfId="3784"/>
    <cellStyle name="40% - akcent 4 107" xfId="3785"/>
    <cellStyle name="40% - akcent 4 107 2" xfId="3786"/>
    <cellStyle name="40% - akcent 4 108" xfId="3787"/>
    <cellStyle name="40% - akcent 4 108 2" xfId="3788"/>
    <cellStyle name="40% - akcent 4 109" xfId="3789"/>
    <cellStyle name="40% - akcent 4 109 2" xfId="3790"/>
    <cellStyle name="40% - akcent 4 11" xfId="3791"/>
    <cellStyle name="40% - akcent 4 110" xfId="3792"/>
    <cellStyle name="40% - akcent 4 110 2" xfId="3793"/>
    <cellStyle name="40% - akcent 4 111" xfId="3794"/>
    <cellStyle name="40% - akcent 4 111 2" xfId="3795"/>
    <cellStyle name="40% - akcent 4 112" xfId="3796"/>
    <cellStyle name="40% - akcent 4 112 2" xfId="3797"/>
    <cellStyle name="40% - akcent 4 113" xfId="3798"/>
    <cellStyle name="40% - akcent 4 113 2" xfId="3799"/>
    <cellStyle name="40% - akcent 4 114" xfId="3800"/>
    <cellStyle name="40% - akcent 4 114 2" xfId="3801"/>
    <cellStyle name="40% - akcent 4 115" xfId="3802"/>
    <cellStyle name="40% - akcent 4 115 2" xfId="3803"/>
    <cellStyle name="40% - akcent 4 116" xfId="3804"/>
    <cellStyle name="40% - akcent 4 116 2" xfId="3805"/>
    <cellStyle name="40% - akcent 4 117" xfId="3806"/>
    <cellStyle name="40% - akcent 4 117 2" xfId="3807"/>
    <cellStyle name="40% - akcent 4 118" xfId="3808"/>
    <cellStyle name="40% - akcent 4 118 2" xfId="3809"/>
    <cellStyle name="40% - akcent 4 119" xfId="3810"/>
    <cellStyle name="40% - akcent 4 119 2" xfId="3811"/>
    <cellStyle name="40% - akcent 4 12" xfId="3812"/>
    <cellStyle name="40% - akcent 4 120" xfId="3813"/>
    <cellStyle name="40% - akcent 4 121" xfId="3814"/>
    <cellStyle name="40% - akcent 4 13" xfId="3815"/>
    <cellStyle name="40% - akcent 4 14" xfId="3816"/>
    <cellStyle name="40% - akcent 4 15" xfId="3817"/>
    <cellStyle name="40% - akcent 4 16" xfId="3818"/>
    <cellStyle name="40% - akcent 4 17" xfId="3819"/>
    <cellStyle name="40% - akcent 4 18" xfId="3820"/>
    <cellStyle name="40% - akcent 4 19" xfId="3821"/>
    <cellStyle name="40% - akcent 4 2" xfId="3822"/>
    <cellStyle name="40% - akcent 4 2 10" xfId="3823"/>
    <cellStyle name="40% - akcent 4 2 10 2" xfId="3824"/>
    <cellStyle name="40% - akcent 4 2 10 3" xfId="3825"/>
    <cellStyle name="40% - akcent 4 2 10 4" xfId="3826"/>
    <cellStyle name="40% - akcent 4 2 10 5" xfId="3827"/>
    <cellStyle name="40% - akcent 4 2 10 6" xfId="3828"/>
    <cellStyle name="40% - akcent 4 2 11" xfId="3829"/>
    <cellStyle name="40% - akcent 4 2 11 2" xfId="3830"/>
    <cellStyle name="40% - akcent 4 2 11 3" xfId="3831"/>
    <cellStyle name="40% - akcent 4 2 11 4" xfId="3832"/>
    <cellStyle name="40% - akcent 4 2 11 5" xfId="3833"/>
    <cellStyle name="40% - akcent 4 2 11 6" xfId="3834"/>
    <cellStyle name="40% - akcent 4 2 12" xfId="3835"/>
    <cellStyle name="40% - akcent 4 2 12 2" xfId="3836"/>
    <cellStyle name="40% - akcent 4 2 12 3" xfId="3837"/>
    <cellStyle name="40% - akcent 4 2 12 4" xfId="3838"/>
    <cellStyle name="40% - akcent 4 2 12 5" xfId="3839"/>
    <cellStyle name="40% - akcent 4 2 12 6" xfId="3840"/>
    <cellStyle name="40% - akcent 4 2 13" xfId="3841"/>
    <cellStyle name="40% - akcent 4 2 13 2" xfId="3842"/>
    <cellStyle name="40% - akcent 4 2 13 3" xfId="3843"/>
    <cellStyle name="40% - akcent 4 2 13 4" xfId="3844"/>
    <cellStyle name="40% - akcent 4 2 13 5" xfId="3845"/>
    <cellStyle name="40% - akcent 4 2 13 6" xfId="3846"/>
    <cellStyle name="40% - akcent 4 2 14" xfId="3847"/>
    <cellStyle name="40% - akcent 4 2 14 2" xfId="3848"/>
    <cellStyle name="40% - akcent 4 2 14 3" xfId="3849"/>
    <cellStyle name="40% - akcent 4 2 14 4" xfId="3850"/>
    <cellStyle name="40% - akcent 4 2 14 5" xfId="3851"/>
    <cellStyle name="40% - akcent 4 2 14 6" xfId="3852"/>
    <cellStyle name="40% - akcent 4 2 15" xfId="3853"/>
    <cellStyle name="40% - akcent 4 2 15 2" xfId="3854"/>
    <cellStyle name="40% - akcent 4 2 15 3" xfId="3855"/>
    <cellStyle name="40% - akcent 4 2 15 4" xfId="3856"/>
    <cellStyle name="40% - akcent 4 2 15 5" xfId="3857"/>
    <cellStyle name="40% - akcent 4 2 15 6" xfId="3858"/>
    <cellStyle name="40% - akcent 4 2 16" xfId="3859"/>
    <cellStyle name="40% - akcent 4 2 16 2" xfId="3860"/>
    <cellStyle name="40% - akcent 4 2 16 3" xfId="3861"/>
    <cellStyle name="40% - akcent 4 2 16 4" xfId="3862"/>
    <cellStyle name="40% - akcent 4 2 16 5" xfId="3863"/>
    <cellStyle name="40% - akcent 4 2 16 6" xfId="3864"/>
    <cellStyle name="40% - akcent 4 2 17" xfId="3865"/>
    <cellStyle name="40% - akcent 4 2 17 2" xfId="3866"/>
    <cellStyle name="40% - akcent 4 2 17 3" xfId="3867"/>
    <cellStyle name="40% - akcent 4 2 17 4" xfId="3868"/>
    <cellStyle name="40% - akcent 4 2 17 5" xfId="3869"/>
    <cellStyle name="40% - akcent 4 2 17 6" xfId="3870"/>
    <cellStyle name="40% - akcent 4 2 18" xfId="3871"/>
    <cellStyle name="40% - akcent 4 2 18 2" xfId="3872"/>
    <cellStyle name="40% - akcent 4 2 18 3" xfId="3873"/>
    <cellStyle name="40% - akcent 4 2 18 4" xfId="3874"/>
    <cellStyle name="40% - akcent 4 2 18 5" xfId="3875"/>
    <cellStyle name="40% - akcent 4 2 18 6" xfId="3876"/>
    <cellStyle name="40% - akcent 4 2 19" xfId="3877"/>
    <cellStyle name="40% - akcent 4 2 19 2" xfId="3878"/>
    <cellStyle name="40% - akcent 4 2 19 3" xfId="3879"/>
    <cellStyle name="40% - akcent 4 2 19 4" xfId="3880"/>
    <cellStyle name="40% - akcent 4 2 19 5" xfId="3881"/>
    <cellStyle name="40% - akcent 4 2 19 6" xfId="3882"/>
    <cellStyle name="40% - akcent 4 2 2" xfId="3883"/>
    <cellStyle name="40% - akcent 4 2 2 2" xfId="3884"/>
    <cellStyle name="40% - akcent 4 2 2 3" xfId="3885"/>
    <cellStyle name="40% - akcent 4 2 2 4" xfId="3886"/>
    <cellStyle name="40% - akcent 4 2 2 5" xfId="3887"/>
    <cellStyle name="40% - akcent 4 2 2 6" xfId="3888"/>
    <cellStyle name="40% - akcent 4 2 2 7" xfId="3889"/>
    <cellStyle name="40% - akcent 4 2 20" xfId="3890"/>
    <cellStyle name="40% - akcent 4 2 20 2" xfId="3891"/>
    <cellStyle name="40% - akcent 4 2 20 3" xfId="3892"/>
    <cellStyle name="40% - akcent 4 2 20 4" xfId="3893"/>
    <cellStyle name="40% - akcent 4 2 20 5" xfId="3894"/>
    <cellStyle name="40% - akcent 4 2 20 6" xfId="3895"/>
    <cellStyle name="40% - akcent 4 2 21" xfId="3896"/>
    <cellStyle name="40% - akcent 4 2 21 2" xfId="3897"/>
    <cellStyle name="40% - akcent 4 2 21 3" xfId="3898"/>
    <cellStyle name="40% - akcent 4 2 21 4" xfId="3899"/>
    <cellStyle name="40% - akcent 4 2 21 5" xfId="3900"/>
    <cellStyle name="40% - akcent 4 2 21 6" xfId="3901"/>
    <cellStyle name="40% - akcent 4 2 22" xfId="3902"/>
    <cellStyle name="40% - akcent 4 2 22 2" xfId="3903"/>
    <cellStyle name="40% - akcent 4 2 22 3" xfId="3904"/>
    <cellStyle name="40% - akcent 4 2 22 4" xfId="3905"/>
    <cellStyle name="40% - akcent 4 2 22 5" xfId="3906"/>
    <cellStyle name="40% - akcent 4 2 22 6" xfId="3907"/>
    <cellStyle name="40% - akcent 4 2 23" xfId="3908"/>
    <cellStyle name="40% - akcent 4 2 23 2" xfId="3909"/>
    <cellStyle name="40% - akcent 4 2 23 3" xfId="3910"/>
    <cellStyle name="40% - akcent 4 2 23 4" xfId="3911"/>
    <cellStyle name="40% - akcent 4 2 23 5" xfId="3912"/>
    <cellStyle name="40% - akcent 4 2 23 6" xfId="3913"/>
    <cellStyle name="40% - akcent 4 2 24" xfId="3914"/>
    <cellStyle name="40% - akcent 4 2 24 2" xfId="3915"/>
    <cellStyle name="40% - akcent 4 2 24 3" xfId="3916"/>
    <cellStyle name="40% - akcent 4 2 24 4" xfId="3917"/>
    <cellStyle name="40% - akcent 4 2 24 5" xfId="3918"/>
    <cellStyle name="40% - akcent 4 2 24 6" xfId="3919"/>
    <cellStyle name="40% - akcent 4 2 25" xfId="3920"/>
    <cellStyle name="40% - akcent 4 2 25 2" xfId="3921"/>
    <cellStyle name="40% - akcent 4 2 25 3" xfId="3922"/>
    <cellStyle name="40% - akcent 4 2 25 4" xfId="3923"/>
    <cellStyle name="40% - akcent 4 2 25 5" xfId="3924"/>
    <cellStyle name="40% - akcent 4 2 25 6" xfId="3925"/>
    <cellStyle name="40% - akcent 4 2 26" xfId="3926"/>
    <cellStyle name="40% - akcent 4 2 26 2" xfId="3927"/>
    <cellStyle name="40% - akcent 4 2 26 3" xfId="3928"/>
    <cellStyle name="40% - akcent 4 2 26 4" xfId="3929"/>
    <cellStyle name="40% - akcent 4 2 26 5" xfId="3930"/>
    <cellStyle name="40% - akcent 4 2 26 6" xfId="3931"/>
    <cellStyle name="40% - akcent 4 2 27" xfId="3932"/>
    <cellStyle name="40% - akcent 4 2 27 2" xfId="3933"/>
    <cellStyle name="40% - akcent 4 2 27 3" xfId="3934"/>
    <cellStyle name="40% - akcent 4 2 27 4" xfId="3935"/>
    <cellStyle name="40% - akcent 4 2 27 5" xfId="3936"/>
    <cellStyle name="40% - akcent 4 2 27 6" xfId="3937"/>
    <cellStyle name="40% - akcent 4 2 28" xfId="3938"/>
    <cellStyle name="40% - akcent 4 2 28 2" xfId="3939"/>
    <cellStyle name="40% - akcent 4 2 28 3" xfId="3940"/>
    <cellStyle name="40% - akcent 4 2 28 4" xfId="3941"/>
    <cellStyle name="40% - akcent 4 2 28 5" xfId="3942"/>
    <cellStyle name="40% - akcent 4 2 28 6" xfId="3943"/>
    <cellStyle name="40% - akcent 4 2 29" xfId="3944"/>
    <cellStyle name="40% - akcent 4 2 29 2" xfId="3945"/>
    <cellStyle name="40% - akcent 4 2 3" xfId="3946"/>
    <cellStyle name="40% - akcent 4 2 3 2" xfId="3947"/>
    <cellStyle name="40% - akcent 4 2 3 3" xfId="3948"/>
    <cellStyle name="40% - akcent 4 2 3 4" xfId="3949"/>
    <cellStyle name="40% - akcent 4 2 3 5" xfId="3950"/>
    <cellStyle name="40% - akcent 4 2 3 6" xfId="3951"/>
    <cellStyle name="40% - akcent 4 2 3 7" xfId="3952"/>
    <cellStyle name="40% - akcent 4 2 30" xfId="3953"/>
    <cellStyle name="40% - akcent 4 2 30 2" xfId="3954"/>
    <cellStyle name="40% - akcent 4 2 31" xfId="3955"/>
    <cellStyle name="40% - akcent 4 2 31 2" xfId="3956"/>
    <cellStyle name="40% - akcent 4 2 32" xfId="3957"/>
    <cellStyle name="40% - akcent 4 2 32 2" xfId="3958"/>
    <cellStyle name="40% - akcent 4 2 33" xfId="3959"/>
    <cellStyle name="40% - akcent 4 2 34" xfId="3960"/>
    <cellStyle name="40% - akcent 4 2 35" xfId="3961"/>
    <cellStyle name="40% - akcent 4 2 36" xfId="3962"/>
    <cellStyle name="40% - akcent 4 2 37" xfId="3963"/>
    <cellStyle name="40% - akcent 4 2 38" xfId="3964"/>
    <cellStyle name="40% - akcent 4 2 39" xfId="3965"/>
    <cellStyle name="40% - akcent 4 2 4" xfId="3966"/>
    <cellStyle name="40% - akcent 4 2 4 2" xfId="3967"/>
    <cellStyle name="40% - akcent 4 2 4 3" xfId="3968"/>
    <cellStyle name="40% - akcent 4 2 4 4" xfId="3969"/>
    <cellStyle name="40% - akcent 4 2 4 5" xfId="3970"/>
    <cellStyle name="40% - akcent 4 2 4 6" xfId="3971"/>
    <cellStyle name="40% - akcent 4 2 4 7" xfId="3972"/>
    <cellStyle name="40% - akcent 4 2 40" xfId="3973"/>
    <cellStyle name="40% - akcent 4 2 41" xfId="3974"/>
    <cellStyle name="40% - akcent 4 2 42" xfId="3975"/>
    <cellStyle name="40% - akcent 4 2 43" xfId="3976"/>
    <cellStyle name="40% - akcent 4 2 44" xfId="3977"/>
    <cellStyle name="40% - akcent 4 2 45" xfId="3978"/>
    <cellStyle name="40% - akcent 4 2 46" xfId="3979"/>
    <cellStyle name="40% - akcent 4 2 47" xfId="3980"/>
    <cellStyle name="40% - akcent 4 2 48" xfId="3981"/>
    <cellStyle name="40% - akcent 4 2 49" xfId="3982"/>
    <cellStyle name="40% - akcent 4 2 5" xfId="3983"/>
    <cellStyle name="40% - akcent 4 2 5 2" xfId="3984"/>
    <cellStyle name="40% - akcent 4 2 5 3" xfId="3985"/>
    <cellStyle name="40% - akcent 4 2 5 4" xfId="3986"/>
    <cellStyle name="40% - akcent 4 2 5 5" xfId="3987"/>
    <cellStyle name="40% - akcent 4 2 5 6" xfId="3988"/>
    <cellStyle name="40% - akcent 4 2 50" xfId="3989"/>
    <cellStyle name="40% - akcent 4 2 51" xfId="3990"/>
    <cellStyle name="40% - akcent 4 2 6" xfId="3991"/>
    <cellStyle name="40% - akcent 4 2 6 2" xfId="3992"/>
    <cellStyle name="40% - akcent 4 2 6 3" xfId="3993"/>
    <cellStyle name="40% - akcent 4 2 6 4" xfId="3994"/>
    <cellStyle name="40% - akcent 4 2 6 5" xfId="3995"/>
    <cellStyle name="40% - akcent 4 2 6 6" xfId="3996"/>
    <cellStyle name="40% - akcent 4 2 7" xfId="3997"/>
    <cellStyle name="40% - akcent 4 2 7 2" xfId="3998"/>
    <cellStyle name="40% - akcent 4 2 7 3" xfId="3999"/>
    <cellStyle name="40% - akcent 4 2 7 4" xfId="4000"/>
    <cellStyle name="40% - akcent 4 2 7 5" xfId="4001"/>
    <cellStyle name="40% - akcent 4 2 7 6" xfId="4002"/>
    <cellStyle name="40% - akcent 4 2 8" xfId="4003"/>
    <cellStyle name="40% - akcent 4 2 8 2" xfId="4004"/>
    <cellStyle name="40% - akcent 4 2 8 3" xfId="4005"/>
    <cellStyle name="40% - akcent 4 2 8 4" xfId="4006"/>
    <cellStyle name="40% - akcent 4 2 8 5" xfId="4007"/>
    <cellStyle name="40% - akcent 4 2 8 6" xfId="4008"/>
    <cellStyle name="40% - akcent 4 2 9" xfId="4009"/>
    <cellStyle name="40% - akcent 4 2 9 2" xfId="4010"/>
    <cellStyle name="40% - akcent 4 2 9 3" xfId="4011"/>
    <cellStyle name="40% - akcent 4 2 9 4" xfId="4012"/>
    <cellStyle name="40% - akcent 4 2 9 5" xfId="4013"/>
    <cellStyle name="40% - akcent 4 2 9 6" xfId="4014"/>
    <cellStyle name="40% - akcent 4 20" xfId="4015"/>
    <cellStyle name="40% - akcent 4 21" xfId="4016"/>
    <cellStyle name="40% - akcent 4 22" xfId="4017"/>
    <cellStyle name="40% - akcent 4 23" xfId="4018"/>
    <cellStyle name="40% - akcent 4 24" xfId="4019"/>
    <cellStyle name="40% - akcent 4 25" xfId="4020"/>
    <cellStyle name="40% - akcent 4 26" xfId="4021"/>
    <cellStyle name="40% - akcent 4 27" xfId="4022"/>
    <cellStyle name="40% - akcent 4 28" xfId="4023"/>
    <cellStyle name="40% - akcent 4 29" xfId="4024"/>
    <cellStyle name="40% - akcent 4 3" xfId="4025"/>
    <cellStyle name="40% - akcent 4 3 2" xfId="4026"/>
    <cellStyle name="40% - akcent 4 3 2 2" xfId="4027"/>
    <cellStyle name="40% - akcent 4 3 3" xfId="4028"/>
    <cellStyle name="40% - akcent 4 3 3 2" xfId="4029"/>
    <cellStyle name="40% - akcent 4 3 4" xfId="4030"/>
    <cellStyle name="40% - akcent 4 3 4 2" xfId="4031"/>
    <cellStyle name="40% - akcent 4 3 5" xfId="4032"/>
    <cellStyle name="40% - akcent 4 3 6" xfId="4033"/>
    <cellStyle name="40% - akcent 4 3 7" xfId="4034"/>
    <cellStyle name="40% - akcent 4 3 8" xfId="4035"/>
    <cellStyle name="40% - akcent 4 30" xfId="4036"/>
    <cellStyle name="40% - akcent 4 30 2" xfId="4037"/>
    <cellStyle name="40% - akcent 4 31" xfId="4038"/>
    <cellStyle name="40% - akcent 4 31 2" xfId="4039"/>
    <cellStyle name="40% - akcent 4 32" xfId="4040"/>
    <cellStyle name="40% - akcent 4 32 2" xfId="4041"/>
    <cellStyle name="40% - akcent 4 33" xfId="4042"/>
    <cellStyle name="40% - akcent 4 33 2" xfId="4043"/>
    <cellStyle name="40% - akcent 4 34" xfId="4044"/>
    <cellStyle name="40% - akcent 4 34 2" xfId="4045"/>
    <cellStyle name="40% - akcent 4 35" xfId="4046"/>
    <cellStyle name="40% - akcent 4 35 2" xfId="4047"/>
    <cellStyle name="40% - akcent 4 36" xfId="4048"/>
    <cellStyle name="40% - akcent 4 36 2" xfId="4049"/>
    <cellStyle name="40% - akcent 4 37" xfId="4050"/>
    <cellStyle name="40% - akcent 4 37 2" xfId="4051"/>
    <cellStyle name="40% - akcent 4 38" xfId="4052"/>
    <cellStyle name="40% - akcent 4 38 2" xfId="4053"/>
    <cellStyle name="40% - akcent 4 39" xfId="4054"/>
    <cellStyle name="40% - akcent 4 39 2" xfId="4055"/>
    <cellStyle name="40% - akcent 4 4" xfId="4056"/>
    <cellStyle name="40% - akcent 4 4 2" xfId="4057"/>
    <cellStyle name="40% - akcent 4 4 2 2" xfId="4058"/>
    <cellStyle name="40% - akcent 4 4 3" xfId="4059"/>
    <cellStyle name="40% - akcent 4 4 3 2" xfId="4060"/>
    <cellStyle name="40% - akcent 4 4 4" xfId="4061"/>
    <cellStyle name="40% - akcent 4 4 4 2" xfId="4062"/>
    <cellStyle name="40% - akcent 4 4 5" xfId="4063"/>
    <cellStyle name="40% - akcent 4 4 6" xfId="4064"/>
    <cellStyle name="40% - akcent 4 4 7" xfId="4065"/>
    <cellStyle name="40% - akcent 4 4 8" xfId="4066"/>
    <cellStyle name="40% - akcent 4 40" xfId="4067"/>
    <cellStyle name="40% - akcent 4 40 2" xfId="4068"/>
    <cellStyle name="40% - akcent 4 41" xfId="4069"/>
    <cellStyle name="40% - akcent 4 41 2" xfId="4070"/>
    <cellStyle name="40% - akcent 4 42" xfId="4071"/>
    <cellStyle name="40% - akcent 4 42 2" xfId="4072"/>
    <cellStyle name="40% - akcent 4 43" xfId="4073"/>
    <cellStyle name="40% - akcent 4 43 2" xfId="4074"/>
    <cellStyle name="40% - akcent 4 44" xfId="4075"/>
    <cellStyle name="40% - akcent 4 44 2" xfId="4076"/>
    <cellStyle name="40% - akcent 4 45" xfId="4077"/>
    <cellStyle name="40% - akcent 4 45 2" xfId="4078"/>
    <cellStyle name="40% - akcent 4 46" xfId="4079"/>
    <cellStyle name="40% - akcent 4 46 2" xfId="4080"/>
    <cellStyle name="40% - akcent 4 47" xfId="4081"/>
    <cellStyle name="40% - akcent 4 47 2" xfId="4082"/>
    <cellStyle name="40% - akcent 4 48" xfId="4083"/>
    <cellStyle name="40% - akcent 4 48 2" xfId="4084"/>
    <cellStyle name="40% - akcent 4 49" xfId="4085"/>
    <cellStyle name="40% - akcent 4 49 2" xfId="4086"/>
    <cellStyle name="40% - akcent 4 5" xfId="4087"/>
    <cellStyle name="40% - akcent 4 5 2" xfId="4088"/>
    <cellStyle name="40% - akcent 4 5 3" xfId="4089"/>
    <cellStyle name="40% - akcent 4 50" xfId="4090"/>
    <cellStyle name="40% - akcent 4 50 2" xfId="4091"/>
    <cellStyle name="40% - akcent 4 51" xfId="4092"/>
    <cellStyle name="40% - akcent 4 51 2" xfId="4093"/>
    <cellStyle name="40% - akcent 4 52" xfId="4094"/>
    <cellStyle name="40% - akcent 4 52 2" xfId="4095"/>
    <cellStyle name="40% - akcent 4 53" xfId="4096"/>
    <cellStyle name="40% - akcent 4 53 2" xfId="4097"/>
    <cellStyle name="40% - akcent 4 54" xfId="4098"/>
    <cellStyle name="40% - akcent 4 54 2" xfId="4099"/>
    <cellStyle name="40% - akcent 4 55" xfId="4100"/>
    <cellStyle name="40% - akcent 4 55 2" xfId="4101"/>
    <cellStyle name="40% - akcent 4 56" xfId="4102"/>
    <cellStyle name="40% - akcent 4 56 2" xfId="4103"/>
    <cellStyle name="40% - akcent 4 57" xfId="4104"/>
    <cellStyle name="40% - akcent 4 57 2" xfId="4105"/>
    <cellStyle name="40% - akcent 4 58" xfId="4106"/>
    <cellStyle name="40% - akcent 4 58 2" xfId="4107"/>
    <cellStyle name="40% - akcent 4 59" xfId="4108"/>
    <cellStyle name="40% - akcent 4 59 2" xfId="4109"/>
    <cellStyle name="40% - akcent 4 6" xfId="4110"/>
    <cellStyle name="40% - akcent 4 60" xfId="4111"/>
    <cellStyle name="40% - akcent 4 60 2" xfId="4112"/>
    <cellStyle name="40% - akcent 4 61" xfId="4113"/>
    <cellStyle name="40% - akcent 4 61 2" xfId="4114"/>
    <cellStyle name="40% - akcent 4 62" xfId="4115"/>
    <cellStyle name="40% - akcent 4 62 2" xfId="4116"/>
    <cellStyle name="40% - akcent 4 63" xfId="4117"/>
    <cellStyle name="40% - akcent 4 63 2" xfId="4118"/>
    <cellStyle name="40% - akcent 4 64" xfId="4119"/>
    <cellStyle name="40% - akcent 4 64 2" xfId="4120"/>
    <cellStyle name="40% - akcent 4 65" xfId="4121"/>
    <cellStyle name="40% - akcent 4 65 2" xfId="4122"/>
    <cellStyle name="40% - akcent 4 66" xfId="4123"/>
    <cellStyle name="40% - akcent 4 66 2" xfId="4124"/>
    <cellStyle name="40% - akcent 4 67" xfId="4125"/>
    <cellStyle name="40% - akcent 4 67 2" xfId="4126"/>
    <cellStyle name="40% - akcent 4 68" xfId="4127"/>
    <cellStyle name="40% - akcent 4 68 2" xfId="4128"/>
    <cellStyle name="40% - akcent 4 69" xfId="4129"/>
    <cellStyle name="40% - akcent 4 69 2" xfId="4130"/>
    <cellStyle name="40% - akcent 4 7" xfId="4131"/>
    <cellStyle name="40% - akcent 4 70" xfId="4132"/>
    <cellStyle name="40% - akcent 4 70 2" xfId="4133"/>
    <cellStyle name="40% - akcent 4 71" xfId="4134"/>
    <cellStyle name="40% - akcent 4 71 2" xfId="4135"/>
    <cellStyle name="40% - akcent 4 72" xfId="4136"/>
    <cellStyle name="40% - akcent 4 72 2" xfId="4137"/>
    <cellStyle name="40% - akcent 4 73" xfId="4138"/>
    <cellStyle name="40% - akcent 4 73 2" xfId="4139"/>
    <cellStyle name="40% - akcent 4 74" xfId="4140"/>
    <cellStyle name="40% - akcent 4 74 2" xfId="4141"/>
    <cellStyle name="40% - akcent 4 75" xfId="4142"/>
    <cellStyle name="40% - akcent 4 75 2" xfId="4143"/>
    <cellStyle name="40% - akcent 4 76" xfId="4144"/>
    <cellStyle name="40% - akcent 4 76 2" xfId="4145"/>
    <cellStyle name="40% - akcent 4 77" xfId="4146"/>
    <cellStyle name="40% - akcent 4 77 2" xfId="4147"/>
    <cellStyle name="40% - akcent 4 78" xfId="4148"/>
    <cellStyle name="40% - akcent 4 78 2" xfId="4149"/>
    <cellStyle name="40% - akcent 4 79" xfId="4150"/>
    <cellStyle name="40% - akcent 4 79 2" xfId="4151"/>
    <cellStyle name="40% - akcent 4 8" xfId="4152"/>
    <cellStyle name="40% - akcent 4 80" xfId="4153"/>
    <cellStyle name="40% - akcent 4 80 2" xfId="4154"/>
    <cellStyle name="40% - akcent 4 81" xfId="4155"/>
    <cellStyle name="40% - akcent 4 81 2" xfId="4156"/>
    <cellStyle name="40% - akcent 4 82" xfId="4157"/>
    <cellStyle name="40% - akcent 4 82 2" xfId="4158"/>
    <cellStyle name="40% - akcent 4 83" xfId="4159"/>
    <cellStyle name="40% - akcent 4 83 2" xfId="4160"/>
    <cellStyle name="40% - akcent 4 84" xfId="4161"/>
    <cellStyle name="40% - akcent 4 84 2" xfId="4162"/>
    <cellStyle name="40% - akcent 4 85" xfId="4163"/>
    <cellStyle name="40% - akcent 4 85 2" xfId="4164"/>
    <cellStyle name="40% - akcent 4 86" xfId="4165"/>
    <cellStyle name="40% - akcent 4 86 2" xfId="4166"/>
    <cellStyle name="40% - akcent 4 87" xfId="4167"/>
    <cellStyle name="40% - akcent 4 87 2" xfId="4168"/>
    <cellStyle name="40% - akcent 4 88" xfId="4169"/>
    <cellStyle name="40% - akcent 4 88 2" xfId="4170"/>
    <cellStyle name="40% - akcent 4 89" xfId="4171"/>
    <cellStyle name="40% - akcent 4 89 2" xfId="4172"/>
    <cellStyle name="40% - akcent 4 9" xfId="4173"/>
    <cellStyle name="40% - akcent 4 90" xfId="4174"/>
    <cellStyle name="40% - akcent 4 90 2" xfId="4175"/>
    <cellStyle name="40% - akcent 4 91" xfId="4176"/>
    <cellStyle name="40% - akcent 4 91 2" xfId="4177"/>
    <cellStyle name="40% - akcent 4 92" xfId="4178"/>
    <cellStyle name="40% - akcent 4 92 2" xfId="4179"/>
    <cellStyle name="40% - akcent 4 93" xfId="4180"/>
    <cellStyle name="40% - akcent 4 93 2" xfId="4181"/>
    <cellStyle name="40% - akcent 4 94" xfId="4182"/>
    <cellStyle name="40% - akcent 4 94 2" xfId="4183"/>
    <cellStyle name="40% - akcent 4 95" xfId="4184"/>
    <cellStyle name="40% - akcent 4 95 2" xfId="4185"/>
    <cellStyle name="40% - akcent 4 96" xfId="4186"/>
    <cellStyle name="40% - akcent 4 96 2" xfId="4187"/>
    <cellStyle name="40% - akcent 4 97" xfId="4188"/>
    <cellStyle name="40% - akcent 4 97 2" xfId="4189"/>
    <cellStyle name="40% - akcent 4 98" xfId="4190"/>
    <cellStyle name="40% - akcent 4 98 2" xfId="4191"/>
    <cellStyle name="40% - akcent 4 99" xfId="4192"/>
    <cellStyle name="40% - akcent 4 99 2" xfId="4193"/>
    <cellStyle name="40% - akcent 5 10" xfId="4194"/>
    <cellStyle name="40% - akcent 5 100" xfId="4195"/>
    <cellStyle name="40% - akcent 5 100 2" xfId="4196"/>
    <cellStyle name="40% - akcent 5 101" xfId="4197"/>
    <cellStyle name="40% - akcent 5 101 2" xfId="4198"/>
    <cellStyle name="40% - akcent 5 102" xfId="4199"/>
    <cellStyle name="40% - akcent 5 102 2" xfId="4200"/>
    <cellStyle name="40% - akcent 5 103" xfId="4201"/>
    <cellStyle name="40% - akcent 5 103 2" xfId="4202"/>
    <cellStyle name="40% - akcent 5 104" xfId="4203"/>
    <cellStyle name="40% - akcent 5 104 2" xfId="4204"/>
    <cellStyle name="40% - akcent 5 105" xfId="4205"/>
    <cellStyle name="40% - akcent 5 105 2" xfId="4206"/>
    <cellStyle name="40% - akcent 5 106" xfId="4207"/>
    <cellStyle name="40% - akcent 5 106 2" xfId="4208"/>
    <cellStyle name="40% - akcent 5 107" xfId="4209"/>
    <cellStyle name="40% - akcent 5 107 2" xfId="4210"/>
    <cellStyle name="40% - akcent 5 108" xfId="4211"/>
    <cellStyle name="40% - akcent 5 108 2" xfId="4212"/>
    <cellStyle name="40% - akcent 5 109" xfId="4213"/>
    <cellStyle name="40% - akcent 5 109 2" xfId="4214"/>
    <cellStyle name="40% - akcent 5 11" xfId="4215"/>
    <cellStyle name="40% - akcent 5 110" xfId="4216"/>
    <cellStyle name="40% - akcent 5 110 2" xfId="4217"/>
    <cellStyle name="40% - akcent 5 111" xfId="4218"/>
    <cellStyle name="40% - akcent 5 111 2" xfId="4219"/>
    <cellStyle name="40% - akcent 5 112" xfId="4220"/>
    <cellStyle name="40% - akcent 5 112 2" xfId="4221"/>
    <cellStyle name="40% - akcent 5 113" xfId="4222"/>
    <cellStyle name="40% - akcent 5 113 2" xfId="4223"/>
    <cellStyle name="40% - akcent 5 114" xfId="4224"/>
    <cellStyle name="40% - akcent 5 114 2" xfId="4225"/>
    <cellStyle name="40% - akcent 5 115" xfId="4226"/>
    <cellStyle name="40% - akcent 5 115 2" xfId="4227"/>
    <cellStyle name="40% - akcent 5 116" xfId="4228"/>
    <cellStyle name="40% - akcent 5 116 2" xfId="4229"/>
    <cellStyle name="40% - akcent 5 117" xfId="4230"/>
    <cellStyle name="40% - akcent 5 117 2" xfId="4231"/>
    <cellStyle name="40% - akcent 5 118" xfId="4232"/>
    <cellStyle name="40% - akcent 5 118 2" xfId="4233"/>
    <cellStyle name="40% - akcent 5 119" xfId="4234"/>
    <cellStyle name="40% - akcent 5 119 2" xfId="4235"/>
    <cellStyle name="40% - akcent 5 12" xfId="4236"/>
    <cellStyle name="40% - akcent 5 120" xfId="4237"/>
    <cellStyle name="40% - akcent 5 121" xfId="4238"/>
    <cellStyle name="40% - akcent 5 13" xfId="4239"/>
    <cellStyle name="40% - akcent 5 14" xfId="4240"/>
    <cellStyle name="40% - akcent 5 15" xfId="4241"/>
    <cellStyle name="40% - akcent 5 16" xfId="4242"/>
    <cellStyle name="40% - akcent 5 17" xfId="4243"/>
    <cellStyle name="40% - akcent 5 18" xfId="4244"/>
    <cellStyle name="40% - akcent 5 19" xfId="4245"/>
    <cellStyle name="40% - akcent 5 2" xfId="4246"/>
    <cellStyle name="40% - akcent 5 2 10" xfId="4247"/>
    <cellStyle name="40% - akcent 5 2 10 2" xfId="4248"/>
    <cellStyle name="40% - akcent 5 2 10 3" xfId="4249"/>
    <cellStyle name="40% - akcent 5 2 10 4" xfId="4250"/>
    <cellStyle name="40% - akcent 5 2 10 5" xfId="4251"/>
    <cellStyle name="40% - akcent 5 2 10 6" xfId="4252"/>
    <cellStyle name="40% - akcent 5 2 11" xfId="4253"/>
    <cellStyle name="40% - akcent 5 2 11 2" xfId="4254"/>
    <cellStyle name="40% - akcent 5 2 11 3" xfId="4255"/>
    <cellStyle name="40% - akcent 5 2 11 4" xfId="4256"/>
    <cellStyle name="40% - akcent 5 2 11 5" xfId="4257"/>
    <cellStyle name="40% - akcent 5 2 11 6" xfId="4258"/>
    <cellStyle name="40% - akcent 5 2 12" xfId="4259"/>
    <cellStyle name="40% - akcent 5 2 12 2" xfId="4260"/>
    <cellStyle name="40% - akcent 5 2 12 3" xfId="4261"/>
    <cellStyle name="40% - akcent 5 2 12 4" xfId="4262"/>
    <cellStyle name="40% - akcent 5 2 12 5" xfId="4263"/>
    <cellStyle name="40% - akcent 5 2 12 6" xfId="4264"/>
    <cellStyle name="40% - akcent 5 2 13" xfId="4265"/>
    <cellStyle name="40% - akcent 5 2 13 2" xfId="4266"/>
    <cellStyle name="40% - akcent 5 2 13 3" xfId="4267"/>
    <cellStyle name="40% - akcent 5 2 13 4" xfId="4268"/>
    <cellStyle name="40% - akcent 5 2 13 5" xfId="4269"/>
    <cellStyle name="40% - akcent 5 2 13 6" xfId="4270"/>
    <cellStyle name="40% - akcent 5 2 14" xfId="4271"/>
    <cellStyle name="40% - akcent 5 2 14 2" xfId="4272"/>
    <cellStyle name="40% - akcent 5 2 14 3" xfId="4273"/>
    <cellStyle name="40% - akcent 5 2 14 4" xfId="4274"/>
    <cellStyle name="40% - akcent 5 2 14 5" xfId="4275"/>
    <cellStyle name="40% - akcent 5 2 14 6" xfId="4276"/>
    <cellStyle name="40% - akcent 5 2 15" xfId="4277"/>
    <cellStyle name="40% - akcent 5 2 15 2" xfId="4278"/>
    <cellStyle name="40% - akcent 5 2 15 3" xfId="4279"/>
    <cellStyle name="40% - akcent 5 2 15 4" xfId="4280"/>
    <cellStyle name="40% - akcent 5 2 15 5" xfId="4281"/>
    <cellStyle name="40% - akcent 5 2 15 6" xfId="4282"/>
    <cellStyle name="40% - akcent 5 2 16" xfId="4283"/>
    <cellStyle name="40% - akcent 5 2 16 2" xfId="4284"/>
    <cellStyle name="40% - akcent 5 2 16 3" xfId="4285"/>
    <cellStyle name="40% - akcent 5 2 16 4" xfId="4286"/>
    <cellStyle name="40% - akcent 5 2 16 5" xfId="4287"/>
    <cellStyle name="40% - akcent 5 2 16 6" xfId="4288"/>
    <cellStyle name="40% - akcent 5 2 17" xfId="4289"/>
    <cellStyle name="40% - akcent 5 2 17 2" xfId="4290"/>
    <cellStyle name="40% - akcent 5 2 17 3" xfId="4291"/>
    <cellStyle name="40% - akcent 5 2 17 4" xfId="4292"/>
    <cellStyle name="40% - akcent 5 2 17 5" xfId="4293"/>
    <cellStyle name="40% - akcent 5 2 17 6" xfId="4294"/>
    <cellStyle name="40% - akcent 5 2 18" xfId="4295"/>
    <cellStyle name="40% - akcent 5 2 18 2" xfId="4296"/>
    <cellStyle name="40% - akcent 5 2 18 3" xfId="4297"/>
    <cellStyle name="40% - akcent 5 2 18 4" xfId="4298"/>
    <cellStyle name="40% - akcent 5 2 18 5" xfId="4299"/>
    <cellStyle name="40% - akcent 5 2 18 6" xfId="4300"/>
    <cellStyle name="40% - akcent 5 2 19" xfId="4301"/>
    <cellStyle name="40% - akcent 5 2 19 2" xfId="4302"/>
    <cellStyle name="40% - akcent 5 2 19 3" xfId="4303"/>
    <cellStyle name="40% - akcent 5 2 19 4" xfId="4304"/>
    <cellStyle name="40% - akcent 5 2 19 5" xfId="4305"/>
    <cellStyle name="40% - akcent 5 2 19 6" xfId="4306"/>
    <cellStyle name="40% - akcent 5 2 2" xfId="4307"/>
    <cellStyle name="40% - akcent 5 2 2 2" xfId="4308"/>
    <cellStyle name="40% - akcent 5 2 2 3" xfId="4309"/>
    <cellStyle name="40% - akcent 5 2 2 4" xfId="4310"/>
    <cellStyle name="40% - akcent 5 2 2 5" xfId="4311"/>
    <cellStyle name="40% - akcent 5 2 2 6" xfId="4312"/>
    <cellStyle name="40% - akcent 5 2 2 7" xfId="4313"/>
    <cellStyle name="40% - akcent 5 2 20" xfId="4314"/>
    <cellStyle name="40% - akcent 5 2 20 2" xfId="4315"/>
    <cellStyle name="40% - akcent 5 2 20 3" xfId="4316"/>
    <cellStyle name="40% - akcent 5 2 20 4" xfId="4317"/>
    <cellStyle name="40% - akcent 5 2 20 5" xfId="4318"/>
    <cellStyle name="40% - akcent 5 2 20 6" xfId="4319"/>
    <cellStyle name="40% - akcent 5 2 21" xfId="4320"/>
    <cellStyle name="40% - akcent 5 2 21 2" xfId="4321"/>
    <cellStyle name="40% - akcent 5 2 21 3" xfId="4322"/>
    <cellStyle name="40% - akcent 5 2 21 4" xfId="4323"/>
    <cellStyle name="40% - akcent 5 2 21 5" xfId="4324"/>
    <cellStyle name="40% - akcent 5 2 21 6" xfId="4325"/>
    <cellStyle name="40% - akcent 5 2 22" xfId="4326"/>
    <cellStyle name="40% - akcent 5 2 22 2" xfId="4327"/>
    <cellStyle name="40% - akcent 5 2 22 3" xfId="4328"/>
    <cellStyle name="40% - akcent 5 2 22 4" xfId="4329"/>
    <cellStyle name="40% - akcent 5 2 22 5" xfId="4330"/>
    <cellStyle name="40% - akcent 5 2 22 6" xfId="4331"/>
    <cellStyle name="40% - akcent 5 2 23" xfId="4332"/>
    <cellStyle name="40% - akcent 5 2 23 2" xfId="4333"/>
    <cellStyle name="40% - akcent 5 2 23 3" xfId="4334"/>
    <cellStyle name="40% - akcent 5 2 23 4" xfId="4335"/>
    <cellStyle name="40% - akcent 5 2 23 5" xfId="4336"/>
    <cellStyle name="40% - akcent 5 2 23 6" xfId="4337"/>
    <cellStyle name="40% - akcent 5 2 24" xfId="4338"/>
    <cellStyle name="40% - akcent 5 2 24 2" xfId="4339"/>
    <cellStyle name="40% - akcent 5 2 24 3" xfId="4340"/>
    <cellStyle name="40% - akcent 5 2 24 4" xfId="4341"/>
    <cellStyle name="40% - akcent 5 2 24 5" xfId="4342"/>
    <cellStyle name="40% - akcent 5 2 24 6" xfId="4343"/>
    <cellStyle name="40% - akcent 5 2 25" xfId="4344"/>
    <cellStyle name="40% - akcent 5 2 25 2" xfId="4345"/>
    <cellStyle name="40% - akcent 5 2 25 3" xfId="4346"/>
    <cellStyle name="40% - akcent 5 2 25 4" xfId="4347"/>
    <cellStyle name="40% - akcent 5 2 25 5" xfId="4348"/>
    <cellStyle name="40% - akcent 5 2 25 6" xfId="4349"/>
    <cellStyle name="40% - akcent 5 2 26" xfId="4350"/>
    <cellStyle name="40% - akcent 5 2 26 2" xfId="4351"/>
    <cellStyle name="40% - akcent 5 2 26 3" xfId="4352"/>
    <cellStyle name="40% - akcent 5 2 26 4" xfId="4353"/>
    <cellStyle name="40% - akcent 5 2 26 5" xfId="4354"/>
    <cellStyle name="40% - akcent 5 2 26 6" xfId="4355"/>
    <cellStyle name="40% - akcent 5 2 27" xfId="4356"/>
    <cellStyle name="40% - akcent 5 2 27 2" xfId="4357"/>
    <cellStyle name="40% - akcent 5 2 27 3" xfId="4358"/>
    <cellStyle name="40% - akcent 5 2 27 4" xfId="4359"/>
    <cellStyle name="40% - akcent 5 2 27 5" xfId="4360"/>
    <cellStyle name="40% - akcent 5 2 27 6" xfId="4361"/>
    <cellStyle name="40% - akcent 5 2 28" xfId="4362"/>
    <cellStyle name="40% - akcent 5 2 28 2" xfId="4363"/>
    <cellStyle name="40% - akcent 5 2 28 3" xfId="4364"/>
    <cellStyle name="40% - akcent 5 2 28 4" xfId="4365"/>
    <cellStyle name="40% - akcent 5 2 28 5" xfId="4366"/>
    <cellStyle name="40% - akcent 5 2 28 6" xfId="4367"/>
    <cellStyle name="40% - akcent 5 2 29" xfId="4368"/>
    <cellStyle name="40% - akcent 5 2 29 2" xfId="4369"/>
    <cellStyle name="40% - akcent 5 2 3" xfId="4370"/>
    <cellStyle name="40% - akcent 5 2 3 2" xfId="4371"/>
    <cellStyle name="40% - akcent 5 2 3 3" xfId="4372"/>
    <cellStyle name="40% - akcent 5 2 3 4" xfId="4373"/>
    <cellStyle name="40% - akcent 5 2 3 5" xfId="4374"/>
    <cellStyle name="40% - akcent 5 2 3 6" xfId="4375"/>
    <cellStyle name="40% - akcent 5 2 3 7" xfId="4376"/>
    <cellStyle name="40% - akcent 5 2 30" xfId="4377"/>
    <cellStyle name="40% - akcent 5 2 30 2" xfId="4378"/>
    <cellStyle name="40% - akcent 5 2 31" xfId="4379"/>
    <cellStyle name="40% - akcent 5 2 31 2" xfId="4380"/>
    <cellStyle name="40% - akcent 5 2 32" xfId="4381"/>
    <cellStyle name="40% - akcent 5 2 32 2" xfId="4382"/>
    <cellStyle name="40% - akcent 5 2 33" xfId="4383"/>
    <cellStyle name="40% - akcent 5 2 34" xfId="4384"/>
    <cellStyle name="40% - akcent 5 2 35" xfId="4385"/>
    <cellStyle name="40% - akcent 5 2 36" xfId="4386"/>
    <cellStyle name="40% - akcent 5 2 37" xfId="4387"/>
    <cellStyle name="40% - akcent 5 2 38" xfId="4388"/>
    <cellStyle name="40% - akcent 5 2 39" xfId="4389"/>
    <cellStyle name="40% - akcent 5 2 4" xfId="4390"/>
    <cellStyle name="40% - akcent 5 2 4 2" xfId="4391"/>
    <cellStyle name="40% - akcent 5 2 4 3" xfId="4392"/>
    <cellStyle name="40% - akcent 5 2 4 4" xfId="4393"/>
    <cellStyle name="40% - akcent 5 2 4 5" xfId="4394"/>
    <cellStyle name="40% - akcent 5 2 4 6" xfId="4395"/>
    <cellStyle name="40% - akcent 5 2 4 7" xfId="4396"/>
    <cellStyle name="40% - akcent 5 2 40" xfId="4397"/>
    <cellStyle name="40% - akcent 5 2 41" xfId="4398"/>
    <cellStyle name="40% - akcent 5 2 42" xfId="4399"/>
    <cellStyle name="40% - akcent 5 2 43" xfId="4400"/>
    <cellStyle name="40% - akcent 5 2 44" xfId="4401"/>
    <cellStyle name="40% - akcent 5 2 45" xfId="4402"/>
    <cellStyle name="40% - akcent 5 2 46" xfId="4403"/>
    <cellStyle name="40% - akcent 5 2 47" xfId="4404"/>
    <cellStyle name="40% - akcent 5 2 48" xfId="4405"/>
    <cellStyle name="40% - akcent 5 2 49" xfId="4406"/>
    <cellStyle name="40% - akcent 5 2 5" xfId="4407"/>
    <cellStyle name="40% - akcent 5 2 5 2" xfId="4408"/>
    <cellStyle name="40% - akcent 5 2 5 3" xfId="4409"/>
    <cellStyle name="40% - akcent 5 2 5 4" xfId="4410"/>
    <cellStyle name="40% - akcent 5 2 5 5" xfId="4411"/>
    <cellStyle name="40% - akcent 5 2 5 6" xfId="4412"/>
    <cellStyle name="40% - akcent 5 2 50" xfId="4413"/>
    <cellStyle name="40% - akcent 5 2 51" xfId="4414"/>
    <cellStyle name="40% - akcent 5 2 6" xfId="4415"/>
    <cellStyle name="40% - akcent 5 2 6 2" xfId="4416"/>
    <cellStyle name="40% - akcent 5 2 6 3" xfId="4417"/>
    <cellStyle name="40% - akcent 5 2 6 4" xfId="4418"/>
    <cellStyle name="40% - akcent 5 2 6 5" xfId="4419"/>
    <cellStyle name="40% - akcent 5 2 6 6" xfId="4420"/>
    <cellStyle name="40% - akcent 5 2 7" xfId="4421"/>
    <cellStyle name="40% - akcent 5 2 7 2" xfId="4422"/>
    <cellStyle name="40% - akcent 5 2 7 3" xfId="4423"/>
    <cellStyle name="40% - akcent 5 2 7 4" xfId="4424"/>
    <cellStyle name="40% - akcent 5 2 7 5" xfId="4425"/>
    <cellStyle name="40% - akcent 5 2 7 6" xfId="4426"/>
    <cellStyle name="40% - akcent 5 2 8" xfId="4427"/>
    <cellStyle name="40% - akcent 5 2 8 2" xfId="4428"/>
    <cellStyle name="40% - akcent 5 2 8 3" xfId="4429"/>
    <cellStyle name="40% - akcent 5 2 8 4" xfId="4430"/>
    <cellStyle name="40% - akcent 5 2 8 5" xfId="4431"/>
    <cellStyle name="40% - akcent 5 2 8 6" xfId="4432"/>
    <cellStyle name="40% - akcent 5 2 9" xfId="4433"/>
    <cellStyle name="40% - akcent 5 2 9 2" xfId="4434"/>
    <cellStyle name="40% - akcent 5 2 9 3" xfId="4435"/>
    <cellStyle name="40% - akcent 5 2 9 4" xfId="4436"/>
    <cellStyle name="40% - akcent 5 2 9 5" xfId="4437"/>
    <cellStyle name="40% - akcent 5 2 9 6" xfId="4438"/>
    <cellStyle name="40% - akcent 5 20" xfId="4439"/>
    <cellStyle name="40% - akcent 5 21" xfId="4440"/>
    <cellStyle name="40% - akcent 5 22" xfId="4441"/>
    <cellStyle name="40% - akcent 5 23" xfId="4442"/>
    <cellStyle name="40% - akcent 5 24" xfId="4443"/>
    <cellStyle name="40% - akcent 5 25" xfId="4444"/>
    <cellStyle name="40% - akcent 5 26" xfId="4445"/>
    <cellStyle name="40% - akcent 5 27" xfId="4446"/>
    <cellStyle name="40% - akcent 5 28" xfId="4447"/>
    <cellStyle name="40% - akcent 5 29" xfId="4448"/>
    <cellStyle name="40% - akcent 5 3" xfId="4449"/>
    <cellStyle name="40% - akcent 5 3 2" xfId="4450"/>
    <cellStyle name="40% - akcent 5 3 2 2" xfId="4451"/>
    <cellStyle name="40% - akcent 5 3 3" xfId="4452"/>
    <cellStyle name="40% - akcent 5 3 3 2" xfId="4453"/>
    <cellStyle name="40% - akcent 5 3 4" xfId="4454"/>
    <cellStyle name="40% - akcent 5 3 4 2" xfId="4455"/>
    <cellStyle name="40% - akcent 5 3 5" xfId="4456"/>
    <cellStyle name="40% - akcent 5 3 6" xfId="4457"/>
    <cellStyle name="40% - akcent 5 3 7" xfId="4458"/>
    <cellStyle name="40% - akcent 5 3 8" xfId="4459"/>
    <cellStyle name="40% - akcent 5 30" xfId="4460"/>
    <cellStyle name="40% - akcent 5 30 2" xfId="4461"/>
    <cellStyle name="40% - akcent 5 31" xfId="4462"/>
    <cellStyle name="40% - akcent 5 31 2" xfId="4463"/>
    <cellStyle name="40% - akcent 5 32" xfId="4464"/>
    <cellStyle name="40% - akcent 5 32 2" xfId="4465"/>
    <cellStyle name="40% - akcent 5 33" xfId="4466"/>
    <cellStyle name="40% - akcent 5 33 2" xfId="4467"/>
    <cellStyle name="40% - akcent 5 34" xfId="4468"/>
    <cellStyle name="40% - akcent 5 34 2" xfId="4469"/>
    <cellStyle name="40% - akcent 5 35" xfId="4470"/>
    <cellStyle name="40% - akcent 5 35 2" xfId="4471"/>
    <cellStyle name="40% - akcent 5 36" xfId="4472"/>
    <cellStyle name="40% - akcent 5 36 2" xfId="4473"/>
    <cellStyle name="40% - akcent 5 37" xfId="4474"/>
    <cellStyle name="40% - akcent 5 37 2" xfId="4475"/>
    <cellStyle name="40% - akcent 5 38" xfId="4476"/>
    <cellStyle name="40% - akcent 5 38 2" xfId="4477"/>
    <cellStyle name="40% - akcent 5 39" xfId="4478"/>
    <cellStyle name="40% - akcent 5 39 2" xfId="4479"/>
    <cellStyle name="40% - akcent 5 4" xfId="4480"/>
    <cellStyle name="40% - akcent 5 4 2" xfId="4481"/>
    <cellStyle name="40% - akcent 5 4 2 2" xfId="4482"/>
    <cellStyle name="40% - akcent 5 4 3" xfId="4483"/>
    <cellStyle name="40% - akcent 5 4 3 2" xfId="4484"/>
    <cellStyle name="40% - akcent 5 4 4" xfId="4485"/>
    <cellStyle name="40% - akcent 5 4 4 2" xfId="4486"/>
    <cellStyle name="40% - akcent 5 4 5" xfId="4487"/>
    <cellStyle name="40% - akcent 5 4 6" xfId="4488"/>
    <cellStyle name="40% - akcent 5 4 7" xfId="4489"/>
    <cellStyle name="40% - akcent 5 4 8" xfId="4490"/>
    <cellStyle name="40% - akcent 5 40" xfId="4491"/>
    <cellStyle name="40% - akcent 5 40 2" xfId="4492"/>
    <cellStyle name="40% - akcent 5 41" xfId="4493"/>
    <cellStyle name="40% - akcent 5 41 2" xfId="4494"/>
    <cellStyle name="40% - akcent 5 42" xfId="4495"/>
    <cellStyle name="40% - akcent 5 42 2" xfId="4496"/>
    <cellStyle name="40% - akcent 5 43" xfId="4497"/>
    <cellStyle name="40% - akcent 5 43 2" xfId="4498"/>
    <cellStyle name="40% - akcent 5 44" xfId="4499"/>
    <cellStyle name="40% - akcent 5 44 2" xfId="4500"/>
    <cellStyle name="40% - akcent 5 45" xfId="4501"/>
    <cellStyle name="40% - akcent 5 45 2" xfId="4502"/>
    <cellStyle name="40% - akcent 5 46" xfId="4503"/>
    <cellStyle name="40% - akcent 5 46 2" xfId="4504"/>
    <cellStyle name="40% - akcent 5 47" xfId="4505"/>
    <cellStyle name="40% - akcent 5 47 2" xfId="4506"/>
    <cellStyle name="40% - akcent 5 48" xfId="4507"/>
    <cellStyle name="40% - akcent 5 48 2" xfId="4508"/>
    <cellStyle name="40% - akcent 5 49" xfId="4509"/>
    <cellStyle name="40% - akcent 5 49 2" xfId="4510"/>
    <cellStyle name="40% - akcent 5 5" xfId="4511"/>
    <cellStyle name="40% - akcent 5 5 2" xfId="4512"/>
    <cellStyle name="40% - akcent 5 5 3" xfId="4513"/>
    <cellStyle name="40% - akcent 5 50" xfId="4514"/>
    <cellStyle name="40% - akcent 5 50 2" xfId="4515"/>
    <cellStyle name="40% - akcent 5 51" xfId="4516"/>
    <cellStyle name="40% - akcent 5 51 2" xfId="4517"/>
    <cellStyle name="40% - akcent 5 52" xfId="4518"/>
    <cellStyle name="40% - akcent 5 52 2" xfId="4519"/>
    <cellStyle name="40% - akcent 5 53" xfId="4520"/>
    <cellStyle name="40% - akcent 5 53 2" xfId="4521"/>
    <cellStyle name="40% - akcent 5 54" xfId="4522"/>
    <cellStyle name="40% - akcent 5 54 2" xfId="4523"/>
    <cellStyle name="40% - akcent 5 55" xfId="4524"/>
    <cellStyle name="40% - akcent 5 55 2" xfId="4525"/>
    <cellStyle name="40% - akcent 5 56" xfId="4526"/>
    <cellStyle name="40% - akcent 5 56 2" xfId="4527"/>
    <cellStyle name="40% - akcent 5 57" xfId="4528"/>
    <cellStyle name="40% - akcent 5 57 2" xfId="4529"/>
    <cellStyle name="40% - akcent 5 58" xfId="4530"/>
    <cellStyle name="40% - akcent 5 58 2" xfId="4531"/>
    <cellStyle name="40% - akcent 5 59" xfId="4532"/>
    <cellStyle name="40% - akcent 5 59 2" xfId="4533"/>
    <cellStyle name="40% - akcent 5 6" xfId="4534"/>
    <cellStyle name="40% - akcent 5 60" xfId="4535"/>
    <cellStyle name="40% - akcent 5 60 2" xfId="4536"/>
    <cellStyle name="40% - akcent 5 61" xfId="4537"/>
    <cellStyle name="40% - akcent 5 61 2" xfId="4538"/>
    <cellStyle name="40% - akcent 5 62" xfId="4539"/>
    <cellStyle name="40% - akcent 5 62 2" xfId="4540"/>
    <cellStyle name="40% - akcent 5 63" xfId="4541"/>
    <cellStyle name="40% - akcent 5 63 2" xfId="4542"/>
    <cellStyle name="40% - akcent 5 64" xfId="4543"/>
    <cellStyle name="40% - akcent 5 64 2" xfId="4544"/>
    <cellStyle name="40% - akcent 5 65" xfId="4545"/>
    <cellStyle name="40% - akcent 5 65 2" xfId="4546"/>
    <cellStyle name="40% - akcent 5 66" xfId="4547"/>
    <cellStyle name="40% - akcent 5 66 2" xfId="4548"/>
    <cellStyle name="40% - akcent 5 67" xfId="4549"/>
    <cellStyle name="40% - akcent 5 67 2" xfId="4550"/>
    <cellStyle name="40% - akcent 5 68" xfId="4551"/>
    <cellStyle name="40% - akcent 5 68 2" xfId="4552"/>
    <cellStyle name="40% - akcent 5 69" xfId="4553"/>
    <cellStyle name="40% - akcent 5 69 2" xfId="4554"/>
    <cellStyle name="40% - akcent 5 7" xfId="4555"/>
    <cellStyle name="40% - akcent 5 70" xfId="4556"/>
    <cellStyle name="40% - akcent 5 70 2" xfId="4557"/>
    <cellStyle name="40% - akcent 5 71" xfId="4558"/>
    <cellStyle name="40% - akcent 5 71 2" xfId="4559"/>
    <cellStyle name="40% - akcent 5 72" xfId="4560"/>
    <cellStyle name="40% - akcent 5 72 2" xfId="4561"/>
    <cellStyle name="40% - akcent 5 73" xfId="4562"/>
    <cellStyle name="40% - akcent 5 73 2" xfId="4563"/>
    <cellStyle name="40% - akcent 5 74" xfId="4564"/>
    <cellStyle name="40% - akcent 5 74 2" xfId="4565"/>
    <cellStyle name="40% - akcent 5 75" xfId="4566"/>
    <cellStyle name="40% - akcent 5 75 2" xfId="4567"/>
    <cellStyle name="40% - akcent 5 76" xfId="4568"/>
    <cellStyle name="40% - akcent 5 76 2" xfId="4569"/>
    <cellStyle name="40% - akcent 5 77" xfId="4570"/>
    <cellStyle name="40% - akcent 5 77 2" xfId="4571"/>
    <cellStyle name="40% - akcent 5 78" xfId="4572"/>
    <cellStyle name="40% - akcent 5 78 2" xfId="4573"/>
    <cellStyle name="40% - akcent 5 79" xfId="4574"/>
    <cellStyle name="40% - akcent 5 79 2" xfId="4575"/>
    <cellStyle name="40% - akcent 5 8" xfId="4576"/>
    <cellStyle name="40% - akcent 5 80" xfId="4577"/>
    <cellStyle name="40% - akcent 5 80 2" xfId="4578"/>
    <cellStyle name="40% - akcent 5 81" xfId="4579"/>
    <cellStyle name="40% - akcent 5 81 2" xfId="4580"/>
    <cellStyle name="40% - akcent 5 82" xfId="4581"/>
    <cellStyle name="40% - akcent 5 82 2" xfId="4582"/>
    <cellStyle name="40% - akcent 5 83" xfId="4583"/>
    <cellStyle name="40% - akcent 5 83 2" xfId="4584"/>
    <cellStyle name="40% - akcent 5 84" xfId="4585"/>
    <cellStyle name="40% - akcent 5 84 2" xfId="4586"/>
    <cellStyle name="40% - akcent 5 85" xfId="4587"/>
    <cellStyle name="40% - akcent 5 85 2" xfId="4588"/>
    <cellStyle name="40% - akcent 5 86" xfId="4589"/>
    <cellStyle name="40% - akcent 5 86 2" xfId="4590"/>
    <cellStyle name="40% - akcent 5 87" xfId="4591"/>
    <cellStyle name="40% - akcent 5 87 2" xfId="4592"/>
    <cellStyle name="40% - akcent 5 88" xfId="4593"/>
    <cellStyle name="40% - akcent 5 88 2" xfId="4594"/>
    <cellStyle name="40% - akcent 5 89" xfId="4595"/>
    <cellStyle name="40% - akcent 5 89 2" xfId="4596"/>
    <cellStyle name="40% - akcent 5 9" xfId="4597"/>
    <cellStyle name="40% - akcent 5 90" xfId="4598"/>
    <cellStyle name="40% - akcent 5 90 2" xfId="4599"/>
    <cellStyle name="40% - akcent 5 91" xfId="4600"/>
    <cellStyle name="40% - akcent 5 91 2" xfId="4601"/>
    <cellStyle name="40% - akcent 5 92" xfId="4602"/>
    <cellStyle name="40% - akcent 5 92 2" xfId="4603"/>
    <cellStyle name="40% - akcent 5 93" xfId="4604"/>
    <cellStyle name="40% - akcent 5 93 2" xfId="4605"/>
    <cellStyle name="40% - akcent 5 94" xfId="4606"/>
    <cellStyle name="40% - akcent 5 94 2" xfId="4607"/>
    <cellStyle name="40% - akcent 5 95" xfId="4608"/>
    <cellStyle name="40% - akcent 5 95 2" xfId="4609"/>
    <cellStyle name="40% - akcent 5 96" xfId="4610"/>
    <cellStyle name="40% - akcent 5 96 2" xfId="4611"/>
    <cellStyle name="40% - akcent 5 97" xfId="4612"/>
    <cellStyle name="40% - akcent 5 97 2" xfId="4613"/>
    <cellStyle name="40% - akcent 5 98" xfId="4614"/>
    <cellStyle name="40% - akcent 5 98 2" xfId="4615"/>
    <cellStyle name="40% - akcent 5 99" xfId="4616"/>
    <cellStyle name="40% - akcent 5 99 2" xfId="4617"/>
    <cellStyle name="40% - akcent 6 10" xfId="4618"/>
    <cellStyle name="40% - akcent 6 100" xfId="4619"/>
    <cellStyle name="40% - akcent 6 100 2" xfId="4620"/>
    <cellStyle name="40% - akcent 6 101" xfId="4621"/>
    <cellStyle name="40% - akcent 6 101 2" xfId="4622"/>
    <cellStyle name="40% - akcent 6 102" xfId="4623"/>
    <cellStyle name="40% - akcent 6 102 2" xfId="4624"/>
    <cellStyle name="40% - akcent 6 103" xfId="4625"/>
    <cellStyle name="40% - akcent 6 103 2" xfId="4626"/>
    <cellStyle name="40% - akcent 6 104" xfId="4627"/>
    <cellStyle name="40% - akcent 6 104 2" xfId="4628"/>
    <cellStyle name="40% - akcent 6 105" xfId="4629"/>
    <cellStyle name="40% - akcent 6 105 2" xfId="4630"/>
    <cellStyle name="40% - akcent 6 106" xfId="4631"/>
    <cellStyle name="40% - akcent 6 106 2" xfId="4632"/>
    <cellStyle name="40% - akcent 6 107" xfId="4633"/>
    <cellStyle name="40% - akcent 6 107 2" xfId="4634"/>
    <cellStyle name="40% - akcent 6 108" xfId="4635"/>
    <cellStyle name="40% - akcent 6 108 2" xfId="4636"/>
    <cellStyle name="40% - akcent 6 109" xfId="4637"/>
    <cellStyle name="40% - akcent 6 109 2" xfId="4638"/>
    <cellStyle name="40% - akcent 6 11" xfId="4639"/>
    <cellStyle name="40% - akcent 6 110" xfId="4640"/>
    <cellStyle name="40% - akcent 6 110 2" xfId="4641"/>
    <cellStyle name="40% - akcent 6 111" xfId="4642"/>
    <cellStyle name="40% - akcent 6 111 2" xfId="4643"/>
    <cellStyle name="40% - akcent 6 112" xfId="4644"/>
    <cellStyle name="40% - akcent 6 112 2" xfId="4645"/>
    <cellStyle name="40% - akcent 6 113" xfId="4646"/>
    <cellStyle name="40% - akcent 6 113 2" xfId="4647"/>
    <cellStyle name="40% - akcent 6 114" xfId="4648"/>
    <cellStyle name="40% - akcent 6 114 2" xfId="4649"/>
    <cellStyle name="40% - akcent 6 115" xfId="4650"/>
    <cellStyle name="40% - akcent 6 115 2" xfId="4651"/>
    <cellStyle name="40% - akcent 6 116" xfId="4652"/>
    <cellStyle name="40% - akcent 6 116 2" xfId="4653"/>
    <cellStyle name="40% - akcent 6 117" xfId="4654"/>
    <cellStyle name="40% - akcent 6 117 2" xfId="4655"/>
    <cellStyle name="40% - akcent 6 118" xfId="4656"/>
    <cellStyle name="40% - akcent 6 118 2" xfId="4657"/>
    <cellStyle name="40% - akcent 6 119" xfId="4658"/>
    <cellStyle name="40% - akcent 6 119 2" xfId="4659"/>
    <cellStyle name="40% - akcent 6 12" xfId="4660"/>
    <cellStyle name="40% - akcent 6 120" xfId="4661"/>
    <cellStyle name="40% - akcent 6 121" xfId="4662"/>
    <cellStyle name="40% - akcent 6 13" xfId="4663"/>
    <cellStyle name="40% - akcent 6 14" xfId="4664"/>
    <cellStyle name="40% - akcent 6 15" xfId="4665"/>
    <cellStyle name="40% - akcent 6 16" xfId="4666"/>
    <cellStyle name="40% - akcent 6 17" xfId="4667"/>
    <cellStyle name="40% - akcent 6 18" xfId="4668"/>
    <cellStyle name="40% - akcent 6 19" xfId="4669"/>
    <cellStyle name="40% - akcent 6 2" xfId="4670"/>
    <cellStyle name="40% - akcent 6 2 10" xfId="4671"/>
    <cellStyle name="40% - akcent 6 2 10 2" xfId="4672"/>
    <cellStyle name="40% - akcent 6 2 10 3" xfId="4673"/>
    <cellStyle name="40% - akcent 6 2 10 4" xfId="4674"/>
    <cellStyle name="40% - akcent 6 2 10 5" xfId="4675"/>
    <cellStyle name="40% - akcent 6 2 10 6" xfId="4676"/>
    <cellStyle name="40% - akcent 6 2 11" xfId="4677"/>
    <cellStyle name="40% - akcent 6 2 11 2" xfId="4678"/>
    <cellStyle name="40% - akcent 6 2 11 3" xfId="4679"/>
    <cellStyle name="40% - akcent 6 2 11 4" xfId="4680"/>
    <cellStyle name="40% - akcent 6 2 11 5" xfId="4681"/>
    <cellStyle name="40% - akcent 6 2 11 6" xfId="4682"/>
    <cellStyle name="40% - akcent 6 2 12" xfId="4683"/>
    <cellStyle name="40% - akcent 6 2 12 2" xfId="4684"/>
    <cellStyle name="40% - akcent 6 2 12 3" xfId="4685"/>
    <cellStyle name="40% - akcent 6 2 12 4" xfId="4686"/>
    <cellStyle name="40% - akcent 6 2 12 5" xfId="4687"/>
    <cellStyle name="40% - akcent 6 2 12 6" xfId="4688"/>
    <cellStyle name="40% - akcent 6 2 13" xfId="4689"/>
    <cellStyle name="40% - akcent 6 2 13 2" xfId="4690"/>
    <cellStyle name="40% - akcent 6 2 13 3" xfId="4691"/>
    <cellStyle name="40% - akcent 6 2 13 4" xfId="4692"/>
    <cellStyle name="40% - akcent 6 2 13 5" xfId="4693"/>
    <cellStyle name="40% - akcent 6 2 13 6" xfId="4694"/>
    <cellStyle name="40% - akcent 6 2 14" xfId="4695"/>
    <cellStyle name="40% - akcent 6 2 14 2" xfId="4696"/>
    <cellStyle name="40% - akcent 6 2 14 3" xfId="4697"/>
    <cellStyle name="40% - akcent 6 2 14 4" xfId="4698"/>
    <cellStyle name="40% - akcent 6 2 14 5" xfId="4699"/>
    <cellStyle name="40% - akcent 6 2 14 6" xfId="4700"/>
    <cellStyle name="40% - akcent 6 2 15" xfId="4701"/>
    <cellStyle name="40% - akcent 6 2 15 2" xfId="4702"/>
    <cellStyle name="40% - akcent 6 2 15 3" xfId="4703"/>
    <cellStyle name="40% - akcent 6 2 15 4" xfId="4704"/>
    <cellStyle name="40% - akcent 6 2 15 5" xfId="4705"/>
    <cellStyle name="40% - akcent 6 2 15 6" xfId="4706"/>
    <cellStyle name="40% - akcent 6 2 16" xfId="4707"/>
    <cellStyle name="40% - akcent 6 2 16 2" xfId="4708"/>
    <cellStyle name="40% - akcent 6 2 16 3" xfId="4709"/>
    <cellStyle name="40% - akcent 6 2 16 4" xfId="4710"/>
    <cellStyle name="40% - akcent 6 2 16 5" xfId="4711"/>
    <cellStyle name="40% - akcent 6 2 16 6" xfId="4712"/>
    <cellStyle name="40% - akcent 6 2 17" xfId="4713"/>
    <cellStyle name="40% - akcent 6 2 17 2" xfId="4714"/>
    <cellStyle name="40% - akcent 6 2 17 3" xfId="4715"/>
    <cellStyle name="40% - akcent 6 2 17 4" xfId="4716"/>
    <cellStyle name="40% - akcent 6 2 17 5" xfId="4717"/>
    <cellStyle name="40% - akcent 6 2 17 6" xfId="4718"/>
    <cellStyle name="40% - akcent 6 2 18" xfId="4719"/>
    <cellStyle name="40% - akcent 6 2 18 2" xfId="4720"/>
    <cellStyle name="40% - akcent 6 2 18 3" xfId="4721"/>
    <cellStyle name="40% - akcent 6 2 18 4" xfId="4722"/>
    <cellStyle name="40% - akcent 6 2 18 5" xfId="4723"/>
    <cellStyle name="40% - akcent 6 2 18 6" xfId="4724"/>
    <cellStyle name="40% - akcent 6 2 19" xfId="4725"/>
    <cellStyle name="40% - akcent 6 2 19 2" xfId="4726"/>
    <cellStyle name="40% - akcent 6 2 19 3" xfId="4727"/>
    <cellStyle name="40% - akcent 6 2 19 4" xfId="4728"/>
    <cellStyle name="40% - akcent 6 2 19 5" xfId="4729"/>
    <cellStyle name="40% - akcent 6 2 19 6" xfId="4730"/>
    <cellStyle name="40% - akcent 6 2 2" xfId="4731"/>
    <cellStyle name="40% - akcent 6 2 2 2" xfId="4732"/>
    <cellStyle name="40% - akcent 6 2 2 3" xfId="4733"/>
    <cellStyle name="40% - akcent 6 2 2 4" xfId="4734"/>
    <cellStyle name="40% - akcent 6 2 2 5" xfId="4735"/>
    <cellStyle name="40% - akcent 6 2 2 6" xfId="4736"/>
    <cellStyle name="40% - akcent 6 2 2 7" xfId="4737"/>
    <cellStyle name="40% - akcent 6 2 20" xfId="4738"/>
    <cellStyle name="40% - akcent 6 2 20 2" xfId="4739"/>
    <cellStyle name="40% - akcent 6 2 20 3" xfId="4740"/>
    <cellStyle name="40% - akcent 6 2 20 4" xfId="4741"/>
    <cellStyle name="40% - akcent 6 2 20 5" xfId="4742"/>
    <cellStyle name="40% - akcent 6 2 20 6" xfId="4743"/>
    <cellStyle name="40% - akcent 6 2 21" xfId="4744"/>
    <cellStyle name="40% - akcent 6 2 21 2" xfId="4745"/>
    <cellStyle name="40% - akcent 6 2 21 3" xfId="4746"/>
    <cellStyle name="40% - akcent 6 2 21 4" xfId="4747"/>
    <cellStyle name="40% - akcent 6 2 21 5" xfId="4748"/>
    <cellStyle name="40% - akcent 6 2 21 6" xfId="4749"/>
    <cellStyle name="40% - akcent 6 2 22" xfId="4750"/>
    <cellStyle name="40% - akcent 6 2 22 2" xfId="4751"/>
    <cellStyle name="40% - akcent 6 2 22 3" xfId="4752"/>
    <cellStyle name="40% - akcent 6 2 22 4" xfId="4753"/>
    <cellStyle name="40% - akcent 6 2 22 5" xfId="4754"/>
    <cellStyle name="40% - akcent 6 2 22 6" xfId="4755"/>
    <cellStyle name="40% - akcent 6 2 23" xfId="4756"/>
    <cellStyle name="40% - akcent 6 2 23 2" xfId="4757"/>
    <cellStyle name="40% - akcent 6 2 23 3" xfId="4758"/>
    <cellStyle name="40% - akcent 6 2 23 4" xfId="4759"/>
    <cellStyle name="40% - akcent 6 2 23 5" xfId="4760"/>
    <cellStyle name="40% - akcent 6 2 23 6" xfId="4761"/>
    <cellStyle name="40% - akcent 6 2 24" xfId="4762"/>
    <cellStyle name="40% - akcent 6 2 24 2" xfId="4763"/>
    <cellStyle name="40% - akcent 6 2 24 3" xfId="4764"/>
    <cellStyle name="40% - akcent 6 2 24 4" xfId="4765"/>
    <cellStyle name="40% - akcent 6 2 24 5" xfId="4766"/>
    <cellStyle name="40% - akcent 6 2 24 6" xfId="4767"/>
    <cellStyle name="40% - akcent 6 2 25" xfId="4768"/>
    <cellStyle name="40% - akcent 6 2 25 2" xfId="4769"/>
    <cellStyle name="40% - akcent 6 2 25 3" xfId="4770"/>
    <cellStyle name="40% - akcent 6 2 25 4" xfId="4771"/>
    <cellStyle name="40% - akcent 6 2 25 5" xfId="4772"/>
    <cellStyle name="40% - akcent 6 2 25 6" xfId="4773"/>
    <cellStyle name="40% - akcent 6 2 26" xfId="4774"/>
    <cellStyle name="40% - akcent 6 2 26 2" xfId="4775"/>
    <cellStyle name="40% - akcent 6 2 26 3" xfId="4776"/>
    <cellStyle name="40% - akcent 6 2 26 4" xfId="4777"/>
    <cellStyle name="40% - akcent 6 2 26 5" xfId="4778"/>
    <cellStyle name="40% - akcent 6 2 26 6" xfId="4779"/>
    <cellStyle name="40% - akcent 6 2 27" xfId="4780"/>
    <cellStyle name="40% - akcent 6 2 27 2" xfId="4781"/>
    <cellStyle name="40% - akcent 6 2 27 3" xfId="4782"/>
    <cellStyle name="40% - akcent 6 2 27 4" xfId="4783"/>
    <cellStyle name="40% - akcent 6 2 27 5" xfId="4784"/>
    <cellStyle name="40% - akcent 6 2 27 6" xfId="4785"/>
    <cellStyle name="40% - akcent 6 2 28" xfId="4786"/>
    <cellStyle name="40% - akcent 6 2 28 2" xfId="4787"/>
    <cellStyle name="40% - akcent 6 2 28 3" xfId="4788"/>
    <cellStyle name="40% - akcent 6 2 28 4" xfId="4789"/>
    <cellStyle name="40% - akcent 6 2 28 5" xfId="4790"/>
    <cellStyle name="40% - akcent 6 2 28 6" xfId="4791"/>
    <cellStyle name="40% - akcent 6 2 29" xfId="4792"/>
    <cellStyle name="40% - akcent 6 2 29 2" xfId="4793"/>
    <cellStyle name="40% - akcent 6 2 3" xfId="4794"/>
    <cellStyle name="40% - akcent 6 2 3 2" xfId="4795"/>
    <cellStyle name="40% - akcent 6 2 3 3" xfId="4796"/>
    <cellStyle name="40% - akcent 6 2 3 4" xfId="4797"/>
    <cellStyle name="40% - akcent 6 2 3 5" xfId="4798"/>
    <cellStyle name="40% - akcent 6 2 3 6" xfId="4799"/>
    <cellStyle name="40% - akcent 6 2 3 7" xfId="4800"/>
    <cellStyle name="40% - akcent 6 2 30" xfId="4801"/>
    <cellStyle name="40% - akcent 6 2 30 2" xfId="4802"/>
    <cellStyle name="40% - akcent 6 2 31" xfId="4803"/>
    <cellStyle name="40% - akcent 6 2 31 2" xfId="4804"/>
    <cellStyle name="40% - akcent 6 2 32" xfId="4805"/>
    <cellStyle name="40% - akcent 6 2 32 2" xfId="4806"/>
    <cellStyle name="40% - akcent 6 2 33" xfId="4807"/>
    <cellStyle name="40% - akcent 6 2 34" xfId="4808"/>
    <cellStyle name="40% - akcent 6 2 35" xfId="4809"/>
    <cellStyle name="40% - akcent 6 2 36" xfId="4810"/>
    <cellStyle name="40% - akcent 6 2 37" xfId="4811"/>
    <cellStyle name="40% - akcent 6 2 38" xfId="4812"/>
    <cellStyle name="40% - akcent 6 2 39" xfId="4813"/>
    <cellStyle name="40% - akcent 6 2 4" xfId="4814"/>
    <cellStyle name="40% - akcent 6 2 4 2" xfId="4815"/>
    <cellStyle name="40% - akcent 6 2 4 3" xfId="4816"/>
    <cellStyle name="40% - akcent 6 2 4 4" xfId="4817"/>
    <cellStyle name="40% - akcent 6 2 4 5" xfId="4818"/>
    <cellStyle name="40% - akcent 6 2 4 6" xfId="4819"/>
    <cellStyle name="40% - akcent 6 2 4 7" xfId="4820"/>
    <cellStyle name="40% - akcent 6 2 40" xfId="4821"/>
    <cellStyle name="40% - akcent 6 2 41" xfId="4822"/>
    <cellStyle name="40% - akcent 6 2 42" xfId="4823"/>
    <cellStyle name="40% - akcent 6 2 43" xfId="4824"/>
    <cellStyle name="40% - akcent 6 2 44" xfId="4825"/>
    <cellStyle name="40% - akcent 6 2 45" xfId="4826"/>
    <cellStyle name="40% - akcent 6 2 46" xfId="4827"/>
    <cellStyle name="40% - akcent 6 2 47" xfId="4828"/>
    <cellStyle name="40% - akcent 6 2 48" xfId="4829"/>
    <cellStyle name="40% - akcent 6 2 49" xfId="4830"/>
    <cellStyle name="40% - akcent 6 2 5" xfId="4831"/>
    <cellStyle name="40% - akcent 6 2 5 2" xfId="4832"/>
    <cellStyle name="40% - akcent 6 2 5 3" xfId="4833"/>
    <cellStyle name="40% - akcent 6 2 5 4" xfId="4834"/>
    <cellStyle name="40% - akcent 6 2 5 5" xfId="4835"/>
    <cellStyle name="40% - akcent 6 2 5 6" xfId="4836"/>
    <cellStyle name="40% - akcent 6 2 50" xfId="4837"/>
    <cellStyle name="40% - akcent 6 2 51" xfId="4838"/>
    <cellStyle name="40% - akcent 6 2 6" xfId="4839"/>
    <cellStyle name="40% - akcent 6 2 6 2" xfId="4840"/>
    <cellStyle name="40% - akcent 6 2 6 3" xfId="4841"/>
    <cellStyle name="40% - akcent 6 2 6 4" xfId="4842"/>
    <cellStyle name="40% - akcent 6 2 6 5" xfId="4843"/>
    <cellStyle name="40% - akcent 6 2 6 6" xfId="4844"/>
    <cellStyle name="40% - akcent 6 2 7" xfId="4845"/>
    <cellStyle name="40% - akcent 6 2 7 2" xfId="4846"/>
    <cellStyle name="40% - akcent 6 2 7 3" xfId="4847"/>
    <cellStyle name="40% - akcent 6 2 7 4" xfId="4848"/>
    <cellStyle name="40% - akcent 6 2 7 5" xfId="4849"/>
    <cellStyle name="40% - akcent 6 2 7 6" xfId="4850"/>
    <cellStyle name="40% - akcent 6 2 8" xfId="4851"/>
    <cellStyle name="40% - akcent 6 2 8 2" xfId="4852"/>
    <cellStyle name="40% - akcent 6 2 8 3" xfId="4853"/>
    <cellStyle name="40% - akcent 6 2 8 4" xfId="4854"/>
    <cellStyle name="40% - akcent 6 2 8 5" xfId="4855"/>
    <cellStyle name="40% - akcent 6 2 8 6" xfId="4856"/>
    <cellStyle name="40% - akcent 6 2 9" xfId="4857"/>
    <cellStyle name="40% - akcent 6 2 9 2" xfId="4858"/>
    <cellStyle name="40% - akcent 6 2 9 3" xfId="4859"/>
    <cellStyle name="40% - akcent 6 2 9 4" xfId="4860"/>
    <cellStyle name="40% - akcent 6 2 9 5" xfId="4861"/>
    <cellStyle name="40% - akcent 6 2 9 6" xfId="4862"/>
    <cellStyle name="40% - akcent 6 20" xfId="4863"/>
    <cellStyle name="40% - akcent 6 21" xfId="4864"/>
    <cellStyle name="40% - akcent 6 22" xfId="4865"/>
    <cellStyle name="40% - akcent 6 23" xfId="4866"/>
    <cellStyle name="40% - akcent 6 24" xfId="4867"/>
    <cellStyle name="40% - akcent 6 25" xfId="4868"/>
    <cellStyle name="40% - akcent 6 26" xfId="4869"/>
    <cellStyle name="40% - akcent 6 27" xfId="4870"/>
    <cellStyle name="40% - akcent 6 28" xfId="4871"/>
    <cellStyle name="40% - akcent 6 29" xfId="4872"/>
    <cellStyle name="40% - akcent 6 3" xfId="4873"/>
    <cellStyle name="40% - akcent 6 3 2" xfId="4874"/>
    <cellStyle name="40% - akcent 6 3 2 2" xfId="4875"/>
    <cellStyle name="40% - akcent 6 3 3" xfId="4876"/>
    <cellStyle name="40% - akcent 6 3 3 2" xfId="4877"/>
    <cellStyle name="40% - akcent 6 3 4" xfId="4878"/>
    <cellStyle name="40% - akcent 6 3 4 2" xfId="4879"/>
    <cellStyle name="40% - akcent 6 3 5" xfId="4880"/>
    <cellStyle name="40% - akcent 6 3 6" xfId="4881"/>
    <cellStyle name="40% - akcent 6 3 7" xfId="4882"/>
    <cellStyle name="40% - akcent 6 3 8" xfId="4883"/>
    <cellStyle name="40% - akcent 6 30" xfId="4884"/>
    <cellStyle name="40% - akcent 6 30 2" xfId="4885"/>
    <cellStyle name="40% - akcent 6 31" xfId="4886"/>
    <cellStyle name="40% - akcent 6 31 2" xfId="4887"/>
    <cellStyle name="40% - akcent 6 32" xfId="4888"/>
    <cellStyle name="40% - akcent 6 32 2" xfId="4889"/>
    <cellStyle name="40% - akcent 6 33" xfId="4890"/>
    <cellStyle name="40% - akcent 6 33 2" xfId="4891"/>
    <cellStyle name="40% - akcent 6 34" xfId="4892"/>
    <cellStyle name="40% - akcent 6 34 2" xfId="4893"/>
    <cellStyle name="40% - akcent 6 35" xfId="4894"/>
    <cellStyle name="40% - akcent 6 35 2" xfId="4895"/>
    <cellStyle name="40% - akcent 6 36" xfId="4896"/>
    <cellStyle name="40% - akcent 6 36 2" xfId="4897"/>
    <cellStyle name="40% - akcent 6 37" xfId="4898"/>
    <cellStyle name="40% - akcent 6 37 2" xfId="4899"/>
    <cellStyle name="40% - akcent 6 38" xfId="4900"/>
    <cellStyle name="40% - akcent 6 38 2" xfId="4901"/>
    <cellStyle name="40% - akcent 6 39" xfId="4902"/>
    <cellStyle name="40% - akcent 6 39 2" xfId="4903"/>
    <cellStyle name="40% - akcent 6 4" xfId="4904"/>
    <cellStyle name="40% - akcent 6 4 2" xfId="4905"/>
    <cellStyle name="40% - akcent 6 4 2 2" xfId="4906"/>
    <cellStyle name="40% - akcent 6 4 3" xfId="4907"/>
    <cellStyle name="40% - akcent 6 4 3 2" xfId="4908"/>
    <cellStyle name="40% - akcent 6 4 4" xfId="4909"/>
    <cellStyle name="40% - akcent 6 4 4 2" xfId="4910"/>
    <cellStyle name="40% - akcent 6 4 5" xfId="4911"/>
    <cellStyle name="40% - akcent 6 4 6" xfId="4912"/>
    <cellStyle name="40% - akcent 6 4 7" xfId="4913"/>
    <cellStyle name="40% - akcent 6 4 8" xfId="4914"/>
    <cellStyle name="40% - akcent 6 40" xfId="4915"/>
    <cellStyle name="40% - akcent 6 40 2" xfId="4916"/>
    <cellStyle name="40% - akcent 6 41" xfId="4917"/>
    <cellStyle name="40% - akcent 6 41 2" xfId="4918"/>
    <cellStyle name="40% - akcent 6 42" xfId="4919"/>
    <cellStyle name="40% - akcent 6 42 2" xfId="4920"/>
    <cellStyle name="40% - akcent 6 43" xfId="4921"/>
    <cellStyle name="40% - akcent 6 43 2" xfId="4922"/>
    <cellStyle name="40% - akcent 6 44" xfId="4923"/>
    <cellStyle name="40% - akcent 6 44 2" xfId="4924"/>
    <cellStyle name="40% - akcent 6 45" xfId="4925"/>
    <cellStyle name="40% - akcent 6 45 2" xfId="4926"/>
    <cellStyle name="40% - akcent 6 46" xfId="4927"/>
    <cellStyle name="40% - akcent 6 46 2" xfId="4928"/>
    <cellStyle name="40% - akcent 6 47" xfId="4929"/>
    <cellStyle name="40% - akcent 6 47 2" xfId="4930"/>
    <cellStyle name="40% - akcent 6 48" xfId="4931"/>
    <cellStyle name="40% - akcent 6 48 2" xfId="4932"/>
    <cellStyle name="40% - akcent 6 49" xfId="4933"/>
    <cellStyle name="40% - akcent 6 49 2" xfId="4934"/>
    <cellStyle name="40% - akcent 6 5" xfId="4935"/>
    <cellStyle name="40% - akcent 6 5 2" xfId="4936"/>
    <cellStyle name="40% - akcent 6 5 3" xfId="4937"/>
    <cellStyle name="40% - akcent 6 50" xfId="4938"/>
    <cellStyle name="40% - akcent 6 50 2" xfId="4939"/>
    <cellStyle name="40% - akcent 6 51" xfId="4940"/>
    <cellStyle name="40% - akcent 6 51 2" xfId="4941"/>
    <cellStyle name="40% - akcent 6 52" xfId="4942"/>
    <cellStyle name="40% - akcent 6 52 2" xfId="4943"/>
    <cellStyle name="40% - akcent 6 53" xfId="4944"/>
    <cellStyle name="40% - akcent 6 53 2" xfId="4945"/>
    <cellStyle name="40% - akcent 6 54" xfId="4946"/>
    <cellStyle name="40% - akcent 6 54 2" xfId="4947"/>
    <cellStyle name="40% - akcent 6 55" xfId="4948"/>
    <cellStyle name="40% - akcent 6 55 2" xfId="4949"/>
    <cellStyle name="40% - akcent 6 56" xfId="4950"/>
    <cellStyle name="40% - akcent 6 56 2" xfId="4951"/>
    <cellStyle name="40% - akcent 6 57" xfId="4952"/>
    <cellStyle name="40% - akcent 6 57 2" xfId="4953"/>
    <cellStyle name="40% - akcent 6 58" xfId="4954"/>
    <cellStyle name="40% - akcent 6 58 2" xfId="4955"/>
    <cellStyle name="40% - akcent 6 59" xfId="4956"/>
    <cellStyle name="40% - akcent 6 59 2" xfId="4957"/>
    <cellStyle name="40% - akcent 6 6" xfId="4958"/>
    <cellStyle name="40% - akcent 6 60" xfId="4959"/>
    <cellStyle name="40% - akcent 6 60 2" xfId="4960"/>
    <cellStyle name="40% - akcent 6 61" xfId="4961"/>
    <cellStyle name="40% - akcent 6 61 2" xfId="4962"/>
    <cellStyle name="40% - akcent 6 62" xfId="4963"/>
    <cellStyle name="40% - akcent 6 62 2" xfId="4964"/>
    <cellStyle name="40% - akcent 6 63" xfId="4965"/>
    <cellStyle name="40% - akcent 6 63 2" xfId="4966"/>
    <cellStyle name="40% - akcent 6 64" xfId="4967"/>
    <cellStyle name="40% - akcent 6 64 2" xfId="4968"/>
    <cellStyle name="40% - akcent 6 65" xfId="4969"/>
    <cellStyle name="40% - akcent 6 65 2" xfId="4970"/>
    <cellStyle name="40% - akcent 6 66" xfId="4971"/>
    <cellStyle name="40% - akcent 6 66 2" xfId="4972"/>
    <cellStyle name="40% - akcent 6 67" xfId="4973"/>
    <cellStyle name="40% - akcent 6 67 2" xfId="4974"/>
    <cellStyle name="40% - akcent 6 68" xfId="4975"/>
    <cellStyle name="40% - akcent 6 68 2" xfId="4976"/>
    <cellStyle name="40% - akcent 6 69" xfId="4977"/>
    <cellStyle name="40% - akcent 6 69 2" xfId="4978"/>
    <cellStyle name="40% - akcent 6 7" xfId="4979"/>
    <cellStyle name="40% - akcent 6 70" xfId="4980"/>
    <cellStyle name="40% - akcent 6 70 2" xfId="4981"/>
    <cellStyle name="40% - akcent 6 71" xfId="4982"/>
    <cellStyle name="40% - akcent 6 71 2" xfId="4983"/>
    <cellStyle name="40% - akcent 6 72" xfId="4984"/>
    <cellStyle name="40% - akcent 6 72 2" xfId="4985"/>
    <cellStyle name="40% - akcent 6 73" xfId="4986"/>
    <cellStyle name="40% - akcent 6 73 2" xfId="4987"/>
    <cellStyle name="40% - akcent 6 74" xfId="4988"/>
    <cellStyle name="40% - akcent 6 74 2" xfId="4989"/>
    <cellStyle name="40% - akcent 6 75" xfId="4990"/>
    <cellStyle name="40% - akcent 6 75 2" xfId="4991"/>
    <cellStyle name="40% - akcent 6 76" xfId="4992"/>
    <cellStyle name="40% - akcent 6 76 2" xfId="4993"/>
    <cellStyle name="40% - akcent 6 77" xfId="4994"/>
    <cellStyle name="40% - akcent 6 77 2" xfId="4995"/>
    <cellStyle name="40% - akcent 6 78" xfId="4996"/>
    <cellStyle name="40% - akcent 6 78 2" xfId="4997"/>
    <cellStyle name="40% - akcent 6 79" xfId="4998"/>
    <cellStyle name="40% - akcent 6 79 2" xfId="4999"/>
    <cellStyle name="40% - akcent 6 8" xfId="5000"/>
    <cellStyle name="40% - akcent 6 80" xfId="5001"/>
    <cellStyle name="40% - akcent 6 80 2" xfId="5002"/>
    <cellStyle name="40% - akcent 6 81" xfId="5003"/>
    <cellStyle name="40% - akcent 6 81 2" xfId="5004"/>
    <cellStyle name="40% - akcent 6 82" xfId="5005"/>
    <cellStyle name="40% - akcent 6 82 2" xfId="5006"/>
    <cellStyle name="40% - akcent 6 83" xfId="5007"/>
    <cellStyle name="40% - akcent 6 83 2" xfId="5008"/>
    <cellStyle name="40% - akcent 6 84" xfId="5009"/>
    <cellStyle name="40% - akcent 6 84 2" xfId="5010"/>
    <cellStyle name="40% - akcent 6 85" xfId="5011"/>
    <cellStyle name="40% - akcent 6 85 2" xfId="5012"/>
    <cellStyle name="40% - akcent 6 86" xfId="5013"/>
    <cellStyle name="40% - akcent 6 86 2" xfId="5014"/>
    <cellStyle name="40% - akcent 6 87" xfId="5015"/>
    <cellStyle name="40% - akcent 6 87 2" xfId="5016"/>
    <cellStyle name="40% - akcent 6 88" xfId="5017"/>
    <cellStyle name="40% - akcent 6 88 2" xfId="5018"/>
    <cellStyle name="40% - akcent 6 89" xfId="5019"/>
    <cellStyle name="40% - akcent 6 89 2" xfId="5020"/>
    <cellStyle name="40% - akcent 6 9" xfId="5021"/>
    <cellStyle name="40% - akcent 6 90" xfId="5022"/>
    <cellStyle name="40% - akcent 6 90 2" xfId="5023"/>
    <cellStyle name="40% - akcent 6 91" xfId="5024"/>
    <cellStyle name="40% - akcent 6 91 2" xfId="5025"/>
    <cellStyle name="40% - akcent 6 92" xfId="5026"/>
    <cellStyle name="40% - akcent 6 92 2" xfId="5027"/>
    <cellStyle name="40% - akcent 6 93" xfId="5028"/>
    <cellStyle name="40% - akcent 6 93 2" xfId="5029"/>
    <cellStyle name="40% - akcent 6 94" xfId="5030"/>
    <cellStyle name="40% - akcent 6 94 2" xfId="5031"/>
    <cellStyle name="40% - akcent 6 95" xfId="5032"/>
    <cellStyle name="40% - akcent 6 95 2" xfId="5033"/>
    <cellStyle name="40% - akcent 6 96" xfId="5034"/>
    <cellStyle name="40% - akcent 6 96 2" xfId="5035"/>
    <cellStyle name="40% - akcent 6 97" xfId="5036"/>
    <cellStyle name="40% - akcent 6 97 2" xfId="5037"/>
    <cellStyle name="40% - akcent 6 98" xfId="5038"/>
    <cellStyle name="40% - akcent 6 98 2" xfId="5039"/>
    <cellStyle name="40% - akcent 6 99" xfId="5040"/>
    <cellStyle name="40% - akcent 6 99 2" xfId="5041"/>
    <cellStyle name="60% - akcent 1 2" xfId="5042"/>
    <cellStyle name="60% - akcent 1 2 10" xfId="5043"/>
    <cellStyle name="60% - akcent 1 2 10 2" xfId="5044"/>
    <cellStyle name="60% - akcent 1 2 10 3" xfId="5045"/>
    <cellStyle name="60% - akcent 1 2 10 4" xfId="5046"/>
    <cellStyle name="60% - akcent 1 2 10 5" xfId="5047"/>
    <cellStyle name="60% - akcent 1 2 10 6" xfId="5048"/>
    <cellStyle name="60% - akcent 1 2 11" xfId="5049"/>
    <cellStyle name="60% - akcent 1 2 11 2" xfId="5050"/>
    <cellStyle name="60% - akcent 1 2 11 3" xfId="5051"/>
    <cellStyle name="60% - akcent 1 2 11 4" xfId="5052"/>
    <cellStyle name="60% - akcent 1 2 11 5" xfId="5053"/>
    <cellStyle name="60% - akcent 1 2 11 6" xfId="5054"/>
    <cellStyle name="60% - akcent 1 2 12" xfId="5055"/>
    <cellStyle name="60% - akcent 1 2 12 2" xfId="5056"/>
    <cellStyle name="60% - akcent 1 2 12 3" xfId="5057"/>
    <cellStyle name="60% - akcent 1 2 12 4" xfId="5058"/>
    <cellStyle name="60% - akcent 1 2 12 5" xfId="5059"/>
    <cellStyle name="60% - akcent 1 2 12 6" xfId="5060"/>
    <cellStyle name="60% - akcent 1 2 13" xfId="5061"/>
    <cellStyle name="60% - akcent 1 2 13 2" xfId="5062"/>
    <cellStyle name="60% - akcent 1 2 13 3" xfId="5063"/>
    <cellStyle name="60% - akcent 1 2 13 4" xfId="5064"/>
    <cellStyle name="60% - akcent 1 2 13 5" xfId="5065"/>
    <cellStyle name="60% - akcent 1 2 13 6" xfId="5066"/>
    <cellStyle name="60% - akcent 1 2 14" xfId="5067"/>
    <cellStyle name="60% - akcent 1 2 14 2" xfId="5068"/>
    <cellStyle name="60% - akcent 1 2 14 3" xfId="5069"/>
    <cellStyle name="60% - akcent 1 2 14 4" xfId="5070"/>
    <cellStyle name="60% - akcent 1 2 14 5" xfId="5071"/>
    <cellStyle name="60% - akcent 1 2 14 6" xfId="5072"/>
    <cellStyle name="60% - akcent 1 2 15" xfId="5073"/>
    <cellStyle name="60% - akcent 1 2 15 2" xfId="5074"/>
    <cellStyle name="60% - akcent 1 2 15 3" xfId="5075"/>
    <cellStyle name="60% - akcent 1 2 15 4" xfId="5076"/>
    <cellStyle name="60% - akcent 1 2 15 5" xfId="5077"/>
    <cellStyle name="60% - akcent 1 2 15 6" xfId="5078"/>
    <cellStyle name="60% - akcent 1 2 16" xfId="5079"/>
    <cellStyle name="60% - akcent 1 2 16 2" xfId="5080"/>
    <cellStyle name="60% - akcent 1 2 16 3" xfId="5081"/>
    <cellStyle name="60% - akcent 1 2 16 4" xfId="5082"/>
    <cellStyle name="60% - akcent 1 2 16 5" xfId="5083"/>
    <cellStyle name="60% - akcent 1 2 16 6" xfId="5084"/>
    <cellStyle name="60% - akcent 1 2 17" xfId="5085"/>
    <cellStyle name="60% - akcent 1 2 17 2" xfId="5086"/>
    <cellStyle name="60% - akcent 1 2 17 3" xfId="5087"/>
    <cellStyle name="60% - akcent 1 2 17 4" xfId="5088"/>
    <cellStyle name="60% - akcent 1 2 17 5" xfId="5089"/>
    <cellStyle name="60% - akcent 1 2 17 6" xfId="5090"/>
    <cellStyle name="60% - akcent 1 2 18" xfId="5091"/>
    <cellStyle name="60% - akcent 1 2 18 2" xfId="5092"/>
    <cellStyle name="60% - akcent 1 2 18 3" xfId="5093"/>
    <cellStyle name="60% - akcent 1 2 18 4" xfId="5094"/>
    <cellStyle name="60% - akcent 1 2 18 5" xfId="5095"/>
    <cellStyle name="60% - akcent 1 2 18 6" xfId="5096"/>
    <cellStyle name="60% - akcent 1 2 19" xfId="5097"/>
    <cellStyle name="60% - akcent 1 2 19 2" xfId="5098"/>
    <cellStyle name="60% - akcent 1 2 19 3" xfId="5099"/>
    <cellStyle name="60% - akcent 1 2 19 4" xfId="5100"/>
    <cellStyle name="60% - akcent 1 2 19 5" xfId="5101"/>
    <cellStyle name="60% - akcent 1 2 19 6" xfId="5102"/>
    <cellStyle name="60% - akcent 1 2 2" xfId="5103"/>
    <cellStyle name="60% - akcent 1 2 2 2" xfId="5104"/>
    <cellStyle name="60% - akcent 1 2 2 3" xfId="5105"/>
    <cellStyle name="60% - akcent 1 2 2 4" xfId="5106"/>
    <cellStyle name="60% - akcent 1 2 2 5" xfId="5107"/>
    <cellStyle name="60% - akcent 1 2 2 6" xfId="5108"/>
    <cellStyle name="60% - akcent 1 2 2 7" xfId="5109"/>
    <cellStyle name="60% - akcent 1 2 20" xfId="5110"/>
    <cellStyle name="60% - akcent 1 2 20 2" xfId="5111"/>
    <cellStyle name="60% - akcent 1 2 20 3" xfId="5112"/>
    <cellStyle name="60% - akcent 1 2 20 4" xfId="5113"/>
    <cellStyle name="60% - akcent 1 2 20 5" xfId="5114"/>
    <cellStyle name="60% - akcent 1 2 20 6" xfId="5115"/>
    <cellStyle name="60% - akcent 1 2 21" xfId="5116"/>
    <cellStyle name="60% - akcent 1 2 21 2" xfId="5117"/>
    <cellStyle name="60% - akcent 1 2 21 3" xfId="5118"/>
    <cellStyle name="60% - akcent 1 2 21 4" xfId="5119"/>
    <cellStyle name="60% - akcent 1 2 21 5" xfId="5120"/>
    <cellStyle name="60% - akcent 1 2 21 6" xfId="5121"/>
    <cellStyle name="60% - akcent 1 2 22" xfId="5122"/>
    <cellStyle name="60% - akcent 1 2 22 2" xfId="5123"/>
    <cellStyle name="60% - akcent 1 2 22 3" xfId="5124"/>
    <cellStyle name="60% - akcent 1 2 22 4" xfId="5125"/>
    <cellStyle name="60% - akcent 1 2 22 5" xfId="5126"/>
    <cellStyle name="60% - akcent 1 2 22 6" xfId="5127"/>
    <cellStyle name="60% - akcent 1 2 23" xfId="5128"/>
    <cellStyle name="60% - akcent 1 2 23 2" xfId="5129"/>
    <cellStyle name="60% - akcent 1 2 23 3" xfId="5130"/>
    <cellStyle name="60% - akcent 1 2 23 4" xfId="5131"/>
    <cellStyle name="60% - akcent 1 2 23 5" xfId="5132"/>
    <cellStyle name="60% - akcent 1 2 23 6" xfId="5133"/>
    <cellStyle name="60% - akcent 1 2 24" xfId="5134"/>
    <cellStyle name="60% - akcent 1 2 24 2" xfId="5135"/>
    <cellStyle name="60% - akcent 1 2 24 3" xfId="5136"/>
    <cellStyle name="60% - akcent 1 2 24 4" xfId="5137"/>
    <cellStyle name="60% - akcent 1 2 24 5" xfId="5138"/>
    <cellStyle name="60% - akcent 1 2 24 6" xfId="5139"/>
    <cellStyle name="60% - akcent 1 2 25" xfId="5140"/>
    <cellStyle name="60% - akcent 1 2 25 2" xfId="5141"/>
    <cellStyle name="60% - akcent 1 2 25 3" xfId="5142"/>
    <cellStyle name="60% - akcent 1 2 25 4" xfId="5143"/>
    <cellStyle name="60% - akcent 1 2 25 5" xfId="5144"/>
    <cellStyle name="60% - akcent 1 2 25 6" xfId="5145"/>
    <cellStyle name="60% - akcent 1 2 26" xfId="5146"/>
    <cellStyle name="60% - akcent 1 2 26 2" xfId="5147"/>
    <cellStyle name="60% - akcent 1 2 26 3" xfId="5148"/>
    <cellStyle name="60% - akcent 1 2 26 4" xfId="5149"/>
    <cellStyle name="60% - akcent 1 2 26 5" xfId="5150"/>
    <cellStyle name="60% - akcent 1 2 26 6" xfId="5151"/>
    <cellStyle name="60% - akcent 1 2 27" xfId="5152"/>
    <cellStyle name="60% - akcent 1 2 27 2" xfId="5153"/>
    <cellStyle name="60% - akcent 1 2 27 3" xfId="5154"/>
    <cellStyle name="60% - akcent 1 2 27 4" xfId="5155"/>
    <cellStyle name="60% - akcent 1 2 27 5" xfId="5156"/>
    <cellStyle name="60% - akcent 1 2 27 6" xfId="5157"/>
    <cellStyle name="60% - akcent 1 2 28" xfId="5158"/>
    <cellStyle name="60% - akcent 1 2 28 2" xfId="5159"/>
    <cellStyle name="60% - akcent 1 2 28 3" xfId="5160"/>
    <cellStyle name="60% - akcent 1 2 28 4" xfId="5161"/>
    <cellStyle name="60% - akcent 1 2 28 5" xfId="5162"/>
    <cellStyle name="60% - akcent 1 2 28 6" xfId="5163"/>
    <cellStyle name="60% - akcent 1 2 29" xfId="5164"/>
    <cellStyle name="60% - akcent 1 2 29 2" xfId="5165"/>
    <cellStyle name="60% - akcent 1 2 3" xfId="5166"/>
    <cellStyle name="60% - akcent 1 2 3 2" xfId="5167"/>
    <cellStyle name="60% - akcent 1 2 3 3" xfId="5168"/>
    <cellStyle name="60% - akcent 1 2 3 4" xfId="5169"/>
    <cellStyle name="60% - akcent 1 2 3 5" xfId="5170"/>
    <cellStyle name="60% - akcent 1 2 3 6" xfId="5171"/>
    <cellStyle name="60% - akcent 1 2 30" xfId="5172"/>
    <cellStyle name="60% - akcent 1 2 30 2" xfId="5173"/>
    <cellStyle name="60% - akcent 1 2 31" xfId="5174"/>
    <cellStyle name="60% - akcent 1 2 31 2" xfId="5175"/>
    <cellStyle name="60% - akcent 1 2 32" xfId="5176"/>
    <cellStyle name="60% - akcent 1 2 32 2" xfId="5177"/>
    <cellStyle name="60% - akcent 1 2 33" xfId="5178"/>
    <cellStyle name="60% - akcent 1 2 34" xfId="5179"/>
    <cellStyle name="60% - akcent 1 2 35" xfId="5180"/>
    <cellStyle name="60% - akcent 1 2 36" xfId="5181"/>
    <cellStyle name="60% - akcent 1 2 37" xfId="5182"/>
    <cellStyle name="60% - akcent 1 2 38" xfId="5183"/>
    <cellStyle name="60% - akcent 1 2 39" xfId="5184"/>
    <cellStyle name="60% - akcent 1 2 4" xfId="5185"/>
    <cellStyle name="60% - akcent 1 2 4 2" xfId="5186"/>
    <cellStyle name="60% - akcent 1 2 4 3" xfId="5187"/>
    <cellStyle name="60% - akcent 1 2 4 4" xfId="5188"/>
    <cellStyle name="60% - akcent 1 2 4 5" xfId="5189"/>
    <cellStyle name="60% - akcent 1 2 4 6" xfId="5190"/>
    <cellStyle name="60% - akcent 1 2 40" xfId="5191"/>
    <cellStyle name="60% - akcent 1 2 41" xfId="5192"/>
    <cellStyle name="60% - akcent 1 2 42" xfId="5193"/>
    <cellStyle name="60% - akcent 1 2 43" xfId="5194"/>
    <cellStyle name="60% - akcent 1 2 44" xfId="5195"/>
    <cellStyle name="60% - akcent 1 2 45" xfId="5196"/>
    <cellStyle name="60% - akcent 1 2 46" xfId="5197"/>
    <cellStyle name="60% - akcent 1 2 47" xfId="5198"/>
    <cellStyle name="60% - akcent 1 2 48" xfId="5199"/>
    <cellStyle name="60% - akcent 1 2 49" xfId="5200"/>
    <cellStyle name="60% - akcent 1 2 5" xfId="5201"/>
    <cellStyle name="60% - akcent 1 2 5 2" xfId="5202"/>
    <cellStyle name="60% - akcent 1 2 5 3" xfId="5203"/>
    <cellStyle name="60% - akcent 1 2 5 4" xfId="5204"/>
    <cellStyle name="60% - akcent 1 2 5 5" xfId="5205"/>
    <cellStyle name="60% - akcent 1 2 5 6" xfId="5206"/>
    <cellStyle name="60% - akcent 1 2 50" xfId="5207"/>
    <cellStyle name="60% - akcent 1 2 51" xfId="5208"/>
    <cellStyle name="60% - akcent 1 2 52" xfId="5209"/>
    <cellStyle name="60% - akcent 1 2 6" xfId="5210"/>
    <cellStyle name="60% - akcent 1 2 6 2" xfId="5211"/>
    <cellStyle name="60% - akcent 1 2 6 3" xfId="5212"/>
    <cellStyle name="60% - akcent 1 2 6 4" xfId="5213"/>
    <cellStyle name="60% - akcent 1 2 6 5" xfId="5214"/>
    <cellStyle name="60% - akcent 1 2 6 6" xfId="5215"/>
    <cellStyle name="60% - akcent 1 2 7" xfId="5216"/>
    <cellStyle name="60% - akcent 1 2 7 2" xfId="5217"/>
    <cellStyle name="60% - akcent 1 2 7 3" xfId="5218"/>
    <cellStyle name="60% - akcent 1 2 7 4" xfId="5219"/>
    <cellStyle name="60% - akcent 1 2 7 5" xfId="5220"/>
    <cellStyle name="60% - akcent 1 2 7 6" xfId="5221"/>
    <cellStyle name="60% - akcent 1 2 8" xfId="5222"/>
    <cellStyle name="60% - akcent 1 2 8 2" xfId="5223"/>
    <cellStyle name="60% - akcent 1 2 8 3" xfId="5224"/>
    <cellStyle name="60% - akcent 1 2 8 4" xfId="5225"/>
    <cellStyle name="60% - akcent 1 2 8 5" xfId="5226"/>
    <cellStyle name="60% - akcent 1 2 8 6" xfId="5227"/>
    <cellStyle name="60% - akcent 1 2 9" xfId="5228"/>
    <cellStyle name="60% - akcent 1 2 9 2" xfId="5229"/>
    <cellStyle name="60% - akcent 1 2 9 3" xfId="5230"/>
    <cellStyle name="60% - akcent 1 2 9 4" xfId="5231"/>
    <cellStyle name="60% - akcent 1 2 9 5" xfId="5232"/>
    <cellStyle name="60% - akcent 1 2 9 6" xfId="5233"/>
    <cellStyle name="60% - akcent 1 3" xfId="5234"/>
    <cellStyle name="60% - akcent 1 3 2" xfId="5235"/>
    <cellStyle name="60% - akcent 1 3 2 2" xfId="5236"/>
    <cellStyle name="60% - akcent 1 3 3" xfId="5237"/>
    <cellStyle name="60% - akcent 1 3 4" xfId="5238"/>
    <cellStyle name="60% - akcent 1 3 5" xfId="5239"/>
    <cellStyle name="60% - akcent 1 3 6" xfId="5240"/>
    <cellStyle name="60% - akcent 1 3 7" xfId="5241"/>
    <cellStyle name="60% - akcent 1 3 8" xfId="5242"/>
    <cellStyle name="60% - akcent 1 4" xfId="5243"/>
    <cellStyle name="60% - akcent 1 4 2" xfId="5244"/>
    <cellStyle name="60% - akcent 1 4 3" xfId="5245"/>
    <cellStyle name="60% - akcent 1 4 4" xfId="5246"/>
    <cellStyle name="60% - akcent 1 4 5" xfId="5247"/>
    <cellStyle name="60% - akcent 1 4 6" xfId="5248"/>
    <cellStyle name="60% - akcent 1 4 7" xfId="5249"/>
    <cellStyle name="60% - akcent 1 4 8" xfId="5250"/>
    <cellStyle name="60% - akcent 1 5" xfId="5251"/>
    <cellStyle name="60% - akcent 1 5 2" xfId="5252"/>
    <cellStyle name="60% - akcent 1 6" xfId="5253"/>
    <cellStyle name="60% - akcent 1 7" xfId="5254"/>
    <cellStyle name="60% - akcent 2 2" xfId="5255"/>
    <cellStyle name="60% - akcent 2 2 10" xfId="5256"/>
    <cellStyle name="60% - akcent 2 2 10 2" xfId="5257"/>
    <cellStyle name="60% - akcent 2 2 10 3" xfId="5258"/>
    <cellStyle name="60% - akcent 2 2 10 4" xfId="5259"/>
    <cellStyle name="60% - akcent 2 2 10 5" xfId="5260"/>
    <cellStyle name="60% - akcent 2 2 10 6" xfId="5261"/>
    <cellStyle name="60% - akcent 2 2 11" xfId="5262"/>
    <cellStyle name="60% - akcent 2 2 11 2" xfId="5263"/>
    <cellStyle name="60% - akcent 2 2 11 3" xfId="5264"/>
    <cellStyle name="60% - akcent 2 2 11 4" xfId="5265"/>
    <cellStyle name="60% - akcent 2 2 11 5" xfId="5266"/>
    <cellStyle name="60% - akcent 2 2 11 6" xfId="5267"/>
    <cellStyle name="60% - akcent 2 2 12" xfId="5268"/>
    <cellStyle name="60% - akcent 2 2 12 2" xfId="5269"/>
    <cellStyle name="60% - akcent 2 2 12 3" xfId="5270"/>
    <cellStyle name="60% - akcent 2 2 12 4" xfId="5271"/>
    <cellStyle name="60% - akcent 2 2 12 5" xfId="5272"/>
    <cellStyle name="60% - akcent 2 2 12 6" xfId="5273"/>
    <cellStyle name="60% - akcent 2 2 13" xfId="5274"/>
    <cellStyle name="60% - akcent 2 2 13 2" xfId="5275"/>
    <cellStyle name="60% - akcent 2 2 13 3" xfId="5276"/>
    <cellStyle name="60% - akcent 2 2 13 4" xfId="5277"/>
    <cellStyle name="60% - akcent 2 2 13 5" xfId="5278"/>
    <cellStyle name="60% - akcent 2 2 13 6" xfId="5279"/>
    <cellStyle name="60% - akcent 2 2 14" xfId="5280"/>
    <cellStyle name="60% - akcent 2 2 14 2" xfId="5281"/>
    <cellStyle name="60% - akcent 2 2 14 3" xfId="5282"/>
    <cellStyle name="60% - akcent 2 2 14 4" xfId="5283"/>
    <cellStyle name="60% - akcent 2 2 14 5" xfId="5284"/>
    <cellStyle name="60% - akcent 2 2 14 6" xfId="5285"/>
    <cellStyle name="60% - akcent 2 2 15" xfId="5286"/>
    <cellStyle name="60% - akcent 2 2 15 2" xfId="5287"/>
    <cellStyle name="60% - akcent 2 2 15 3" xfId="5288"/>
    <cellStyle name="60% - akcent 2 2 15 4" xfId="5289"/>
    <cellStyle name="60% - akcent 2 2 15 5" xfId="5290"/>
    <cellStyle name="60% - akcent 2 2 15 6" xfId="5291"/>
    <cellStyle name="60% - akcent 2 2 16" xfId="5292"/>
    <cellStyle name="60% - akcent 2 2 16 2" xfId="5293"/>
    <cellStyle name="60% - akcent 2 2 16 3" xfId="5294"/>
    <cellStyle name="60% - akcent 2 2 16 4" xfId="5295"/>
    <cellStyle name="60% - akcent 2 2 16 5" xfId="5296"/>
    <cellStyle name="60% - akcent 2 2 16 6" xfId="5297"/>
    <cellStyle name="60% - akcent 2 2 17" xfId="5298"/>
    <cellStyle name="60% - akcent 2 2 17 2" xfId="5299"/>
    <cellStyle name="60% - akcent 2 2 17 3" xfId="5300"/>
    <cellStyle name="60% - akcent 2 2 17 4" xfId="5301"/>
    <cellStyle name="60% - akcent 2 2 17 5" xfId="5302"/>
    <cellStyle name="60% - akcent 2 2 17 6" xfId="5303"/>
    <cellStyle name="60% - akcent 2 2 18" xfId="5304"/>
    <cellStyle name="60% - akcent 2 2 18 2" xfId="5305"/>
    <cellStyle name="60% - akcent 2 2 18 3" xfId="5306"/>
    <cellStyle name="60% - akcent 2 2 18 4" xfId="5307"/>
    <cellStyle name="60% - akcent 2 2 18 5" xfId="5308"/>
    <cellStyle name="60% - akcent 2 2 18 6" xfId="5309"/>
    <cellStyle name="60% - akcent 2 2 19" xfId="5310"/>
    <cellStyle name="60% - akcent 2 2 19 2" xfId="5311"/>
    <cellStyle name="60% - akcent 2 2 19 3" xfId="5312"/>
    <cellStyle name="60% - akcent 2 2 19 4" xfId="5313"/>
    <cellStyle name="60% - akcent 2 2 19 5" xfId="5314"/>
    <cellStyle name="60% - akcent 2 2 19 6" xfId="5315"/>
    <cellStyle name="60% - akcent 2 2 2" xfId="5316"/>
    <cellStyle name="60% - akcent 2 2 2 2" xfId="5317"/>
    <cellStyle name="60% - akcent 2 2 2 3" xfId="5318"/>
    <cellStyle name="60% - akcent 2 2 2 4" xfId="5319"/>
    <cellStyle name="60% - akcent 2 2 2 5" xfId="5320"/>
    <cellStyle name="60% - akcent 2 2 2 6" xfId="5321"/>
    <cellStyle name="60% - akcent 2 2 2 7" xfId="5322"/>
    <cellStyle name="60% - akcent 2 2 20" xfId="5323"/>
    <cellStyle name="60% - akcent 2 2 20 2" xfId="5324"/>
    <cellStyle name="60% - akcent 2 2 20 3" xfId="5325"/>
    <cellStyle name="60% - akcent 2 2 20 4" xfId="5326"/>
    <cellStyle name="60% - akcent 2 2 20 5" xfId="5327"/>
    <cellStyle name="60% - akcent 2 2 20 6" xfId="5328"/>
    <cellStyle name="60% - akcent 2 2 21" xfId="5329"/>
    <cellStyle name="60% - akcent 2 2 21 2" xfId="5330"/>
    <cellStyle name="60% - akcent 2 2 21 3" xfId="5331"/>
    <cellStyle name="60% - akcent 2 2 21 4" xfId="5332"/>
    <cellStyle name="60% - akcent 2 2 21 5" xfId="5333"/>
    <cellStyle name="60% - akcent 2 2 21 6" xfId="5334"/>
    <cellStyle name="60% - akcent 2 2 22" xfId="5335"/>
    <cellStyle name="60% - akcent 2 2 22 2" xfId="5336"/>
    <cellStyle name="60% - akcent 2 2 22 3" xfId="5337"/>
    <cellStyle name="60% - akcent 2 2 22 4" xfId="5338"/>
    <cellStyle name="60% - akcent 2 2 22 5" xfId="5339"/>
    <cellStyle name="60% - akcent 2 2 22 6" xfId="5340"/>
    <cellStyle name="60% - akcent 2 2 23" xfId="5341"/>
    <cellStyle name="60% - akcent 2 2 23 2" xfId="5342"/>
    <cellStyle name="60% - akcent 2 2 23 3" xfId="5343"/>
    <cellStyle name="60% - akcent 2 2 23 4" xfId="5344"/>
    <cellStyle name="60% - akcent 2 2 23 5" xfId="5345"/>
    <cellStyle name="60% - akcent 2 2 23 6" xfId="5346"/>
    <cellStyle name="60% - akcent 2 2 24" xfId="5347"/>
    <cellStyle name="60% - akcent 2 2 24 2" xfId="5348"/>
    <cellStyle name="60% - akcent 2 2 24 3" xfId="5349"/>
    <cellStyle name="60% - akcent 2 2 24 4" xfId="5350"/>
    <cellStyle name="60% - akcent 2 2 24 5" xfId="5351"/>
    <cellStyle name="60% - akcent 2 2 24 6" xfId="5352"/>
    <cellStyle name="60% - akcent 2 2 25" xfId="5353"/>
    <cellStyle name="60% - akcent 2 2 25 2" xfId="5354"/>
    <cellStyle name="60% - akcent 2 2 25 3" xfId="5355"/>
    <cellStyle name="60% - akcent 2 2 25 4" xfId="5356"/>
    <cellStyle name="60% - akcent 2 2 25 5" xfId="5357"/>
    <cellStyle name="60% - akcent 2 2 25 6" xfId="5358"/>
    <cellStyle name="60% - akcent 2 2 26" xfId="5359"/>
    <cellStyle name="60% - akcent 2 2 26 2" xfId="5360"/>
    <cellStyle name="60% - akcent 2 2 26 3" xfId="5361"/>
    <cellStyle name="60% - akcent 2 2 26 4" xfId="5362"/>
    <cellStyle name="60% - akcent 2 2 26 5" xfId="5363"/>
    <cellStyle name="60% - akcent 2 2 26 6" xfId="5364"/>
    <cellStyle name="60% - akcent 2 2 27" xfId="5365"/>
    <cellStyle name="60% - akcent 2 2 27 2" xfId="5366"/>
    <cellStyle name="60% - akcent 2 2 27 3" xfId="5367"/>
    <cellStyle name="60% - akcent 2 2 27 4" xfId="5368"/>
    <cellStyle name="60% - akcent 2 2 27 5" xfId="5369"/>
    <cellStyle name="60% - akcent 2 2 27 6" xfId="5370"/>
    <cellStyle name="60% - akcent 2 2 28" xfId="5371"/>
    <cellStyle name="60% - akcent 2 2 28 2" xfId="5372"/>
    <cellStyle name="60% - akcent 2 2 28 3" xfId="5373"/>
    <cellStyle name="60% - akcent 2 2 28 4" xfId="5374"/>
    <cellStyle name="60% - akcent 2 2 28 5" xfId="5375"/>
    <cellStyle name="60% - akcent 2 2 28 6" xfId="5376"/>
    <cellStyle name="60% - akcent 2 2 29" xfId="5377"/>
    <cellStyle name="60% - akcent 2 2 29 2" xfId="5378"/>
    <cellStyle name="60% - akcent 2 2 3" xfId="5379"/>
    <cellStyle name="60% - akcent 2 2 3 2" xfId="5380"/>
    <cellStyle name="60% - akcent 2 2 3 3" xfId="5381"/>
    <cellStyle name="60% - akcent 2 2 3 4" xfId="5382"/>
    <cellStyle name="60% - akcent 2 2 3 5" xfId="5383"/>
    <cellStyle name="60% - akcent 2 2 3 6" xfId="5384"/>
    <cellStyle name="60% - akcent 2 2 30" xfId="5385"/>
    <cellStyle name="60% - akcent 2 2 30 2" xfId="5386"/>
    <cellStyle name="60% - akcent 2 2 31" xfId="5387"/>
    <cellStyle name="60% - akcent 2 2 31 2" xfId="5388"/>
    <cellStyle name="60% - akcent 2 2 32" xfId="5389"/>
    <cellStyle name="60% - akcent 2 2 32 2" xfId="5390"/>
    <cellStyle name="60% - akcent 2 2 33" xfId="5391"/>
    <cellStyle name="60% - akcent 2 2 34" xfId="5392"/>
    <cellStyle name="60% - akcent 2 2 35" xfId="5393"/>
    <cellStyle name="60% - akcent 2 2 36" xfId="5394"/>
    <cellStyle name="60% - akcent 2 2 37" xfId="5395"/>
    <cellStyle name="60% - akcent 2 2 38" xfId="5396"/>
    <cellStyle name="60% - akcent 2 2 39" xfId="5397"/>
    <cellStyle name="60% - akcent 2 2 4" xfId="5398"/>
    <cellStyle name="60% - akcent 2 2 4 2" xfId="5399"/>
    <cellStyle name="60% - akcent 2 2 4 3" xfId="5400"/>
    <cellStyle name="60% - akcent 2 2 4 4" xfId="5401"/>
    <cellStyle name="60% - akcent 2 2 4 5" xfId="5402"/>
    <cellStyle name="60% - akcent 2 2 4 6" xfId="5403"/>
    <cellStyle name="60% - akcent 2 2 40" xfId="5404"/>
    <cellStyle name="60% - akcent 2 2 41" xfId="5405"/>
    <cellStyle name="60% - akcent 2 2 42" xfId="5406"/>
    <cellStyle name="60% - akcent 2 2 43" xfId="5407"/>
    <cellStyle name="60% - akcent 2 2 44" xfId="5408"/>
    <cellStyle name="60% - akcent 2 2 45" xfId="5409"/>
    <cellStyle name="60% - akcent 2 2 46" xfId="5410"/>
    <cellStyle name="60% - akcent 2 2 47" xfId="5411"/>
    <cellStyle name="60% - akcent 2 2 48" xfId="5412"/>
    <cellStyle name="60% - akcent 2 2 49" xfId="5413"/>
    <cellStyle name="60% - akcent 2 2 5" xfId="5414"/>
    <cellStyle name="60% - akcent 2 2 5 2" xfId="5415"/>
    <cellStyle name="60% - akcent 2 2 5 3" xfId="5416"/>
    <cellStyle name="60% - akcent 2 2 5 4" xfId="5417"/>
    <cellStyle name="60% - akcent 2 2 5 5" xfId="5418"/>
    <cellStyle name="60% - akcent 2 2 5 6" xfId="5419"/>
    <cellStyle name="60% - akcent 2 2 50" xfId="5420"/>
    <cellStyle name="60% - akcent 2 2 51" xfId="5421"/>
    <cellStyle name="60% - akcent 2 2 52" xfId="5422"/>
    <cellStyle name="60% - akcent 2 2 6" xfId="5423"/>
    <cellStyle name="60% - akcent 2 2 6 2" xfId="5424"/>
    <cellStyle name="60% - akcent 2 2 6 3" xfId="5425"/>
    <cellStyle name="60% - akcent 2 2 6 4" xfId="5426"/>
    <cellStyle name="60% - akcent 2 2 6 5" xfId="5427"/>
    <cellStyle name="60% - akcent 2 2 6 6" xfId="5428"/>
    <cellStyle name="60% - akcent 2 2 7" xfId="5429"/>
    <cellStyle name="60% - akcent 2 2 7 2" xfId="5430"/>
    <cellStyle name="60% - akcent 2 2 7 3" xfId="5431"/>
    <cellStyle name="60% - akcent 2 2 7 4" xfId="5432"/>
    <cellStyle name="60% - akcent 2 2 7 5" xfId="5433"/>
    <cellStyle name="60% - akcent 2 2 7 6" xfId="5434"/>
    <cellStyle name="60% - akcent 2 2 8" xfId="5435"/>
    <cellStyle name="60% - akcent 2 2 8 2" xfId="5436"/>
    <cellStyle name="60% - akcent 2 2 8 3" xfId="5437"/>
    <cellStyle name="60% - akcent 2 2 8 4" xfId="5438"/>
    <cellStyle name="60% - akcent 2 2 8 5" xfId="5439"/>
    <cellStyle name="60% - akcent 2 2 8 6" xfId="5440"/>
    <cellStyle name="60% - akcent 2 2 9" xfId="5441"/>
    <cellStyle name="60% - akcent 2 2 9 2" xfId="5442"/>
    <cellStyle name="60% - akcent 2 2 9 3" xfId="5443"/>
    <cellStyle name="60% - akcent 2 2 9 4" xfId="5444"/>
    <cellStyle name="60% - akcent 2 2 9 5" xfId="5445"/>
    <cellStyle name="60% - akcent 2 2 9 6" xfId="5446"/>
    <cellStyle name="60% - akcent 2 3" xfId="5447"/>
    <cellStyle name="60% - akcent 2 3 2" xfId="5448"/>
    <cellStyle name="60% - akcent 2 3 2 2" xfId="5449"/>
    <cellStyle name="60% - akcent 2 3 3" xfId="5450"/>
    <cellStyle name="60% - akcent 2 3 4" xfId="5451"/>
    <cellStyle name="60% - akcent 2 3 5" xfId="5452"/>
    <cellStyle name="60% - akcent 2 3 6" xfId="5453"/>
    <cellStyle name="60% - akcent 2 3 7" xfId="5454"/>
    <cellStyle name="60% - akcent 2 3 8" xfId="5455"/>
    <cellStyle name="60% - akcent 2 4" xfId="5456"/>
    <cellStyle name="60% - akcent 2 4 2" xfId="5457"/>
    <cellStyle name="60% - akcent 2 4 3" xfId="5458"/>
    <cellStyle name="60% - akcent 2 4 4" xfId="5459"/>
    <cellStyle name="60% - akcent 2 4 5" xfId="5460"/>
    <cellStyle name="60% - akcent 2 4 6" xfId="5461"/>
    <cellStyle name="60% - akcent 2 4 7" xfId="5462"/>
    <cellStyle name="60% - akcent 2 4 8" xfId="5463"/>
    <cellStyle name="60% - akcent 2 5" xfId="5464"/>
    <cellStyle name="60% - akcent 2 5 2" xfId="5465"/>
    <cellStyle name="60% - akcent 2 6" xfId="5466"/>
    <cellStyle name="60% - akcent 2 7" xfId="5467"/>
    <cellStyle name="60% - akcent 3 2" xfId="5468"/>
    <cellStyle name="60% - akcent 3 2 10" xfId="5469"/>
    <cellStyle name="60% - akcent 3 2 10 2" xfId="5470"/>
    <cellStyle name="60% - akcent 3 2 10 3" xfId="5471"/>
    <cellStyle name="60% - akcent 3 2 10 4" xfId="5472"/>
    <cellStyle name="60% - akcent 3 2 10 5" xfId="5473"/>
    <cellStyle name="60% - akcent 3 2 10 6" xfId="5474"/>
    <cellStyle name="60% - akcent 3 2 11" xfId="5475"/>
    <cellStyle name="60% - akcent 3 2 11 2" xfId="5476"/>
    <cellStyle name="60% - akcent 3 2 11 3" xfId="5477"/>
    <cellStyle name="60% - akcent 3 2 11 4" xfId="5478"/>
    <cellStyle name="60% - akcent 3 2 11 5" xfId="5479"/>
    <cellStyle name="60% - akcent 3 2 11 6" xfId="5480"/>
    <cellStyle name="60% - akcent 3 2 12" xfId="5481"/>
    <cellStyle name="60% - akcent 3 2 12 2" xfId="5482"/>
    <cellStyle name="60% - akcent 3 2 12 3" xfId="5483"/>
    <cellStyle name="60% - akcent 3 2 12 4" xfId="5484"/>
    <cellStyle name="60% - akcent 3 2 12 5" xfId="5485"/>
    <cellStyle name="60% - akcent 3 2 12 6" xfId="5486"/>
    <cellStyle name="60% - akcent 3 2 13" xfId="5487"/>
    <cellStyle name="60% - akcent 3 2 13 2" xfId="5488"/>
    <cellStyle name="60% - akcent 3 2 13 3" xfId="5489"/>
    <cellStyle name="60% - akcent 3 2 13 4" xfId="5490"/>
    <cellStyle name="60% - akcent 3 2 13 5" xfId="5491"/>
    <cellStyle name="60% - akcent 3 2 13 6" xfId="5492"/>
    <cellStyle name="60% - akcent 3 2 14" xfId="5493"/>
    <cellStyle name="60% - akcent 3 2 14 2" xfId="5494"/>
    <cellStyle name="60% - akcent 3 2 14 3" xfId="5495"/>
    <cellStyle name="60% - akcent 3 2 14 4" xfId="5496"/>
    <cellStyle name="60% - akcent 3 2 14 5" xfId="5497"/>
    <cellStyle name="60% - akcent 3 2 14 6" xfId="5498"/>
    <cellStyle name="60% - akcent 3 2 15" xfId="5499"/>
    <cellStyle name="60% - akcent 3 2 15 2" xfId="5500"/>
    <cellStyle name="60% - akcent 3 2 15 3" xfId="5501"/>
    <cellStyle name="60% - akcent 3 2 15 4" xfId="5502"/>
    <cellStyle name="60% - akcent 3 2 15 5" xfId="5503"/>
    <cellStyle name="60% - akcent 3 2 15 6" xfId="5504"/>
    <cellStyle name="60% - akcent 3 2 16" xfId="5505"/>
    <cellStyle name="60% - akcent 3 2 16 2" xfId="5506"/>
    <cellStyle name="60% - akcent 3 2 16 3" xfId="5507"/>
    <cellStyle name="60% - akcent 3 2 16 4" xfId="5508"/>
    <cellStyle name="60% - akcent 3 2 16 5" xfId="5509"/>
    <cellStyle name="60% - akcent 3 2 16 6" xfId="5510"/>
    <cellStyle name="60% - akcent 3 2 17" xfId="5511"/>
    <cellStyle name="60% - akcent 3 2 17 2" xfId="5512"/>
    <cellStyle name="60% - akcent 3 2 17 3" xfId="5513"/>
    <cellStyle name="60% - akcent 3 2 17 4" xfId="5514"/>
    <cellStyle name="60% - akcent 3 2 17 5" xfId="5515"/>
    <cellStyle name="60% - akcent 3 2 17 6" xfId="5516"/>
    <cellStyle name="60% - akcent 3 2 18" xfId="5517"/>
    <cellStyle name="60% - akcent 3 2 18 2" xfId="5518"/>
    <cellStyle name="60% - akcent 3 2 18 3" xfId="5519"/>
    <cellStyle name="60% - akcent 3 2 18 4" xfId="5520"/>
    <cellStyle name="60% - akcent 3 2 18 5" xfId="5521"/>
    <cellStyle name="60% - akcent 3 2 18 6" xfId="5522"/>
    <cellStyle name="60% - akcent 3 2 19" xfId="5523"/>
    <cellStyle name="60% - akcent 3 2 19 2" xfId="5524"/>
    <cellStyle name="60% - akcent 3 2 19 3" xfId="5525"/>
    <cellStyle name="60% - akcent 3 2 19 4" xfId="5526"/>
    <cellStyle name="60% - akcent 3 2 19 5" xfId="5527"/>
    <cellStyle name="60% - akcent 3 2 19 6" xfId="5528"/>
    <cellStyle name="60% - akcent 3 2 2" xfId="5529"/>
    <cellStyle name="60% - akcent 3 2 2 2" xfId="5530"/>
    <cellStyle name="60% - akcent 3 2 2 3" xfId="5531"/>
    <cellStyle name="60% - akcent 3 2 2 4" xfId="5532"/>
    <cellStyle name="60% - akcent 3 2 2 5" xfId="5533"/>
    <cellStyle name="60% - akcent 3 2 2 6" xfId="5534"/>
    <cellStyle name="60% - akcent 3 2 2 7" xfId="5535"/>
    <cellStyle name="60% - akcent 3 2 20" xfId="5536"/>
    <cellStyle name="60% - akcent 3 2 20 2" xfId="5537"/>
    <cellStyle name="60% - akcent 3 2 20 3" xfId="5538"/>
    <cellStyle name="60% - akcent 3 2 20 4" xfId="5539"/>
    <cellStyle name="60% - akcent 3 2 20 5" xfId="5540"/>
    <cellStyle name="60% - akcent 3 2 20 6" xfId="5541"/>
    <cellStyle name="60% - akcent 3 2 21" xfId="5542"/>
    <cellStyle name="60% - akcent 3 2 21 2" xfId="5543"/>
    <cellStyle name="60% - akcent 3 2 21 3" xfId="5544"/>
    <cellStyle name="60% - akcent 3 2 21 4" xfId="5545"/>
    <cellStyle name="60% - akcent 3 2 21 5" xfId="5546"/>
    <cellStyle name="60% - akcent 3 2 21 6" xfId="5547"/>
    <cellStyle name="60% - akcent 3 2 22" xfId="5548"/>
    <cellStyle name="60% - akcent 3 2 22 2" xfId="5549"/>
    <cellStyle name="60% - akcent 3 2 22 3" xfId="5550"/>
    <cellStyle name="60% - akcent 3 2 22 4" xfId="5551"/>
    <cellStyle name="60% - akcent 3 2 22 5" xfId="5552"/>
    <cellStyle name="60% - akcent 3 2 22 6" xfId="5553"/>
    <cellStyle name="60% - akcent 3 2 23" xfId="5554"/>
    <cellStyle name="60% - akcent 3 2 23 2" xfId="5555"/>
    <cellStyle name="60% - akcent 3 2 23 3" xfId="5556"/>
    <cellStyle name="60% - akcent 3 2 23 4" xfId="5557"/>
    <cellStyle name="60% - akcent 3 2 23 5" xfId="5558"/>
    <cellStyle name="60% - akcent 3 2 23 6" xfId="5559"/>
    <cellStyle name="60% - akcent 3 2 24" xfId="5560"/>
    <cellStyle name="60% - akcent 3 2 24 2" xfId="5561"/>
    <cellStyle name="60% - akcent 3 2 24 3" xfId="5562"/>
    <cellStyle name="60% - akcent 3 2 24 4" xfId="5563"/>
    <cellStyle name="60% - akcent 3 2 24 5" xfId="5564"/>
    <cellStyle name="60% - akcent 3 2 24 6" xfId="5565"/>
    <cellStyle name="60% - akcent 3 2 25" xfId="5566"/>
    <cellStyle name="60% - akcent 3 2 25 2" xfId="5567"/>
    <cellStyle name="60% - akcent 3 2 25 3" xfId="5568"/>
    <cellStyle name="60% - akcent 3 2 25 4" xfId="5569"/>
    <cellStyle name="60% - akcent 3 2 25 5" xfId="5570"/>
    <cellStyle name="60% - akcent 3 2 25 6" xfId="5571"/>
    <cellStyle name="60% - akcent 3 2 26" xfId="5572"/>
    <cellStyle name="60% - akcent 3 2 26 2" xfId="5573"/>
    <cellStyle name="60% - akcent 3 2 26 3" xfId="5574"/>
    <cellStyle name="60% - akcent 3 2 26 4" xfId="5575"/>
    <cellStyle name="60% - akcent 3 2 26 5" xfId="5576"/>
    <cellStyle name="60% - akcent 3 2 26 6" xfId="5577"/>
    <cellStyle name="60% - akcent 3 2 27" xfId="5578"/>
    <cellStyle name="60% - akcent 3 2 27 2" xfId="5579"/>
    <cellStyle name="60% - akcent 3 2 27 3" xfId="5580"/>
    <cellStyle name="60% - akcent 3 2 27 4" xfId="5581"/>
    <cellStyle name="60% - akcent 3 2 27 5" xfId="5582"/>
    <cellStyle name="60% - akcent 3 2 27 6" xfId="5583"/>
    <cellStyle name="60% - akcent 3 2 28" xfId="5584"/>
    <cellStyle name="60% - akcent 3 2 28 2" xfId="5585"/>
    <cellStyle name="60% - akcent 3 2 28 3" xfId="5586"/>
    <cellStyle name="60% - akcent 3 2 28 4" xfId="5587"/>
    <cellStyle name="60% - akcent 3 2 28 5" xfId="5588"/>
    <cellStyle name="60% - akcent 3 2 28 6" xfId="5589"/>
    <cellStyle name="60% - akcent 3 2 29" xfId="5590"/>
    <cellStyle name="60% - akcent 3 2 29 2" xfId="5591"/>
    <cellStyle name="60% - akcent 3 2 3" xfId="5592"/>
    <cellStyle name="60% - akcent 3 2 3 2" xfId="5593"/>
    <cellStyle name="60% - akcent 3 2 3 3" xfId="5594"/>
    <cellStyle name="60% - akcent 3 2 3 4" xfId="5595"/>
    <cellStyle name="60% - akcent 3 2 3 5" xfId="5596"/>
    <cellStyle name="60% - akcent 3 2 3 6" xfId="5597"/>
    <cellStyle name="60% - akcent 3 2 30" xfId="5598"/>
    <cellStyle name="60% - akcent 3 2 30 2" xfId="5599"/>
    <cellStyle name="60% - akcent 3 2 31" xfId="5600"/>
    <cellStyle name="60% - akcent 3 2 31 2" xfId="5601"/>
    <cellStyle name="60% - akcent 3 2 32" xfId="5602"/>
    <cellStyle name="60% - akcent 3 2 32 2" xfId="5603"/>
    <cellStyle name="60% - akcent 3 2 33" xfId="5604"/>
    <cellStyle name="60% - akcent 3 2 34" xfId="5605"/>
    <cellStyle name="60% - akcent 3 2 35" xfId="5606"/>
    <cellStyle name="60% - akcent 3 2 36" xfId="5607"/>
    <cellStyle name="60% - akcent 3 2 37" xfId="5608"/>
    <cellStyle name="60% - akcent 3 2 38" xfId="5609"/>
    <cellStyle name="60% - akcent 3 2 39" xfId="5610"/>
    <cellStyle name="60% - akcent 3 2 4" xfId="5611"/>
    <cellStyle name="60% - akcent 3 2 4 2" xfId="5612"/>
    <cellStyle name="60% - akcent 3 2 4 3" xfId="5613"/>
    <cellStyle name="60% - akcent 3 2 4 4" xfId="5614"/>
    <cellStyle name="60% - akcent 3 2 4 5" xfId="5615"/>
    <cellStyle name="60% - akcent 3 2 4 6" xfId="5616"/>
    <cellStyle name="60% - akcent 3 2 40" xfId="5617"/>
    <cellStyle name="60% - akcent 3 2 41" xfId="5618"/>
    <cellStyle name="60% - akcent 3 2 42" xfId="5619"/>
    <cellStyle name="60% - akcent 3 2 43" xfId="5620"/>
    <cellStyle name="60% - akcent 3 2 44" xfId="5621"/>
    <cellStyle name="60% - akcent 3 2 45" xfId="5622"/>
    <cellStyle name="60% - akcent 3 2 46" xfId="5623"/>
    <cellStyle name="60% - akcent 3 2 47" xfId="5624"/>
    <cellStyle name="60% - akcent 3 2 48" xfId="5625"/>
    <cellStyle name="60% - akcent 3 2 49" xfId="5626"/>
    <cellStyle name="60% - akcent 3 2 5" xfId="5627"/>
    <cellStyle name="60% - akcent 3 2 5 2" xfId="5628"/>
    <cellStyle name="60% - akcent 3 2 5 3" xfId="5629"/>
    <cellStyle name="60% - akcent 3 2 5 4" xfId="5630"/>
    <cellStyle name="60% - akcent 3 2 5 5" xfId="5631"/>
    <cellStyle name="60% - akcent 3 2 5 6" xfId="5632"/>
    <cellStyle name="60% - akcent 3 2 50" xfId="5633"/>
    <cellStyle name="60% - akcent 3 2 51" xfId="5634"/>
    <cellStyle name="60% - akcent 3 2 52" xfId="5635"/>
    <cellStyle name="60% - akcent 3 2 6" xfId="5636"/>
    <cellStyle name="60% - akcent 3 2 6 2" xfId="5637"/>
    <cellStyle name="60% - akcent 3 2 6 3" xfId="5638"/>
    <cellStyle name="60% - akcent 3 2 6 4" xfId="5639"/>
    <cellStyle name="60% - akcent 3 2 6 5" xfId="5640"/>
    <cellStyle name="60% - akcent 3 2 6 6" xfId="5641"/>
    <cellStyle name="60% - akcent 3 2 7" xfId="5642"/>
    <cellStyle name="60% - akcent 3 2 7 2" xfId="5643"/>
    <cellStyle name="60% - akcent 3 2 7 3" xfId="5644"/>
    <cellStyle name="60% - akcent 3 2 7 4" xfId="5645"/>
    <cellStyle name="60% - akcent 3 2 7 5" xfId="5646"/>
    <cellStyle name="60% - akcent 3 2 7 6" xfId="5647"/>
    <cellStyle name="60% - akcent 3 2 8" xfId="5648"/>
    <cellStyle name="60% - akcent 3 2 8 2" xfId="5649"/>
    <cellStyle name="60% - akcent 3 2 8 3" xfId="5650"/>
    <cellStyle name="60% - akcent 3 2 8 4" xfId="5651"/>
    <cellStyle name="60% - akcent 3 2 8 5" xfId="5652"/>
    <cellStyle name="60% - akcent 3 2 8 6" xfId="5653"/>
    <cellStyle name="60% - akcent 3 2 9" xfId="5654"/>
    <cellStyle name="60% - akcent 3 2 9 2" xfId="5655"/>
    <cellStyle name="60% - akcent 3 2 9 3" xfId="5656"/>
    <cellStyle name="60% - akcent 3 2 9 4" xfId="5657"/>
    <cellStyle name="60% - akcent 3 2 9 5" xfId="5658"/>
    <cellStyle name="60% - akcent 3 2 9 6" xfId="5659"/>
    <cellStyle name="60% - akcent 3 3" xfId="5660"/>
    <cellStyle name="60% - akcent 3 3 2" xfId="5661"/>
    <cellStyle name="60% - akcent 3 3 2 2" xfId="5662"/>
    <cellStyle name="60% - akcent 3 3 3" xfId="5663"/>
    <cellStyle name="60% - akcent 3 3 4" xfId="5664"/>
    <cellStyle name="60% - akcent 3 3 5" xfId="5665"/>
    <cellStyle name="60% - akcent 3 3 6" xfId="5666"/>
    <cellStyle name="60% - akcent 3 3 7" xfId="5667"/>
    <cellStyle name="60% - akcent 3 3 8" xfId="5668"/>
    <cellStyle name="60% - akcent 3 4" xfId="5669"/>
    <cellStyle name="60% - akcent 3 4 2" xfId="5670"/>
    <cellStyle name="60% - akcent 3 4 3" xfId="5671"/>
    <cellStyle name="60% - akcent 3 4 4" xfId="5672"/>
    <cellStyle name="60% - akcent 3 4 5" xfId="5673"/>
    <cellStyle name="60% - akcent 3 4 6" xfId="5674"/>
    <cellStyle name="60% - akcent 3 4 7" xfId="5675"/>
    <cellStyle name="60% - akcent 3 4 8" xfId="5676"/>
    <cellStyle name="60% - akcent 3 5" xfId="5677"/>
    <cellStyle name="60% - akcent 3 5 2" xfId="5678"/>
    <cellStyle name="60% - akcent 3 6" xfId="5679"/>
    <cellStyle name="60% - akcent 3 7" xfId="5680"/>
    <cellStyle name="60% - akcent 4 2" xfId="5681"/>
    <cellStyle name="60% - akcent 4 2 10" xfId="5682"/>
    <cellStyle name="60% - akcent 4 2 10 2" xfId="5683"/>
    <cellStyle name="60% - akcent 4 2 10 3" xfId="5684"/>
    <cellStyle name="60% - akcent 4 2 10 4" xfId="5685"/>
    <cellStyle name="60% - akcent 4 2 10 5" xfId="5686"/>
    <cellStyle name="60% - akcent 4 2 10 6" xfId="5687"/>
    <cellStyle name="60% - akcent 4 2 11" xfId="5688"/>
    <cellStyle name="60% - akcent 4 2 11 2" xfId="5689"/>
    <cellStyle name="60% - akcent 4 2 11 3" xfId="5690"/>
    <cellStyle name="60% - akcent 4 2 11 4" xfId="5691"/>
    <cellStyle name="60% - akcent 4 2 11 5" xfId="5692"/>
    <cellStyle name="60% - akcent 4 2 11 6" xfId="5693"/>
    <cellStyle name="60% - akcent 4 2 12" xfId="5694"/>
    <cellStyle name="60% - akcent 4 2 12 2" xfId="5695"/>
    <cellStyle name="60% - akcent 4 2 12 3" xfId="5696"/>
    <cellStyle name="60% - akcent 4 2 12 4" xfId="5697"/>
    <cellStyle name="60% - akcent 4 2 12 5" xfId="5698"/>
    <cellStyle name="60% - akcent 4 2 12 6" xfId="5699"/>
    <cellStyle name="60% - akcent 4 2 13" xfId="5700"/>
    <cellStyle name="60% - akcent 4 2 13 2" xfId="5701"/>
    <cellStyle name="60% - akcent 4 2 13 3" xfId="5702"/>
    <cellStyle name="60% - akcent 4 2 13 4" xfId="5703"/>
    <cellStyle name="60% - akcent 4 2 13 5" xfId="5704"/>
    <cellStyle name="60% - akcent 4 2 13 6" xfId="5705"/>
    <cellStyle name="60% - akcent 4 2 14" xfId="5706"/>
    <cellStyle name="60% - akcent 4 2 14 2" xfId="5707"/>
    <cellStyle name="60% - akcent 4 2 14 3" xfId="5708"/>
    <cellStyle name="60% - akcent 4 2 14 4" xfId="5709"/>
    <cellStyle name="60% - akcent 4 2 14 5" xfId="5710"/>
    <cellStyle name="60% - akcent 4 2 14 6" xfId="5711"/>
    <cellStyle name="60% - akcent 4 2 15" xfId="5712"/>
    <cellStyle name="60% - akcent 4 2 15 2" xfId="5713"/>
    <cellStyle name="60% - akcent 4 2 15 3" xfId="5714"/>
    <cellStyle name="60% - akcent 4 2 15 4" xfId="5715"/>
    <cellStyle name="60% - akcent 4 2 15 5" xfId="5716"/>
    <cellStyle name="60% - akcent 4 2 15 6" xfId="5717"/>
    <cellStyle name="60% - akcent 4 2 16" xfId="5718"/>
    <cellStyle name="60% - akcent 4 2 16 2" xfId="5719"/>
    <cellStyle name="60% - akcent 4 2 16 3" xfId="5720"/>
    <cellStyle name="60% - akcent 4 2 16 4" xfId="5721"/>
    <cellStyle name="60% - akcent 4 2 16 5" xfId="5722"/>
    <cellStyle name="60% - akcent 4 2 16 6" xfId="5723"/>
    <cellStyle name="60% - akcent 4 2 17" xfId="5724"/>
    <cellStyle name="60% - akcent 4 2 17 2" xfId="5725"/>
    <cellStyle name="60% - akcent 4 2 17 3" xfId="5726"/>
    <cellStyle name="60% - akcent 4 2 17 4" xfId="5727"/>
    <cellStyle name="60% - akcent 4 2 17 5" xfId="5728"/>
    <cellStyle name="60% - akcent 4 2 17 6" xfId="5729"/>
    <cellStyle name="60% - akcent 4 2 18" xfId="5730"/>
    <cellStyle name="60% - akcent 4 2 18 2" xfId="5731"/>
    <cellStyle name="60% - akcent 4 2 18 3" xfId="5732"/>
    <cellStyle name="60% - akcent 4 2 18 4" xfId="5733"/>
    <cellStyle name="60% - akcent 4 2 18 5" xfId="5734"/>
    <cellStyle name="60% - akcent 4 2 18 6" xfId="5735"/>
    <cellStyle name="60% - akcent 4 2 19" xfId="5736"/>
    <cellStyle name="60% - akcent 4 2 19 2" xfId="5737"/>
    <cellStyle name="60% - akcent 4 2 19 3" xfId="5738"/>
    <cellStyle name="60% - akcent 4 2 19 4" xfId="5739"/>
    <cellStyle name="60% - akcent 4 2 19 5" xfId="5740"/>
    <cellStyle name="60% - akcent 4 2 19 6" xfId="5741"/>
    <cellStyle name="60% - akcent 4 2 2" xfId="5742"/>
    <cellStyle name="60% - akcent 4 2 2 2" xfId="5743"/>
    <cellStyle name="60% - akcent 4 2 2 3" xfId="5744"/>
    <cellStyle name="60% - akcent 4 2 2 4" xfId="5745"/>
    <cellStyle name="60% - akcent 4 2 2 5" xfId="5746"/>
    <cellStyle name="60% - akcent 4 2 2 6" xfId="5747"/>
    <cellStyle name="60% - akcent 4 2 2 7" xfId="5748"/>
    <cellStyle name="60% - akcent 4 2 20" xfId="5749"/>
    <cellStyle name="60% - akcent 4 2 20 2" xfId="5750"/>
    <cellStyle name="60% - akcent 4 2 20 3" xfId="5751"/>
    <cellStyle name="60% - akcent 4 2 20 4" xfId="5752"/>
    <cellStyle name="60% - akcent 4 2 20 5" xfId="5753"/>
    <cellStyle name="60% - akcent 4 2 20 6" xfId="5754"/>
    <cellStyle name="60% - akcent 4 2 21" xfId="5755"/>
    <cellStyle name="60% - akcent 4 2 21 2" xfId="5756"/>
    <cellStyle name="60% - akcent 4 2 21 3" xfId="5757"/>
    <cellStyle name="60% - akcent 4 2 21 4" xfId="5758"/>
    <cellStyle name="60% - akcent 4 2 21 5" xfId="5759"/>
    <cellStyle name="60% - akcent 4 2 21 6" xfId="5760"/>
    <cellStyle name="60% - akcent 4 2 22" xfId="5761"/>
    <cellStyle name="60% - akcent 4 2 22 2" xfId="5762"/>
    <cellStyle name="60% - akcent 4 2 22 3" xfId="5763"/>
    <cellStyle name="60% - akcent 4 2 22 4" xfId="5764"/>
    <cellStyle name="60% - akcent 4 2 22 5" xfId="5765"/>
    <cellStyle name="60% - akcent 4 2 22 6" xfId="5766"/>
    <cellStyle name="60% - akcent 4 2 23" xfId="5767"/>
    <cellStyle name="60% - akcent 4 2 23 2" xfId="5768"/>
    <cellStyle name="60% - akcent 4 2 23 3" xfId="5769"/>
    <cellStyle name="60% - akcent 4 2 23 4" xfId="5770"/>
    <cellStyle name="60% - akcent 4 2 23 5" xfId="5771"/>
    <cellStyle name="60% - akcent 4 2 23 6" xfId="5772"/>
    <cellStyle name="60% - akcent 4 2 24" xfId="5773"/>
    <cellStyle name="60% - akcent 4 2 24 2" xfId="5774"/>
    <cellStyle name="60% - akcent 4 2 24 3" xfId="5775"/>
    <cellStyle name="60% - akcent 4 2 24 4" xfId="5776"/>
    <cellStyle name="60% - akcent 4 2 24 5" xfId="5777"/>
    <cellStyle name="60% - akcent 4 2 24 6" xfId="5778"/>
    <cellStyle name="60% - akcent 4 2 25" xfId="5779"/>
    <cellStyle name="60% - akcent 4 2 25 2" xfId="5780"/>
    <cellStyle name="60% - akcent 4 2 25 3" xfId="5781"/>
    <cellStyle name="60% - akcent 4 2 25 4" xfId="5782"/>
    <cellStyle name="60% - akcent 4 2 25 5" xfId="5783"/>
    <cellStyle name="60% - akcent 4 2 25 6" xfId="5784"/>
    <cellStyle name="60% - akcent 4 2 26" xfId="5785"/>
    <cellStyle name="60% - akcent 4 2 26 2" xfId="5786"/>
    <cellStyle name="60% - akcent 4 2 26 3" xfId="5787"/>
    <cellStyle name="60% - akcent 4 2 26 4" xfId="5788"/>
    <cellStyle name="60% - akcent 4 2 26 5" xfId="5789"/>
    <cellStyle name="60% - akcent 4 2 26 6" xfId="5790"/>
    <cellStyle name="60% - akcent 4 2 27" xfId="5791"/>
    <cellStyle name="60% - akcent 4 2 27 2" xfId="5792"/>
    <cellStyle name="60% - akcent 4 2 27 3" xfId="5793"/>
    <cellStyle name="60% - akcent 4 2 27 4" xfId="5794"/>
    <cellStyle name="60% - akcent 4 2 27 5" xfId="5795"/>
    <cellStyle name="60% - akcent 4 2 27 6" xfId="5796"/>
    <cellStyle name="60% - akcent 4 2 28" xfId="5797"/>
    <cellStyle name="60% - akcent 4 2 28 2" xfId="5798"/>
    <cellStyle name="60% - akcent 4 2 28 3" xfId="5799"/>
    <cellStyle name="60% - akcent 4 2 28 4" xfId="5800"/>
    <cellStyle name="60% - akcent 4 2 28 5" xfId="5801"/>
    <cellStyle name="60% - akcent 4 2 28 6" xfId="5802"/>
    <cellStyle name="60% - akcent 4 2 29" xfId="5803"/>
    <cellStyle name="60% - akcent 4 2 29 2" xfId="5804"/>
    <cellStyle name="60% - akcent 4 2 3" xfId="5805"/>
    <cellStyle name="60% - akcent 4 2 3 2" xfId="5806"/>
    <cellStyle name="60% - akcent 4 2 3 3" xfId="5807"/>
    <cellStyle name="60% - akcent 4 2 3 4" xfId="5808"/>
    <cellStyle name="60% - akcent 4 2 3 5" xfId="5809"/>
    <cellStyle name="60% - akcent 4 2 3 6" xfId="5810"/>
    <cellStyle name="60% - akcent 4 2 30" xfId="5811"/>
    <cellStyle name="60% - akcent 4 2 30 2" xfId="5812"/>
    <cellStyle name="60% - akcent 4 2 31" xfId="5813"/>
    <cellStyle name="60% - akcent 4 2 31 2" xfId="5814"/>
    <cellStyle name="60% - akcent 4 2 32" xfId="5815"/>
    <cellStyle name="60% - akcent 4 2 32 2" xfId="5816"/>
    <cellStyle name="60% - akcent 4 2 33" xfId="5817"/>
    <cellStyle name="60% - akcent 4 2 34" xfId="5818"/>
    <cellStyle name="60% - akcent 4 2 35" xfId="5819"/>
    <cellStyle name="60% - akcent 4 2 36" xfId="5820"/>
    <cellStyle name="60% - akcent 4 2 37" xfId="5821"/>
    <cellStyle name="60% - akcent 4 2 38" xfId="5822"/>
    <cellStyle name="60% - akcent 4 2 39" xfId="5823"/>
    <cellStyle name="60% - akcent 4 2 4" xfId="5824"/>
    <cellStyle name="60% - akcent 4 2 4 2" xfId="5825"/>
    <cellStyle name="60% - akcent 4 2 4 3" xfId="5826"/>
    <cellStyle name="60% - akcent 4 2 4 4" xfId="5827"/>
    <cellStyle name="60% - akcent 4 2 4 5" xfId="5828"/>
    <cellStyle name="60% - akcent 4 2 4 6" xfId="5829"/>
    <cellStyle name="60% - akcent 4 2 40" xfId="5830"/>
    <cellStyle name="60% - akcent 4 2 41" xfId="5831"/>
    <cellStyle name="60% - akcent 4 2 42" xfId="5832"/>
    <cellStyle name="60% - akcent 4 2 43" xfId="5833"/>
    <cellStyle name="60% - akcent 4 2 44" xfId="5834"/>
    <cellStyle name="60% - akcent 4 2 45" xfId="5835"/>
    <cellStyle name="60% - akcent 4 2 46" xfId="5836"/>
    <cellStyle name="60% - akcent 4 2 47" xfId="5837"/>
    <cellStyle name="60% - akcent 4 2 48" xfId="5838"/>
    <cellStyle name="60% - akcent 4 2 49" xfId="5839"/>
    <cellStyle name="60% - akcent 4 2 5" xfId="5840"/>
    <cellStyle name="60% - akcent 4 2 5 2" xfId="5841"/>
    <cellStyle name="60% - akcent 4 2 5 3" xfId="5842"/>
    <cellStyle name="60% - akcent 4 2 5 4" xfId="5843"/>
    <cellStyle name="60% - akcent 4 2 5 5" xfId="5844"/>
    <cellStyle name="60% - akcent 4 2 5 6" xfId="5845"/>
    <cellStyle name="60% - akcent 4 2 50" xfId="5846"/>
    <cellStyle name="60% - akcent 4 2 51" xfId="5847"/>
    <cellStyle name="60% - akcent 4 2 52" xfId="5848"/>
    <cellStyle name="60% - akcent 4 2 6" xfId="5849"/>
    <cellStyle name="60% - akcent 4 2 6 2" xfId="5850"/>
    <cellStyle name="60% - akcent 4 2 6 3" xfId="5851"/>
    <cellStyle name="60% - akcent 4 2 6 4" xfId="5852"/>
    <cellStyle name="60% - akcent 4 2 6 5" xfId="5853"/>
    <cellStyle name="60% - akcent 4 2 6 6" xfId="5854"/>
    <cellStyle name="60% - akcent 4 2 7" xfId="5855"/>
    <cellStyle name="60% - akcent 4 2 7 2" xfId="5856"/>
    <cellStyle name="60% - akcent 4 2 7 3" xfId="5857"/>
    <cellStyle name="60% - akcent 4 2 7 4" xfId="5858"/>
    <cellStyle name="60% - akcent 4 2 7 5" xfId="5859"/>
    <cellStyle name="60% - akcent 4 2 7 6" xfId="5860"/>
    <cellStyle name="60% - akcent 4 2 8" xfId="5861"/>
    <cellStyle name="60% - akcent 4 2 8 2" xfId="5862"/>
    <cellStyle name="60% - akcent 4 2 8 3" xfId="5863"/>
    <cellStyle name="60% - akcent 4 2 8 4" xfId="5864"/>
    <cellStyle name="60% - akcent 4 2 8 5" xfId="5865"/>
    <cellStyle name="60% - akcent 4 2 8 6" xfId="5866"/>
    <cellStyle name="60% - akcent 4 2 9" xfId="5867"/>
    <cellStyle name="60% - akcent 4 2 9 2" xfId="5868"/>
    <cellStyle name="60% - akcent 4 2 9 3" xfId="5869"/>
    <cellStyle name="60% - akcent 4 2 9 4" xfId="5870"/>
    <cellStyle name="60% - akcent 4 2 9 5" xfId="5871"/>
    <cellStyle name="60% - akcent 4 2 9 6" xfId="5872"/>
    <cellStyle name="60% - akcent 4 3" xfId="5873"/>
    <cellStyle name="60% - akcent 4 3 2" xfId="5874"/>
    <cellStyle name="60% - akcent 4 3 2 2" xfId="5875"/>
    <cellStyle name="60% - akcent 4 3 3" xfId="5876"/>
    <cellStyle name="60% - akcent 4 3 4" xfId="5877"/>
    <cellStyle name="60% - akcent 4 3 5" xfId="5878"/>
    <cellStyle name="60% - akcent 4 3 6" xfId="5879"/>
    <cellStyle name="60% - akcent 4 3 7" xfId="5880"/>
    <cellStyle name="60% - akcent 4 3 8" xfId="5881"/>
    <cellStyle name="60% - akcent 4 4" xfId="5882"/>
    <cellStyle name="60% - akcent 4 4 2" xfId="5883"/>
    <cellStyle name="60% - akcent 4 4 3" xfId="5884"/>
    <cellStyle name="60% - akcent 4 4 4" xfId="5885"/>
    <cellStyle name="60% - akcent 4 4 5" xfId="5886"/>
    <cellStyle name="60% - akcent 4 4 6" xfId="5887"/>
    <cellStyle name="60% - akcent 4 4 7" xfId="5888"/>
    <cellStyle name="60% - akcent 4 4 8" xfId="5889"/>
    <cellStyle name="60% - akcent 4 5" xfId="5890"/>
    <cellStyle name="60% - akcent 4 5 2" xfId="5891"/>
    <cellStyle name="60% - akcent 4 6" xfId="5892"/>
    <cellStyle name="60% - akcent 4 7" xfId="5893"/>
    <cellStyle name="60% - akcent 5 2" xfId="5894"/>
    <cellStyle name="60% - akcent 5 2 10" xfId="5895"/>
    <cellStyle name="60% - akcent 5 2 10 2" xfId="5896"/>
    <cellStyle name="60% - akcent 5 2 10 3" xfId="5897"/>
    <cellStyle name="60% - akcent 5 2 10 4" xfId="5898"/>
    <cellStyle name="60% - akcent 5 2 10 5" xfId="5899"/>
    <cellStyle name="60% - akcent 5 2 10 6" xfId="5900"/>
    <cellStyle name="60% - akcent 5 2 11" xfId="5901"/>
    <cellStyle name="60% - akcent 5 2 11 2" xfId="5902"/>
    <cellStyle name="60% - akcent 5 2 11 3" xfId="5903"/>
    <cellStyle name="60% - akcent 5 2 11 4" xfId="5904"/>
    <cellStyle name="60% - akcent 5 2 11 5" xfId="5905"/>
    <cellStyle name="60% - akcent 5 2 11 6" xfId="5906"/>
    <cellStyle name="60% - akcent 5 2 12" xfId="5907"/>
    <cellStyle name="60% - akcent 5 2 12 2" xfId="5908"/>
    <cellStyle name="60% - akcent 5 2 12 3" xfId="5909"/>
    <cellStyle name="60% - akcent 5 2 12 4" xfId="5910"/>
    <cellStyle name="60% - akcent 5 2 12 5" xfId="5911"/>
    <cellStyle name="60% - akcent 5 2 12 6" xfId="5912"/>
    <cellStyle name="60% - akcent 5 2 13" xfId="5913"/>
    <cellStyle name="60% - akcent 5 2 13 2" xfId="5914"/>
    <cellStyle name="60% - akcent 5 2 13 3" xfId="5915"/>
    <cellStyle name="60% - akcent 5 2 13 4" xfId="5916"/>
    <cellStyle name="60% - akcent 5 2 13 5" xfId="5917"/>
    <cellStyle name="60% - akcent 5 2 13 6" xfId="5918"/>
    <cellStyle name="60% - akcent 5 2 14" xfId="5919"/>
    <cellStyle name="60% - akcent 5 2 14 2" xfId="5920"/>
    <cellStyle name="60% - akcent 5 2 14 3" xfId="5921"/>
    <cellStyle name="60% - akcent 5 2 14 4" xfId="5922"/>
    <cellStyle name="60% - akcent 5 2 14 5" xfId="5923"/>
    <cellStyle name="60% - akcent 5 2 14 6" xfId="5924"/>
    <cellStyle name="60% - akcent 5 2 15" xfId="5925"/>
    <cellStyle name="60% - akcent 5 2 15 2" xfId="5926"/>
    <cellStyle name="60% - akcent 5 2 15 3" xfId="5927"/>
    <cellStyle name="60% - akcent 5 2 15 4" xfId="5928"/>
    <cellStyle name="60% - akcent 5 2 15 5" xfId="5929"/>
    <cellStyle name="60% - akcent 5 2 15 6" xfId="5930"/>
    <cellStyle name="60% - akcent 5 2 16" xfId="5931"/>
    <cellStyle name="60% - akcent 5 2 16 2" xfId="5932"/>
    <cellStyle name="60% - akcent 5 2 16 3" xfId="5933"/>
    <cellStyle name="60% - akcent 5 2 16 4" xfId="5934"/>
    <cellStyle name="60% - akcent 5 2 16 5" xfId="5935"/>
    <cellStyle name="60% - akcent 5 2 16 6" xfId="5936"/>
    <cellStyle name="60% - akcent 5 2 17" xfId="5937"/>
    <cellStyle name="60% - akcent 5 2 17 2" xfId="5938"/>
    <cellStyle name="60% - akcent 5 2 17 3" xfId="5939"/>
    <cellStyle name="60% - akcent 5 2 17 4" xfId="5940"/>
    <cellStyle name="60% - akcent 5 2 17 5" xfId="5941"/>
    <cellStyle name="60% - akcent 5 2 17 6" xfId="5942"/>
    <cellStyle name="60% - akcent 5 2 18" xfId="5943"/>
    <cellStyle name="60% - akcent 5 2 18 2" xfId="5944"/>
    <cellStyle name="60% - akcent 5 2 18 3" xfId="5945"/>
    <cellStyle name="60% - akcent 5 2 18 4" xfId="5946"/>
    <cellStyle name="60% - akcent 5 2 18 5" xfId="5947"/>
    <cellStyle name="60% - akcent 5 2 18 6" xfId="5948"/>
    <cellStyle name="60% - akcent 5 2 19" xfId="5949"/>
    <cellStyle name="60% - akcent 5 2 19 2" xfId="5950"/>
    <cellStyle name="60% - akcent 5 2 19 3" xfId="5951"/>
    <cellStyle name="60% - akcent 5 2 19 4" xfId="5952"/>
    <cellStyle name="60% - akcent 5 2 19 5" xfId="5953"/>
    <cellStyle name="60% - akcent 5 2 19 6" xfId="5954"/>
    <cellStyle name="60% - akcent 5 2 2" xfId="5955"/>
    <cellStyle name="60% - akcent 5 2 2 2" xfId="5956"/>
    <cellStyle name="60% - akcent 5 2 2 3" xfId="5957"/>
    <cellStyle name="60% - akcent 5 2 2 4" xfId="5958"/>
    <cellStyle name="60% - akcent 5 2 2 5" xfId="5959"/>
    <cellStyle name="60% - akcent 5 2 2 6" xfId="5960"/>
    <cellStyle name="60% - akcent 5 2 2 7" xfId="5961"/>
    <cellStyle name="60% - akcent 5 2 20" xfId="5962"/>
    <cellStyle name="60% - akcent 5 2 20 2" xfId="5963"/>
    <cellStyle name="60% - akcent 5 2 20 3" xfId="5964"/>
    <cellStyle name="60% - akcent 5 2 20 4" xfId="5965"/>
    <cellStyle name="60% - akcent 5 2 20 5" xfId="5966"/>
    <cellStyle name="60% - akcent 5 2 20 6" xfId="5967"/>
    <cellStyle name="60% - akcent 5 2 21" xfId="5968"/>
    <cellStyle name="60% - akcent 5 2 21 2" xfId="5969"/>
    <cellStyle name="60% - akcent 5 2 21 3" xfId="5970"/>
    <cellStyle name="60% - akcent 5 2 21 4" xfId="5971"/>
    <cellStyle name="60% - akcent 5 2 21 5" xfId="5972"/>
    <cellStyle name="60% - akcent 5 2 21 6" xfId="5973"/>
    <cellStyle name="60% - akcent 5 2 22" xfId="5974"/>
    <cellStyle name="60% - akcent 5 2 22 2" xfId="5975"/>
    <cellStyle name="60% - akcent 5 2 22 3" xfId="5976"/>
    <cellStyle name="60% - akcent 5 2 22 4" xfId="5977"/>
    <cellStyle name="60% - akcent 5 2 22 5" xfId="5978"/>
    <cellStyle name="60% - akcent 5 2 22 6" xfId="5979"/>
    <cellStyle name="60% - akcent 5 2 23" xfId="5980"/>
    <cellStyle name="60% - akcent 5 2 23 2" xfId="5981"/>
    <cellStyle name="60% - akcent 5 2 23 3" xfId="5982"/>
    <cellStyle name="60% - akcent 5 2 23 4" xfId="5983"/>
    <cellStyle name="60% - akcent 5 2 23 5" xfId="5984"/>
    <cellStyle name="60% - akcent 5 2 23 6" xfId="5985"/>
    <cellStyle name="60% - akcent 5 2 24" xfId="5986"/>
    <cellStyle name="60% - akcent 5 2 24 2" xfId="5987"/>
    <cellStyle name="60% - akcent 5 2 24 3" xfId="5988"/>
    <cellStyle name="60% - akcent 5 2 24 4" xfId="5989"/>
    <cellStyle name="60% - akcent 5 2 24 5" xfId="5990"/>
    <cellStyle name="60% - akcent 5 2 24 6" xfId="5991"/>
    <cellStyle name="60% - akcent 5 2 25" xfId="5992"/>
    <cellStyle name="60% - akcent 5 2 25 2" xfId="5993"/>
    <cellStyle name="60% - akcent 5 2 25 3" xfId="5994"/>
    <cellStyle name="60% - akcent 5 2 25 4" xfId="5995"/>
    <cellStyle name="60% - akcent 5 2 25 5" xfId="5996"/>
    <cellStyle name="60% - akcent 5 2 25 6" xfId="5997"/>
    <cellStyle name="60% - akcent 5 2 26" xfId="5998"/>
    <cellStyle name="60% - akcent 5 2 26 2" xfId="5999"/>
    <cellStyle name="60% - akcent 5 2 26 3" xfId="6000"/>
    <cellStyle name="60% - akcent 5 2 26 4" xfId="6001"/>
    <cellStyle name="60% - akcent 5 2 26 5" xfId="6002"/>
    <cellStyle name="60% - akcent 5 2 26 6" xfId="6003"/>
    <cellStyle name="60% - akcent 5 2 27" xfId="6004"/>
    <cellStyle name="60% - akcent 5 2 27 2" xfId="6005"/>
    <cellStyle name="60% - akcent 5 2 27 3" xfId="6006"/>
    <cellStyle name="60% - akcent 5 2 27 4" xfId="6007"/>
    <cellStyle name="60% - akcent 5 2 27 5" xfId="6008"/>
    <cellStyle name="60% - akcent 5 2 27 6" xfId="6009"/>
    <cellStyle name="60% - akcent 5 2 28" xfId="6010"/>
    <cellStyle name="60% - akcent 5 2 28 2" xfId="6011"/>
    <cellStyle name="60% - akcent 5 2 28 3" xfId="6012"/>
    <cellStyle name="60% - akcent 5 2 28 4" xfId="6013"/>
    <cellStyle name="60% - akcent 5 2 28 5" xfId="6014"/>
    <cellStyle name="60% - akcent 5 2 28 6" xfId="6015"/>
    <cellStyle name="60% - akcent 5 2 29" xfId="6016"/>
    <cellStyle name="60% - akcent 5 2 29 2" xfId="6017"/>
    <cellStyle name="60% - akcent 5 2 3" xfId="6018"/>
    <cellStyle name="60% - akcent 5 2 3 2" xfId="6019"/>
    <cellStyle name="60% - akcent 5 2 3 3" xfId="6020"/>
    <cellStyle name="60% - akcent 5 2 3 4" xfId="6021"/>
    <cellStyle name="60% - akcent 5 2 3 5" xfId="6022"/>
    <cellStyle name="60% - akcent 5 2 3 6" xfId="6023"/>
    <cellStyle name="60% - akcent 5 2 30" xfId="6024"/>
    <cellStyle name="60% - akcent 5 2 30 2" xfId="6025"/>
    <cellStyle name="60% - akcent 5 2 31" xfId="6026"/>
    <cellStyle name="60% - akcent 5 2 31 2" xfId="6027"/>
    <cellStyle name="60% - akcent 5 2 32" xfId="6028"/>
    <cellStyle name="60% - akcent 5 2 32 2" xfId="6029"/>
    <cellStyle name="60% - akcent 5 2 33" xfId="6030"/>
    <cellStyle name="60% - akcent 5 2 34" xfId="6031"/>
    <cellStyle name="60% - akcent 5 2 35" xfId="6032"/>
    <cellStyle name="60% - akcent 5 2 36" xfId="6033"/>
    <cellStyle name="60% - akcent 5 2 37" xfId="6034"/>
    <cellStyle name="60% - akcent 5 2 38" xfId="6035"/>
    <cellStyle name="60% - akcent 5 2 39" xfId="6036"/>
    <cellStyle name="60% - akcent 5 2 4" xfId="6037"/>
    <cellStyle name="60% - akcent 5 2 4 2" xfId="6038"/>
    <cellStyle name="60% - akcent 5 2 4 3" xfId="6039"/>
    <cellStyle name="60% - akcent 5 2 4 4" xfId="6040"/>
    <cellStyle name="60% - akcent 5 2 4 5" xfId="6041"/>
    <cellStyle name="60% - akcent 5 2 4 6" xfId="6042"/>
    <cellStyle name="60% - akcent 5 2 40" xfId="6043"/>
    <cellStyle name="60% - akcent 5 2 41" xfId="6044"/>
    <cellStyle name="60% - akcent 5 2 42" xfId="6045"/>
    <cellStyle name="60% - akcent 5 2 43" xfId="6046"/>
    <cellStyle name="60% - akcent 5 2 44" xfId="6047"/>
    <cellStyle name="60% - akcent 5 2 45" xfId="6048"/>
    <cellStyle name="60% - akcent 5 2 46" xfId="6049"/>
    <cellStyle name="60% - akcent 5 2 47" xfId="6050"/>
    <cellStyle name="60% - akcent 5 2 48" xfId="6051"/>
    <cellStyle name="60% - akcent 5 2 49" xfId="6052"/>
    <cellStyle name="60% - akcent 5 2 5" xfId="6053"/>
    <cellStyle name="60% - akcent 5 2 5 2" xfId="6054"/>
    <cellStyle name="60% - akcent 5 2 5 3" xfId="6055"/>
    <cellStyle name="60% - akcent 5 2 5 4" xfId="6056"/>
    <cellStyle name="60% - akcent 5 2 5 5" xfId="6057"/>
    <cellStyle name="60% - akcent 5 2 5 6" xfId="6058"/>
    <cellStyle name="60% - akcent 5 2 50" xfId="6059"/>
    <cellStyle name="60% - akcent 5 2 51" xfId="6060"/>
    <cellStyle name="60% - akcent 5 2 52" xfId="6061"/>
    <cellStyle name="60% - akcent 5 2 6" xfId="6062"/>
    <cellStyle name="60% - akcent 5 2 6 2" xfId="6063"/>
    <cellStyle name="60% - akcent 5 2 6 3" xfId="6064"/>
    <cellStyle name="60% - akcent 5 2 6 4" xfId="6065"/>
    <cellStyle name="60% - akcent 5 2 6 5" xfId="6066"/>
    <cellStyle name="60% - akcent 5 2 6 6" xfId="6067"/>
    <cellStyle name="60% - akcent 5 2 7" xfId="6068"/>
    <cellStyle name="60% - akcent 5 2 7 2" xfId="6069"/>
    <cellStyle name="60% - akcent 5 2 7 3" xfId="6070"/>
    <cellStyle name="60% - akcent 5 2 7 4" xfId="6071"/>
    <cellStyle name="60% - akcent 5 2 7 5" xfId="6072"/>
    <cellStyle name="60% - akcent 5 2 7 6" xfId="6073"/>
    <cellStyle name="60% - akcent 5 2 8" xfId="6074"/>
    <cellStyle name="60% - akcent 5 2 8 2" xfId="6075"/>
    <cellStyle name="60% - akcent 5 2 8 3" xfId="6076"/>
    <cellStyle name="60% - akcent 5 2 8 4" xfId="6077"/>
    <cellStyle name="60% - akcent 5 2 8 5" xfId="6078"/>
    <cellStyle name="60% - akcent 5 2 8 6" xfId="6079"/>
    <cellStyle name="60% - akcent 5 2 9" xfId="6080"/>
    <cellStyle name="60% - akcent 5 2 9 2" xfId="6081"/>
    <cellStyle name="60% - akcent 5 2 9 3" xfId="6082"/>
    <cellStyle name="60% - akcent 5 2 9 4" xfId="6083"/>
    <cellStyle name="60% - akcent 5 2 9 5" xfId="6084"/>
    <cellStyle name="60% - akcent 5 2 9 6" xfId="6085"/>
    <cellStyle name="60% - akcent 5 3" xfId="6086"/>
    <cellStyle name="60% - akcent 5 3 2" xfId="6087"/>
    <cellStyle name="60% - akcent 5 3 2 2" xfId="6088"/>
    <cellStyle name="60% - akcent 5 3 3" xfId="6089"/>
    <cellStyle name="60% - akcent 5 3 4" xfId="6090"/>
    <cellStyle name="60% - akcent 5 3 5" xfId="6091"/>
    <cellStyle name="60% - akcent 5 3 6" xfId="6092"/>
    <cellStyle name="60% - akcent 5 3 7" xfId="6093"/>
    <cellStyle name="60% - akcent 5 3 8" xfId="6094"/>
    <cellStyle name="60% - akcent 5 4" xfId="6095"/>
    <cellStyle name="60% - akcent 5 4 2" xfId="6096"/>
    <cellStyle name="60% - akcent 5 4 3" xfId="6097"/>
    <cellStyle name="60% - akcent 5 4 4" xfId="6098"/>
    <cellStyle name="60% - akcent 5 4 5" xfId="6099"/>
    <cellStyle name="60% - akcent 5 4 6" xfId="6100"/>
    <cellStyle name="60% - akcent 5 4 7" xfId="6101"/>
    <cellStyle name="60% - akcent 5 4 8" xfId="6102"/>
    <cellStyle name="60% - akcent 5 5" xfId="6103"/>
    <cellStyle name="60% - akcent 5 5 2" xfId="6104"/>
    <cellStyle name="60% - akcent 5 6" xfId="6105"/>
    <cellStyle name="60% - akcent 5 7" xfId="6106"/>
    <cellStyle name="60% - akcent 6 2" xfId="6107"/>
    <cellStyle name="60% - akcent 6 2 10" xfId="6108"/>
    <cellStyle name="60% - akcent 6 2 10 2" xfId="6109"/>
    <cellStyle name="60% - akcent 6 2 10 3" xfId="6110"/>
    <cellStyle name="60% - akcent 6 2 10 4" xfId="6111"/>
    <cellStyle name="60% - akcent 6 2 10 5" xfId="6112"/>
    <cellStyle name="60% - akcent 6 2 10 6" xfId="6113"/>
    <cellStyle name="60% - akcent 6 2 11" xfId="6114"/>
    <cellStyle name="60% - akcent 6 2 11 2" xfId="6115"/>
    <cellStyle name="60% - akcent 6 2 11 3" xfId="6116"/>
    <cellStyle name="60% - akcent 6 2 11 4" xfId="6117"/>
    <cellStyle name="60% - akcent 6 2 11 5" xfId="6118"/>
    <cellStyle name="60% - akcent 6 2 11 6" xfId="6119"/>
    <cellStyle name="60% - akcent 6 2 12" xfId="6120"/>
    <cellStyle name="60% - akcent 6 2 12 2" xfId="6121"/>
    <cellStyle name="60% - akcent 6 2 12 3" xfId="6122"/>
    <cellStyle name="60% - akcent 6 2 12 4" xfId="6123"/>
    <cellStyle name="60% - akcent 6 2 12 5" xfId="6124"/>
    <cellStyle name="60% - akcent 6 2 12 6" xfId="6125"/>
    <cellStyle name="60% - akcent 6 2 13" xfId="6126"/>
    <cellStyle name="60% - akcent 6 2 13 2" xfId="6127"/>
    <cellStyle name="60% - akcent 6 2 13 3" xfId="6128"/>
    <cellStyle name="60% - akcent 6 2 13 4" xfId="6129"/>
    <cellStyle name="60% - akcent 6 2 13 5" xfId="6130"/>
    <cellStyle name="60% - akcent 6 2 13 6" xfId="6131"/>
    <cellStyle name="60% - akcent 6 2 14" xfId="6132"/>
    <cellStyle name="60% - akcent 6 2 14 2" xfId="6133"/>
    <cellStyle name="60% - akcent 6 2 14 3" xfId="6134"/>
    <cellStyle name="60% - akcent 6 2 14 4" xfId="6135"/>
    <cellStyle name="60% - akcent 6 2 14 5" xfId="6136"/>
    <cellStyle name="60% - akcent 6 2 14 6" xfId="6137"/>
    <cellStyle name="60% - akcent 6 2 15" xfId="6138"/>
    <cellStyle name="60% - akcent 6 2 15 2" xfId="6139"/>
    <cellStyle name="60% - akcent 6 2 15 3" xfId="6140"/>
    <cellStyle name="60% - akcent 6 2 15 4" xfId="6141"/>
    <cellStyle name="60% - akcent 6 2 15 5" xfId="6142"/>
    <cellStyle name="60% - akcent 6 2 15 6" xfId="6143"/>
    <cellStyle name="60% - akcent 6 2 16" xfId="6144"/>
    <cellStyle name="60% - akcent 6 2 16 2" xfId="6145"/>
    <cellStyle name="60% - akcent 6 2 16 3" xfId="6146"/>
    <cellStyle name="60% - akcent 6 2 16 4" xfId="6147"/>
    <cellStyle name="60% - akcent 6 2 16 5" xfId="6148"/>
    <cellStyle name="60% - akcent 6 2 16 6" xfId="6149"/>
    <cellStyle name="60% - akcent 6 2 17" xfId="6150"/>
    <cellStyle name="60% - akcent 6 2 17 2" xfId="6151"/>
    <cellStyle name="60% - akcent 6 2 17 3" xfId="6152"/>
    <cellStyle name="60% - akcent 6 2 17 4" xfId="6153"/>
    <cellStyle name="60% - akcent 6 2 17 5" xfId="6154"/>
    <cellStyle name="60% - akcent 6 2 17 6" xfId="6155"/>
    <cellStyle name="60% - akcent 6 2 18" xfId="6156"/>
    <cellStyle name="60% - akcent 6 2 18 2" xfId="6157"/>
    <cellStyle name="60% - akcent 6 2 18 3" xfId="6158"/>
    <cellStyle name="60% - akcent 6 2 18 4" xfId="6159"/>
    <cellStyle name="60% - akcent 6 2 18 5" xfId="6160"/>
    <cellStyle name="60% - akcent 6 2 18 6" xfId="6161"/>
    <cellStyle name="60% - akcent 6 2 19" xfId="6162"/>
    <cellStyle name="60% - akcent 6 2 19 2" xfId="6163"/>
    <cellStyle name="60% - akcent 6 2 19 3" xfId="6164"/>
    <cellStyle name="60% - akcent 6 2 19 4" xfId="6165"/>
    <cellStyle name="60% - akcent 6 2 19 5" xfId="6166"/>
    <cellStyle name="60% - akcent 6 2 19 6" xfId="6167"/>
    <cellStyle name="60% - akcent 6 2 2" xfId="6168"/>
    <cellStyle name="60% - akcent 6 2 2 2" xfId="6169"/>
    <cellStyle name="60% - akcent 6 2 2 3" xfId="6170"/>
    <cellStyle name="60% - akcent 6 2 2 4" xfId="6171"/>
    <cellStyle name="60% - akcent 6 2 2 5" xfId="6172"/>
    <cellStyle name="60% - akcent 6 2 2 6" xfId="6173"/>
    <cellStyle name="60% - akcent 6 2 2 7" xfId="6174"/>
    <cellStyle name="60% - akcent 6 2 20" xfId="6175"/>
    <cellStyle name="60% - akcent 6 2 20 2" xfId="6176"/>
    <cellStyle name="60% - akcent 6 2 20 3" xfId="6177"/>
    <cellStyle name="60% - akcent 6 2 20 4" xfId="6178"/>
    <cellStyle name="60% - akcent 6 2 20 5" xfId="6179"/>
    <cellStyle name="60% - akcent 6 2 20 6" xfId="6180"/>
    <cellStyle name="60% - akcent 6 2 21" xfId="6181"/>
    <cellStyle name="60% - akcent 6 2 21 2" xfId="6182"/>
    <cellStyle name="60% - akcent 6 2 21 3" xfId="6183"/>
    <cellStyle name="60% - akcent 6 2 21 4" xfId="6184"/>
    <cellStyle name="60% - akcent 6 2 21 5" xfId="6185"/>
    <cellStyle name="60% - akcent 6 2 21 6" xfId="6186"/>
    <cellStyle name="60% - akcent 6 2 22" xfId="6187"/>
    <cellStyle name="60% - akcent 6 2 22 2" xfId="6188"/>
    <cellStyle name="60% - akcent 6 2 22 3" xfId="6189"/>
    <cellStyle name="60% - akcent 6 2 22 4" xfId="6190"/>
    <cellStyle name="60% - akcent 6 2 22 5" xfId="6191"/>
    <cellStyle name="60% - akcent 6 2 22 6" xfId="6192"/>
    <cellStyle name="60% - akcent 6 2 23" xfId="6193"/>
    <cellStyle name="60% - akcent 6 2 23 2" xfId="6194"/>
    <cellStyle name="60% - akcent 6 2 23 3" xfId="6195"/>
    <cellStyle name="60% - akcent 6 2 23 4" xfId="6196"/>
    <cellStyle name="60% - akcent 6 2 23 5" xfId="6197"/>
    <cellStyle name="60% - akcent 6 2 23 6" xfId="6198"/>
    <cellStyle name="60% - akcent 6 2 24" xfId="6199"/>
    <cellStyle name="60% - akcent 6 2 24 2" xfId="6200"/>
    <cellStyle name="60% - akcent 6 2 24 3" xfId="6201"/>
    <cellStyle name="60% - akcent 6 2 24 4" xfId="6202"/>
    <cellStyle name="60% - akcent 6 2 24 5" xfId="6203"/>
    <cellStyle name="60% - akcent 6 2 24 6" xfId="6204"/>
    <cellStyle name="60% - akcent 6 2 25" xfId="6205"/>
    <cellStyle name="60% - akcent 6 2 25 2" xfId="6206"/>
    <cellStyle name="60% - akcent 6 2 25 3" xfId="6207"/>
    <cellStyle name="60% - akcent 6 2 25 4" xfId="6208"/>
    <cellStyle name="60% - akcent 6 2 25 5" xfId="6209"/>
    <cellStyle name="60% - akcent 6 2 25 6" xfId="6210"/>
    <cellStyle name="60% - akcent 6 2 26" xfId="6211"/>
    <cellStyle name="60% - akcent 6 2 26 2" xfId="6212"/>
    <cellStyle name="60% - akcent 6 2 26 3" xfId="6213"/>
    <cellStyle name="60% - akcent 6 2 26 4" xfId="6214"/>
    <cellStyle name="60% - akcent 6 2 26 5" xfId="6215"/>
    <cellStyle name="60% - akcent 6 2 26 6" xfId="6216"/>
    <cellStyle name="60% - akcent 6 2 27" xfId="6217"/>
    <cellStyle name="60% - akcent 6 2 27 2" xfId="6218"/>
    <cellStyle name="60% - akcent 6 2 27 3" xfId="6219"/>
    <cellStyle name="60% - akcent 6 2 27 4" xfId="6220"/>
    <cellStyle name="60% - akcent 6 2 27 5" xfId="6221"/>
    <cellStyle name="60% - akcent 6 2 27 6" xfId="6222"/>
    <cellStyle name="60% - akcent 6 2 28" xfId="6223"/>
    <cellStyle name="60% - akcent 6 2 28 2" xfId="6224"/>
    <cellStyle name="60% - akcent 6 2 28 3" xfId="6225"/>
    <cellStyle name="60% - akcent 6 2 28 4" xfId="6226"/>
    <cellStyle name="60% - akcent 6 2 28 5" xfId="6227"/>
    <cellStyle name="60% - akcent 6 2 28 6" xfId="6228"/>
    <cellStyle name="60% - akcent 6 2 29" xfId="6229"/>
    <cellStyle name="60% - akcent 6 2 29 2" xfId="6230"/>
    <cellStyle name="60% - akcent 6 2 3" xfId="6231"/>
    <cellStyle name="60% - akcent 6 2 3 2" xfId="6232"/>
    <cellStyle name="60% - akcent 6 2 3 3" xfId="6233"/>
    <cellStyle name="60% - akcent 6 2 3 4" xfId="6234"/>
    <cellStyle name="60% - akcent 6 2 3 5" xfId="6235"/>
    <cellStyle name="60% - akcent 6 2 3 6" xfId="6236"/>
    <cellStyle name="60% - akcent 6 2 30" xfId="6237"/>
    <cellStyle name="60% - akcent 6 2 30 2" xfId="6238"/>
    <cellStyle name="60% - akcent 6 2 31" xfId="6239"/>
    <cellStyle name="60% - akcent 6 2 31 2" xfId="6240"/>
    <cellStyle name="60% - akcent 6 2 32" xfId="6241"/>
    <cellStyle name="60% - akcent 6 2 32 2" xfId="6242"/>
    <cellStyle name="60% - akcent 6 2 33" xfId="6243"/>
    <cellStyle name="60% - akcent 6 2 34" xfId="6244"/>
    <cellStyle name="60% - akcent 6 2 35" xfId="6245"/>
    <cellStyle name="60% - akcent 6 2 36" xfId="6246"/>
    <cellStyle name="60% - akcent 6 2 37" xfId="6247"/>
    <cellStyle name="60% - akcent 6 2 38" xfId="6248"/>
    <cellStyle name="60% - akcent 6 2 39" xfId="6249"/>
    <cellStyle name="60% - akcent 6 2 4" xfId="6250"/>
    <cellStyle name="60% - akcent 6 2 4 2" xfId="6251"/>
    <cellStyle name="60% - akcent 6 2 4 3" xfId="6252"/>
    <cellStyle name="60% - akcent 6 2 4 4" xfId="6253"/>
    <cellStyle name="60% - akcent 6 2 4 5" xfId="6254"/>
    <cellStyle name="60% - akcent 6 2 4 6" xfId="6255"/>
    <cellStyle name="60% - akcent 6 2 40" xfId="6256"/>
    <cellStyle name="60% - akcent 6 2 41" xfId="6257"/>
    <cellStyle name="60% - akcent 6 2 42" xfId="6258"/>
    <cellStyle name="60% - akcent 6 2 43" xfId="6259"/>
    <cellStyle name="60% - akcent 6 2 44" xfId="6260"/>
    <cellStyle name="60% - akcent 6 2 45" xfId="6261"/>
    <cellStyle name="60% - akcent 6 2 46" xfId="6262"/>
    <cellStyle name="60% - akcent 6 2 47" xfId="6263"/>
    <cellStyle name="60% - akcent 6 2 48" xfId="6264"/>
    <cellStyle name="60% - akcent 6 2 49" xfId="6265"/>
    <cellStyle name="60% - akcent 6 2 5" xfId="6266"/>
    <cellStyle name="60% - akcent 6 2 5 2" xfId="6267"/>
    <cellStyle name="60% - akcent 6 2 5 3" xfId="6268"/>
    <cellStyle name="60% - akcent 6 2 5 4" xfId="6269"/>
    <cellStyle name="60% - akcent 6 2 5 5" xfId="6270"/>
    <cellStyle name="60% - akcent 6 2 5 6" xfId="6271"/>
    <cellStyle name="60% - akcent 6 2 50" xfId="6272"/>
    <cellStyle name="60% - akcent 6 2 51" xfId="6273"/>
    <cellStyle name="60% - akcent 6 2 52" xfId="6274"/>
    <cellStyle name="60% - akcent 6 2 6" xfId="6275"/>
    <cellStyle name="60% - akcent 6 2 6 2" xfId="6276"/>
    <cellStyle name="60% - akcent 6 2 6 3" xfId="6277"/>
    <cellStyle name="60% - akcent 6 2 6 4" xfId="6278"/>
    <cellStyle name="60% - akcent 6 2 6 5" xfId="6279"/>
    <cellStyle name="60% - akcent 6 2 6 6" xfId="6280"/>
    <cellStyle name="60% - akcent 6 2 7" xfId="6281"/>
    <cellStyle name="60% - akcent 6 2 7 2" xfId="6282"/>
    <cellStyle name="60% - akcent 6 2 7 3" xfId="6283"/>
    <cellStyle name="60% - akcent 6 2 7 4" xfId="6284"/>
    <cellStyle name="60% - akcent 6 2 7 5" xfId="6285"/>
    <cellStyle name="60% - akcent 6 2 7 6" xfId="6286"/>
    <cellStyle name="60% - akcent 6 2 8" xfId="6287"/>
    <cellStyle name="60% - akcent 6 2 8 2" xfId="6288"/>
    <cellStyle name="60% - akcent 6 2 8 3" xfId="6289"/>
    <cellStyle name="60% - akcent 6 2 8 4" xfId="6290"/>
    <cellStyle name="60% - akcent 6 2 8 5" xfId="6291"/>
    <cellStyle name="60% - akcent 6 2 8 6" xfId="6292"/>
    <cellStyle name="60% - akcent 6 2 9" xfId="6293"/>
    <cellStyle name="60% - akcent 6 2 9 2" xfId="6294"/>
    <cellStyle name="60% - akcent 6 2 9 3" xfId="6295"/>
    <cellStyle name="60% - akcent 6 2 9 4" xfId="6296"/>
    <cellStyle name="60% - akcent 6 2 9 5" xfId="6297"/>
    <cellStyle name="60% - akcent 6 2 9 6" xfId="6298"/>
    <cellStyle name="60% - akcent 6 3" xfId="6299"/>
    <cellStyle name="60% - akcent 6 3 2" xfId="6300"/>
    <cellStyle name="60% - akcent 6 3 2 2" xfId="6301"/>
    <cellStyle name="60% - akcent 6 3 3" xfId="6302"/>
    <cellStyle name="60% - akcent 6 3 4" xfId="6303"/>
    <cellStyle name="60% - akcent 6 3 5" xfId="6304"/>
    <cellStyle name="60% - akcent 6 3 6" xfId="6305"/>
    <cellStyle name="60% - akcent 6 3 7" xfId="6306"/>
    <cellStyle name="60% - akcent 6 3 8" xfId="6307"/>
    <cellStyle name="60% - akcent 6 4" xfId="6308"/>
    <cellStyle name="60% - akcent 6 4 2" xfId="6309"/>
    <cellStyle name="60% - akcent 6 4 3" xfId="6310"/>
    <cellStyle name="60% - akcent 6 4 4" xfId="6311"/>
    <cellStyle name="60% - akcent 6 4 5" xfId="6312"/>
    <cellStyle name="60% - akcent 6 4 6" xfId="6313"/>
    <cellStyle name="60% - akcent 6 4 7" xfId="6314"/>
    <cellStyle name="60% - akcent 6 4 8" xfId="6315"/>
    <cellStyle name="60% - akcent 6 5" xfId="6316"/>
    <cellStyle name="60% - akcent 6 5 2" xfId="6317"/>
    <cellStyle name="60% - akcent 6 6" xfId="6318"/>
    <cellStyle name="60% - akcent 6 7" xfId="6319"/>
    <cellStyle name="aaa" xfId="6320"/>
    <cellStyle name="Afrundet valuta_Slideshow" xfId="6321"/>
    <cellStyle name="Akcent 1 2" xfId="6322"/>
    <cellStyle name="Akcent 1 2 10" xfId="6323"/>
    <cellStyle name="Akcent 1 2 10 2" xfId="6324"/>
    <cellStyle name="Akcent 1 2 10 3" xfId="6325"/>
    <cellStyle name="Akcent 1 2 10 4" xfId="6326"/>
    <cellStyle name="Akcent 1 2 10 5" xfId="6327"/>
    <cellStyle name="Akcent 1 2 10 6" xfId="6328"/>
    <cellStyle name="Akcent 1 2 11" xfId="6329"/>
    <cellStyle name="Akcent 1 2 11 2" xfId="6330"/>
    <cellStyle name="Akcent 1 2 11 3" xfId="6331"/>
    <cellStyle name="Akcent 1 2 11 4" xfId="6332"/>
    <cellStyle name="Akcent 1 2 11 5" xfId="6333"/>
    <cellStyle name="Akcent 1 2 11 6" xfId="6334"/>
    <cellStyle name="Akcent 1 2 12" xfId="6335"/>
    <cellStyle name="Akcent 1 2 12 2" xfId="6336"/>
    <cellStyle name="Akcent 1 2 12 3" xfId="6337"/>
    <cellStyle name="Akcent 1 2 12 4" xfId="6338"/>
    <cellStyle name="Akcent 1 2 12 5" xfId="6339"/>
    <cellStyle name="Akcent 1 2 12 6" xfId="6340"/>
    <cellStyle name="Akcent 1 2 13" xfId="6341"/>
    <cellStyle name="Akcent 1 2 13 2" xfId="6342"/>
    <cellStyle name="Akcent 1 2 13 3" xfId="6343"/>
    <cellStyle name="Akcent 1 2 13 4" xfId="6344"/>
    <cellStyle name="Akcent 1 2 13 5" xfId="6345"/>
    <cellStyle name="Akcent 1 2 13 6" xfId="6346"/>
    <cellStyle name="Akcent 1 2 14" xfId="6347"/>
    <cellStyle name="Akcent 1 2 14 2" xfId="6348"/>
    <cellStyle name="Akcent 1 2 14 3" xfId="6349"/>
    <cellStyle name="Akcent 1 2 14 4" xfId="6350"/>
    <cellStyle name="Akcent 1 2 14 5" xfId="6351"/>
    <cellStyle name="Akcent 1 2 14 6" xfId="6352"/>
    <cellStyle name="Akcent 1 2 15" xfId="6353"/>
    <cellStyle name="Akcent 1 2 15 2" xfId="6354"/>
    <cellStyle name="Akcent 1 2 15 3" xfId="6355"/>
    <cellStyle name="Akcent 1 2 15 4" xfId="6356"/>
    <cellStyle name="Akcent 1 2 15 5" xfId="6357"/>
    <cellStyle name="Akcent 1 2 15 6" xfId="6358"/>
    <cellStyle name="Akcent 1 2 16" xfId="6359"/>
    <cellStyle name="Akcent 1 2 16 2" xfId="6360"/>
    <cellStyle name="Akcent 1 2 16 3" xfId="6361"/>
    <cellStyle name="Akcent 1 2 16 4" xfId="6362"/>
    <cellStyle name="Akcent 1 2 16 5" xfId="6363"/>
    <cellStyle name="Akcent 1 2 16 6" xfId="6364"/>
    <cellStyle name="Akcent 1 2 17" xfId="6365"/>
    <cellStyle name="Akcent 1 2 17 2" xfId="6366"/>
    <cellStyle name="Akcent 1 2 17 3" xfId="6367"/>
    <cellStyle name="Akcent 1 2 17 4" xfId="6368"/>
    <cellStyle name="Akcent 1 2 17 5" xfId="6369"/>
    <cellStyle name="Akcent 1 2 17 6" xfId="6370"/>
    <cellStyle name="Akcent 1 2 18" xfId="6371"/>
    <cellStyle name="Akcent 1 2 18 2" xfId="6372"/>
    <cellStyle name="Akcent 1 2 18 3" xfId="6373"/>
    <cellStyle name="Akcent 1 2 18 4" xfId="6374"/>
    <cellStyle name="Akcent 1 2 18 5" xfId="6375"/>
    <cellStyle name="Akcent 1 2 18 6" xfId="6376"/>
    <cellStyle name="Akcent 1 2 19" xfId="6377"/>
    <cellStyle name="Akcent 1 2 19 2" xfId="6378"/>
    <cellStyle name="Akcent 1 2 19 3" xfId="6379"/>
    <cellStyle name="Akcent 1 2 19 4" xfId="6380"/>
    <cellStyle name="Akcent 1 2 19 5" xfId="6381"/>
    <cellStyle name="Akcent 1 2 19 6" xfId="6382"/>
    <cellStyle name="Akcent 1 2 2" xfId="6383"/>
    <cellStyle name="Akcent 1 2 2 2" xfId="6384"/>
    <cellStyle name="Akcent 1 2 2 3" xfId="6385"/>
    <cellStyle name="Akcent 1 2 2 4" xfId="6386"/>
    <cellStyle name="Akcent 1 2 2 5" xfId="6387"/>
    <cellStyle name="Akcent 1 2 2 6" xfId="6388"/>
    <cellStyle name="Akcent 1 2 2 7" xfId="6389"/>
    <cellStyle name="Akcent 1 2 20" xfId="6390"/>
    <cellStyle name="Akcent 1 2 20 2" xfId="6391"/>
    <cellStyle name="Akcent 1 2 20 3" xfId="6392"/>
    <cellStyle name="Akcent 1 2 20 4" xfId="6393"/>
    <cellStyle name="Akcent 1 2 20 5" xfId="6394"/>
    <cellStyle name="Akcent 1 2 20 6" xfId="6395"/>
    <cellStyle name="Akcent 1 2 21" xfId="6396"/>
    <cellStyle name="Akcent 1 2 21 2" xfId="6397"/>
    <cellStyle name="Akcent 1 2 21 3" xfId="6398"/>
    <cellStyle name="Akcent 1 2 21 4" xfId="6399"/>
    <cellStyle name="Akcent 1 2 21 5" xfId="6400"/>
    <cellStyle name="Akcent 1 2 21 6" xfId="6401"/>
    <cellStyle name="Akcent 1 2 22" xfId="6402"/>
    <cellStyle name="Akcent 1 2 22 2" xfId="6403"/>
    <cellStyle name="Akcent 1 2 22 3" xfId="6404"/>
    <cellStyle name="Akcent 1 2 22 4" xfId="6405"/>
    <cellStyle name="Akcent 1 2 22 5" xfId="6406"/>
    <cellStyle name="Akcent 1 2 22 6" xfId="6407"/>
    <cellStyle name="Akcent 1 2 23" xfId="6408"/>
    <cellStyle name="Akcent 1 2 23 2" xfId="6409"/>
    <cellStyle name="Akcent 1 2 23 3" xfId="6410"/>
    <cellStyle name="Akcent 1 2 23 4" xfId="6411"/>
    <cellStyle name="Akcent 1 2 23 5" xfId="6412"/>
    <cellStyle name="Akcent 1 2 23 6" xfId="6413"/>
    <cellStyle name="Akcent 1 2 24" xfId="6414"/>
    <cellStyle name="Akcent 1 2 24 2" xfId="6415"/>
    <cellStyle name="Akcent 1 2 24 3" xfId="6416"/>
    <cellStyle name="Akcent 1 2 24 4" xfId="6417"/>
    <cellStyle name="Akcent 1 2 24 5" xfId="6418"/>
    <cellStyle name="Akcent 1 2 24 6" xfId="6419"/>
    <cellStyle name="Akcent 1 2 25" xfId="6420"/>
    <cellStyle name="Akcent 1 2 25 2" xfId="6421"/>
    <cellStyle name="Akcent 1 2 25 3" xfId="6422"/>
    <cellStyle name="Akcent 1 2 25 4" xfId="6423"/>
    <cellStyle name="Akcent 1 2 25 5" xfId="6424"/>
    <cellStyle name="Akcent 1 2 25 6" xfId="6425"/>
    <cellStyle name="Akcent 1 2 26" xfId="6426"/>
    <cellStyle name="Akcent 1 2 26 2" xfId="6427"/>
    <cellStyle name="Akcent 1 2 26 3" xfId="6428"/>
    <cellStyle name="Akcent 1 2 26 4" xfId="6429"/>
    <cellStyle name="Akcent 1 2 26 5" xfId="6430"/>
    <cellStyle name="Akcent 1 2 26 6" xfId="6431"/>
    <cellStyle name="Akcent 1 2 27" xfId="6432"/>
    <cellStyle name="Akcent 1 2 27 2" xfId="6433"/>
    <cellStyle name="Akcent 1 2 27 3" xfId="6434"/>
    <cellStyle name="Akcent 1 2 27 4" xfId="6435"/>
    <cellStyle name="Akcent 1 2 27 5" xfId="6436"/>
    <cellStyle name="Akcent 1 2 27 6" xfId="6437"/>
    <cellStyle name="Akcent 1 2 28" xfId="6438"/>
    <cellStyle name="Akcent 1 2 28 2" xfId="6439"/>
    <cellStyle name="Akcent 1 2 28 3" xfId="6440"/>
    <cellStyle name="Akcent 1 2 28 4" xfId="6441"/>
    <cellStyle name="Akcent 1 2 28 5" xfId="6442"/>
    <cellStyle name="Akcent 1 2 28 6" xfId="6443"/>
    <cellStyle name="Akcent 1 2 29" xfId="6444"/>
    <cellStyle name="Akcent 1 2 29 2" xfId="6445"/>
    <cellStyle name="Akcent 1 2 3" xfId="6446"/>
    <cellStyle name="Akcent 1 2 3 2" xfId="6447"/>
    <cellStyle name="Akcent 1 2 3 3" xfId="6448"/>
    <cellStyle name="Akcent 1 2 3 4" xfId="6449"/>
    <cellStyle name="Akcent 1 2 3 5" xfId="6450"/>
    <cellStyle name="Akcent 1 2 3 6" xfId="6451"/>
    <cellStyle name="Akcent 1 2 30" xfId="6452"/>
    <cellStyle name="Akcent 1 2 30 2" xfId="6453"/>
    <cellStyle name="Akcent 1 2 31" xfId="6454"/>
    <cellStyle name="Akcent 1 2 31 2" xfId="6455"/>
    <cellStyle name="Akcent 1 2 32" xfId="6456"/>
    <cellStyle name="Akcent 1 2 32 2" xfId="6457"/>
    <cellStyle name="Akcent 1 2 33" xfId="6458"/>
    <cellStyle name="Akcent 1 2 34" xfId="6459"/>
    <cellStyle name="Akcent 1 2 35" xfId="6460"/>
    <cellStyle name="Akcent 1 2 36" xfId="6461"/>
    <cellStyle name="Akcent 1 2 37" xfId="6462"/>
    <cellStyle name="Akcent 1 2 38" xfId="6463"/>
    <cellStyle name="Akcent 1 2 39" xfId="6464"/>
    <cellStyle name="Akcent 1 2 4" xfId="6465"/>
    <cellStyle name="Akcent 1 2 4 2" xfId="6466"/>
    <cellStyle name="Akcent 1 2 4 3" xfId="6467"/>
    <cellStyle name="Akcent 1 2 4 4" xfId="6468"/>
    <cellStyle name="Akcent 1 2 4 5" xfId="6469"/>
    <cellStyle name="Akcent 1 2 4 6" xfId="6470"/>
    <cellStyle name="Akcent 1 2 40" xfId="6471"/>
    <cellStyle name="Akcent 1 2 41" xfId="6472"/>
    <cellStyle name="Akcent 1 2 42" xfId="6473"/>
    <cellStyle name="Akcent 1 2 43" xfId="6474"/>
    <cellStyle name="Akcent 1 2 44" xfId="6475"/>
    <cellStyle name="Akcent 1 2 45" xfId="6476"/>
    <cellStyle name="Akcent 1 2 46" xfId="6477"/>
    <cellStyle name="Akcent 1 2 47" xfId="6478"/>
    <cellStyle name="Akcent 1 2 48" xfId="6479"/>
    <cellStyle name="Akcent 1 2 49" xfId="6480"/>
    <cellStyle name="Akcent 1 2 5" xfId="6481"/>
    <cellStyle name="Akcent 1 2 5 2" xfId="6482"/>
    <cellStyle name="Akcent 1 2 5 3" xfId="6483"/>
    <cellStyle name="Akcent 1 2 5 4" xfId="6484"/>
    <cellStyle name="Akcent 1 2 5 5" xfId="6485"/>
    <cellStyle name="Akcent 1 2 5 6" xfId="6486"/>
    <cellStyle name="Akcent 1 2 50" xfId="6487"/>
    <cellStyle name="Akcent 1 2 51" xfId="6488"/>
    <cellStyle name="Akcent 1 2 52" xfId="6489"/>
    <cellStyle name="Akcent 1 2 6" xfId="6490"/>
    <cellStyle name="Akcent 1 2 6 2" xfId="6491"/>
    <cellStyle name="Akcent 1 2 6 3" xfId="6492"/>
    <cellStyle name="Akcent 1 2 6 4" xfId="6493"/>
    <cellStyle name="Akcent 1 2 6 5" xfId="6494"/>
    <cellStyle name="Akcent 1 2 6 6" xfId="6495"/>
    <cellStyle name="Akcent 1 2 7" xfId="6496"/>
    <cellStyle name="Akcent 1 2 7 2" xfId="6497"/>
    <cellStyle name="Akcent 1 2 7 3" xfId="6498"/>
    <cellStyle name="Akcent 1 2 7 4" xfId="6499"/>
    <cellStyle name="Akcent 1 2 7 5" xfId="6500"/>
    <cellStyle name="Akcent 1 2 7 6" xfId="6501"/>
    <cellStyle name="Akcent 1 2 8" xfId="6502"/>
    <cellStyle name="Akcent 1 2 8 2" xfId="6503"/>
    <cellStyle name="Akcent 1 2 8 3" xfId="6504"/>
    <cellStyle name="Akcent 1 2 8 4" xfId="6505"/>
    <cellStyle name="Akcent 1 2 8 5" xfId="6506"/>
    <cellStyle name="Akcent 1 2 8 6" xfId="6507"/>
    <cellStyle name="Akcent 1 2 9" xfId="6508"/>
    <cellStyle name="Akcent 1 2 9 2" xfId="6509"/>
    <cellStyle name="Akcent 1 2 9 3" xfId="6510"/>
    <cellStyle name="Akcent 1 2 9 4" xfId="6511"/>
    <cellStyle name="Akcent 1 2 9 5" xfId="6512"/>
    <cellStyle name="Akcent 1 2 9 6" xfId="6513"/>
    <cellStyle name="Akcent 1 3" xfId="6514"/>
    <cellStyle name="Akcent 1 3 2" xfId="6515"/>
    <cellStyle name="Akcent 1 3 2 2" xfId="6516"/>
    <cellStyle name="Akcent 1 3 3" xfId="6517"/>
    <cellStyle name="Akcent 1 3 4" xfId="6518"/>
    <cellStyle name="Akcent 1 3 5" xfId="6519"/>
    <cellStyle name="Akcent 1 3 6" xfId="6520"/>
    <cellStyle name="Akcent 1 3 7" xfId="6521"/>
    <cellStyle name="Akcent 1 3 8" xfId="6522"/>
    <cellStyle name="Akcent 1 4" xfId="6523"/>
    <cellStyle name="Akcent 1 4 2" xfId="6524"/>
    <cellStyle name="Akcent 1 4 3" xfId="6525"/>
    <cellStyle name="Akcent 1 4 4" xfId="6526"/>
    <cellStyle name="Akcent 1 4 5" xfId="6527"/>
    <cellStyle name="Akcent 1 4 6" xfId="6528"/>
    <cellStyle name="Akcent 1 4 7" xfId="6529"/>
    <cellStyle name="Akcent 1 4 8" xfId="6530"/>
    <cellStyle name="Akcent 1 5" xfId="6531"/>
    <cellStyle name="Akcent 1 5 2" xfId="6532"/>
    <cellStyle name="Akcent 1 6" xfId="6533"/>
    <cellStyle name="Akcent 1 7" xfId="6534"/>
    <cellStyle name="Akcent 2 2" xfId="6535"/>
    <cellStyle name="Akcent 2 2 10" xfId="6536"/>
    <cellStyle name="Akcent 2 2 10 2" xfId="6537"/>
    <cellStyle name="Akcent 2 2 10 3" xfId="6538"/>
    <cellStyle name="Akcent 2 2 10 4" xfId="6539"/>
    <cellStyle name="Akcent 2 2 10 5" xfId="6540"/>
    <cellStyle name="Akcent 2 2 10 6" xfId="6541"/>
    <cellStyle name="Akcent 2 2 11" xfId="6542"/>
    <cellStyle name="Akcent 2 2 11 2" xfId="6543"/>
    <cellStyle name="Akcent 2 2 11 3" xfId="6544"/>
    <cellStyle name="Akcent 2 2 11 4" xfId="6545"/>
    <cellStyle name="Akcent 2 2 11 5" xfId="6546"/>
    <cellStyle name="Akcent 2 2 11 6" xfId="6547"/>
    <cellStyle name="Akcent 2 2 12" xfId="6548"/>
    <cellStyle name="Akcent 2 2 12 2" xfId="6549"/>
    <cellStyle name="Akcent 2 2 12 3" xfId="6550"/>
    <cellStyle name="Akcent 2 2 12 4" xfId="6551"/>
    <cellStyle name="Akcent 2 2 12 5" xfId="6552"/>
    <cellStyle name="Akcent 2 2 12 6" xfId="6553"/>
    <cellStyle name="Akcent 2 2 13" xfId="6554"/>
    <cellStyle name="Akcent 2 2 13 2" xfId="6555"/>
    <cellStyle name="Akcent 2 2 13 3" xfId="6556"/>
    <cellStyle name="Akcent 2 2 13 4" xfId="6557"/>
    <cellStyle name="Akcent 2 2 13 5" xfId="6558"/>
    <cellStyle name="Akcent 2 2 13 6" xfId="6559"/>
    <cellStyle name="Akcent 2 2 14" xfId="6560"/>
    <cellStyle name="Akcent 2 2 14 2" xfId="6561"/>
    <cellStyle name="Akcent 2 2 14 3" xfId="6562"/>
    <cellStyle name="Akcent 2 2 14 4" xfId="6563"/>
    <cellStyle name="Akcent 2 2 14 5" xfId="6564"/>
    <cellStyle name="Akcent 2 2 14 6" xfId="6565"/>
    <cellStyle name="Akcent 2 2 15" xfId="6566"/>
    <cellStyle name="Akcent 2 2 15 2" xfId="6567"/>
    <cellStyle name="Akcent 2 2 15 3" xfId="6568"/>
    <cellStyle name="Akcent 2 2 15 4" xfId="6569"/>
    <cellStyle name="Akcent 2 2 15 5" xfId="6570"/>
    <cellStyle name="Akcent 2 2 15 6" xfId="6571"/>
    <cellStyle name="Akcent 2 2 16" xfId="6572"/>
    <cellStyle name="Akcent 2 2 16 2" xfId="6573"/>
    <cellStyle name="Akcent 2 2 16 3" xfId="6574"/>
    <cellStyle name="Akcent 2 2 16 4" xfId="6575"/>
    <cellStyle name="Akcent 2 2 16 5" xfId="6576"/>
    <cellStyle name="Akcent 2 2 16 6" xfId="6577"/>
    <cellStyle name="Akcent 2 2 17" xfId="6578"/>
    <cellStyle name="Akcent 2 2 17 2" xfId="6579"/>
    <cellStyle name="Akcent 2 2 17 3" xfId="6580"/>
    <cellStyle name="Akcent 2 2 17 4" xfId="6581"/>
    <cellStyle name="Akcent 2 2 17 5" xfId="6582"/>
    <cellStyle name="Akcent 2 2 17 6" xfId="6583"/>
    <cellStyle name="Akcent 2 2 18" xfId="6584"/>
    <cellStyle name="Akcent 2 2 18 2" xfId="6585"/>
    <cellStyle name="Akcent 2 2 18 3" xfId="6586"/>
    <cellStyle name="Akcent 2 2 18 4" xfId="6587"/>
    <cellStyle name="Akcent 2 2 18 5" xfId="6588"/>
    <cellStyle name="Akcent 2 2 18 6" xfId="6589"/>
    <cellStyle name="Akcent 2 2 19" xfId="6590"/>
    <cellStyle name="Akcent 2 2 19 2" xfId="6591"/>
    <cellStyle name="Akcent 2 2 19 3" xfId="6592"/>
    <cellStyle name="Akcent 2 2 19 4" xfId="6593"/>
    <cellStyle name="Akcent 2 2 19 5" xfId="6594"/>
    <cellStyle name="Akcent 2 2 19 6" xfId="6595"/>
    <cellStyle name="Akcent 2 2 2" xfId="6596"/>
    <cellStyle name="Akcent 2 2 2 2" xfId="6597"/>
    <cellStyle name="Akcent 2 2 2 3" xfId="6598"/>
    <cellStyle name="Akcent 2 2 2 4" xfId="6599"/>
    <cellStyle name="Akcent 2 2 2 5" xfId="6600"/>
    <cellStyle name="Akcent 2 2 2 6" xfId="6601"/>
    <cellStyle name="Akcent 2 2 2 7" xfId="6602"/>
    <cellStyle name="Akcent 2 2 20" xfId="6603"/>
    <cellStyle name="Akcent 2 2 20 2" xfId="6604"/>
    <cellStyle name="Akcent 2 2 20 3" xfId="6605"/>
    <cellStyle name="Akcent 2 2 20 4" xfId="6606"/>
    <cellStyle name="Akcent 2 2 20 5" xfId="6607"/>
    <cellStyle name="Akcent 2 2 20 6" xfId="6608"/>
    <cellStyle name="Akcent 2 2 21" xfId="6609"/>
    <cellStyle name="Akcent 2 2 21 2" xfId="6610"/>
    <cellStyle name="Akcent 2 2 21 3" xfId="6611"/>
    <cellStyle name="Akcent 2 2 21 4" xfId="6612"/>
    <cellStyle name="Akcent 2 2 21 5" xfId="6613"/>
    <cellStyle name="Akcent 2 2 21 6" xfId="6614"/>
    <cellStyle name="Akcent 2 2 22" xfId="6615"/>
    <cellStyle name="Akcent 2 2 22 2" xfId="6616"/>
    <cellStyle name="Akcent 2 2 22 3" xfId="6617"/>
    <cellStyle name="Akcent 2 2 22 4" xfId="6618"/>
    <cellStyle name="Akcent 2 2 22 5" xfId="6619"/>
    <cellStyle name="Akcent 2 2 22 6" xfId="6620"/>
    <cellStyle name="Akcent 2 2 23" xfId="6621"/>
    <cellStyle name="Akcent 2 2 23 2" xfId="6622"/>
    <cellStyle name="Akcent 2 2 23 3" xfId="6623"/>
    <cellStyle name="Akcent 2 2 23 4" xfId="6624"/>
    <cellStyle name="Akcent 2 2 23 5" xfId="6625"/>
    <cellStyle name="Akcent 2 2 23 6" xfId="6626"/>
    <cellStyle name="Akcent 2 2 24" xfId="6627"/>
    <cellStyle name="Akcent 2 2 24 2" xfId="6628"/>
    <cellStyle name="Akcent 2 2 24 3" xfId="6629"/>
    <cellStyle name="Akcent 2 2 24 4" xfId="6630"/>
    <cellStyle name="Akcent 2 2 24 5" xfId="6631"/>
    <cellStyle name="Akcent 2 2 24 6" xfId="6632"/>
    <cellStyle name="Akcent 2 2 25" xfId="6633"/>
    <cellStyle name="Akcent 2 2 25 2" xfId="6634"/>
    <cellStyle name="Akcent 2 2 25 3" xfId="6635"/>
    <cellStyle name="Akcent 2 2 25 4" xfId="6636"/>
    <cellStyle name="Akcent 2 2 25 5" xfId="6637"/>
    <cellStyle name="Akcent 2 2 25 6" xfId="6638"/>
    <cellStyle name="Akcent 2 2 26" xfId="6639"/>
    <cellStyle name="Akcent 2 2 26 2" xfId="6640"/>
    <cellStyle name="Akcent 2 2 26 3" xfId="6641"/>
    <cellStyle name="Akcent 2 2 26 4" xfId="6642"/>
    <cellStyle name="Akcent 2 2 26 5" xfId="6643"/>
    <cellStyle name="Akcent 2 2 26 6" xfId="6644"/>
    <cellStyle name="Akcent 2 2 27" xfId="6645"/>
    <cellStyle name="Akcent 2 2 27 2" xfId="6646"/>
    <cellStyle name="Akcent 2 2 27 3" xfId="6647"/>
    <cellStyle name="Akcent 2 2 27 4" xfId="6648"/>
    <cellStyle name="Akcent 2 2 27 5" xfId="6649"/>
    <cellStyle name="Akcent 2 2 27 6" xfId="6650"/>
    <cellStyle name="Akcent 2 2 28" xfId="6651"/>
    <cellStyle name="Akcent 2 2 28 2" xfId="6652"/>
    <cellStyle name="Akcent 2 2 28 3" xfId="6653"/>
    <cellStyle name="Akcent 2 2 28 4" xfId="6654"/>
    <cellStyle name="Akcent 2 2 28 5" xfId="6655"/>
    <cellStyle name="Akcent 2 2 28 6" xfId="6656"/>
    <cellStyle name="Akcent 2 2 29" xfId="6657"/>
    <cellStyle name="Akcent 2 2 29 2" xfId="6658"/>
    <cellStyle name="Akcent 2 2 3" xfId="6659"/>
    <cellStyle name="Akcent 2 2 3 2" xfId="6660"/>
    <cellStyle name="Akcent 2 2 3 3" xfId="6661"/>
    <cellStyle name="Akcent 2 2 3 4" xfId="6662"/>
    <cellStyle name="Akcent 2 2 3 5" xfId="6663"/>
    <cellStyle name="Akcent 2 2 3 6" xfId="6664"/>
    <cellStyle name="Akcent 2 2 30" xfId="6665"/>
    <cellStyle name="Akcent 2 2 30 2" xfId="6666"/>
    <cellStyle name="Akcent 2 2 31" xfId="6667"/>
    <cellStyle name="Akcent 2 2 31 2" xfId="6668"/>
    <cellStyle name="Akcent 2 2 32" xfId="6669"/>
    <cellStyle name="Akcent 2 2 32 2" xfId="6670"/>
    <cellStyle name="Akcent 2 2 33" xfId="6671"/>
    <cellStyle name="Akcent 2 2 34" xfId="6672"/>
    <cellStyle name="Akcent 2 2 35" xfId="6673"/>
    <cellStyle name="Akcent 2 2 36" xfId="6674"/>
    <cellStyle name="Akcent 2 2 37" xfId="6675"/>
    <cellStyle name="Akcent 2 2 38" xfId="6676"/>
    <cellStyle name="Akcent 2 2 39" xfId="6677"/>
    <cellStyle name="Akcent 2 2 4" xfId="6678"/>
    <cellStyle name="Akcent 2 2 4 2" xfId="6679"/>
    <cellStyle name="Akcent 2 2 4 3" xfId="6680"/>
    <cellStyle name="Akcent 2 2 4 4" xfId="6681"/>
    <cellStyle name="Akcent 2 2 4 5" xfId="6682"/>
    <cellStyle name="Akcent 2 2 4 6" xfId="6683"/>
    <cellStyle name="Akcent 2 2 40" xfId="6684"/>
    <cellStyle name="Akcent 2 2 41" xfId="6685"/>
    <cellStyle name="Akcent 2 2 42" xfId="6686"/>
    <cellStyle name="Akcent 2 2 43" xfId="6687"/>
    <cellStyle name="Akcent 2 2 44" xfId="6688"/>
    <cellStyle name="Akcent 2 2 45" xfId="6689"/>
    <cellStyle name="Akcent 2 2 46" xfId="6690"/>
    <cellStyle name="Akcent 2 2 47" xfId="6691"/>
    <cellStyle name="Akcent 2 2 48" xfId="6692"/>
    <cellStyle name="Akcent 2 2 49" xfId="6693"/>
    <cellStyle name="Akcent 2 2 5" xfId="6694"/>
    <cellStyle name="Akcent 2 2 5 2" xfId="6695"/>
    <cellStyle name="Akcent 2 2 5 3" xfId="6696"/>
    <cellStyle name="Akcent 2 2 5 4" xfId="6697"/>
    <cellStyle name="Akcent 2 2 5 5" xfId="6698"/>
    <cellStyle name="Akcent 2 2 5 6" xfId="6699"/>
    <cellStyle name="Akcent 2 2 50" xfId="6700"/>
    <cellStyle name="Akcent 2 2 51" xfId="6701"/>
    <cellStyle name="Akcent 2 2 52" xfId="6702"/>
    <cellStyle name="Akcent 2 2 6" xfId="6703"/>
    <cellStyle name="Akcent 2 2 6 2" xfId="6704"/>
    <cellStyle name="Akcent 2 2 6 3" xfId="6705"/>
    <cellStyle name="Akcent 2 2 6 4" xfId="6706"/>
    <cellStyle name="Akcent 2 2 6 5" xfId="6707"/>
    <cellStyle name="Akcent 2 2 6 6" xfId="6708"/>
    <cellStyle name="Akcent 2 2 7" xfId="6709"/>
    <cellStyle name="Akcent 2 2 7 2" xfId="6710"/>
    <cellStyle name="Akcent 2 2 7 3" xfId="6711"/>
    <cellStyle name="Akcent 2 2 7 4" xfId="6712"/>
    <cellStyle name="Akcent 2 2 7 5" xfId="6713"/>
    <cellStyle name="Akcent 2 2 7 6" xfId="6714"/>
    <cellStyle name="Akcent 2 2 8" xfId="6715"/>
    <cellStyle name="Akcent 2 2 8 2" xfId="6716"/>
    <cellStyle name="Akcent 2 2 8 3" xfId="6717"/>
    <cellStyle name="Akcent 2 2 8 4" xfId="6718"/>
    <cellStyle name="Akcent 2 2 8 5" xfId="6719"/>
    <cellStyle name="Akcent 2 2 8 6" xfId="6720"/>
    <cellStyle name="Akcent 2 2 9" xfId="6721"/>
    <cellStyle name="Akcent 2 2 9 2" xfId="6722"/>
    <cellStyle name="Akcent 2 2 9 3" xfId="6723"/>
    <cellStyle name="Akcent 2 2 9 4" xfId="6724"/>
    <cellStyle name="Akcent 2 2 9 5" xfId="6725"/>
    <cellStyle name="Akcent 2 2 9 6" xfId="6726"/>
    <cellStyle name="Akcent 2 3" xfId="6727"/>
    <cellStyle name="Akcent 2 3 2" xfId="6728"/>
    <cellStyle name="Akcent 2 3 2 2" xfId="6729"/>
    <cellStyle name="Akcent 2 3 3" xfId="6730"/>
    <cellStyle name="Akcent 2 3 4" xfId="6731"/>
    <cellStyle name="Akcent 2 3 5" xfId="6732"/>
    <cellStyle name="Akcent 2 3 6" xfId="6733"/>
    <cellStyle name="Akcent 2 3 7" xfId="6734"/>
    <cellStyle name="Akcent 2 3 8" xfId="6735"/>
    <cellStyle name="Akcent 2 4" xfId="6736"/>
    <cellStyle name="Akcent 2 4 2" xfId="6737"/>
    <cellStyle name="Akcent 2 4 3" xfId="6738"/>
    <cellStyle name="Akcent 2 4 4" xfId="6739"/>
    <cellStyle name="Akcent 2 4 5" xfId="6740"/>
    <cellStyle name="Akcent 2 4 6" xfId="6741"/>
    <cellStyle name="Akcent 2 4 7" xfId="6742"/>
    <cellStyle name="Akcent 2 4 8" xfId="6743"/>
    <cellStyle name="Akcent 2 5" xfId="6744"/>
    <cellStyle name="Akcent 2 5 2" xfId="6745"/>
    <cellStyle name="Akcent 2 6" xfId="6746"/>
    <cellStyle name="Akcent 2 7" xfId="6747"/>
    <cellStyle name="Akcent 3 2" xfId="6748"/>
    <cellStyle name="Akcent 3 2 10" xfId="6749"/>
    <cellStyle name="Akcent 3 2 10 2" xfId="6750"/>
    <cellStyle name="Akcent 3 2 10 3" xfId="6751"/>
    <cellStyle name="Akcent 3 2 10 4" xfId="6752"/>
    <cellStyle name="Akcent 3 2 10 5" xfId="6753"/>
    <cellStyle name="Akcent 3 2 10 6" xfId="6754"/>
    <cellStyle name="Akcent 3 2 11" xfId="6755"/>
    <cellStyle name="Akcent 3 2 11 2" xfId="6756"/>
    <cellStyle name="Akcent 3 2 11 3" xfId="6757"/>
    <cellStyle name="Akcent 3 2 11 4" xfId="6758"/>
    <cellStyle name="Akcent 3 2 11 5" xfId="6759"/>
    <cellStyle name="Akcent 3 2 11 6" xfId="6760"/>
    <cellStyle name="Akcent 3 2 12" xfId="6761"/>
    <cellStyle name="Akcent 3 2 12 2" xfId="6762"/>
    <cellStyle name="Akcent 3 2 12 3" xfId="6763"/>
    <cellStyle name="Akcent 3 2 12 4" xfId="6764"/>
    <cellStyle name="Akcent 3 2 12 5" xfId="6765"/>
    <cellStyle name="Akcent 3 2 12 6" xfId="6766"/>
    <cellStyle name="Akcent 3 2 13" xfId="6767"/>
    <cellStyle name="Akcent 3 2 13 2" xfId="6768"/>
    <cellStyle name="Akcent 3 2 13 3" xfId="6769"/>
    <cellStyle name="Akcent 3 2 13 4" xfId="6770"/>
    <cellStyle name="Akcent 3 2 13 5" xfId="6771"/>
    <cellStyle name="Akcent 3 2 13 6" xfId="6772"/>
    <cellStyle name="Akcent 3 2 14" xfId="6773"/>
    <cellStyle name="Akcent 3 2 14 2" xfId="6774"/>
    <cellStyle name="Akcent 3 2 14 3" xfId="6775"/>
    <cellStyle name="Akcent 3 2 14 4" xfId="6776"/>
    <cellStyle name="Akcent 3 2 14 5" xfId="6777"/>
    <cellStyle name="Akcent 3 2 14 6" xfId="6778"/>
    <cellStyle name="Akcent 3 2 15" xfId="6779"/>
    <cellStyle name="Akcent 3 2 15 2" xfId="6780"/>
    <cellStyle name="Akcent 3 2 15 3" xfId="6781"/>
    <cellStyle name="Akcent 3 2 15 4" xfId="6782"/>
    <cellStyle name="Akcent 3 2 15 5" xfId="6783"/>
    <cellStyle name="Akcent 3 2 15 6" xfId="6784"/>
    <cellStyle name="Akcent 3 2 16" xfId="6785"/>
    <cellStyle name="Akcent 3 2 16 2" xfId="6786"/>
    <cellStyle name="Akcent 3 2 16 3" xfId="6787"/>
    <cellStyle name="Akcent 3 2 16 4" xfId="6788"/>
    <cellStyle name="Akcent 3 2 16 5" xfId="6789"/>
    <cellStyle name="Akcent 3 2 16 6" xfId="6790"/>
    <cellStyle name="Akcent 3 2 17" xfId="6791"/>
    <cellStyle name="Akcent 3 2 17 2" xfId="6792"/>
    <cellStyle name="Akcent 3 2 17 3" xfId="6793"/>
    <cellStyle name="Akcent 3 2 17 4" xfId="6794"/>
    <cellStyle name="Akcent 3 2 17 5" xfId="6795"/>
    <cellStyle name="Akcent 3 2 17 6" xfId="6796"/>
    <cellStyle name="Akcent 3 2 18" xfId="6797"/>
    <cellStyle name="Akcent 3 2 18 2" xfId="6798"/>
    <cellStyle name="Akcent 3 2 18 3" xfId="6799"/>
    <cellStyle name="Akcent 3 2 18 4" xfId="6800"/>
    <cellStyle name="Akcent 3 2 18 5" xfId="6801"/>
    <cellStyle name="Akcent 3 2 18 6" xfId="6802"/>
    <cellStyle name="Akcent 3 2 19" xfId="6803"/>
    <cellStyle name="Akcent 3 2 19 2" xfId="6804"/>
    <cellStyle name="Akcent 3 2 19 3" xfId="6805"/>
    <cellStyle name="Akcent 3 2 19 4" xfId="6806"/>
    <cellStyle name="Akcent 3 2 19 5" xfId="6807"/>
    <cellStyle name="Akcent 3 2 19 6" xfId="6808"/>
    <cellStyle name="Akcent 3 2 2" xfId="6809"/>
    <cellStyle name="Akcent 3 2 2 2" xfId="6810"/>
    <cellStyle name="Akcent 3 2 2 3" xfId="6811"/>
    <cellStyle name="Akcent 3 2 2 4" xfId="6812"/>
    <cellStyle name="Akcent 3 2 2 5" xfId="6813"/>
    <cellStyle name="Akcent 3 2 2 6" xfId="6814"/>
    <cellStyle name="Akcent 3 2 2 7" xfId="6815"/>
    <cellStyle name="Akcent 3 2 20" xfId="6816"/>
    <cellStyle name="Akcent 3 2 20 2" xfId="6817"/>
    <cellStyle name="Akcent 3 2 20 3" xfId="6818"/>
    <cellStyle name="Akcent 3 2 20 4" xfId="6819"/>
    <cellStyle name="Akcent 3 2 20 5" xfId="6820"/>
    <cellStyle name="Akcent 3 2 20 6" xfId="6821"/>
    <cellStyle name="Akcent 3 2 21" xfId="6822"/>
    <cellStyle name="Akcent 3 2 21 2" xfId="6823"/>
    <cellStyle name="Akcent 3 2 21 3" xfId="6824"/>
    <cellStyle name="Akcent 3 2 21 4" xfId="6825"/>
    <cellStyle name="Akcent 3 2 21 5" xfId="6826"/>
    <cellStyle name="Akcent 3 2 21 6" xfId="6827"/>
    <cellStyle name="Akcent 3 2 22" xfId="6828"/>
    <cellStyle name="Akcent 3 2 22 2" xfId="6829"/>
    <cellStyle name="Akcent 3 2 22 3" xfId="6830"/>
    <cellStyle name="Akcent 3 2 22 4" xfId="6831"/>
    <cellStyle name="Akcent 3 2 22 5" xfId="6832"/>
    <cellStyle name="Akcent 3 2 22 6" xfId="6833"/>
    <cellStyle name="Akcent 3 2 23" xfId="6834"/>
    <cellStyle name="Akcent 3 2 23 2" xfId="6835"/>
    <cellStyle name="Akcent 3 2 23 3" xfId="6836"/>
    <cellStyle name="Akcent 3 2 23 4" xfId="6837"/>
    <cellStyle name="Akcent 3 2 23 5" xfId="6838"/>
    <cellStyle name="Akcent 3 2 23 6" xfId="6839"/>
    <cellStyle name="Akcent 3 2 24" xfId="6840"/>
    <cellStyle name="Akcent 3 2 24 2" xfId="6841"/>
    <cellStyle name="Akcent 3 2 24 3" xfId="6842"/>
    <cellStyle name="Akcent 3 2 24 4" xfId="6843"/>
    <cellStyle name="Akcent 3 2 24 5" xfId="6844"/>
    <cellStyle name="Akcent 3 2 24 6" xfId="6845"/>
    <cellStyle name="Akcent 3 2 25" xfId="6846"/>
    <cellStyle name="Akcent 3 2 25 2" xfId="6847"/>
    <cellStyle name="Akcent 3 2 25 3" xfId="6848"/>
    <cellStyle name="Akcent 3 2 25 4" xfId="6849"/>
    <cellStyle name="Akcent 3 2 25 5" xfId="6850"/>
    <cellStyle name="Akcent 3 2 25 6" xfId="6851"/>
    <cellStyle name="Akcent 3 2 26" xfId="6852"/>
    <cellStyle name="Akcent 3 2 26 2" xfId="6853"/>
    <cellStyle name="Akcent 3 2 26 3" xfId="6854"/>
    <cellStyle name="Akcent 3 2 26 4" xfId="6855"/>
    <cellStyle name="Akcent 3 2 26 5" xfId="6856"/>
    <cellStyle name="Akcent 3 2 26 6" xfId="6857"/>
    <cellStyle name="Akcent 3 2 27" xfId="6858"/>
    <cellStyle name="Akcent 3 2 27 2" xfId="6859"/>
    <cellStyle name="Akcent 3 2 27 3" xfId="6860"/>
    <cellStyle name="Akcent 3 2 27 4" xfId="6861"/>
    <cellStyle name="Akcent 3 2 27 5" xfId="6862"/>
    <cellStyle name="Akcent 3 2 27 6" xfId="6863"/>
    <cellStyle name="Akcent 3 2 28" xfId="6864"/>
    <cellStyle name="Akcent 3 2 28 2" xfId="6865"/>
    <cellStyle name="Akcent 3 2 28 3" xfId="6866"/>
    <cellStyle name="Akcent 3 2 28 4" xfId="6867"/>
    <cellStyle name="Akcent 3 2 28 5" xfId="6868"/>
    <cellStyle name="Akcent 3 2 28 6" xfId="6869"/>
    <cellStyle name="Akcent 3 2 29" xfId="6870"/>
    <cellStyle name="Akcent 3 2 29 2" xfId="6871"/>
    <cellStyle name="Akcent 3 2 3" xfId="6872"/>
    <cellStyle name="Akcent 3 2 3 2" xfId="6873"/>
    <cellStyle name="Akcent 3 2 3 3" xfId="6874"/>
    <cellStyle name="Akcent 3 2 3 4" xfId="6875"/>
    <cellStyle name="Akcent 3 2 3 5" xfId="6876"/>
    <cellStyle name="Akcent 3 2 3 6" xfId="6877"/>
    <cellStyle name="Akcent 3 2 30" xfId="6878"/>
    <cellStyle name="Akcent 3 2 30 2" xfId="6879"/>
    <cellStyle name="Akcent 3 2 31" xfId="6880"/>
    <cellStyle name="Akcent 3 2 31 2" xfId="6881"/>
    <cellStyle name="Akcent 3 2 32" xfId="6882"/>
    <cellStyle name="Akcent 3 2 32 2" xfId="6883"/>
    <cellStyle name="Akcent 3 2 33" xfId="6884"/>
    <cellStyle name="Akcent 3 2 34" xfId="6885"/>
    <cellStyle name="Akcent 3 2 35" xfId="6886"/>
    <cellStyle name="Akcent 3 2 36" xfId="6887"/>
    <cellStyle name="Akcent 3 2 37" xfId="6888"/>
    <cellStyle name="Akcent 3 2 38" xfId="6889"/>
    <cellStyle name="Akcent 3 2 39" xfId="6890"/>
    <cellStyle name="Akcent 3 2 4" xfId="6891"/>
    <cellStyle name="Akcent 3 2 4 2" xfId="6892"/>
    <cellStyle name="Akcent 3 2 4 3" xfId="6893"/>
    <cellStyle name="Akcent 3 2 4 4" xfId="6894"/>
    <cellStyle name="Akcent 3 2 4 5" xfId="6895"/>
    <cellStyle name="Akcent 3 2 4 6" xfId="6896"/>
    <cellStyle name="Akcent 3 2 40" xfId="6897"/>
    <cellStyle name="Akcent 3 2 41" xfId="6898"/>
    <cellStyle name="Akcent 3 2 42" xfId="6899"/>
    <cellStyle name="Akcent 3 2 43" xfId="6900"/>
    <cellStyle name="Akcent 3 2 44" xfId="6901"/>
    <cellStyle name="Akcent 3 2 45" xfId="6902"/>
    <cellStyle name="Akcent 3 2 46" xfId="6903"/>
    <cellStyle name="Akcent 3 2 47" xfId="6904"/>
    <cellStyle name="Akcent 3 2 48" xfId="6905"/>
    <cellStyle name="Akcent 3 2 49" xfId="6906"/>
    <cellStyle name="Akcent 3 2 5" xfId="6907"/>
    <cellStyle name="Akcent 3 2 5 2" xfId="6908"/>
    <cellStyle name="Akcent 3 2 5 3" xfId="6909"/>
    <cellStyle name="Akcent 3 2 5 4" xfId="6910"/>
    <cellStyle name="Akcent 3 2 5 5" xfId="6911"/>
    <cellStyle name="Akcent 3 2 5 6" xfId="6912"/>
    <cellStyle name="Akcent 3 2 50" xfId="6913"/>
    <cellStyle name="Akcent 3 2 51" xfId="6914"/>
    <cellStyle name="Akcent 3 2 52" xfId="6915"/>
    <cellStyle name="Akcent 3 2 6" xfId="6916"/>
    <cellStyle name="Akcent 3 2 6 2" xfId="6917"/>
    <cellStyle name="Akcent 3 2 6 3" xfId="6918"/>
    <cellStyle name="Akcent 3 2 6 4" xfId="6919"/>
    <cellStyle name="Akcent 3 2 6 5" xfId="6920"/>
    <cellStyle name="Akcent 3 2 6 6" xfId="6921"/>
    <cellStyle name="Akcent 3 2 7" xfId="6922"/>
    <cellStyle name="Akcent 3 2 7 2" xfId="6923"/>
    <cellStyle name="Akcent 3 2 7 3" xfId="6924"/>
    <cellStyle name="Akcent 3 2 7 4" xfId="6925"/>
    <cellStyle name="Akcent 3 2 7 5" xfId="6926"/>
    <cellStyle name="Akcent 3 2 7 6" xfId="6927"/>
    <cellStyle name="Akcent 3 2 8" xfId="6928"/>
    <cellStyle name="Akcent 3 2 8 2" xfId="6929"/>
    <cellStyle name="Akcent 3 2 8 3" xfId="6930"/>
    <cellStyle name="Akcent 3 2 8 4" xfId="6931"/>
    <cellStyle name="Akcent 3 2 8 5" xfId="6932"/>
    <cellStyle name="Akcent 3 2 8 6" xfId="6933"/>
    <cellStyle name="Akcent 3 2 9" xfId="6934"/>
    <cellStyle name="Akcent 3 2 9 2" xfId="6935"/>
    <cellStyle name="Akcent 3 2 9 3" xfId="6936"/>
    <cellStyle name="Akcent 3 2 9 4" xfId="6937"/>
    <cellStyle name="Akcent 3 2 9 5" xfId="6938"/>
    <cellStyle name="Akcent 3 2 9 6" xfId="6939"/>
    <cellStyle name="Akcent 3 3" xfId="6940"/>
    <cellStyle name="Akcent 3 3 2" xfId="6941"/>
    <cellStyle name="Akcent 3 3 2 2" xfId="6942"/>
    <cellStyle name="Akcent 3 3 3" xfId="6943"/>
    <cellStyle name="Akcent 3 3 4" xfId="6944"/>
    <cellStyle name="Akcent 3 3 5" xfId="6945"/>
    <cellStyle name="Akcent 3 3 6" xfId="6946"/>
    <cellStyle name="Akcent 3 3 7" xfId="6947"/>
    <cellStyle name="Akcent 3 3 8" xfId="6948"/>
    <cellStyle name="Akcent 3 4" xfId="6949"/>
    <cellStyle name="Akcent 3 4 2" xfId="6950"/>
    <cellStyle name="Akcent 3 4 3" xfId="6951"/>
    <cellStyle name="Akcent 3 4 4" xfId="6952"/>
    <cellStyle name="Akcent 3 4 5" xfId="6953"/>
    <cellStyle name="Akcent 3 4 6" xfId="6954"/>
    <cellStyle name="Akcent 3 4 7" xfId="6955"/>
    <cellStyle name="Akcent 3 4 8" xfId="6956"/>
    <cellStyle name="Akcent 3 5" xfId="6957"/>
    <cellStyle name="Akcent 3 5 2" xfId="6958"/>
    <cellStyle name="Akcent 3 6" xfId="6959"/>
    <cellStyle name="Akcent 3 7" xfId="6960"/>
    <cellStyle name="Akcent 4 2" xfId="6961"/>
    <cellStyle name="Akcent 4 2 10" xfId="6962"/>
    <cellStyle name="Akcent 4 2 10 2" xfId="6963"/>
    <cellStyle name="Akcent 4 2 10 3" xfId="6964"/>
    <cellStyle name="Akcent 4 2 10 4" xfId="6965"/>
    <cellStyle name="Akcent 4 2 10 5" xfId="6966"/>
    <cellStyle name="Akcent 4 2 10 6" xfId="6967"/>
    <cellStyle name="Akcent 4 2 11" xfId="6968"/>
    <cellStyle name="Akcent 4 2 11 2" xfId="6969"/>
    <cellStyle name="Akcent 4 2 11 3" xfId="6970"/>
    <cellStyle name="Akcent 4 2 11 4" xfId="6971"/>
    <cellStyle name="Akcent 4 2 11 5" xfId="6972"/>
    <cellStyle name="Akcent 4 2 11 6" xfId="6973"/>
    <cellStyle name="Akcent 4 2 12" xfId="6974"/>
    <cellStyle name="Akcent 4 2 12 2" xfId="6975"/>
    <cellStyle name="Akcent 4 2 12 3" xfId="6976"/>
    <cellStyle name="Akcent 4 2 12 4" xfId="6977"/>
    <cellStyle name="Akcent 4 2 12 5" xfId="6978"/>
    <cellStyle name="Akcent 4 2 12 6" xfId="6979"/>
    <cellStyle name="Akcent 4 2 13" xfId="6980"/>
    <cellStyle name="Akcent 4 2 13 2" xfId="6981"/>
    <cellStyle name="Akcent 4 2 13 3" xfId="6982"/>
    <cellStyle name="Akcent 4 2 13 4" xfId="6983"/>
    <cellStyle name="Akcent 4 2 13 5" xfId="6984"/>
    <cellStyle name="Akcent 4 2 13 6" xfId="6985"/>
    <cellStyle name="Akcent 4 2 14" xfId="6986"/>
    <cellStyle name="Akcent 4 2 14 2" xfId="6987"/>
    <cellStyle name="Akcent 4 2 14 3" xfId="6988"/>
    <cellStyle name="Akcent 4 2 14 4" xfId="6989"/>
    <cellStyle name="Akcent 4 2 14 5" xfId="6990"/>
    <cellStyle name="Akcent 4 2 14 6" xfId="6991"/>
    <cellStyle name="Akcent 4 2 15" xfId="6992"/>
    <cellStyle name="Akcent 4 2 15 2" xfId="6993"/>
    <cellStyle name="Akcent 4 2 15 3" xfId="6994"/>
    <cellStyle name="Akcent 4 2 15 4" xfId="6995"/>
    <cellStyle name="Akcent 4 2 15 5" xfId="6996"/>
    <cellStyle name="Akcent 4 2 15 6" xfId="6997"/>
    <cellStyle name="Akcent 4 2 16" xfId="6998"/>
    <cellStyle name="Akcent 4 2 16 2" xfId="6999"/>
    <cellStyle name="Akcent 4 2 16 3" xfId="7000"/>
    <cellStyle name="Akcent 4 2 16 4" xfId="7001"/>
    <cellStyle name="Akcent 4 2 16 5" xfId="7002"/>
    <cellStyle name="Akcent 4 2 16 6" xfId="7003"/>
    <cellStyle name="Akcent 4 2 17" xfId="7004"/>
    <cellStyle name="Akcent 4 2 17 2" xfId="7005"/>
    <cellStyle name="Akcent 4 2 17 3" xfId="7006"/>
    <cellStyle name="Akcent 4 2 17 4" xfId="7007"/>
    <cellStyle name="Akcent 4 2 17 5" xfId="7008"/>
    <cellStyle name="Akcent 4 2 17 6" xfId="7009"/>
    <cellStyle name="Akcent 4 2 18" xfId="7010"/>
    <cellStyle name="Akcent 4 2 18 2" xfId="7011"/>
    <cellStyle name="Akcent 4 2 18 3" xfId="7012"/>
    <cellStyle name="Akcent 4 2 18 4" xfId="7013"/>
    <cellStyle name="Akcent 4 2 18 5" xfId="7014"/>
    <cellStyle name="Akcent 4 2 18 6" xfId="7015"/>
    <cellStyle name="Akcent 4 2 19" xfId="7016"/>
    <cellStyle name="Akcent 4 2 19 2" xfId="7017"/>
    <cellStyle name="Akcent 4 2 19 3" xfId="7018"/>
    <cellStyle name="Akcent 4 2 19 4" xfId="7019"/>
    <cellStyle name="Akcent 4 2 19 5" xfId="7020"/>
    <cellStyle name="Akcent 4 2 19 6" xfId="7021"/>
    <cellStyle name="Akcent 4 2 2" xfId="7022"/>
    <cellStyle name="Akcent 4 2 2 2" xfId="7023"/>
    <cellStyle name="Akcent 4 2 2 3" xfId="7024"/>
    <cellStyle name="Akcent 4 2 2 4" xfId="7025"/>
    <cellStyle name="Akcent 4 2 2 5" xfId="7026"/>
    <cellStyle name="Akcent 4 2 2 6" xfId="7027"/>
    <cellStyle name="Akcent 4 2 2 7" xfId="7028"/>
    <cellStyle name="Akcent 4 2 20" xfId="7029"/>
    <cellStyle name="Akcent 4 2 20 2" xfId="7030"/>
    <cellStyle name="Akcent 4 2 20 3" xfId="7031"/>
    <cellStyle name="Akcent 4 2 20 4" xfId="7032"/>
    <cellStyle name="Akcent 4 2 20 5" xfId="7033"/>
    <cellStyle name="Akcent 4 2 20 6" xfId="7034"/>
    <cellStyle name="Akcent 4 2 21" xfId="7035"/>
    <cellStyle name="Akcent 4 2 21 2" xfId="7036"/>
    <cellStyle name="Akcent 4 2 21 3" xfId="7037"/>
    <cellStyle name="Akcent 4 2 21 4" xfId="7038"/>
    <cellStyle name="Akcent 4 2 21 5" xfId="7039"/>
    <cellStyle name="Akcent 4 2 21 6" xfId="7040"/>
    <cellStyle name="Akcent 4 2 22" xfId="7041"/>
    <cellStyle name="Akcent 4 2 22 2" xfId="7042"/>
    <cellStyle name="Akcent 4 2 22 3" xfId="7043"/>
    <cellStyle name="Akcent 4 2 22 4" xfId="7044"/>
    <cellStyle name="Akcent 4 2 22 5" xfId="7045"/>
    <cellStyle name="Akcent 4 2 22 6" xfId="7046"/>
    <cellStyle name="Akcent 4 2 23" xfId="7047"/>
    <cellStyle name="Akcent 4 2 23 2" xfId="7048"/>
    <cellStyle name="Akcent 4 2 23 3" xfId="7049"/>
    <cellStyle name="Akcent 4 2 23 4" xfId="7050"/>
    <cellStyle name="Akcent 4 2 23 5" xfId="7051"/>
    <cellStyle name="Akcent 4 2 23 6" xfId="7052"/>
    <cellStyle name="Akcent 4 2 24" xfId="7053"/>
    <cellStyle name="Akcent 4 2 24 2" xfId="7054"/>
    <cellStyle name="Akcent 4 2 24 3" xfId="7055"/>
    <cellStyle name="Akcent 4 2 24 4" xfId="7056"/>
    <cellStyle name="Akcent 4 2 24 5" xfId="7057"/>
    <cellStyle name="Akcent 4 2 24 6" xfId="7058"/>
    <cellStyle name="Akcent 4 2 25" xfId="7059"/>
    <cellStyle name="Akcent 4 2 25 2" xfId="7060"/>
    <cellStyle name="Akcent 4 2 25 3" xfId="7061"/>
    <cellStyle name="Akcent 4 2 25 4" xfId="7062"/>
    <cellStyle name="Akcent 4 2 25 5" xfId="7063"/>
    <cellStyle name="Akcent 4 2 25 6" xfId="7064"/>
    <cellStyle name="Akcent 4 2 26" xfId="7065"/>
    <cellStyle name="Akcent 4 2 26 2" xfId="7066"/>
    <cellStyle name="Akcent 4 2 26 3" xfId="7067"/>
    <cellStyle name="Akcent 4 2 26 4" xfId="7068"/>
    <cellStyle name="Akcent 4 2 26 5" xfId="7069"/>
    <cellStyle name="Akcent 4 2 26 6" xfId="7070"/>
    <cellStyle name="Akcent 4 2 27" xfId="7071"/>
    <cellStyle name="Akcent 4 2 27 2" xfId="7072"/>
    <cellStyle name="Akcent 4 2 27 3" xfId="7073"/>
    <cellStyle name="Akcent 4 2 27 4" xfId="7074"/>
    <cellStyle name="Akcent 4 2 27 5" xfId="7075"/>
    <cellStyle name="Akcent 4 2 27 6" xfId="7076"/>
    <cellStyle name="Akcent 4 2 28" xfId="7077"/>
    <cellStyle name="Akcent 4 2 28 2" xfId="7078"/>
    <cellStyle name="Akcent 4 2 28 3" xfId="7079"/>
    <cellStyle name="Akcent 4 2 28 4" xfId="7080"/>
    <cellStyle name="Akcent 4 2 28 5" xfId="7081"/>
    <cellStyle name="Akcent 4 2 28 6" xfId="7082"/>
    <cellStyle name="Akcent 4 2 29" xfId="7083"/>
    <cellStyle name="Akcent 4 2 29 2" xfId="7084"/>
    <cellStyle name="Akcent 4 2 3" xfId="7085"/>
    <cellStyle name="Akcent 4 2 3 2" xfId="7086"/>
    <cellStyle name="Akcent 4 2 3 3" xfId="7087"/>
    <cellStyle name="Akcent 4 2 3 4" xfId="7088"/>
    <cellStyle name="Akcent 4 2 3 5" xfId="7089"/>
    <cellStyle name="Akcent 4 2 3 6" xfId="7090"/>
    <cellStyle name="Akcent 4 2 30" xfId="7091"/>
    <cellStyle name="Akcent 4 2 30 2" xfId="7092"/>
    <cellStyle name="Akcent 4 2 31" xfId="7093"/>
    <cellStyle name="Akcent 4 2 31 2" xfId="7094"/>
    <cellStyle name="Akcent 4 2 32" xfId="7095"/>
    <cellStyle name="Akcent 4 2 32 2" xfId="7096"/>
    <cellStyle name="Akcent 4 2 33" xfId="7097"/>
    <cellStyle name="Akcent 4 2 34" xfId="7098"/>
    <cellStyle name="Akcent 4 2 35" xfId="7099"/>
    <cellStyle name="Akcent 4 2 36" xfId="7100"/>
    <cellStyle name="Akcent 4 2 37" xfId="7101"/>
    <cellStyle name="Akcent 4 2 38" xfId="7102"/>
    <cellStyle name="Akcent 4 2 39" xfId="7103"/>
    <cellStyle name="Akcent 4 2 4" xfId="7104"/>
    <cellStyle name="Akcent 4 2 4 2" xfId="7105"/>
    <cellStyle name="Akcent 4 2 4 3" xfId="7106"/>
    <cellStyle name="Akcent 4 2 4 4" xfId="7107"/>
    <cellStyle name="Akcent 4 2 4 5" xfId="7108"/>
    <cellStyle name="Akcent 4 2 4 6" xfId="7109"/>
    <cellStyle name="Akcent 4 2 40" xfId="7110"/>
    <cellStyle name="Akcent 4 2 41" xfId="7111"/>
    <cellStyle name="Akcent 4 2 42" xfId="7112"/>
    <cellStyle name="Akcent 4 2 43" xfId="7113"/>
    <cellStyle name="Akcent 4 2 44" xfId="7114"/>
    <cellStyle name="Akcent 4 2 45" xfId="7115"/>
    <cellStyle name="Akcent 4 2 46" xfId="7116"/>
    <cellStyle name="Akcent 4 2 47" xfId="7117"/>
    <cellStyle name="Akcent 4 2 48" xfId="7118"/>
    <cellStyle name="Akcent 4 2 49" xfId="7119"/>
    <cellStyle name="Akcent 4 2 5" xfId="7120"/>
    <cellStyle name="Akcent 4 2 5 2" xfId="7121"/>
    <cellStyle name="Akcent 4 2 5 3" xfId="7122"/>
    <cellStyle name="Akcent 4 2 5 4" xfId="7123"/>
    <cellStyle name="Akcent 4 2 5 5" xfId="7124"/>
    <cellStyle name="Akcent 4 2 5 6" xfId="7125"/>
    <cellStyle name="Akcent 4 2 50" xfId="7126"/>
    <cellStyle name="Akcent 4 2 51" xfId="7127"/>
    <cellStyle name="Akcent 4 2 52" xfId="7128"/>
    <cellStyle name="Akcent 4 2 6" xfId="7129"/>
    <cellStyle name="Akcent 4 2 6 2" xfId="7130"/>
    <cellStyle name="Akcent 4 2 6 3" xfId="7131"/>
    <cellStyle name="Akcent 4 2 6 4" xfId="7132"/>
    <cellStyle name="Akcent 4 2 6 5" xfId="7133"/>
    <cellStyle name="Akcent 4 2 6 6" xfId="7134"/>
    <cellStyle name="Akcent 4 2 7" xfId="7135"/>
    <cellStyle name="Akcent 4 2 7 2" xfId="7136"/>
    <cellStyle name="Akcent 4 2 7 3" xfId="7137"/>
    <cellStyle name="Akcent 4 2 7 4" xfId="7138"/>
    <cellStyle name="Akcent 4 2 7 5" xfId="7139"/>
    <cellStyle name="Akcent 4 2 7 6" xfId="7140"/>
    <cellStyle name="Akcent 4 2 8" xfId="7141"/>
    <cellStyle name="Akcent 4 2 8 2" xfId="7142"/>
    <cellStyle name="Akcent 4 2 8 3" xfId="7143"/>
    <cellStyle name="Akcent 4 2 8 4" xfId="7144"/>
    <cellStyle name="Akcent 4 2 8 5" xfId="7145"/>
    <cellStyle name="Akcent 4 2 8 6" xfId="7146"/>
    <cellStyle name="Akcent 4 2 9" xfId="7147"/>
    <cellStyle name="Akcent 4 2 9 2" xfId="7148"/>
    <cellStyle name="Akcent 4 2 9 3" xfId="7149"/>
    <cellStyle name="Akcent 4 2 9 4" xfId="7150"/>
    <cellStyle name="Akcent 4 2 9 5" xfId="7151"/>
    <cellStyle name="Akcent 4 2 9 6" xfId="7152"/>
    <cellStyle name="Akcent 4 3" xfId="7153"/>
    <cellStyle name="Akcent 4 3 2" xfId="7154"/>
    <cellStyle name="Akcent 4 3 2 2" xfId="7155"/>
    <cellStyle name="Akcent 4 3 3" xfId="7156"/>
    <cellStyle name="Akcent 4 3 4" xfId="7157"/>
    <cellStyle name="Akcent 4 3 5" xfId="7158"/>
    <cellStyle name="Akcent 4 3 6" xfId="7159"/>
    <cellStyle name="Akcent 4 3 7" xfId="7160"/>
    <cellStyle name="Akcent 4 3 8" xfId="7161"/>
    <cellStyle name="Akcent 4 4" xfId="7162"/>
    <cellStyle name="Akcent 4 4 2" xfId="7163"/>
    <cellStyle name="Akcent 4 4 3" xfId="7164"/>
    <cellStyle name="Akcent 4 4 4" xfId="7165"/>
    <cellStyle name="Akcent 4 4 5" xfId="7166"/>
    <cellStyle name="Akcent 4 4 6" xfId="7167"/>
    <cellStyle name="Akcent 4 4 7" xfId="7168"/>
    <cellStyle name="Akcent 4 4 8" xfId="7169"/>
    <cellStyle name="Akcent 4 5" xfId="7170"/>
    <cellStyle name="Akcent 4 5 2" xfId="7171"/>
    <cellStyle name="Akcent 4 6" xfId="7172"/>
    <cellStyle name="Akcent 4 7" xfId="7173"/>
    <cellStyle name="Akcent 5 2" xfId="7174"/>
    <cellStyle name="Akcent 5 2 10" xfId="7175"/>
    <cellStyle name="Akcent 5 2 10 2" xfId="7176"/>
    <cellStyle name="Akcent 5 2 10 3" xfId="7177"/>
    <cellStyle name="Akcent 5 2 10 4" xfId="7178"/>
    <cellStyle name="Akcent 5 2 10 5" xfId="7179"/>
    <cellStyle name="Akcent 5 2 10 6" xfId="7180"/>
    <cellStyle name="Akcent 5 2 11" xfId="7181"/>
    <cellStyle name="Akcent 5 2 11 2" xfId="7182"/>
    <cellStyle name="Akcent 5 2 11 3" xfId="7183"/>
    <cellStyle name="Akcent 5 2 11 4" xfId="7184"/>
    <cellStyle name="Akcent 5 2 11 5" xfId="7185"/>
    <cellStyle name="Akcent 5 2 11 6" xfId="7186"/>
    <cellStyle name="Akcent 5 2 12" xfId="7187"/>
    <cellStyle name="Akcent 5 2 12 2" xfId="7188"/>
    <cellStyle name="Akcent 5 2 12 3" xfId="7189"/>
    <cellStyle name="Akcent 5 2 12 4" xfId="7190"/>
    <cellStyle name="Akcent 5 2 12 5" xfId="7191"/>
    <cellStyle name="Akcent 5 2 12 6" xfId="7192"/>
    <cellStyle name="Akcent 5 2 13" xfId="7193"/>
    <cellStyle name="Akcent 5 2 13 2" xfId="7194"/>
    <cellStyle name="Akcent 5 2 13 3" xfId="7195"/>
    <cellStyle name="Akcent 5 2 13 4" xfId="7196"/>
    <cellStyle name="Akcent 5 2 13 5" xfId="7197"/>
    <cellStyle name="Akcent 5 2 13 6" xfId="7198"/>
    <cellStyle name="Akcent 5 2 14" xfId="7199"/>
    <cellStyle name="Akcent 5 2 14 2" xfId="7200"/>
    <cellStyle name="Akcent 5 2 14 3" xfId="7201"/>
    <cellStyle name="Akcent 5 2 14 4" xfId="7202"/>
    <cellStyle name="Akcent 5 2 14 5" xfId="7203"/>
    <cellStyle name="Akcent 5 2 14 6" xfId="7204"/>
    <cellStyle name="Akcent 5 2 15" xfId="7205"/>
    <cellStyle name="Akcent 5 2 15 2" xfId="7206"/>
    <cellStyle name="Akcent 5 2 15 3" xfId="7207"/>
    <cellStyle name="Akcent 5 2 15 4" xfId="7208"/>
    <cellStyle name="Akcent 5 2 15 5" xfId="7209"/>
    <cellStyle name="Akcent 5 2 15 6" xfId="7210"/>
    <cellStyle name="Akcent 5 2 16" xfId="7211"/>
    <cellStyle name="Akcent 5 2 16 2" xfId="7212"/>
    <cellStyle name="Akcent 5 2 16 3" xfId="7213"/>
    <cellStyle name="Akcent 5 2 16 4" xfId="7214"/>
    <cellStyle name="Akcent 5 2 16 5" xfId="7215"/>
    <cellStyle name="Akcent 5 2 16 6" xfId="7216"/>
    <cellStyle name="Akcent 5 2 17" xfId="7217"/>
    <cellStyle name="Akcent 5 2 17 2" xfId="7218"/>
    <cellStyle name="Akcent 5 2 17 3" xfId="7219"/>
    <cellStyle name="Akcent 5 2 17 4" xfId="7220"/>
    <cellStyle name="Akcent 5 2 17 5" xfId="7221"/>
    <cellStyle name="Akcent 5 2 17 6" xfId="7222"/>
    <cellStyle name="Akcent 5 2 18" xfId="7223"/>
    <cellStyle name="Akcent 5 2 18 2" xfId="7224"/>
    <cellStyle name="Akcent 5 2 18 3" xfId="7225"/>
    <cellStyle name="Akcent 5 2 18 4" xfId="7226"/>
    <cellStyle name="Akcent 5 2 18 5" xfId="7227"/>
    <cellStyle name="Akcent 5 2 18 6" xfId="7228"/>
    <cellStyle name="Akcent 5 2 19" xfId="7229"/>
    <cellStyle name="Akcent 5 2 19 2" xfId="7230"/>
    <cellStyle name="Akcent 5 2 19 3" xfId="7231"/>
    <cellStyle name="Akcent 5 2 19 4" xfId="7232"/>
    <cellStyle name="Akcent 5 2 19 5" xfId="7233"/>
    <cellStyle name="Akcent 5 2 19 6" xfId="7234"/>
    <cellStyle name="Akcent 5 2 2" xfId="7235"/>
    <cellStyle name="Akcent 5 2 2 2" xfId="7236"/>
    <cellStyle name="Akcent 5 2 2 3" xfId="7237"/>
    <cellStyle name="Akcent 5 2 2 4" xfId="7238"/>
    <cellStyle name="Akcent 5 2 2 5" xfId="7239"/>
    <cellStyle name="Akcent 5 2 2 6" xfId="7240"/>
    <cellStyle name="Akcent 5 2 2 7" xfId="7241"/>
    <cellStyle name="Akcent 5 2 20" xfId="7242"/>
    <cellStyle name="Akcent 5 2 20 2" xfId="7243"/>
    <cellStyle name="Akcent 5 2 20 3" xfId="7244"/>
    <cellStyle name="Akcent 5 2 20 4" xfId="7245"/>
    <cellStyle name="Akcent 5 2 20 5" xfId="7246"/>
    <cellStyle name="Akcent 5 2 20 6" xfId="7247"/>
    <cellStyle name="Akcent 5 2 21" xfId="7248"/>
    <cellStyle name="Akcent 5 2 21 2" xfId="7249"/>
    <cellStyle name="Akcent 5 2 21 3" xfId="7250"/>
    <cellStyle name="Akcent 5 2 21 4" xfId="7251"/>
    <cellStyle name="Akcent 5 2 21 5" xfId="7252"/>
    <cellStyle name="Akcent 5 2 21 6" xfId="7253"/>
    <cellStyle name="Akcent 5 2 22" xfId="7254"/>
    <cellStyle name="Akcent 5 2 22 2" xfId="7255"/>
    <cellStyle name="Akcent 5 2 22 3" xfId="7256"/>
    <cellStyle name="Akcent 5 2 22 4" xfId="7257"/>
    <cellStyle name="Akcent 5 2 22 5" xfId="7258"/>
    <cellStyle name="Akcent 5 2 22 6" xfId="7259"/>
    <cellStyle name="Akcent 5 2 23" xfId="7260"/>
    <cellStyle name="Akcent 5 2 23 2" xfId="7261"/>
    <cellStyle name="Akcent 5 2 23 3" xfId="7262"/>
    <cellStyle name="Akcent 5 2 23 4" xfId="7263"/>
    <cellStyle name="Akcent 5 2 23 5" xfId="7264"/>
    <cellStyle name="Akcent 5 2 23 6" xfId="7265"/>
    <cellStyle name="Akcent 5 2 24" xfId="7266"/>
    <cellStyle name="Akcent 5 2 24 2" xfId="7267"/>
    <cellStyle name="Akcent 5 2 24 3" xfId="7268"/>
    <cellStyle name="Akcent 5 2 24 4" xfId="7269"/>
    <cellStyle name="Akcent 5 2 24 5" xfId="7270"/>
    <cellStyle name="Akcent 5 2 24 6" xfId="7271"/>
    <cellStyle name="Akcent 5 2 25" xfId="7272"/>
    <cellStyle name="Akcent 5 2 25 2" xfId="7273"/>
    <cellStyle name="Akcent 5 2 25 3" xfId="7274"/>
    <cellStyle name="Akcent 5 2 25 4" xfId="7275"/>
    <cellStyle name="Akcent 5 2 25 5" xfId="7276"/>
    <cellStyle name="Akcent 5 2 25 6" xfId="7277"/>
    <cellStyle name="Akcent 5 2 26" xfId="7278"/>
    <cellStyle name="Akcent 5 2 26 2" xfId="7279"/>
    <cellStyle name="Akcent 5 2 26 3" xfId="7280"/>
    <cellStyle name="Akcent 5 2 26 4" xfId="7281"/>
    <cellStyle name="Akcent 5 2 26 5" xfId="7282"/>
    <cellStyle name="Akcent 5 2 26 6" xfId="7283"/>
    <cellStyle name="Akcent 5 2 27" xfId="7284"/>
    <cellStyle name="Akcent 5 2 27 2" xfId="7285"/>
    <cellStyle name="Akcent 5 2 27 3" xfId="7286"/>
    <cellStyle name="Akcent 5 2 27 4" xfId="7287"/>
    <cellStyle name="Akcent 5 2 27 5" xfId="7288"/>
    <cellStyle name="Akcent 5 2 27 6" xfId="7289"/>
    <cellStyle name="Akcent 5 2 28" xfId="7290"/>
    <cellStyle name="Akcent 5 2 28 2" xfId="7291"/>
    <cellStyle name="Akcent 5 2 28 3" xfId="7292"/>
    <cellStyle name="Akcent 5 2 28 4" xfId="7293"/>
    <cellStyle name="Akcent 5 2 28 5" xfId="7294"/>
    <cellStyle name="Akcent 5 2 28 6" xfId="7295"/>
    <cellStyle name="Akcent 5 2 29" xfId="7296"/>
    <cellStyle name="Akcent 5 2 29 2" xfId="7297"/>
    <cellStyle name="Akcent 5 2 3" xfId="7298"/>
    <cellStyle name="Akcent 5 2 3 2" xfId="7299"/>
    <cellStyle name="Akcent 5 2 3 3" xfId="7300"/>
    <cellStyle name="Akcent 5 2 3 4" xfId="7301"/>
    <cellStyle name="Akcent 5 2 3 5" xfId="7302"/>
    <cellStyle name="Akcent 5 2 3 6" xfId="7303"/>
    <cellStyle name="Akcent 5 2 30" xfId="7304"/>
    <cellStyle name="Akcent 5 2 30 2" xfId="7305"/>
    <cellStyle name="Akcent 5 2 31" xfId="7306"/>
    <cellStyle name="Akcent 5 2 31 2" xfId="7307"/>
    <cellStyle name="Akcent 5 2 32" xfId="7308"/>
    <cellStyle name="Akcent 5 2 32 2" xfId="7309"/>
    <cellStyle name="Akcent 5 2 33" xfId="7310"/>
    <cellStyle name="Akcent 5 2 34" xfId="7311"/>
    <cellStyle name="Akcent 5 2 35" xfId="7312"/>
    <cellStyle name="Akcent 5 2 36" xfId="7313"/>
    <cellStyle name="Akcent 5 2 37" xfId="7314"/>
    <cellStyle name="Akcent 5 2 38" xfId="7315"/>
    <cellStyle name="Akcent 5 2 39" xfId="7316"/>
    <cellStyle name="Akcent 5 2 4" xfId="7317"/>
    <cellStyle name="Akcent 5 2 4 2" xfId="7318"/>
    <cellStyle name="Akcent 5 2 4 3" xfId="7319"/>
    <cellStyle name="Akcent 5 2 4 4" xfId="7320"/>
    <cellStyle name="Akcent 5 2 4 5" xfId="7321"/>
    <cellStyle name="Akcent 5 2 4 6" xfId="7322"/>
    <cellStyle name="Akcent 5 2 40" xfId="7323"/>
    <cellStyle name="Akcent 5 2 41" xfId="7324"/>
    <cellStyle name="Akcent 5 2 42" xfId="7325"/>
    <cellStyle name="Akcent 5 2 43" xfId="7326"/>
    <cellStyle name="Akcent 5 2 44" xfId="7327"/>
    <cellStyle name="Akcent 5 2 45" xfId="7328"/>
    <cellStyle name="Akcent 5 2 46" xfId="7329"/>
    <cellStyle name="Akcent 5 2 47" xfId="7330"/>
    <cellStyle name="Akcent 5 2 48" xfId="7331"/>
    <cellStyle name="Akcent 5 2 49" xfId="7332"/>
    <cellStyle name="Akcent 5 2 5" xfId="7333"/>
    <cellStyle name="Akcent 5 2 5 2" xfId="7334"/>
    <cellStyle name="Akcent 5 2 5 3" xfId="7335"/>
    <cellStyle name="Akcent 5 2 5 4" xfId="7336"/>
    <cellStyle name="Akcent 5 2 5 5" xfId="7337"/>
    <cellStyle name="Akcent 5 2 5 6" xfId="7338"/>
    <cellStyle name="Akcent 5 2 50" xfId="7339"/>
    <cellStyle name="Akcent 5 2 51" xfId="7340"/>
    <cellStyle name="Akcent 5 2 52" xfId="7341"/>
    <cellStyle name="Akcent 5 2 6" xfId="7342"/>
    <cellStyle name="Akcent 5 2 6 2" xfId="7343"/>
    <cellStyle name="Akcent 5 2 6 3" xfId="7344"/>
    <cellStyle name="Akcent 5 2 6 4" xfId="7345"/>
    <cellStyle name="Akcent 5 2 6 5" xfId="7346"/>
    <cellStyle name="Akcent 5 2 6 6" xfId="7347"/>
    <cellStyle name="Akcent 5 2 7" xfId="7348"/>
    <cellStyle name="Akcent 5 2 7 2" xfId="7349"/>
    <cellStyle name="Akcent 5 2 7 3" xfId="7350"/>
    <cellStyle name="Akcent 5 2 7 4" xfId="7351"/>
    <cellStyle name="Akcent 5 2 7 5" xfId="7352"/>
    <cellStyle name="Akcent 5 2 7 6" xfId="7353"/>
    <cellStyle name="Akcent 5 2 8" xfId="7354"/>
    <cellStyle name="Akcent 5 2 8 2" xfId="7355"/>
    <cellStyle name="Akcent 5 2 8 3" xfId="7356"/>
    <cellStyle name="Akcent 5 2 8 4" xfId="7357"/>
    <cellStyle name="Akcent 5 2 8 5" xfId="7358"/>
    <cellStyle name="Akcent 5 2 8 6" xfId="7359"/>
    <cellStyle name="Akcent 5 2 9" xfId="7360"/>
    <cellStyle name="Akcent 5 2 9 2" xfId="7361"/>
    <cellStyle name="Akcent 5 2 9 3" xfId="7362"/>
    <cellStyle name="Akcent 5 2 9 4" xfId="7363"/>
    <cellStyle name="Akcent 5 2 9 5" xfId="7364"/>
    <cellStyle name="Akcent 5 2 9 6" xfId="7365"/>
    <cellStyle name="Akcent 5 3" xfId="7366"/>
    <cellStyle name="Akcent 5 3 2" xfId="7367"/>
    <cellStyle name="Akcent 5 3 2 2" xfId="7368"/>
    <cellStyle name="Akcent 5 3 3" xfId="7369"/>
    <cellStyle name="Akcent 5 3 4" xfId="7370"/>
    <cellStyle name="Akcent 5 3 5" xfId="7371"/>
    <cellStyle name="Akcent 5 3 6" xfId="7372"/>
    <cellStyle name="Akcent 5 3 7" xfId="7373"/>
    <cellStyle name="Akcent 5 3 8" xfId="7374"/>
    <cellStyle name="Akcent 5 4" xfId="7375"/>
    <cellStyle name="Akcent 5 4 2" xfId="7376"/>
    <cellStyle name="Akcent 5 4 3" xfId="7377"/>
    <cellStyle name="Akcent 5 4 4" xfId="7378"/>
    <cellStyle name="Akcent 5 4 5" xfId="7379"/>
    <cellStyle name="Akcent 5 4 6" xfId="7380"/>
    <cellStyle name="Akcent 5 4 7" xfId="7381"/>
    <cellStyle name="Akcent 5 4 8" xfId="7382"/>
    <cellStyle name="Akcent 5 5" xfId="7383"/>
    <cellStyle name="Akcent 5 5 2" xfId="7384"/>
    <cellStyle name="Akcent 5 6" xfId="7385"/>
    <cellStyle name="Akcent 5 7" xfId="7386"/>
    <cellStyle name="Akcent 6 2" xfId="7387"/>
    <cellStyle name="Akcent 6 2 10" xfId="7388"/>
    <cellStyle name="Akcent 6 2 10 2" xfId="7389"/>
    <cellStyle name="Akcent 6 2 10 3" xfId="7390"/>
    <cellStyle name="Akcent 6 2 10 4" xfId="7391"/>
    <cellStyle name="Akcent 6 2 10 5" xfId="7392"/>
    <cellStyle name="Akcent 6 2 10 6" xfId="7393"/>
    <cellStyle name="Akcent 6 2 11" xfId="7394"/>
    <cellStyle name="Akcent 6 2 11 2" xfId="7395"/>
    <cellStyle name="Akcent 6 2 11 3" xfId="7396"/>
    <cellStyle name="Akcent 6 2 11 4" xfId="7397"/>
    <cellStyle name="Akcent 6 2 11 5" xfId="7398"/>
    <cellStyle name="Akcent 6 2 11 6" xfId="7399"/>
    <cellStyle name="Akcent 6 2 12" xfId="7400"/>
    <cellStyle name="Akcent 6 2 12 2" xfId="7401"/>
    <cellStyle name="Akcent 6 2 12 3" xfId="7402"/>
    <cellStyle name="Akcent 6 2 12 4" xfId="7403"/>
    <cellStyle name="Akcent 6 2 12 5" xfId="7404"/>
    <cellStyle name="Akcent 6 2 12 6" xfId="7405"/>
    <cellStyle name="Akcent 6 2 13" xfId="7406"/>
    <cellStyle name="Akcent 6 2 13 2" xfId="7407"/>
    <cellStyle name="Akcent 6 2 13 3" xfId="7408"/>
    <cellStyle name="Akcent 6 2 13 4" xfId="7409"/>
    <cellStyle name="Akcent 6 2 13 5" xfId="7410"/>
    <cellStyle name="Akcent 6 2 13 6" xfId="7411"/>
    <cellStyle name="Akcent 6 2 14" xfId="7412"/>
    <cellStyle name="Akcent 6 2 14 2" xfId="7413"/>
    <cellStyle name="Akcent 6 2 14 3" xfId="7414"/>
    <cellStyle name="Akcent 6 2 14 4" xfId="7415"/>
    <cellStyle name="Akcent 6 2 14 5" xfId="7416"/>
    <cellStyle name="Akcent 6 2 14 6" xfId="7417"/>
    <cellStyle name="Akcent 6 2 15" xfId="7418"/>
    <cellStyle name="Akcent 6 2 15 2" xfId="7419"/>
    <cellStyle name="Akcent 6 2 15 3" xfId="7420"/>
    <cellStyle name="Akcent 6 2 15 4" xfId="7421"/>
    <cellStyle name="Akcent 6 2 15 5" xfId="7422"/>
    <cellStyle name="Akcent 6 2 15 6" xfId="7423"/>
    <cellStyle name="Akcent 6 2 16" xfId="7424"/>
    <cellStyle name="Akcent 6 2 16 2" xfId="7425"/>
    <cellStyle name="Akcent 6 2 16 3" xfId="7426"/>
    <cellStyle name="Akcent 6 2 16 4" xfId="7427"/>
    <cellStyle name="Akcent 6 2 16 5" xfId="7428"/>
    <cellStyle name="Akcent 6 2 16 6" xfId="7429"/>
    <cellStyle name="Akcent 6 2 17" xfId="7430"/>
    <cellStyle name="Akcent 6 2 17 2" xfId="7431"/>
    <cellStyle name="Akcent 6 2 17 3" xfId="7432"/>
    <cellStyle name="Akcent 6 2 17 4" xfId="7433"/>
    <cellStyle name="Akcent 6 2 17 5" xfId="7434"/>
    <cellStyle name="Akcent 6 2 17 6" xfId="7435"/>
    <cellStyle name="Akcent 6 2 18" xfId="7436"/>
    <cellStyle name="Akcent 6 2 18 2" xfId="7437"/>
    <cellStyle name="Akcent 6 2 18 3" xfId="7438"/>
    <cellStyle name="Akcent 6 2 18 4" xfId="7439"/>
    <cellStyle name="Akcent 6 2 18 5" xfId="7440"/>
    <cellStyle name="Akcent 6 2 18 6" xfId="7441"/>
    <cellStyle name="Akcent 6 2 19" xfId="7442"/>
    <cellStyle name="Akcent 6 2 19 2" xfId="7443"/>
    <cellStyle name="Akcent 6 2 19 3" xfId="7444"/>
    <cellStyle name="Akcent 6 2 19 4" xfId="7445"/>
    <cellStyle name="Akcent 6 2 19 5" xfId="7446"/>
    <cellStyle name="Akcent 6 2 19 6" xfId="7447"/>
    <cellStyle name="Akcent 6 2 2" xfId="7448"/>
    <cellStyle name="Akcent 6 2 2 2" xfId="7449"/>
    <cellStyle name="Akcent 6 2 2 3" xfId="7450"/>
    <cellStyle name="Akcent 6 2 2 4" xfId="7451"/>
    <cellStyle name="Akcent 6 2 2 5" xfId="7452"/>
    <cellStyle name="Akcent 6 2 2 6" xfId="7453"/>
    <cellStyle name="Akcent 6 2 2 7" xfId="7454"/>
    <cellStyle name="Akcent 6 2 20" xfId="7455"/>
    <cellStyle name="Akcent 6 2 20 2" xfId="7456"/>
    <cellStyle name="Akcent 6 2 20 3" xfId="7457"/>
    <cellStyle name="Akcent 6 2 20 4" xfId="7458"/>
    <cellStyle name="Akcent 6 2 20 5" xfId="7459"/>
    <cellStyle name="Akcent 6 2 20 6" xfId="7460"/>
    <cellStyle name="Akcent 6 2 21" xfId="7461"/>
    <cellStyle name="Akcent 6 2 21 2" xfId="7462"/>
    <cellStyle name="Akcent 6 2 21 3" xfId="7463"/>
    <cellStyle name="Akcent 6 2 21 4" xfId="7464"/>
    <cellStyle name="Akcent 6 2 21 5" xfId="7465"/>
    <cellStyle name="Akcent 6 2 21 6" xfId="7466"/>
    <cellStyle name="Akcent 6 2 22" xfId="7467"/>
    <cellStyle name="Akcent 6 2 22 2" xfId="7468"/>
    <cellStyle name="Akcent 6 2 22 3" xfId="7469"/>
    <cellStyle name="Akcent 6 2 22 4" xfId="7470"/>
    <cellStyle name="Akcent 6 2 22 5" xfId="7471"/>
    <cellStyle name="Akcent 6 2 22 6" xfId="7472"/>
    <cellStyle name="Akcent 6 2 23" xfId="7473"/>
    <cellStyle name="Akcent 6 2 23 2" xfId="7474"/>
    <cellStyle name="Akcent 6 2 23 3" xfId="7475"/>
    <cellStyle name="Akcent 6 2 23 4" xfId="7476"/>
    <cellStyle name="Akcent 6 2 23 5" xfId="7477"/>
    <cellStyle name="Akcent 6 2 23 6" xfId="7478"/>
    <cellStyle name="Akcent 6 2 24" xfId="7479"/>
    <cellStyle name="Akcent 6 2 24 2" xfId="7480"/>
    <cellStyle name="Akcent 6 2 24 3" xfId="7481"/>
    <cellStyle name="Akcent 6 2 24 4" xfId="7482"/>
    <cellStyle name="Akcent 6 2 24 5" xfId="7483"/>
    <cellStyle name="Akcent 6 2 24 6" xfId="7484"/>
    <cellStyle name="Akcent 6 2 25" xfId="7485"/>
    <cellStyle name="Akcent 6 2 25 2" xfId="7486"/>
    <cellStyle name="Akcent 6 2 25 3" xfId="7487"/>
    <cellStyle name="Akcent 6 2 25 4" xfId="7488"/>
    <cellStyle name="Akcent 6 2 25 5" xfId="7489"/>
    <cellStyle name="Akcent 6 2 25 6" xfId="7490"/>
    <cellStyle name="Akcent 6 2 26" xfId="7491"/>
    <cellStyle name="Akcent 6 2 26 2" xfId="7492"/>
    <cellStyle name="Akcent 6 2 26 3" xfId="7493"/>
    <cellStyle name="Akcent 6 2 26 4" xfId="7494"/>
    <cellStyle name="Akcent 6 2 26 5" xfId="7495"/>
    <cellStyle name="Akcent 6 2 26 6" xfId="7496"/>
    <cellStyle name="Akcent 6 2 27" xfId="7497"/>
    <cellStyle name="Akcent 6 2 27 2" xfId="7498"/>
    <cellStyle name="Akcent 6 2 27 3" xfId="7499"/>
    <cellStyle name="Akcent 6 2 27 4" xfId="7500"/>
    <cellStyle name="Akcent 6 2 27 5" xfId="7501"/>
    <cellStyle name="Akcent 6 2 27 6" xfId="7502"/>
    <cellStyle name="Akcent 6 2 28" xfId="7503"/>
    <cellStyle name="Akcent 6 2 28 2" xfId="7504"/>
    <cellStyle name="Akcent 6 2 28 3" xfId="7505"/>
    <cellStyle name="Akcent 6 2 28 4" xfId="7506"/>
    <cellStyle name="Akcent 6 2 28 5" xfId="7507"/>
    <cellStyle name="Akcent 6 2 28 6" xfId="7508"/>
    <cellStyle name="Akcent 6 2 29" xfId="7509"/>
    <cellStyle name="Akcent 6 2 29 2" xfId="7510"/>
    <cellStyle name="Akcent 6 2 3" xfId="7511"/>
    <cellStyle name="Akcent 6 2 3 2" xfId="7512"/>
    <cellStyle name="Akcent 6 2 3 3" xfId="7513"/>
    <cellStyle name="Akcent 6 2 3 4" xfId="7514"/>
    <cellStyle name="Akcent 6 2 3 5" xfId="7515"/>
    <cellStyle name="Akcent 6 2 3 6" xfId="7516"/>
    <cellStyle name="Akcent 6 2 30" xfId="7517"/>
    <cellStyle name="Akcent 6 2 30 2" xfId="7518"/>
    <cellStyle name="Akcent 6 2 31" xfId="7519"/>
    <cellStyle name="Akcent 6 2 31 2" xfId="7520"/>
    <cellStyle name="Akcent 6 2 32" xfId="7521"/>
    <cellStyle name="Akcent 6 2 32 2" xfId="7522"/>
    <cellStyle name="Akcent 6 2 33" xfId="7523"/>
    <cellStyle name="Akcent 6 2 34" xfId="7524"/>
    <cellStyle name="Akcent 6 2 35" xfId="7525"/>
    <cellStyle name="Akcent 6 2 36" xfId="7526"/>
    <cellStyle name="Akcent 6 2 37" xfId="7527"/>
    <cellStyle name="Akcent 6 2 38" xfId="7528"/>
    <cellStyle name="Akcent 6 2 39" xfId="7529"/>
    <cellStyle name="Akcent 6 2 4" xfId="7530"/>
    <cellStyle name="Akcent 6 2 4 2" xfId="7531"/>
    <cellStyle name="Akcent 6 2 4 3" xfId="7532"/>
    <cellStyle name="Akcent 6 2 4 4" xfId="7533"/>
    <cellStyle name="Akcent 6 2 4 5" xfId="7534"/>
    <cellStyle name="Akcent 6 2 4 6" xfId="7535"/>
    <cellStyle name="Akcent 6 2 40" xfId="7536"/>
    <cellStyle name="Akcent 6 2 41" xfId="7537"/>
    <cellStyle name="Akcent 6 2 42" xfId="7538"/>
    <cellStyle name="Akcent 6 2 43" xfId="7539"/>
    <cellStyle name="Akcent 6 2 44" xfId="7540"/>
    <cellStyle name="Akcent 6 2 45" xfId="7541"/>
    <cellStyle name="Akcent 6 2 46" xfId="7542"/>
    <cellStyle name="Akcent 6 2 47" xfId="7543"/>
    <cellStyle name="Akcent 6 2 48" xfId="7544"/>
    <cellStyle name="Akcent 6 2 49" xfId="7545"/>
    <cellStyle name="Akcent 6 2 5" xfId="7546"/>
    <cellStyle name="Akcent 6 2 5 2" xfId="7547"/>
    <cellStyle name="Akcent 6 2 5 3" xfId="7548"/>
    <cellStyle name="Akcent 6 2 5 4" xfId="7549"/>
    <cellStyle name="Akcent 6 2 5 5" xfId="7550"/>
    <cellStyle name="Akcent 6 2 5 6" xfId="7551"/>
    <cellStyle name="Akcent 6 2 50" xfId="7552"/>
    <cellStyle name="Akcent 6 2 51" xfId="7553"/>
    <cellStyle name="Akcent 6 2 52" xfId="7554"/>
    <cellStyle name="Akcent 6 2 6" xfId="7555"/>
    <cellStyle name="Akcent 6 2 6 2" xfId="7556"/>
    <cellStyle name="Akcent 6 2 6 3" xfId="7557"/>
    <cellStyle name="Akcent 6 2 6 4" xfId="7558"/>
    <cellStyle name="Akcent 6 2 6 5" xfId="7559"/>
    <cellStyle name="Akcent 6 2 6 6" xfId="7560"/>
    <cellStyle name="Akcent 6 2 7" xfId="7561"/>
    <cellStyle name="Akcent 6 2 7 2" xfId="7562"/>
    <cellStyle name="Akcent 6 2 7 3" xfId="7563"/>
    <cellStyle name="Akcent 6 2 7 4" xfId="7564"/>
    <cellStyle name="Akcent 6 2 7 5" xfId="7565"/>
    <cellStyle name="Akcent 6 2 7 6" xfId="7566"/>
    <cellStyle name="Akcent 6 2 8" xfId="7567"/>
    <cellStyle name="Akcent 6 2 8 2" xfId="7568"/>
    <cellStyle name="Akcent 6 2 8 3" xfId="7569"/>
    <cellStyle name="Akcent 6 2 8 4" xfId="7570"/>
    <cellStyle name="Akcent 6 2 8 5" xfId="7571"/>
    <cellStyle name="Akcent 6 2 8 6" xfId="7572"/>
    <cellStyle name="Akcent 6 2 9" xfId="7573"/>
    <cellStyle name="Akcent 6 2 9 2" xfId="7574"/>
    <cellStyle name="Akcent 6 2 9 3" xfId="7575"/>
    <cellStyle name="Akcent 6 2 9 4" xfId="7576"/>
    <cellStyle name="Akcent 6 2 9 5" xfId="7577"/>
    <cellStyle name="Akcent 6 2 9 6" xfId="7578"/>
    <cellStyle name="Akcent 6 3" xfId="7579"/>
    <cellStyle name="Akcent 6 3 2" xfId="7580"/>
    <cellStyle name="Akcent 6 3 2 2" xfId="7581"/>
    <cellStyle name="Akcent 6 3 3" xfId="7582"/>
    <cellStyle name="Akcent 6 3 4" xfId="7583"/>
    <cellStyle name="Akcent 6 3 5" xfId="7584"/>
    <cellStyle name="Akcent 6 3 6" xfId="7585"/>
    <cellStyle name="Akcent 6 3 7" xfId="7586"/>
    <cellStyle name="Akcent 6 3 8" xfId="7587"/>
    <cellStyle name="Akcent 6 4" xfId="7588"/>
    <cellStyle name="Akcent 6 4 2" xfId="7589"/>
    <cellStyle name="Akcent 6 4 3" xfId="7590"/>
    <cellStyle name="Akcent 6 4 4" xfId="7591"/>
    <cellStyle name="Akcent 6 4 5" xfId="7592"/>
    <cellStyle name="Akcent 6 4 6" xfId="7593"/>
    <cellStyle name="Akcent 6 4 7" xfId="7594"/>
    <cellStyle name="Akcent 6 4 8" xfId="7595"/>
    <cellStyle name="Akcent 6 5" xfId="7596"/>
    <cellStyle name="Akcent 6 5 2" xfId="7597"/>
    <cellStyle name="Akcent 6 6" xfId="7598"/>
    <cellStyle name="Akcent 6 7" xfId="7599"/>
    <cellStyle name="Calc Currency (0)" xfId="7600"/>
    <cellStyle name="Comma 2" xfId="7601"/>
    <cellStyle name="Dane wejściowe 2" xfId="7602"/>
    <cellStyle name="Dane wejściowe 2 10" xfId="7603"/>
    <cellStyle name="Dane wejściowe 2 10 10" xfId="7604"/>
    <cellStyle name="Dane wejściowe 2 10 10 2" xfId="7605"/>
    <cellStyle name="Dane wejściowe 2 10 10 3" xfId="7606"/>
    <cellStyle name="Dane wejściowe 2 10 11" xfId="7607"/>
    <cellStyle name="Dane wejściowe 2 10 11 2" xfId="7608"/>
    <cellStyle name="Dane wejściowe 2 10 11 3" xfId="7609"/>
    <cellStyle name="Dane wejściowe 2 10 12" xfId="7610"/>
    <cellStyle name="Dane wejściowe 2 10 12 2" xfId="7611"/>
    <cellStyle name="Dane wejściowe 2 10 12 3" xfId="7612"/>
    <cellStyle name="Dane wejściowe 2 10 13" xfId="7613"/>
    <cellStyle name="Dane wejściowe 2 10 13 2" xfId="7614"/>
    <cellStyle name="Dane wejściowe 2 10 13 3" xfId="7615"/>
    <cellStyle name="Dane wejściowe 2 10 14" xfId="7616"/>
    <cellStyle name="Dane wejściowe 2 10 14 2" xfId="7617"/>
    <cellStyle name="Dane wejściowe 2 10 14 3" xfId="7618"/>
    <cellStyle name="Dane wejściowe 2 10 15" xfId="7619"/>
    <cellStyle name="Dane wejściowe 2 10 15 2" xfId="7620"/>
    <cellStyle name="Dane wejściowe 2 10 15 3" xfId="7621"/>
    <cellStyle name="Dane wejściowe 2 10 16" xfId="7622"/>
    <cellStyle name="Dane wejściowe 2 10 16 2" xfId="7623"/>
    <cellStyle name="Dane wejściowe 2 10 16 3" xfId="7624"/>
    <cellStyle name="Dane wejściowe 2 10 17" xfId="7625"/>
    <cellStyle name="Dane wejściowe 2 10 17 2" xfId="7626"/>
    <cellStyle name="Dane wejściowe 2 10 17 3" xfId="7627"/>
    <cellStyle name="Dane wejściowe 2 10 18" xfId="7628"/>
    <cellStyle name="Dane wejściowe 2 10 18 2" xfId="7629"/>
    <cellStyle name="Dane wejściowe 2 10 18 3" xfId="7630"/>
    <cellStyle name="Dane wejściowe 2 10 19" xfId="7631"/>
    <cellStyle name="Dane wejściowe 2 10 19 2" xfId="7632"/>
    <cellStyle name="Dane wejściowe 2 10 19 3" xfId="7633"/>
    <cellStyle name="Dane wejściowe 2 10 2" xfId="7634"/>
    <cellStyle name="Dane wejściowe 2 10 2 2" xfId="7635"/>
    <cellStyle name="Dane wejściowe 2 10 2 3" xfId="7636"/>
    <cellStyle name="Dane wejściowe 2 10 20" xfId="7637"/>
    <cellStyle name="Dane wejściowe 2 10 20 2" xfId="7638"/>
    <cellStyle name="Dane wejściowe 2 10 20 3" xfId="7639"/>
    <cellStyle name="Dane wejściowe 2 10 21" xfId="7640"/>
    <cellStyle name="Dane wejściowe 2 10 21 2" xfId="7641"/>
    <cellStyle name="Dane wejściowe 2 10 21 3" xfId="7642"/>
    <cellStyle name="Dane wejściowe 2 10 22" xfId="7643"/>
    <cellStyle name="Dane wejściowe 2 10 22 2" xfId="7644"/>
    <cellStyle name="Dane wejściowe 2 10 22 3" xfId="7645"/>
    <cellStyle name="Dane wejściowe 2 10 23" xfId="7646"/>
    <cellStyle name="Dane wejściowe 2 10 23 2" xfId="7647"/>
    <cellStyle name="Dane wejściowe 2 10 23 3" xfId="7648"/>
    <cellStyle name="Dane wejściowe 2 10 24" xfId="7649"/>
    <cellStyle name="Dane wejściowe 2 10 24 2" xfId="7650"/>
    <cellStyle name="Dane wejściowe 2 10 24 3" xfId="7651"/>
    <cellStyle name="Dane wejściowe 2 10 25" xfId="7652"/>
    <cellStyle name="Dane wejściowe 2 10 25 2" xfId="7653"/>
    <cellStyle name="Dane wejściowe 2 10 25 3" xfId="7654"/>
    <cellStyle name="Dane wejściowe 2 10 26" xfId="7655"/>
    <cellStyle name="Dane wejściowe 2 10 26 2" xfId="7656"/>
    <cellStyle name="Dane wejściowe 2 10 26 3" xfId="7657"/>
    <cellStyle name="Dane wejściowe 2 10 27" xfId="7658"/>
    <cellStyle name="Dane wejściowe 2 10 27 2" xfId="7659"/>
    <cellStyle name="Dane wejściowe 2 10 27 3" xfId="7660"/>
    <cellStyle name="Dane wejściowe 2 10 28" xfId="7661"/>
    <cellStyle name="Dane wejściowe 2 10 28 2" xfId="7662"/>
    <cellStyle name="Dane wejściowe 2 10 28 3" xfId="7663"/>
    <cellStyle name="Dane wejściowe 2 10 29" xfId="7664"/>
    <cellStyle name="Dane wejściowe 2 10 29 2" xfId="7665"/>
    <cellStyle name="Dane wejściowe 2 10 29 3" xfId="7666"/>
    <cellStyle name="Dane wejściowe 2 10 3" xfId="7667"/>
    <cellStyle name="Dane wejściowe 2 10 3 2" xfId="7668"/>
    <cellStyle name="Dane wejściowe 2 10 3 3" xfId="7669"/>
    <cellStyle name="Dane wejściowe 2 10 30" xfId="7670"/>
    <cellStyle name="Dane wejściowe 2 10 30 2" xfId="7671"/>
    <cellStyle name="Dane wejściowe 2 10 30 3" xfId="7672"/>
    <cellStyle name="Dane wejściowe 2 10 31" xfId="7673"/>
    <cellStyle name="Dane wejściowe 2 10 31 2" xfId="7674"/>
    <cellStyle name="Dane wejściowe 2 10 31 3" xfId="7675"/>
    <cellStyle name="Dane wejściowe 2 10 32" xfId="7676"/>
    <cellStyle name="Dane wejściowe 2 10 32 2" xfId="7677"/>
    <cellStyle name="Dane wejściowe 2 10 32 3" xfId="7678"/>
    <cellStyle name="Dane wejściowe 2 10 33" xfId="7679"/>
    <cellStyle name="Dane wejściowe 2 10 33 2" xfId="7680"/>
    <cellStyle name="Dane wejściowe 2 10 33 3" xfId="7681"/>
    <cellStyle name="Dane wejściowe 2 10 34" xfId="7682"/>
    <cellStyle name="Dane wejściowe 2 10 34 2" xfId="7683"/>
    <cellStyle name="Dane wejściowe 2 10 34 3" xfId="7684"/>
    <cellStyle name="Dane wejściowe 2 10 35" xfId="7685"/>
    <cellStyle name="Dane wejściowe 2 10 35 2" xfId="7686"/>
    <cellStyle name="Dane wejściowe 2 10 35 3" xfId="7687"/>
    <cellStyle name="Dane wejściowe 2 10 36" xfId="7688"/>
    <cellStyle name="Dane wejściowe 2 10 36 2" xfId="7689"/>
    <cellStyle name="Dane wejściowe 2 10 36 3" xfId="7690"/>
    <cellStyle name="Dane wejściowe 2 10 37" xfId="7691"/>
    <cellStyle name="Dane wejściowe 2 10 37 2" xfId="7692"/>
    <cellStyle name="Dane wejściowe 2 10 37 3" xfId="7693"/>
    <cellStyle name="Dane wejściowe 2 10 38" xfId="7694"/>
    <cellStyle name="Dane wejściowe 2 10 38 2" xfId="7695"/>
    <cellStyle name="Dane wejściowe 2 10 38 3" xfId="7696"/>
    <cellStyle name="Dane wejściowe 2 10 39" xfId="7697"/>
    <cellStyle name="Dane wejściowe 2 10 39 2" xfId="7698"/>
    <cellStyle name="Dane wejściowe 2 10 39 3" xfId="7699"/>
    <cellStyle name="Dane wejściowe 2 10 4" xfId="7700"/>
    <cellStyle name="Dane wejściowe 2 10 4 2" xfId="7701"/>
    <cellStyle name="Dane wejściowe 2 10 4 3" xfId="7702"/>
    <cellStyle name="Dane wejściowe 2 10 40" xfId="7703"/>
    <cellStyle name="Dane wejściowe 2 10 40 2" xfId="7704"/>
    <cellStyle name="Dane wejściowe 2 10 40 3" xfId="7705"/>
    <cellStyle name="Dane wejściowe 2 10 41" xfId="7706"/>
    <cellStyle name="Dane wejściowe 2 10 41 2" xfId="7707"/>
    <cellStyle name="Dane wejściowe 2 10 41 3" xfId="7708"/>
    <cellStyle name="Dane wejściowe 2 10 42" xfId="7709"/>
    <cellStyle name="Dane wejściowe 2 10 42 2" xfId="7710"/>
    <cellStyle name="Dane wejściowe 2 10 42 3" xfId="7711"/>
    <cellStyle name="Dane wejściowe 2 10 43" xfId="7712"/>
    <cellStyle name="Dane wejściowe 2 10 43 2" xfId="7713"/>
    <cellStyle name="Dane wejściowe 2 10 43 3" xfId="7714"/>
    <cellStyle name="Dane wejściowe 2 10 44" xfId="7715"/>
    <cellStyle name="Dane wejściowe 2 10 44 2" xfId="7716"/>
    <cellStyle name="Dane wejściowe 2 10 44 3" xfId="7717"/>
    <cellStyle name="Dane wejściowe 2 10 45" xfId="7718"/>
    <cellStyle name="Dane wejściowe 2 10 45 2" xfId="7719"/>
    <cellStyle name="Dane wejściowe 2 10 45 3" xfId="7720"/>
    <cellStyle name="Dane wejściowe 2 10 46" xfId="7721"/>
    <cellStyle name="Dane wejściowe 2 10 46 2" xfId="7722"/>
    <cellStyle name="Dane wejściowe 2 10 46 3" xfId="7723"/>
    <cellStyle name="Dane wejściowe 2 10 47" xfId="7724"/>
    <cellStyle name="Dane wejściowe 2 10 47 2" xfId="7725"/>
    <cellStyle name="Dane wejściowe 2 10 47 3" xfId="7726"/>
    <cellStyle name="Dane wejściowe 2 10 48" xfId="7727"/>
    <cellStyle name="Dane wejściowe 2 10 48 2" xfId="7728"/>
    <cellStyle name="Dane wejściowe 2 10 48 3" xfId="7729"/>
    <cellStyle name="Dane wejściowe 2 10 49" xfId="7730"/>
    <cellStyle name="Dane wejściowe 2 10 49 2" xfId="7731"/>
    <cellStyle name="Dane wejściowe 2 10 49 3" xfId="7732"/>
    <cellStyle name="Dane wejściowe 2 10 5" xfId="7733"/>
    <cellStyle name="Dane wejściowe 2 10 5 2" xfId="7734"/>
    <cellStyle name="Dane wejściowe 2 10 5 3" xfId="7735"/>
    <cellStyle name="Dane wejściowe 2 10 50" xfId="7736"/>
    <cellStyle name="Dane wejściowe 2 10 50 2" xfId="7737"/>
    <cellStyle name="Dane wejściowe 2 10 50 3" xfId="7738"/>
    <cellStyle name="Dane wejściowe 2 10 51" xfId="7739"/>
    <cellStyle name="Dane wejściowe 2 10 51 2" xfId="7740"/>
    <cellStyle name="Dane wejściowe 2 10 51 3" xfId="7741"/>
    <cellStyle name="Dane wejściowe 2 10 52" xfId="7742"/>
    <cellStyle name="Dane wejściowe 2 10 52 2" xfId="7743"/>
    <cellStyle name="Dane wejściowe 2 10 52 3" xfId="7744"/>
    <cellStyle name="Dane wejściowe 2 10 53" xfId="7745"/>
    <cellStyle name="Dane wejściowe 2 10 53 2" xfId="7746"/>
    <cellStyle name="Dane wejściowe 2 10 53 3" xfId="7747"/>
    <cellStyle name="Dane wejściowe 2 10 54" xfId="7748"/>
    <cellStyle name="Dane wejściowe 2 10 54 2" xfId="7749"/>
    <cellStyle name="Dane wejściowe 2 10 54 3" xfId="7750"/>
    <cellStyle name="Dane wejściowe 2 10 55" xfId="7751"/>
    <cellStyle name="Dane wejściowe 2 10 55 2" xfId="7752"/>
    <cellStyle name="Dane wejściowe 2 10 55 3" xfId="7753"/>
    <cellStyle name="Dane wejściowe 2 10 56" xfId="7754"/>
    <cellStyle name="Dane wejściowe 2 10 56 2" xfId="7755"/>
    <cellStyle name="Dane wejściowe 2 10 56 3" xfId="7756"/>
    <cellStyle name="Dane wejściowe 2 10 57" xfId="7757"/>
    <cellStyle name="Dane wejściowe 2 10 58" xfId="7758"/>
    <cellStyle name="Dane wejściowe 2 10 6" xfId="7759"/>
    <cellStyle name="Dane wejściowe 2 10 6 2" xfId="7760"/>
    <cellStyle name="Dane wejściowe 2 10 6 3" xfId="7761"/>
    <cellStyle name="Dane wejściowe 2 10 7" xfId="7762"/>
    <cellStyle name="Dane wejściowe 2 10 7 2" xfId="7763"/>
    <cellStyle name="Dane wejściowe 2 10 7 3" xfId="7764"/>
    <cellStyle name="Dane wejściowe 2 10 8" xfId="7765"/>
    <cellStyle name="Dane wejściowe 2 10 8 2" xfId="7766"/>
    <cellStyle name="Dane wejściowe 2 10 8 3" xfId="7767"/>
    <cellStyle name="Dane wejściowe 2 10 9" xfId="7768"/>
    <cellStyle name="Dane wejściowe 2 10 9 2" xfId="7769"/>
    <cellStyle name="Dane wejściowe 2 10 9 3" xfId="7770"/>
    <cellStyle name="Dane wejściowe 2 11" xfId="7771"/>
    <cellStyle name="Dane wejściowe 2 11 10" xfId="7772"/>
    <cellStyle name="Dane wejściowe 2 11 10 2" xfId="7773"/>
    <cellStyle name="Dane wejściowe 2 11 10 3" xfId="7774"/>
    <cellStyle name="Dane wejściowe 2 11 11" xfId="7775"/>
    <cellStyle name="Dane wejściowe 2 11 11 2" xfId="7776"/>
    <cellStyle name="Dane wejściowe 2 11 11 3" xfId="7777"/>
    <cellStyle name="Dane wejściowe 2 11 12" xfId="7778"/>
    <cellStyle name="Dane wejściowe 2 11 12 2" xfId="7779"/>
    <cellStyle name="Dane wejściowe 2 11 12 3" xfId="7780"/>
    <cellStyle name="Dane wejściowe 2 11 13" xfId="7781"/>
    <cellStyle name="Dane wejściowe 2 11 13 2" xfId="7782"/>
    <cellStyle name="Dane wejściowe 2 11 13 3" xfId="7783"/>
    <cellStyle name="Dane wejściowe 2 11 14" xfId="7784"/>
    <cellStyle name="Dane wejściowe 2 11 14 2" xfId="7785"/>
    <cellStyle name="Dane wejściowe 2 11 14 3" xfId="7786"/>
    <cellStyle name="Dane wejściowe 2 11 15" xfId="7787"/>
    <cellStyle name="Dane wejściowe 2 11 15 2" xfId="7788"/>
    <cellStyle name="Dane wejściowe 2 11 15 3" xfId="7789"/>
    <cellStyle name="Dane wejściowe 2 11 16" xfId="7790"/>
    <cellStyle name="Dane wejściowe 2 11 16 2" xfId="7791"/>
    <cellStyle name="Dane wejściowe 2 11 16 3" xfId="7792"/>
    <cellStyle name="Dane wejściowe 2 11 17" xfId="7793"/>
    <cellStyle name="Dane wejściowe 2 11 17 2" xfId="7794"/>
    <cellStyle name="Dane wejściowe 2 11 17 3" xfId="7795"/>
    <cellStyle name="Dane wejściowe 2 11 18" xfId="7796"/>
    <cellStyle name="Dane wejściowe 2 11 18 2" xfId="7797"/>
    <cellStyle name="Dane wejściowe 2 11 18 3" xfId="7798"/>
    <cellStyle name="Dane wejściowe 2 11 19" xfId="7799"/>
    <cellStyle name="Dane wejściowe 2 11 19 2" xfId="7800"/>
    <cellStyle name="Dane wejściowe 2 11 19 3" xfId="7801"/>
    <cellStyle name="Dane wejściowe 2 11 2" xfId="7802"/>
    <cellStyle name="Dane wejściowe 2 11 2 2" xfId="7803"/>
    <cellStyle name="Dane wejściowe 2 11 2 3" xfId="7804"/>
    <cellStyle name="Dane wejściowe 2 11 20" xfId="7805"/>
    <cellStyle name="Dane wejściowe 2 11 20 2" xfId="7806"/>
    <cellStyle name="Dane wejściowe 2 11 20 3" xfId="7807"/>
    <cellStyle name="Dane wejściowe 2 11 21" xfId="7808"/>
    <cellStyle name="Dane wejściowe 2 11 21 2" xfId="7809"/>
    <cellStyle name="Dane wejściowe 2 11 21 3" xfId="7810"/>
    <cellStyle name="Dane wejściowe 2 11 22" xfId="7811"/>
    <cellStyle name="Dane wejściowe 2 11 22 2" xfId="7812"/>
    <cellStyle name="Dane wejściowe 2 11 22 3" xfId="7813"/>
    <cellStyle name="Dane wejściowe 2 11 23" xfId="7814"/>
    <cellStyle name="Dane wejściowe 2 11 23 2" xfId="7815"/>
    <cellStyle name="Dane wejściowe 2 11 23 3" xfId="7816"/>
    <cellStyle name="Dane wejściowe 2 11 24" xfId="7817"/>
    <cellStyle name="Dane wejściowe 2 11 24 2" xfId="7818"/>
    <cellStyle name="Dane wejściowe 2 11 24 3" xfId="7819"/>
    <cellStyle name="Dane wejściowe 2 11 25" xfId="7820"/>
    <cellStyle name="Dane wejściowe 2 11 25 2" xfId="7821"/>
    <cellStyle name="Dane wejściowe 2 11 25 3" xfId="7822"/>
    <cellStyle name="Dane wejściowe 2 11 26" xfId="7823"/>
    <cellStyle name="Dane wejściowe 2 11 26 2" xfId="7824"/>
    <cellStyle name="Dane wejściowe 2 11 26 3" xfId="7825"/>
    <cellStyle name="Dane wejściowe 2 11 27" xfId="7826"/>
    <cellStyle name="Dane wejściowe 2 11 27 2" xfId="7827"/>
    <cellStyle name="Dane wejściowe 2 11 27 3" xfId="7828"/>
    <cellStyle name="Dane wejściowe 2 11 28" xfId="7829"/>
    <cellStyle name="Dane wejściowe 2 11 28 2" xfId="7830"/>
    <cellStyle name="Dane wejściowe 2 11 28 3" xfId="7831"/>
    <cellStyle name="Dane wejściowe 2 11 29" xfId="7832"/>
    <cellStyle name="Dane wejściowe 2 11 29 2" xfId="7833"/>
    <cellStyle name="Dane wejściowe 2 11 29 3" xfId="7834"/>
    <cellStyle name="Dane wejściowe 2 11 3" xfId="7835"/>
    <cellStyle name="Dane wejściowe 2 11 3 2" xfId="7836"/>
    <cellStyle name="Dane wejściowe 2 11 3 3" xfId="7837"/>
    <cellStyle name="Dane wejściowe 2 11 30" xfId="7838"/>
    <cellStyle name="Dane wejściowe 2 11 30 2" xfId="7839"/>
    <cellStyle name="Dane wejściowe 2 11 30 3" xfId="7840"/>
    <cellStyle name="Dane wejściowe 2 11 31" xfId="7841"/>
    <cellStyle name="Dane wejściowe 2 11 31 2" xfId="7842"/>
    <cellStyle name="Dane wejściowe 2 11 31 3" xfId="7843"/>
    <cellStyle name="Dane wejściowe 2 11 32" xfId="7844"/>
    <cellStyle name="Dane wejściowe 2 11 32 2" xfId="7845"/>
    <cellStyle name="Dane wejściowe 2 11 32 3" xfId="7846"/>
    <cellStyle name="Dane wejściowe 2 11 33" xfId="7847"/>
    <cellStyle name="Dane wejściowe 2 11 33 2" xfId="7848"/>
    <cellStyle name="Dane wejściowe 2 11 33 3" xfId="7849"/>
    <cellStyle name="Dane wejściowe 2 11 34" xfId="7850"/>
    <cellStyle name="Dane wejściowe 2 11 34 2" xfId="7851"/>
    <cellStyle name="Dane wejściowe 2 11 34 3" xfId="7852"/>
    <cellStyle name="Dane wejściowe 2 11 35" xfId="7853"/>
    <cellStyle name="Dane wejściowe 2 11 35 2" xfId="7854"/>
    <cellStyle name="Dane wejściowe 2 11 35 3" xfId="7855"/>
    <cellStyle name="Dane wejściowe 2 11 36" xfId="7856"/>
    <cellStyle name="Dane wejściowe 2 11 36 2" xfId="7857"/>
    <cellStyle name="Dane wejściowe 2 11 36 3" xfId="7858"/>
    <cellStyle name="Dane wejściowe 2 11 37" xfId="7859"/>
    <cellStyle name="Dane wejściowe 2 11 37 2" xfId="7860"/>
    <cellStyle name="Dane wejściowe 2 11 37 3" xfId="7861"/>
    <cellStyle name="Dane wejściowe 2 11 38" xfId="7862"/>
    <cellStyle name="Dane wejściowe 2 11 38 2" xfId="7863"/>
    <cellStyle name="Dane wejściowe 2 11 38 3" xfId="7864"/>
    <cellStyle name="Dane wejściowe 2 11 39" xfId="7865"/>
    <cellStyle name="Dane wejściowe 2 11 39 2" xfId="7866"/>
    <cellStyle name="Dane wejściowe 2 11 39 3" xfId="7867"/>
    <cellStyle name="Dane wejściowe 2 11 4" xfId="7868"/>
    <cellStyle name="Dane wejściowe 2 11 4 2" xfId="7869"/>
    <cellStyle name="Dane wejściowe 2 11 4 3" xfId="7870"/>
    <cellStyle name="Dane wejściowe 2 11 40" xfId="7871"/>
    <cellStyle name="Dane wejściowe 2 11 40 2" xfId="7872"/>
    <cellStyle name="Dane wejściowe 2 11 40 3" xfId="7873"/>
    <cellStyle name="Dane wejściowe 2 11 41" xfId="7874"/>
    <cellStyle name="Dane wejściowe 2 11 41 2" xfId="7875"/>
    <cellStyle name="Dane wejściowe 2 11 41 3" xfId="7876"/>
    <cellStyle name="Dane wejściowe 2 11 42" xfId="7877"/>
    <cellStyle name="Dane wejściowe 2 11 42 2" xfId="7878"/>
    <cellStyle name="Dane wejściowe 2 11 42 3" xfId="7879"/>
    <cellStyle name="Dane wejściowe 2 11 43" xfId="7880"/>
    <cellStyle name="Dane wejściowe 2 11 43 2" xfId="7881"/>
    <cellStyle name="Dane wejściowe 2 11 43 3" xfId="7882"/>
    <cellStyle name="Dane wejściowe 2 11 44" xfId="7883"/>
    <cellStyle name="Dane wejściowe 2 11 44 2" xfId="7884"/>
    <cellStyle name="Dane wejściowe 2 11 44 3" xfId="7885"/>
    <cellStyle name="Dane wejściowe 2 11 45" xfId="7886"/>
    <cellStyle name="Dane wejściowe 2 11 45 2" xfId="7887"/>
    <cellStyle name="Dane wejściowe 2 11 45 3" xfId="7888"/>
    <cellStyle name="Dane wejściowe 2 11 46" xfId="7889"/>
    <cellStyle name="Dane wejściowe 2 11 46 2" xfId="7890"/>
    <cellStyle name="Dane wejściowe 2 11 46 3" xfId="7891"/>
    <cellStyle name="Dane wejściowe 2 11 47" xfId="7892"/>
    <cellStyle name="Dane wejściowe 2 11 47 2" xfId="7893"/>
    <cellStyle name="Dane wejściowe 2 11 47 3" xfId="7894"/>
    <cellStyle name="Dane wejściowe 2 11 48" xfId="7895"/>
    <cellStyle name="Dane wejściowe 2 11 48 2" xfId="7896"/>
    <cellStyle name="Dane wejściowe 2 11 48 3" xfId="7897"/>
    <cellStyle name="Dane wejściowe 2 11 49" xfId="7898"/>
    <cellStyle name="Dane wejściowe 2 11 49 2" xfId="7899"/>
    <cellStyle name="Dane wejściowe 2 11 49 3" xfId="7900"/>
    <cellStyle name="Dane wejściowe 2 11 5" xfId="7901"/>
    <cellStyle name="Dane wejściowe 2 11 5 2" xfId="7902"/>
    <cellStyle name="Dane wejściowe 2 11 5 3" xfId="7903"/>
    <cellStyle name="Dane wejściowe 2 11 50" xfId="7904"/>
    <cellStyle name="Dane wejściowe 2 11 50 2" xfId="7905"/>
    <cellStyle name="Dane wejściowe 2 11 50 3" xfId="7906"/>
    <cellStyle name="Dane wejściowe 2 11 51" xfId="7907"/>
    <cellStyle name="Dane wejściowe 2 11 51 2" xfId="7908"/>
    <cellStyle name="Dane wejściowe 2 11 51 3" xfId="7909"/>
    <cellStyle name="Dane wejściowe 2 11 52" xfId="7910"/>
    <cellStyle name="Dane wejściowe 2 11 52 2" xfId="7911"/>
    <cellStyle name="Dane wejściowe 2 11 52 3" xfId="7912"/>
    <cellStyle name="Dane wejściowe 2 11 53" xfId="7913"/>
    <cellStyle name="Dane wejściowe 2 11 53 2" xfId="7914"/>
    <cellStyle name="Dane wejściowe 2 11 53 3" xfId="7915"/>
    <cellStyle name="Dane wejściowe 2 11 54" xfId="7916"/>
    <cellStyle name="Dane wejściowe 2 11 54 2" xfId="7917"/>
    <cellStyle name="Dane wejściowe 2 11 54 3" xfId="7918"/>
    <cellStyle name="Dane wejściowe 2 11 55" xfId="7919"/>
    <cellStyle name="Dane wejściowe 2 11 55 2" xfId="7920"/>
    <cellStyle name="Dane wejściowe 2 11 55 3" xfId="7921"/>
    <cellStyle name="Dane wejściowe 2 11 56" xfId="7922"/>
    <cellStyle name="Dane wejściowe 2 11 56 2" xfId="7923"/>
    <cellStyle name="Dane wejściowe 2 11 56 3" xfId="7924"/>
    <cellStyle name="Dane wejściowe 2 11 57" xfId="7925"/>
    <cellStyle name="Dane wejściowe 2 11 58" xfId="7926"/>
    <cellStyle name="Dane wejściowe 2 11 6" xfId="7927"/>
    <cellStyle name="Dane wejściowe 2 11 6 2" xfId="7928"/>
    <cellStyle name="Dane wejściowe 2 11 6 3" xfId="7929"/>
    <cellStyle name="Dane wejściowe 2 11 7" xfId="7930"/>
    <cellStyle name="Dane wejściowe 2 11 7 2" xfId="7931"/>
    <cellStyle name="Dane wejściowe 2 11 7 3" xfId="7932"/>
    <cellStyle name="Dane wejściowe 2 11 8" xfId="7933"/>
    <cellStyle name="Dane wejściowe 2 11 8 2" xfId="7934"/>
    <cellStyle name="Dane wejściowe 2 11 8 3" xfId="7935"/>
    <cellStyle name="Dane wejściowe 2 11 9" xfId="7936"/>
    <cellStyle name="Dane wejściowe 2 11 9 2" xfId="7937"/>
    <cellStyle name="Dane wejściowe 2 11 9 3" xfId="7938"/>
    <cellStyle name="Dane wejściowe 2 12" xfId="7939"/>
    <cellStyle name="Dane wejściowe 2 12 10" xfId="7940"/>
    <cellStyle name="Dane wejściowe 2 12 10 2" xfId="7941"/>
    <cellStyle name="Dane wejściowe 2 12 10 3" xfId="7942"/>
    <cellStyle name="Dane wejściowe 2 12 11" xfId="7943"/>
    <cellStyle name="Dane wejściowe 2 12 11 2" xfId="7944"/>
    <cellStyle name="Dane wejściowe 2 12 11 3" xfId="7945"/>
    <cellStyle name="Dane wejściowe 2 12 12" xfId="7946"/>
    <cellStyle name="Dane wejściowe 2 12 12 2" xfId="7947"/>
    <cellStyle name="Dane wejściowe 2 12 12 3" xfId="7948"/>
    <cellStyle name="Dane wejściowe 2 12 13" xfId="7949"/>
    <cellStyle name="Dane wejściowe 2 12 13 2" xfId="7950"/>
    <cellStyle name="Dane wejściowe 2 12 13 3" xfId="7951"/>
    <cellStyle name="Dane wejściowe 2 12 14" xfId="7952"/>
    <cellStyle name="Dane wejściowe 2 12 14 2" xfId="7953"/>
    <cellStyle name="Dane wejściowe 2 12 14 3" xfId="7954"/>
    <cellStyle name="Dane wejściowe 2 12 15" xfId="7955"/>
    <cellStyle name="Dane wejściowe 2 12 15 2" xfId="7956"/>
    <cellStyle name="Dane wejściowe 2 12 15 3" xfId="7957"/>
    <cellStyle name="Dane wejściowe 2 12 16" xfId="7958"/>
    <cellStyle name="Dane wejściowe 2 12 16 2" xfId="7959"/>
    <cellStyle name="Dane wejściowe 2 12 16 3" xfId="7960"/>
    <cellStyle name="Dane wejściowe 2 12 17" xfId="7961"/>
    <cellStyle name="Dane wejściowe 2 12 17 2" xfId="7962"/>
    <cellStyle name="Dane wejściowe 2 12 17 3" xfId="7963"/>
    <cellStyle name="Dane wejściowe 2 12 18" xfId="7964"/>
    <cellStyle name="Dane wejściowe 2 12 18 2" xfId="7965"/>
    <cellStyle name="Dane wejściowe 2 12 18 3" xfId="7966"/>
    <cellStyle name="Dane wejściowe 2 12 19" xfId="7967"/>
    <cellStyle name="Dane wejściowe 2 12 19 2" xfId="7968"/>
    <cellStyle name="Dane wejściowe 2 12 19 3" xfId="7969"/>
    <cellStyle name="Dane wejściowe 2 12 2" xfId="7970"/>
    <cellStyle name="Dane wejściowe 2 12 2 2" xfId="7971"/>
    <cellStyle name="Dane wejściowe 2 12 2 3" xfId="7972"/>
    <cellStyle name="Dane wejściowe 2 12 20" xfId="7973"/>
    <cellStyle name="Dane wejściowe 2 12 20 2" xfId="7974"/>
    <cellStyle name="Dane wejściowe 2 12 20 3" xfId="7975"/>
    <cellStyle name="Dane wejściowe 2 12 21" xfId="7976"/>
    <cellStyle name="Dane wejściowe 2 12 21 2" xfId="7977"/>
    <cellStyle name="Dane wejściowe 2 12 21 3" xfId="7978"/>
    <cellStyle name="Dane wejściowe 2 12 22" xfId="7979"/>
    <cellStyle name="Dane wejściowe 2 12 22 2" xfId="7980"/>
    <cellStyle name="Dane wejściowe 2 12 22 3" xfId="7981"/>
    <cellStyle name="Dane wejściowe 2 12 23" xfId="7982"/>
    <cellStyle name="Dane wejściowe 2 12 23 2" xfId="7983"/>
    <cellStyle name="Dane wejściowe 2 12 23 3" xfId="7984"/>
    <cellStyle name="Dane wejściowe 2 12 24" xfId="7985"/>
    <cellStyle name="Dane wejściowe 2 12 24 2" xfId="7986"/>
    <cellStyle name="Dane wejściowe 2 12 24 3" xfId="7987"/>
    <cellStyle name="Dane wejściowe 2 12 25" xfId="7988"/>
    <cellStyle name="Dane wejściowe 2 12 25 2" xfId="7989"/>
    <cellStyle name="Dane wejściowe 2 12 25 3" xfId="7990"/>
    <cellStyle name="Dane wejściowe 2 12 26" xfId="7991"/>
    <cellStyle name="Dane wejściowe 2 12 26 2" xfId="7992"/>
    <cellStyle name="Dane wejściowe 2 12 26 3" xfId="7993"/>
    <cellStyle name="Dane wejściowe 2 12 27" xfId="7994"/>
    <cellStyle name="Dane wejściowe 2 12 27 2" xfId="7995"/>
    <cellStyle name="Dane wejściowe 2 12 27 3" xfId="7996"/>
    <cellStyle name="Dane wejściowe 2 12 28" xfId="7997"/>
    <cellStyle name="Dane wejściowe 2 12 28 2" xfId="7998"/>
    <cellStyle name="Dane wejściowe 2 12 28 3" xfId="7999"/>
    <cellStyle name="Dane wejściowe 2 12 29" xfId="8000"/>
    <cellStyle name="Dane wejściowe 2 12 29 2" xfId="8001"/>
    <cellStyle name="Dane wejściowe 2 12 29 3" xfId="8002"/>
    <cellStyle name="Dane wejściowe 2 12 3" xfId="8003"/>
    <cellStyle name="Dane wejściowe 2 12 3 2" xfId="8004"/>
    <cellStyle name="Dane wejściowe 2 12 3 3" xfId="8005"/>
    <cellStyle name="Dane wejściowe 2 12 30" xfId="8006"/>
    <cellStyle name="Dane wejściowe 2 12 30 2" xfId="8007"/>
    <cellStyle name="Dane wejściowe 2 12 30 3" xfId="8008"/>
    <cellStyle name="Dane wejściowe 2 12 31" xfId="8009"/>
    <cellStyle name="Dane wejściowe 2 12 31 2" xfId="8010"/>
    <cellStyle name="Dane wejściowe 2 12 31 3" xfId="8011"/>
    <cellStyle name="Dane wejściowe 2 12 32" xfId="8012"/>
    <cellStyle name="Dane wejściowe 2 12 32 2" xfId="8013"/>
    <cellStyle name="Dane wejściowe 2 12 32 3" xfId="8014"/>
    <cellStyle name="Dane wejściowe 2 12 33" xfId="8015"/>
    <cellStyle name="Dane wejściowe 2 12 33 2" xfId="8016"/>
    <cellStyle name="Dane wejściowe 2 12 33 3" xfId="8017"/>
    <cellStyle name="Dane wejściowe 2 12 34" xfId="8018"/>
    <cellStyle name="Dane wejściowe 2 12 34 2" xfId="8019"/>
    <cellStyle name="Dane wejściowe 2 12 34 3" xfId="8020"/>
    <cellStyle name="Dane wejściowe 2 12 35" xfId="8021"/>
    <cellStyle name="Dane wejściowe 2 12 35 2" xfId="8022"/>
    <cellStyle name="Dane wejściowe 2 12 35 3" xfId="8023"/>
    <cellStyle name="Dane wejściowe 2 12 36" xfId="8024"/>
    <cellStyle name="Dane wejściowe 2 12 36 2" xfId="8025"/>
    <cellStyle name="Dane wejściowe 2 12 36 3" xfId="8026"/>
    <cellStyle name="Dane wejściowe 2 12 37" xfId="8027"/>
    <cellStyle name="Dane wejściowe 2 12 37 2" xfId="8028"/>
    <cellStyle name="Dane wejściowe 2 12 37 3" xfId="8029"/>
    <cellStyle name="Dane wejściowe 2 12 38" xfId="8030"/>
    <cellStyle name="Dane wejściowe 2 12 38 2" xfId="8031"/>
    <cellStyle name="Dane wejściowe 2 12 38 3" xfId="8032"/>
    <cellStyle name="Dane wejściowe 2 12 39" xfId="8033"/>
    <cellStyle name="Dane wejściowe 2 12 39 2" xfId="8034"/>
    <cellStyle name="Dane wejściowe 2 12 39 3" xfId="8035"/>
    <cellStyle name="Dane wejściowe 2 12 4" xfId="8036"/>
    <cellStyle name="Dane wejściowe 2 12 4 2" xfId="8037"/>
    <cellStyle name="Dane wejściowe 2 12 4 3" xfId="8038"/>
    <cellStyle name="Dane wejściowe 2 12 40" xfId="8039"/>
    <cellStyle name="Dane wejściowe 2 12 40 2" xfId="8040"/>
    <cellStyle name="Dane wejściowe 2 12 40 3" xfId="8041"/>
    <cellStyle name="Dane wejściowe 2 12 41" xfId="8042"/>
    <cellStyle name="Dane wejściowe 2 12 41 2" xfId="8043"/>
    <cellStyle name="Dane wejściowe 2 12 41 3" xfId="8044"/>
    <cellStyle name="Dane wejściowe 2 12 42" xfId="8045"/>
    <cellStyle name="Dane wejściowe 2 12 42 2" xfId="8046"/>
    <cellStyle name="Dane wejściowe 2 12 42 3" xfId="8047"/>
    <cellStyle name="Dane wejściowe 2 12 43" xfId="8048"/>
    <cellStyle name="Dane wejściowe 2 12 43 2" xfId="8049"/>
    <cellStyle name="Dane wejściowe 2 12 43 3" xfId="8050"/>
    <cellStyle name="Dane wejściowe 2 12 44" xfId="8051"/>
    <cellStyle name="Dane wejściowe 2 12 44 2" xfId="8052"/>
    <cellStyle name="Dane wejściowe 2 12 44 3" xfId="8053"/>
    <cellStyle name="Dane wejściowe 2 12 45" xfId="8054"/>
    <cellStyle name="Dane wejściowe 2 12 45 2" xfId="8055"/>
    <cellStyle name="Dane wejściowe 2 12 45 3" xfId="8056"/>
    <cellStyle name="Dane wejściowe 2 12 46" xfId="8057"/>
    <cellStyle name="Dane wejściowe 2 12 46 2" xfId="8058"/>
    <cellStyle name="Dane wejściowe 2 12 46 3" xfId="8059"/>
    <cellStyle name="Dane wejściowe 2 12 47" xfId="8060"/>
    <cellStyle name="Dane wejściowe 2 12 47 2" xfId="8061"/>
    <cellStyle name="Dane wejściowe 2 12 47 3" xfId="8062"/>
    <cellStyle name="Dane wejściowe 2 12 48" xfId="8063"/>
    <cellStyle name="Dane wejściowe 2 12 48 2" xfId="8064"/>
    <cellStyle name="Dane wejściowe 2 12 48 3" xfId="8065"/>
    <cellStyle name="Dane wejściowe 2 12 49" xfId="8066"/>
    <cellStyle name="Dane wejściowe 2 12 49 2" xfId="8067"/>
    <cellStyle name="Dane wejściowe 2 12 49 3" xfId="8068"/>
    <cellStyle name="Dane wejściowe 2 12 5" xfId="8069"/>
    <cellStyle name="Dane wejściowe 2 12 5 2" xfId="8070"/>
    <cellStyle name="Dane wejściowe 2 12 5 3" xfId="8071"/>
    <cellStyle name="Dane wejściowe 2 12 50" xfId="8072"/>
    <cellStyle name="Dane wejściowe 2 12 50 2" xfId="8073"/>
    <cellStyle name="Dane wejściowe 2 12 50 3" xfId="8074"/>
    <cellStyle name="Dane wejściowe 2 12 51" xfId="8075"/>
    <cellStyle name="Dane wejściowe 2 12 51 2" xfId="8076"/>
    <cellStyle name="Dane wejściowe 2 12 51 3" xfId="8077"/>
    <cellStyle name="Dane wejściowe 2 12 52" xfId="8078"/>
    <cellStyle name="Dane wejściowe 2 12 52 2" xfId="8079"/>
    <cellStyle name="Dane wejściowe 2 12 52 3" xfId="8080"/>
    <cellStyle name="Dane wejściowe 2 12 53" xfId="8081"/>
    <cellStyle name="Dane wejściowe 2 12 53 2" xfId="8082"/>
    <cellStyle name="Dane wejściowe 2 12 53 3" xfId="8083"/>
    <cellStyle name="Dane wejściowe 2 12 54" xfId="8084"/>
    <cellStyle name="Dane wejściowe 2 12 54 2" xfId="8085"/>
    <cellStyle name="Dane wejściowe 2 12 54 3" xfId="8086"/>
    <cellStyle name="Dane wejściowe 2 12 55" xfId="8087"/>
    <cellStyle name="Dane wejściowe 2 12 55 2" xfId="8088"/>
    <cellStyle name="Dane wejściowe 2 12 55 3" xfId="8089"/>
    <cellStyle name="Dane wejściowe 2 12 56" xfId="8090"/>
    <cellStyle name="Dane wejściowe 2 12 56 2" xfId="8091"/>
    <cellStyle name="Dane wejściowe 2 12 56 3" xfId="8092"/>
    <cellStyle name="Dane wejściowe 2 12 57" xfId="8093"/>
    <cellStyle name="Dane wejściowe 2 12 58" xfId="8094"/>
    <cellStyle name="Dane wejściowe 2 12 6" xfId="8095"/>
    <cellStyle name="Dane wejściowe 2 12 6 2" xfId="8096"/>
    <cellStyle name="Dane wejściowe 2 12 6 3" xfId="8097"/>
    <cellStyle name="Dane wejściowe 2 12 7" xfId="8098"/>
    <cellStyle name="Dane wejściowe 2 12 7 2" xfId="8099"/>
    <cellStyle name="Dane wejściowe 2 12 7 3" xfId="8100"/>
    <cellStyle name="Dane wejściowe 2 12 8" xfId="8101"/>
    <cellStyle name="Dane wejściowe 2 12 8 2" xfId="8102"/>
    <cellStyle name="Dane wejściowe 2 12 8 3" xfId="8103"/>
    <cellStyle name="Dane wejściowe 2 12 9" xfId="8104"/>
    <cellStyle name="Dane wejściowe 2 12 9 2" xfId="8105"/>
    <cellStyle name="Dane wejściowe 2 12 9 3" xfId="8106"/>
    <cellStyle name="Dane wejściowe 2 13" xfId="8107"/>
    <cellStyle name="Dane wejściowe 2 13 10" xfId="8108"/>
    <cellStyle name="Dane wejściowe 2 13 10 2" xfId="8109"/>
    <cellStyle name="Dane wejściowe 2 13 10 3" xfId="8110"/>
    <cellStyle name="Dane wejściowe 2 13 11" xfId="8111"/>
    <cellStyle name="Dane wejściowe 2 13 11 2" xfId="8112"/>
    <cellStyle name="Dane wejściowe 2 13 11 3" xfId="8113"/>
    <cellStyle name="Dane wejściowe 2 13 12" xfId="8114"/>
    <cellStyle name="Dane wejściowe 2 13 12 2" xfId="8115"/>
    <cellStyle name="Dane wejściowe 2 13 12 3" xfId="8116"/>
    <cellStyle name="Dane wejściowe 2 13 13" xfId="8117"/>
    <cellStyle name="Dane wejściowe 2 13 13 2" xfId="8118"/>
    <cellStyle name="Dane wejściowe 2 13 13 3" xfId="8119"/>
    <cellStyle name="Dane wejściowe 2 13 14" xfId="8120"/>
    <cellStyle name="Dane wejściowe 2 13 14 2" xfId="8121"/>
    <cellStyle name="Dane wejściowe 2 13 14 3" xfId="8122"/>
    <cellStyle name="Dane wejściowe 2 13 15" xfId="8123"/>
    <cellStyle name="Dane wejściowe 2 13 15 2" xfId="8124"/>
    <cellStyle name="Dane wejściowe 2 13 15 3" xfId="8125"/>
    <cellStyle name="Dane wejściowe 2 13 16" xfId="8126"/>
    <cellStyle name="Dane wejściowe 2 13 16 2" xfId="8127"/>
    <cellStyle name="Dane wejściowe 2 13 16 3" xfId="8128"/>
    <cellStyle name="Dane wejściowe 2 13 17" xfId="8129"/>
    <cellStyle name="Dane wejściowe 2 13 17 2" xfId="8130"/>
    <cellStyle name="Dane wejściowe 2 13 17 3" xfId="8131"/>
    <cellStyle name="Dane wejściowe 2 13 18" xfId="8132"/>
    <cellStyle name="Dane wejściowe 2 13 18 2" xfId="8133"/>
    <cellStyle name="Dane wejściowe 2 13 18 3" xfId="8134"/>
    <cellStyle name="Dane wejściowe 2 13 19" xfId="8135"/>
    <cellStyle name="Dane wejściowe 2 13 19 2" xfId="8136"/>
    <cellStyle name="Dane wejściowe 2 13 19 3" xfId="8137"/>
    <cellStyle name="Dane wejściowe 2 13 19 4" xfId="8138"/>
    <cellStyle name="Dane wejściowe 2 13 2" xfId="8139"/>
    <cellStyle name="Dane wejściowe 2 13 2 2" xfId="8140"/>
    <cellStyle name="Dane wejściowe 2 13 2 3" xfId="8141"/>
    <cellStyle name="Dane wejściowe 2 13 2 4" xfId="8142"/>
    <cellStyle name="Dane wejściowe 2 13 20" xfId="8143"/>
    <cellStyle name="Dane wejściowe 2 13 20 2" xfId="8144"/>
    <cellStyle name="Dane wejściowe 2 13 20 3" xfId="8145"/>
    <cellStyle name="Dane wejściowe 2 13 20 4" xfId="8146"/>
    <cellStyle name="Dane wejściowe 2 13 21" xfId="8147"/>
    <cellStyle name="Dane wejściowe 2 13 21 2" xfId="8148"/>
    <cellStyle name="Dane wejściowe 2 13 21 3" xfId="8149"/>
    <cellStyle name="Dane wejściowe 2 13 22" xfId="8150"/>
    <cellStyle name="Dane wejściowe 2 13 22 2" xfId="8151"/>
    <cellStyle name="Dane wejściowe 2 13 22 3" xfId="8152"/>
    <cellStyle name="Dane wejściowe 2 13 23" xfId="8153"/>
    <cellStyle name="Dane wejściowe 2 13 23 2" xfId="8154"/>
    <cellStyle name="Dane wejściowe 2 13 23 3" xfId="8155"/>
    <cellStyle name="Dane wejściowe 2 13 24" xfId="8156"/>
    <cellStyle name="Dane wejściowe 2 13 24 2" xfId="8157"/>
    <cellStyle name="Dane wejściowe 2 13 24 3" xfId="8158"/>
    <cellStyle name="Dane wejściowe 2 13 25" xfId="8159"/>
    <cellStyle name="Dane wejściowe 2 13 25 2" xfId="8160"/>
    <cellStyle name="Dane wejściowe 2 13 25 3" xfId="8161"/>
    <cellStyle name="Dane wejściowe 2 13 26" xfId="8162"/>
    <cellStyle name="Dane wejściowe 2 13 26 2" xfId="8163"/>
    <cellStyle name="Dane wejściowe 2 13 26 3" xfId="8164"/>
    <cellStyle name="Dane wejściowe 2 13 27" xfId="8165"/>
    <cellStyle name="Dane wejściowe 2 13 27 2" xfId="8166"/>
    <cellStyle name="Dane wejściowe 2 13 27 3" xfId="8167"/>
    <cellStyle name="Dane wejściowe 2 13 28" xfId="8168"/>
    <cellStyle name="Dane wejściowe 2 13 28 2" xfId="8169"/>
    <cellStyle name="Dane wejściowe 2 13 28 3" xfId="8170"/>
    <cellStyle name="Dane wejściowe 2 13 29" xfId="8171"/>
    <cellStyle name="Dane wejściowe 2 13 29 2" xfId="8172"/>
    <cellStyle name="Dane wejściowe 2 13 29 3" xfId="8173"/>
    <cellStyle name="Dane wejściowe 2 13 3" xfId="8174"/>
    <cellStyle name="Dane wejściowe 2 13 3 2" xfId="8175"/>
    <cellStyle name="Dane wejściowe 2 13 3 3" xfId="8176"/>
    <cellStyle name="Dane wejściowe 2 13 3 4" xfId="8177"/>
    <cellStyle name="Dane wejściowe 2 13 30" xfId="8178"/>
    <cellStyle name="Dane wejściowe 2 13 30 2" xfId="8179"/>
    <cellStyle name="Dane wejściowe 2 13 30 3" xfId="8180"/>
    <cellStyle name="Dane wejściowe 2 13 31" xfId="8181"/>
    <cellStyle name="Dane wejściowe 2 13 31 2" xfId="8182"/>
    <cellStyle name="Dane wejściowe 2 13 31 3" xfId="8183"/>
    <cellStyle name="Dane wejściowe 2 13 32" xfId="8184"/>
    <cellStyle name="Dane wejściowe 2 13 32 2" xfId="8185"/>
    <cellStyle name="Dane wejściowe 2 13 32 3" xfId="8186"/>
    <cellStyle name="Dane wejściowe 2 13 33" xfId="8187"/>
    <cellStyle name="Dane wejściowe 2 13 33 2" xfId="8188"/>
    <cellStyle name="Dane wejściowe 2 13 33 3" xfId="8189"/>
    <cellStyle name="Dane wejściowe 2 13 34" xfId="8190"/>
    <cellStyle name="Dane wejściowe 2 13 34 2" xfId="8191"/>
    <cellStyle name="Dane wejściowe 2 13 34 3" xfId="8192"/>
    <cellStyle name="Dane wejściowe 2 13 35" xfId="8193"/>
    <cellStyle name="Dane wejściowe 2 13 35 2" xfId="8194"/>
    <cellStyle name="Dane wejściowe 2 13 35 3" xfId="8195"/>
    <cellStyle name="Dane wejściowe 2 13 36" xfId="8196"/>
    <cellStyle name="Dane wejściowe 2 13 36 2" xfId="8197"/>
    <cellStyle name="Dane wejściowe 2 13 36 3" xfId="8198"/>
    <cellStyle name="Dane wejściowe 2 13 37" xfId="8199"/>
    <cellStyle name="Dane wejściowe 2 13 37 2" xfId="8200"/>
    <cellStyle name="Dane wejściowe 2 13 37 3" xfId="8201"/>
    <cellStyle name="Dane wejściowe 2 13 38" xfId="8202"/>
    <cellStyle name="Dane wejściowe 2 13 38 2" xfId="8203"/>
    <cellStyle name="Dane wejściowe 2 13 38 3" xfId="8204"/>
    <cellStyle name="Dane wejściowe 2 13 39" xfId="8205"/>
    <cellStyle name="Dane wejściowe 2 13 39 2" xfId="8206"/>
    <cellStyle name="Dane wejściowe 2 13 39 3" xfId="8207"/>
    <cellStyle name="Dane wejściowe 2 13 4" xfId="8208"/>
    <cellStyle name="Dane wejściowe 2 13 4 2" xfId="8209"/>
    <cellStyle name="Dane wejściowe 2 13 4 3" xfId="8210"/>
    <cellStyle name="Dane wejściowe 2 13 4 4" xfId="8211"/>
    <cellStyle name="Dane wejściowe 2 13 40" xfId="8212"/>
    <cellStyle name="Dane wejściowe 2 13 40 2" xfId="8213"/>
    <cellStyle name="Dane wejściowe 2 13 40 3" xfId="8214"/>
    <cellStyle name="Dane wejściowe 2 13 41" xfId="8215"/>
    <cellStyle name="Dane wejściowe 2 13 41 2" xfId="8216"/>
    <cellStyle name="Dane wejściowe 2 13 41 3" xfId="8217"/>
    <cellStyle name="Dane wejściowe 2 13 42" xfId="8218"/>
    <cellStyle name="Dane wejściowe 2 13 42 2" xfId="8219"/>
    <cellStyle name="Dane wejściowe 2 13 42 3" xfId="8220"/>
    <cellStyle name="Dane wejściowe 2 13 43" xfId="8221"/>
    <cellStyle name="Dane wejściowe 2 13 43 2" xfId="8222"/>
    <cellStyle name="Dane wejściowe 2 13 43 3" xfId="8223"/>
    <cellStyle name="Dane wejściowe 2 13 44" xfId="8224"/>
    <cellStyle name="Dane wejściowe 2 13 44 2" xfId="8225"/>
    <cellStyle name="Dane wejściowe 2 13 44 3" xfId="8226"/>
    <cellStyle name="Dane wejściowe 2 13 45" xfId="8227"/>
    <cellStyle name="Dane wejściowe 2 13 45 2" xfId="8228"/>
    <cellStyle name="Dane wejściowe 2 13 45 3" xfId="8229"/>
    <cellStyle name="Dane wejściowe 2 13 46" xfId="8230"/>
    <cellStyle name="Dane wejściowe 2 13 46 2" xfId="8231"/>
    <cellStyle name="Dane wejściowe 2 13 46 3" xfId="8232"/>
    <cellStyle name="Dane wejściowe 2 13 47" xfId="8233"/>
    <cellStyle name="Dane wejściowe 2 13 47 2" xfId="8234"/>
    <cellStyle name="Dane wejściowe 2 13 47 3" xfId="8235"/>
    <cellStyle name="Dane wejściowe 2 13 48" xfId="8236"/>
    <cellStyle name="Dane wejściowe 2 13 48 2" xfId="8237"/>
    <cellStyle name="Dane wejściowe 2 13 48 3" xfId="8238"/>
    <cellStyle name="Dane wejściowe 2 13 49" xfId="8239"/>
    <cellStyle name="Dane wejściowe 2 13 49 2" xfId="8240"/>
    <cellStyle name="Dane wejściowe 2 13 49 3" xfId="8241"/>
    <cellStyle name="Dane wejściowe 2 13 5" xfId="8242"/>
    <cellStyle name="Dane wejściowe 2 13 5 2" xfId="8243"/>
    <cellStyle name="Dane wejściowe 2 13 5 3" xfId="8244"/>
    <cellStyle name="Dane wejściowe 2 13 5 4" xfId="8245"/>
    <cellStyle name="Dane wejściowe 2 13 50" xfId="8246"/>
    <cellStyle name="Dane wejściowe 2 13 50 2" xfId="8247"/>
    <cellStyle name="Dane wejściowe 2 13 50 3" xfId="8248"/>
    <cellStyle name="Dane wejściowe 2 13 51" xfId="8249"/>
    <cellStyle name="Dane wejściowe 2 13 51 2" xfId="8250"/>
    <cellStyle name="Dane wejściowe 2 13 51 3" xfId="8251"/>
    <cellStyle name="Dane wejściowe 2 13 52" xfId="8252"/>
    <cellStyle name="Dane wejściowe 2 13 52 2" xfId="8253"/>
    <cellStyle name="Dane wejściowe 2 13 52 3" xfId="8254"/>
    <cellStyle name="Dane wejściowe 2 13 53" xfId="8255"/>
    <cellStyle name="Dane wejściowe 2 13 53 2" xfId="8256"/>
    <cellStyle name="Dane wejściowe 2 13 53 3" xfId="8257"/>
    <cellStyle name="Dane wejściowe 2 13 54" xfId="8258"/>
    <cellStyle name="Dane wejściowe 2 13 54 2" xfId="8259"/>
    <cellStyle name="Dane wejściowe 2 13 54 3" xfId="8260"/>
    <cellStyle name="Dane wejściowe 2 13 55" xfId="8261"/>
    <cellStyle name="Dane wejściowe 2 13 55 2" xfId="8262"/>
    <cellStyle name="Dane wejściowe 2 13 55 3" xfId="8263"/>
    <cellStyle name="Dane wejściowe 2 13 56" xfId="8264"/>
    <cellStyle name="Dane wejściowe 2 13 56 2" xfId="8265"/>
    <cellStyle name="Dane wejściowe 2 13 56 3" xfId="8266"/>
    <cellStyle name="Dane wejściowe 2 13 57" xfId="8267"/>
    <cellStyle name="Dane wejściowe 2 13 58" xfId="8268"/>
    <cellStyle name="Dane wejściowe 2 13 6" xfId="8269"/>
    <cellStyle name="Dane wejściowe 2 13 6 2" xfId="8270"/>
    <cellStyle name="Dane wejściowe 2 13 6 3" xfId="8271"/>
    <cellStyle name="Dane wejściowe 2 13 6 4" xfId="8272"/>
    <cellStyle name="Dane wejściowe 2 13 7" xfId="8273"/>
    <cellStyle name="Dane wejściowe 2 13 7 2" xfId="8274"/>
    <cellStyle name="Dane wejściowe 2 13 7 3" xfId="8275"/>
    <cellStyle name="Dane wejściowe 2 13 7 4" xfId="8276"/>
    <cellStyle name="Dane wejściowe 2 13 8" xfId="8277"/>
    <cellStyle name="Dane wejściowe 2 13 8 2" xfId="8278"/>
    <cellStyle name="Dane wejściowe 2 13 8 3" xfId="8279"/>
    <cellStyle name="Dane wejściowe 2 13 8 4" xfId="8280"/>
    <cellStyle name="Dane wejściowe 2 13 9" xfId="8281"/>
    <cellStyle name="Dane wejściowe 2 13 9 2" xfId="8282"/>
    <cellStyle name="Dane wejściowe 2 13 9 3" xfId="8283"/>
    <cellStyle name="Dane wejściowe 2 13 9 4" xfId="8284"/>
    <cellStyle name="Dane wejściowe 2 14" xfId="8285"/>
    <cellStyle name="Dane wejściowe 2 14 10" xfId="8286"/>
    <cellStyle name="Dane wejściowe 2 14 10 2" xfId="8287"/>
    <cellStyle name="Dane wejściowe 2 14 10 3" xfId="8288"/>
    <cellStyle name="Dane wejściowe 2 14 10 4" xfId="8289"/>
    <cellStyle name="Dane wejściowe 2 14 11" xfId="8290"/>
    <cellStyle name="Dane wejściowe 2 14 11 2" xfId="8291"/>
    <cellStyle name="Dane wejściowe 2 14 11 3" xfId="8292"/>
    <cellStyle name="Dane wejściowe 2 14 11 4" xfId="8293"/>
    <cellStyle name="Dane wejściowe 2 14 12" xfId="8294"/>
    <cellStyle name="Dane wejściowe 2 14 12 2" xfId="8295"/>
    <cellStyle name="Dane wejściowe 2 14 12 3" xfId="8296"/>
    <cellStyle name="Dane wejściowe 2 14 12 4" xfId="8297"/>
    <cellStyle name="Dane wejściowe 2 14 13" xfId="8298"/>
    <cellStyle name="Dane wejściowe 2 14 13 2" xfId="8299"/>
    <cellStyle name="Dane wejściowe 2 14 13 3" xfId="8300"/>
    <cellStyle name="Dane wejściowe 2 14 13 4" xfId="8301"/>
    <cellStyle name="Dane wejściowe 2 14 14" xfId="8302"/>
    <cellStyle name="Dane wejściowe 2 14 14 2" xfId="8303"/>
    <cellStyle name="Dane wejściowe 2 14 14 3" xfId="8304"/>
    <cellStyle name="Dane wejściowe 2 14 14 4" xfId="8305"/>
    <cellStyle name="Dane wejściowe 2 14 15" xfId="8306"/>
    <cellStyle name="Dane wejściowe 2 14 15 2" xfId="8307"/>
    <cellStyle name="Dane wejściowe 2 14 15 3" xfId="8308"/>
    <cellStyle name="Dane wejściowe 2 14 15 4" xfId="8309"/>
    <cellStyle name="Dane wejściowe 2 14 16" xfId="8310"/>
    <cellStyle name="Dane wejściowe 2 14 16 2" xfId="8311"/>
    <cellStyle name="Dane wejściowe 2 14 16 3" xfId="8312"/>
    <cellStyle name="Dane wejściowe 2 14 16 4" xfId="8313"/>
    <cellStyle name="Dane wejściowe 2 14 17" xfId="8314"/>
    <cellStyle name="Dane wejściowe 2 14 17 2" xfId="8315"/>
    <cellStyle name="Dane wejściowe 2 14 17 3" xfId="8316"/>
    <cellStyle name="Dane wejściowe 2 14 17 4" xfId="8317"/>
    <cellStyle name="Dane wejściowe 2 14 18" xfId="8318"/>
    <cellStyle name="Dane wejściowe 2 14 18 2" xfId="8319"/>
    <cellStyle name="Dane wejściowe 2 14 18 3" xfId="8320"/>
    <cellStyle name="Dane wejściowe 2 14 18 4" xfId="8321"/>
    <cellStyle name="Dane wejściowe 2 14 19" xfId="8322"/>
    <cellStyle name="Dane wejściowe 2 14 19 2" xfId="8323"/>
    <cellStyle name="Dane wejściowe 2 14 19 3" xfId="8324"/>
    <cellStyle name="Dane wejściowe 2 14 19 4" xfId="8325"/>
    <cellStyle name="Dane wejściowe 2 14 2" xfId="8326"/>
    <cellStyle name="Dane wejściowe 2 14 2 2" xfId="8327"/>
    <cellStyle name="Dane wejściowe 2 14 2 3" xfId="8328"/>
    <cellStyle name="Dane wejściowe 2 14 2 4" xfId="8329"/>
    <cellStyle name="Dane wejściowe 2 14 20" xfId="8330"/>
    <cellStyle name="Dane wejściowe 2 14 20 2" xfId="8331"/>
    <cellStyle name="Dane wejściowe 2 14 20 3" xfId="8332"/>
    <cellStyle name="Dane wejściowe 2 14 20 4" xfId="8333"/>
    <cellStyle name="Dane wejściowe 2 14 21" xfId="8334"/>
    <cellStyle name="Dane wejściowe 2 14 21 2" xfId="8335"/>
    <cellStyle name="Dane wejściowe 2 14 21 3" xfId="8336"/>
    <cellStyle name="Dane wejściowe 2 14 22" xfId="8337"/>
    <cellStyle name="Dane wejściowe 2 14 22 2" xfId="8338"/>
    <cellStyle name="Dane wejściowe 2 14 22 3" xfId="8339"/>
    <cellStyle name="Dane wejściowe 2 14 23" xfId="8340"/>
    <cellStyle name="Dane wejściowe 2 14 23 2" xfId="8341"/>
    <cellStyle name="Dane wejściowe 2 14 23 3" xfId="8342"/>
    <cellStyle name="Dane wejściowe 2 14 24" xfId="8343"/>
    <cellStyle name="Dane wejściowe 2 14 24 2" xfId="8344"/>
    <cellStyle name="Dane wejściowe 2 14 24 3" xfId="8345"/>
    <cellStyle name="Dane wejściowe 2 14 25" xfId="8346"/>
    <cellStyle name="Dane wejściowe 2 14 25 2" xfId="8347"/>
    <cellStyle name="Dane wejściowe 2 14 25 3" xfId="8348"/>
    <cellStyle name="Dane wejściowe 2 14 26" xfId="8349"/>
    <cellStyle name="Dane wejściowe 2 14 26 2" xfId="8350"/>
    <cellStyle name="Dane wejściowe 2 14 26 3" xfId="8351"/>
    <cellStyle name="Dane wejściowe 2 14 27" xfId="8352"/>
    <cellStyle name="Dane wejściowe 2 14 27 2" xfId="8353"/>
    <cellStyle name="Dane wejściowe 2 14 27 3" xfId="8354"/>
    <cellStyle name="Dane wejściowe 2 14 28" xfId="8355"/>
    <cellStyle name="Dane wejściowe 2 14 28 2" xfId="8356"/>
    <cellStyle name="Dane wejściowe 2 14 28 3" xfId="8357"/>
    <cellStyle name="Dane wejściowe 2 14 29" xfId="8358"/>
    <cellStyle name="Dane wejściowe 2 14 29 2" xfId="8359"/>
    <cellStyle name="Dane wejściowe 2 14 29 3" xfId="8360"/>
    <cellStyle name="Dane wejściowe 2 14 3" xfId="8361"/>
    <cellStyle name="Dane wejściowe 2 14 3 2" xfId="8362"/>
    <cellStyle name="Dane wejściowe 2 14 3 3" xfId="8363"/>
    <cellStyle name="Dane wejściowe 2 14 3 4" xfId="8364"/>
    <cellStyle name="Dane wejściowe 2 14 30" xfId="8365"/>
    <cellStyle name="Dane wejściowe 2 14 30 2" xfId="8366"/>
    <cellStyle name="Dane wejściowe 2 14 30 3" xfId="8367"/>
    <cellStyle name="Dane wejściowe 2 14 31" xfId="8368"/>
    <cellStyle name="Dane wejściowe 2 14 31 2" xfId="8369"/>
    <cellStyle name="Dane wejściowe 2 14 31 3" xfId="8370"/>
    <cellStyle name="Dane wejściowe 2 14 32" xfId="8371"/>
    <cellStyle name="Dane wejściowe 2 14 32 2" xfId="8372"/>
    <cellStyle name="Dane wejściowe 2 14 32 3" xfId="8373"/>
    <cellStyle name="Dane wejściowe 2 14 33" xfId="8374"/>
    <cellStyle name="Dane wejściowe 2 14 33 2" xfId="8375"/>
    <cellStyle name="Dane wejściowe 2 14 33 3" xfId="8376"/>
    <cellStyle name="Dane wejściowe 2 14 34" xfId="8377"/>
    <cellStyle name="Dane wejściowe 2 14 34 2" xfId="8378"/>
    <cellStyle name="Dane wejściowe 2 14 34 3" xfId="8379"/>
    <cellStyle name="Dane wejściowe 2 14 35" xfId="8380"/>
    <cellStyle name="Dane wejściowe 2 14 35 2" xfId="8381"/>
    <cellStyle name="Dane wejściowe 2 14 35 3" xfId="8382"/>
    <cellStyle name="Dane wejściowe 2 14 36" xfId="8383"/>
    <cellStyle name="Dane wejściowe 2 14 36 2" xfId="8384"/>
    <cellStyle name="Dane wejściowe 2 14 36 3" xfId="8385"/>
    <cellStyle name="Dane wejściowe 2 14 37" xfId="8386"/>
    <cellStyle name="Dane wejściowe 2 14 37 2" xfId="8387"/>
    <cellStyle name="Dane wejściowe 2 14 37 3" xfId="8388"/>
    <cellStyle name="Dane wejściowe 2 14 38" xfId="8389"/>
    <cellStyle name="Dane wejściowe 2 14 38 2" xfId="8390"/>
    <cellStyle name="Dane wejściowe 2 14 38 3" xfId="8391"/>
    <cellStyle name="Dane wejściowe 2 14 39" xfId="8392"/>
    <cellStyle name="Dane wejściowe 2 14 39 2" xfId="8393"/>
    <cellStyle name="Dane wejściowe 2 14 39 3" xfId="8394"/>
    <cellStyle name="Dane wejściowe 2 14 4" xfId="8395"/>
    <cellStyle name="Dane wejściowe 2 14 4 2" xfId="8396"/>
    <cellStyle name="Dane wejściowe 2 14 4 3" xfId="8397"/>
    <cellStyle name="Dane wejściowe 2 14 4 4" xfId="8398"/>
    <cellStyle name="Dane wejściowe 2 14 40" xfId="8399"/>
    <cellStyle name="Dane wejściowe 2 14 40 2" xfId="8400"/>
    <cellStyle name="Dane wejściowe 2 14 40 3" xfId="8401"/>
    <cellStyle name="Dane wejściowe 2 14 41" xfId="8402"/>
    <cellStyle name="Dane wejściowe 2 14 41 2" xfId="8403"/>
    <cellStyle name="Dane wejściowe 2 14 41 3" xfId="8404"/>
    <cellStyle name="Dane wejściowe 2 14 42" xfId="8405"/>
    <cellStyle name="Dane wejściowe 2 14 42 2" xfId="8406"/>
    <cellStyle name="Dane wejściowe 2 14 42 3" xfId="8407"/>
    <cellStyle name="Dane wejściowe 2 14 43" xfId="8408"/>
    <cellStyle name="Dane wejściowe 2 14 43 2" xfId="8409"/>
    <cellStyle name="Dane wejściowe 2 14 43 3" xfId="8410"/>
    <cellStyle name="Dane wejściowe 2 14 44" xfId="8411"/>
    <cellStyle name="Dane wejściowe 2 14 44 2" xfId="8412"/>
    <cellStyle name="Dane wejściowe 2 14 44 3" xfId="8413"/>
    <cellStyle name="Dane wejściowe 2 14 45" xfId="8414"/>
    <cellStyle name="Dane wejściowe 2 14 45 2" xfId="8415"/>
    <cellStyle name="Dane wejściowe 2 14 45 3" xfId="8416"/>
    <cellStyle name="Dane wejściowe 2 14 46" xfId="8417"/>
    <cellStyle name="Dane wejściowe 2 14 46 2" xfId="8418"/>
    <cellStyle name="Dane wejściowe 2 14 46 3" xfId="8419"/>
    <cellStyle name="Dane wejściowe 2 14 47" xfId="8420"/>
    <cellStyle name="Dane wejściowe 2 14 47 2" xfId="8421"/>
    <cellStyle name="Dane wejściowe 2 14 47 3" xfId="8422"/>
    <cellStyle name="Dane wejściowe 2 14 48" xfId="8423"/>
    <cellStyle name="Dane wejściowe 2 14 48 2" xfId="8424"/>
    <cellStyle name="Dane wejściowe 2 14 48 3" xfId="8425"/>
    <cellStyle name="Dane wejściowe 2 14 49" xfId="8426"/>
    <cellStyle name="Dane wejściowe 2 14 49 2" xfId="8427"/>
    <cellStyle name="Dane wejściowe 2 14 49 3" xfId="8428"/>
    <cellStyle name="Dane wejściowe 2 14 5" xfId="8429"/>
    <cellStyle name="Dane wejściowe 2 14 5 2" xfId="8430"/>
    <cellStyle name="Dane wejściowe 2 14 5 3" xfId="8431"/>
    <cellStyle name="Dane wejściowe 2 14 5 4" xfId="8432"/>
    <cellStyle name="Dane wejściowe 2 14 50" xfId="8433"/>
    <cellStyle name="Dane wejściowe 2 14 50 2" xfId="8434"/>
    <cellStyle name="Dane wejściowe 2 14 50 3" xfId="8435"/>
    <cellStyle name="Dane wejściowe 2 14 51" xfId="8436"/>
    <cellStyle name="Dane wejściowe 2 14 51 2" xfId="8437"/>
    <cellStyle name="Dane wejściowe 2 14 51 3" xfId="8438"/>
    <cellStyle name="Dane wejściowe 2 14 52" xfId="8439"/>
    <cellStyle name="Dane wejściowe 2 14 52 2" xfId="8440"/>
    <cellStyle name="Dane wejściowe 2 14 52 3" xfId="8441"/>
    <cellStyle name="Dane wejściowe 2 14 53" xfId="8442"/>
    <cellStyle name="Dane wejściowe 2 14 53 2" xfId="8443"/>
    <cellStyle name="Dane wejściowe 2 14 53 3" xfId="8444"/>
    <cellStyle name="Dane wejściowe 2 14 54" xfId="8445"/>
    <cellStyle name="Dane wejściowe 2 14 54 2" xfId="8446"/>
    <cellStyle name="Dane wejściowe 2 14 54 3" xfId="8447"/>
    <cellStyle name="Dane wejściowe 2 14 55" xfId="8448"/>
    <cellStyle name="Dane wejściowe 2 14 55 2" xfId="8449"/>
    <cellStyle name="Dane wejściowe 2 14 55 3" xfId="8450"/>
    <cellStyle name="Dane wejściowe 2 14 56" xfId="8451"/>
    <cellStyle name="Dane wejściowe 2 14 56 2" xfId="8452"/>
    <cellStyle name="Dane wejściowe 2 14 56 3" xfId="8453"/>
    <cellStyle name="Dane wejściowe 2 14 57" xfId="8454"/>
    <cellStyle name="Dane wejściowe 2 14 58" xfId="8455"/>
    <cellStyle name="Dane wejściowe 2 14 6" xfId="8456"/>
    <cellStyle name="Dane wejściowe 2 14 6 2" xfId="8457"/>
    <cellStyle name="Dane wejściowe 2 14 6 3" xfId="8458"/>
    <cellStyle name="Dane wejściowe 2 14 6 4" xfId="8459"/>
    <cellStyle name="Dane wejściowe 2 14 7" xfId="8460"/>
    <cellStyle name="Dane wejściowe 2 14 7 2" xfId="8461"/>
    <cellStyle name="Dane wejściowe 2 14 7 3" xfId="8462"/>
    <cellStyle name="Dane wejściowe 2 14 7 4" xfId="8463"/>
    <cellStyle name="Dane wejściowe 2 14 8" xfId="8464"/>
    <cellStyle name="Dane wejściowe 2 14 8 2" xfId="8465"/>
    <cellStyle name="Dane wejściowe 2 14 8 3" xfId="8466"/>
    <cellStyle name="Dane wejściowe 2 14 8 4" xfId="8467"/>
    <cellStyle name="Dane wejściowe 2 14 9" xfId="8468"/>
    <cellStyle name="Dane wejściowe 2 14 9 2" xfId="8469"/>
    <cellStyle name="Dane wejściowe 2 14 9 3" xfId="8470"/>
    <cellStyle name="Dane wejściowe 2 14 9 4" xfId="8471"/>
    <cellStyle name="Dane wejściowe 2 15" xfId="8472"/>
    <cellStyle name="Dane wejściowe 2 15 10" xfId="8473"/>
    <cellStyle name="Dane wejściowe 2 15 10 2" xfId="8474"/>
    <cellStyle name="Dane wejściowe 2 15 10 3" xfId="8475"/>
    <cellStyle name="Dane wejściowe 2 15 10 4" xfId="8476"/>
    <cellStyle name="Dane wejściowe 2 15 11" xfId="8477"/>
    <cellStyle name="Dane wejściowe 2 15 11 2" xfId="8478"/>
    <cellStyle name="Dane wejściowe 2 15 11 3" xfId="8479"/>
    <cellStyle name="Dane wejściowe 2 15 11 4" xfId="8480"/>
    <cellStyle name="Dane wejściowe 2 15 12" xfId="8481"/>
    <cellStyle name="Dane wejściowe 2 15 12 2" xfId="8482"/>
    <cellStyle name="Dane wejściowe 2 15 12 3" xfId="8483"/>
    <cellStyle name="Dane wejściowe 2 15 12 4" xfId="8484"/>
    <cellStyle name="Dane wejściowe 2 15 13" xfId="8485"/>
    <cellStyle name="Dane wejściowe 2 15 13 2" xfId="8486"/>
    <cellStyle name="Dane wejściowe 2 15 13 3" xfId="8487"/>
    <cellStyle name="Dane wejściowe 2 15 13 4" xfId="8488"/>
    <cellStyle name="Dane wejściowe 2 15 14" xfId="8489"/>
    <cellStyle name="Dane wejściowe 2 15 14 2" xfId="8490"/>
    <cellStyle name="Dane wejściowe 2 15 14 3" xfId="8491"/>
    <cellStyle name="Dane wejściowe 2 15 14 4" xfId="8492"/>
    <cellStyle name="Dane wejściowe 2 15 15" xfId="8493"/>
    <cellStyle name="Dane wejściowe 2 15 15 2" xfId="8494"/>
    <cellStyle name="Dane wejściowe 2 15 15 3" xfId="8495"/>
    <cellStyle name="Dane wejściowe 2 15 15 4" xfId="8496"/>
    <cellStyle name="Dane wejściowe 2 15 16" xfId="8497"/>
    <cellStyle name="Dane wejściowe 2 15 16 2" xfId="8498"/>
    <cellStyle name="Dane wejściowe 2 15 16 3" xfId="8499"/>
    <cellStyle name="Dane wejściowe 2 15 16 4" xfId="8500"/>
    <cellStyle name="Dane wejściowe 2 15 17" xfId="8501"/>
    <cellStyle name="Dane wejściowe 2 15 17 2" xfId="8502"/>
    <cellStyle name="Dane wejściowe 2 15 17 3" xfId="8503"/>
    <cellStyle name="Dane wejściowe 2 15 17 4" xfId="8504"/>
    <cellStyle name="Dane wejściowe 2 15 18" xfId="8505"/>
    <cellStyle name="Dane wejściowe 2 15 18 2" xfId="8506"/>
    <cellStyle name="Dane wejściowe 2 15 18 3" xfId="8507"/>
    <cellStyle name="Dane wejściowe 2 15 18 4" xfId="8508"/>
    <cellStyle name="Dane wejściowe 2 15 19" xfId="8509"/>
    <cellStyle name="Dane wejściowe 2 15 19 2" xfId="8510"/>
    <cellStyle name="Dane wejściowe 2 15 19 3" xfId="8511"/>
    <cellStyle name="Dane wejściowe 2 15 19 4" xfId="8512"/>
    <cellStyle name="Dane wejściowe 2 15 2" xfId="8513"/>
    <cellStyle name="Dane wejściowe 2 15 2 2" xfId="8514"/>
    <cellStyle name="Dane wejściowe 2 15 2 3" xfId="8515"/>
    <cellStyle name="Dane wejściowe 2 15 2 4" xfId="8516"/>
    <cellStyle name="Dane wejściowe 2 15 20" xfId="8517"/>
    <cellStyle name="Dane wejściowe 2 15 20 2" xfId="8518"/>
    <cellStyle name="Dane wejściowe 2 15 20 3" xfId="8519"/>
    <cellStyle name="Dane wejściowe 2 15 20 4" xfId="8520"/>
    <cellStyle name="Dane wejściowe 2 15 21" xfId="8521"/>
    <cellStyle name="Dane wejściowe 2 15 21 2" xfId="8522"/>
    <cellStyle name="Dane wejściowe 2 15 21 3" xfId="8523"/>
    <cellStyle name="Dane wejściowe 2 15 22" xfId="8524"/>
    <cellStyle name="Dane wejściowe 2 15 22 2" xfId="8525"/>
    <cellStyle name="Dane wejściowe 2 15 22 3" xfId="8526"/>
    <cellStyle name="Dane wejściowe 2 15 23" xfId="8527"/>
    <cellStyle name="Dane wejściowe 2 15 23 2" xfId="8528"/>
    <cellStyle name="Dane wejściowe 2 15 23 3" xfId="8529"/>
    <cellStyle name="Dane wejściowe 2 15 24" xfId="8530"/>
    <cellStyle name="Dane wejściowe 2 15 24 2" xfId="8531"/>
    <cellStyle name="Dane wejściowe 2 15 24 3" xfId="8532"/>
    <cellStyle name="Dane wejściowe 2 15 25" xfId="8533"/>
    <cellStyle name="Dane wejściowe 2 15 25 2" xfId="8534"/>
    <cellStyle name="Dane wejściowe 2 15 25 3" xfId="8535"/>
    <cellStyle name="Dane wejściowe 2 15 26" xfId="8536"/>
    <cellStyle name="Dane wejściowe 2 15 26 2" xfId="8537"/>
    <cellStyle name="Dane wejściowe 2 15 26 3" xfId="8538"/>
    <cellStyle name="Dane wejściowe 2 15 27" xfId="8539"/>
    <cellStyle name="Dane wejściowe 2 15 27 2" xfId="8540"/>
    <cellStyle name="Dane wejściowe 2 15 27 3" xfId="8541"/>
    <cellStyle name="Dane wejściowe 2 15 28" xfId="8542"/>
    <cellStyle name="Dane wejściowe 2 15 28 2" xfId="8543"/>
    <cellStyle name="Dane wejściowe 2 15 28 3" xfId="8544"/>
    <cellStyle name="Dane wejściowe 2 15 29" xfId="8545"/>
    <cellStyle name="Dane wejściowe 2 15 29 2" xfId="8546"/>
    <cellStyle name="Dane wejściowe 2 15 29 3" xfId="8547"/>
    <cellStyle name="Dane wejściowe 2 15 3" xfId="8548"/>
    <cellStyle name="Dane wejściowe 2 15 3 2" xfId="8549"/>
    <cellStyle name="Dane wejściowe 2 15 3 3" xfId="8550"/>
    <cellStyle name="Dane wejściowe 2 15 3 4" xfId="8551"/>
    <cellStyle name="Dane wejściowe 2 15 30" xfId="8552"/>
    <cellStyle name="Dane wejściowe 2 15 30 2" xfId="8553"/>
    <cellStyle name="Dane wejściowe 2 15 30 3" xfId="8554"/>
    <cellStyle name="Dane wejściowe 2 15 31" xfId="8555"/>
    <cellStyle name="Dane wejściowe 2 15 31 2" xfId="8556"/>
    <cellStyle name="Dane wejściowe 2 15 31 3" xfId="8557"/>
    <cellStyle name="Dane wejściowe 2 15 32" xfId="8558"/>
    <cellStyle name="Dane wejściowe 2 15 32 2" xfId="8559"/>
    <cellStyle name="Dane wejściowe 2 15 32 3" xfId="8560"/>
    <cellStyle name="Dane wejściowe 2 15 33" xfId="8561"/>
    <cellStyle name="Dane wejściowe 2 15 33 2" xfId="8562"/>
    <cellStyle name="Dane wejściowe 2 15 33 3" xfId="8563"/>
    <cellStyle name="Dane wejściowe 2 15 34" xfId="8564"/>
    <cellStyle name="Dane wejściowe 2 15 34 2" xfId="8565"/>
    <cellStyle name="Dane wejściowe 2 15 34 3" xfId="8566"/>
    <cellStyle name="Dane wejściowe 2 15 35" xfId="8567"/>
    <cellStyle name="Dane wejściowe 2 15 35 2" xfId="8568"/>
    <cellStyle name="Dane wejściowe 2 15 35 3" xfId="8569"/>
    <cellStyle name="Dane wejściowe 2 15 36" xfId="8570"/>
    <cellStyle name="Dane wejściowe 2 15 36 2" xfId="8571"/>
    <cellStyle name="Dane wejściowe 2 15 36 3" xfId="8572"/>
    <cellStyle name="Dane wejściowe 2 15 37" xfId="8573"/>
    <cellStyle name="Dane wejściowe 2 15 37 2" xfId="8574"/>
    <cellStyle name="Dane wejściowe 2 15 37 3" xfId="8575"/>
    <cellStyle name="Dane wejściowe 2 15 38" xfId="8576"/>
    <cellStyle name="Dane wejściowe 2 15 38 2" xfId="8577"/>
    <cellStyle name="Dane wejściowe 2 15 38 3" xfId="8578"/>
    <cellStyle name="Dane wejściowe 2 15 39" xfId="8579"/>
    <cellStyle name="Dane wejściowe 2 15 39 2" xfId="8580"/>
    <cellStyle name="Dane wejściowe 2 15 39 3" xfId="8581"/>
    <cellStyle name="Dane wejściowe 2 15 4" xfId="8582"/>
    <cellStyle name="Dane wejściowe 2 15 4 2" xfId="8583"/>
    <cellStyle name="Dane wejściowe 2 15 4 3" xfId="8584"/>
    <cellStyle name="Dane wejściowe 2 15 4 4" xfId="8585"/>
    <cellStyle name="Dane wejściowe 2 15 40" xfId="8586"/>
    <cellStyle name="Dane wejściowe 2 15 40 2" xfId="8587"/>
    <cellStyle name="Dane wejściowe 2 15 40 3" xfId="8588"/>
    <cellStyle name="Dane wejściowe 2 15 41" xfId="8589"/>
    <cellStyle name="Dane wejściowe 2 15 41 2" xfId="8590"/>
    <cellStyle name="Dane wejściowe 2 15 41 3" xfId="8591"/>
    <cellStyle name="Dane wejściowe 2 15 42" xfId="8592"/>
    <cellStyle name="Dane wejściowe 2 15 42 2" xfId="8593"/>
    <cellStyle name="Dane wejściowe 2 15 42 3" xfId="8594"/>
    <cellStyle name="Dane wejściowe 2 15 43" xfId="8595"/>
    <cellStyle name="Dane wejściowe 2 15 43 2" xfId="8596"/>
    <cellStyle name="Dane wejściowe 2 15 43 3" xfId="8597"/>
    <cellStyle name="Dane wejściowe 2 15 44" xfId="8598"/>
    <cellStyle name="Dane wejściowe 2 15 44 2" xfId="8599"/>
    <cellStyle name="Dane wejściowe 2 15 44 3" xfId="8600"/>
    <cellStyle name="Dane wejściowe 2 15 45" xfId="8601"/>
    <cellStyle name="Dane wejściowe 2 15 45 2" xfId="8602"/>
    <cellStyle name="Dane wejściowe 2 15 45 3" xfId="8603"/>
    <cellStyle name="Dane wejściowe 2 15 46" xfId="8604"/>
    <cellStyle name="Dane wejściowe 2 15 46 2" xfId="8605"/>
    <cellStyle name="Dane wejściowe 2 15 46 3" xfId="8606"/>
    <cellStyle name="Dane wejściowe 2 15 47" xfId="8607"/>
    <cellStyle name="Dane wejściowe 2 15 47 2" xfId="8608"/>
    <cellStyle name="Dane wejściowe 2 15 47 3" xfId="8609"/>
    <cellStyle name="Dane wejściowe 2 15 48" xfId="8610"/>
    <cellStyle name="Dane wejściowe 2 15 48 2" xfId="8611"/>
    <cellStyle name="Dane wejściowe 2 15 48 3" xfId="8612"/>
    <cellStyle name="Dane wejściowe 2 15 49" xfId="8613"/>
    <cellStyle name="Dane wejściowe 2 15 49 2" xfId="8614"/>
    <cellStyle name="Dane wejściowe 2 15 49 3" xfId="8615"/>
    <cellStyle name="Dane wejściowe 2 15 5" xfId="8616"/>
    <cellStyle name="Dane wejściowe 2 15 5 2" xfId="8617"/>
    <cellStyle name="Dane wejściowe 2 15 5 3" xfId="8618"/>
    <cellStyle name="Dane wejściowe 2 15 5 4" xfId="8619"/>
    <cellStyle name="Dane wejściowe 2 15 50" xfId="8620"/>
    <cellStyle name="Dane wejściowe 2 15 50 2" xfId="8621"/>
    <cellStyle name="Dane wejściowe 2 15 50 3" xfId="8622"/>
    <cellStyle name="Dane wejściowe 2 15 51" xfId="8623"/>
    <cellStyle name="Dane wejściowe 2 15 51 2" xfId="8624"/>
    <cellStyle name="Dane wejściowe 2 15 51 3" xfId="8625"/>
    <cellStyle name="Dane wejściowe 2 15 52" xfId="8626"/>
    <cellStyle name="Dane wejściowe 2 15 52 2" xfId="8627"/>
    <cellStyle name="Dane wejściowe 2 15 52 3" xfId="8628"/>
    <cellStyle name="Dane wejściowe 2 15 53" xfId="8629"/>
    <cellStyle name="Dane wejściowe 2 15 53 2" xfId="8630"/>
    <cellStyle name="Dane wejściowe 2 15 53 3" xfId="8631"/>
    <cellStyle name="Dane wejściowe 2 15 54" xfId="8632"/>
    <cellStyle name="Dane wejściowe 2 15 54 2" xfId="8633"/>
    <cellStyle name="Dane wejściowe 2 15 54 3" xfId="8634"/>
    <cellStyle name="Dane wejściowe 2 15 55" xfId="8635"/>
    <cellStyle name="Dane wejściowe 2 15 55 2" xfId="8636"/>
    <cellStyle name="Dane wejściowe 2 15 55 3" xfId="8637"/>
    <cellStyle name="Dane wejściowe 2 15 56" xfId="8638"/>
    <cellStyle name="Dane wejściowe 2 15 56 2" xfId="8639"/>
    <cellStyle name="Dane wejściowe 2 15 56 3" xfId="8640"/>
    <cellStyle name="Dane wejściowe 2 15 57" xfId="8641"/>
    <cellStyle name="Dane wejściowe 2 15 58" xfId="8642"/>
    <cellStyle name="Dane wejściowe 2 15 6" xfId="8643"/>
    <cellStyle name="Dane wejściowe 2 15 6 2" xfId="8644"/>
    <cellStyle name="Dane wejściowe 2 15 6 3" xfId="8645"/>
    <cellStyle name="Dane wejściowe 2 15 6 4" xfId="8646"/>
    <cellStyle name="Dane wejściowe 2 15 7" xfId="8647"/>
    <cellStyle name="Dane wejściowe 2 15 7 2" xfId="8648"/>
    <cellStyle name="Dane wejściowe 2 15 7 3" xfId="8649"/>
    <cellStyle name="Dane wejściowe 2 15 7 4" xfId="8650"/>
    <cellStyle name="Dane wejściowe 2 15 8" xfId="8651"/>
    <cellStyle name="Dane wejściowe 2 15 8 2" xfId="8652"/>
    <cellStyle name="Dane wejściowe 2 15 8 3" xfId="8653"/>
    <cellStyle name="Dane wejściowe 2 15 8 4" xfId="8654"/>
    <cellStyle name="Dane wejściowe 2 15 9" xfId="8655"/>
    <cellStyle name="Dane wejściowe 2 15 9 2" xfId="8656"/>
    <cellStyle name="Dane wejściowe 2 15 9 3" xfId="8657"/>
    <cellStyle name="Dane wejściowe 2 15 9 4" xfId="8658"/>
    <cellStyle name="Dane wejściowe 2 16" xfId="8659"/>
    <cellStyle name="Dane wejściowe 2 16 10" xfId="8660"/>
    <cellStyle name="Dane wejściowe 2 16 10 2" xfId="8661"/>
    <cellStyle name="Dane wejściowe 2 16 10 3" xfId="8662"/>
    <cellStyle name="Dane wejściowe 2 16 10 4" xfId="8663"/>
    <cellStyle name="Dane wejściowe 2 16 11" xfId="8664"/>
    <cellStyle name="Dane wejściowe 2 16 11 2" xfId="8665"/>
    <cellStyle name="Dane wejściowe 2 16 11 3" xfId="8666"/>
    <cellStyle name="Dane wejściowe 2 16 11 4" xfId="8667"/>
    <cellStyle name="Dane wejściowe 2 16 12" xfId="8668"/>
    <cellStyle name="Dane wejściowe 2 16 12 2" xfId="8669"/>
    <cellStyle name="Dane wejściowe 2 16 12 3" xfId="8670"/>
    <cellStyle name="Dane wejściowe 2 16 12 4" xfId="8671"/>
    <cellStyle name="Dane wejściowe 2 16 13" xfId="8672"/>
    <cellStyle name="Dane wejściowe 2 16 13 2" xfId="8673"/>
    <cellStyle name="Dane wejściowe 2 16 13 3" xfId="8674"/>
    <cellStyle name="Dane wejściowe 2 16 13 4" xfId="8675"/>
    <cellStyle name="Dane wejściowe 2 16 14" xfId="8676"/>
    <cellStyle name="Dane wejściowe 2 16 14 2" xfId="8677"/>
    <cellStyle name="Dane wejściowe 2 16 14 3" xfId="8678"/>
    <cellStyle name="Dane wejściowe 2 16 14 4" xfId="8679"/>
    <cellStyle name="Dane wejściowe 2 16 15" xfId="8680"/>
    <cellStyle name="Dane wejściowe 2 16 15 2" xfId="8681"/>
    <cellStyle name="Dane wejściowe 2 16 15 3" xfId="8682"/>
    <cellStyle name="Dane wejściowe 2 16 15 4" xfId="8683"/>
    <cellStyle name="Dane wejściowe 2 16 16" xfId="8684"/>
    <cellStyle name="Dane wejściowe 2 16 16 2" xfId="8685"/>
    <cellStyle name="Dane wejściowe 2 16 16 3" xfId="8686"/>
    <cellStyle name="Dane wejściowe 2 16 16 4" xfId="8687"/>
    <cellStyle name="Dane wejściowe 2 16 17" xfId="8688"/>
    <cellStyle name="Dane wejściowe 2 16 17 2" xfId="8689"/>
    <cellStyle name="Dane wejściowe 2 16 17 3" xfId="8690"/>
    <cellStyle name="Dane wejściowe 2 16 17 4" xfId="8691"/>
    <cellStyle name="Dane wejściowe 2 16 18" xfId="8692"/>
    <cellStyle name="Dane wejściowe 2 16 18 2" xfId="8693"/>
    <cellStyle name="Dane wejściowe 2 16 18 3" xfId="8694"/>
    <cellStyle name="Dane wejściowe 2 16 18 4" xfId="8695"/>
    <cellStyle name="Dane wejściowe 2 16 19" xfId="8696"/>
    <cellStyle name="Dane wejściowe 2 16 19 2" xfId="8697"/>
    <cellStyle name="Dane wejściowe 2 16 19 3" xfId="8698"/>
    <cellStyle name="Dane wejściowe 2 16 19 4" xfId="8699"/>
    <cellStyle name="Dane wejściowe 2 16 2" xfId="8700"/>
    <cellStyle name="Dane wejściowe 2 16 2 2" xfId="8701"/>
    <cellStyle name="Dane wejściowe 2 16 2 3" xfId="8702"/>
    <cellStyle name="Dane wejściowe 2 16 2 4" xfId="8703"/>
    <cellStyle name="Dane wejściowe 2 16 20" xfId="8704"/>
    <cellStyle name="Dane wejściowe 2 16 20 2" xfId="8705"/>
    <cellStyle name="Dane wejściowe 2 16 20 3" xfId="8706"/>
    <cellStyle name="Dane wejściowe 2 16 20 4" xfId="8707"/>
    <cellStyle name="Dane wejściowe 2 16 21" xfId="8708"/>
    <cellStyle name="Dane wejściowe 2 16 21 2" xfId="8709"/>
    <cellStyle name="Dane wejściowe 2 16 21 3" xfId="8710"/>
    <cellStyle name="Dane wejściowe 2 16 22" xfId="8711"/>
    <cellStyle name="Dane wejściowe 2 16 22 2" xfId="8712"/>
    <cellStyle name="Dane wejściowe 2 16 22 3" xfId="8713"/>
    <cellStyle name="Dane wejściowe 2 16 23" xfId="8714"/>
    <cellStyle name="Dane wejściowe 2 16 23 2" xfId="8715"/>
    <cellStyle name="Dane wejściowe 2 16 23 3" xfId="8716"/>
    <cellStyle name="Dane wejściowe 2 16 24" xfId="8717"/>
    <cellStyle name="Dane wejściowe 2 16 24 2" xfId="8718"/>
    <cellStyle name="Dane wejściowe 2 16 24 3" xfId="8719"/>
    <cellStyle name="Dane wejściowe 2 16 25" xfId="8720"/>
    <cellStyle name="Dane wejściowe 2 16 25 2" xfId="8721"/>
    <cellStyle name="Dane wejściowe 2 16 25 3" xfId="8722"/>
    <cellStyle name="Dane wejściowe 2 16 26" xfId="8723"/>
    <cellStyle name="Dane wejściowe 2 16 26 2" xfId="8724"/>
    <cellStyle name="Dane wejściowe 2 16 26 3" xfId="8725"/>
    <cellStyle name="Dane wejściowe 2 16 27" xfId="8726"/>
    <cellStyle name="Dane wejściowe 2 16 27 2" xfId="8727"/>
    <cellStyle name="Dane wejściowe 2 16 27 3" xfId="8728"/>
    <cellStyle name="Dane wejściowe 2 16 28" xfId="8729"/>
    <cellStyle name="Dane wejściowe 2 16 28 2" xfId="8730"/>
    <cellStyle name="Dane wejściowe 2 16 28 3" xfId="8731"/>
    <cellStyle name="Dane wejściowe 2 16 29" xfId="8732"/>
    <cellStyle name="Dane wejściowe 2 16 29 2" xfId="8733"/>
    <cellStyle name="Dane wejściowe 2 16 29 3" xfId="8734"/>
    <cellStyle name="Dane wejściowe 2 16 3" xfId="8735"/>
    <cellStyle name="Dane wejściowe 2 16 3 2" xfId="8736"/>
    <cellStyle name="Dane wejściowe 2 16 3 3" xfId="8737"/>
    <cellStyle name="Dane wejściowe 2 16 3 4" xfId="8738"/>
    <cellStyle name="Dane wejściowe 2 16 30" xfId="8739"/>
    <cellStyle name="Dane wejściowe 2 16 30 2" xfId="8740"/>
    <cellStyle name="Dane wejściowe 2 16 30 3" xfId="8741"/>
    <cellStyle name="Dane wejściowe 2 16 31" xfId="8742"/>
    <cellStyle name="Dane wejściowe 2 16 31 2" xfId="8743"/>
    <cellStyle name="Dane wejściowe 2 16 31 3" xfId="8744"/>
    <cellStyle name="Dane wejściowe 2 16 32" xfId="8745"/>
    <cellStyle name="Dane wejściowe 2 16 32 2" xfId="8746"/>
    <cellStyle name="Dane wejściowe 2 16 32 3" xfId="8747"/>
    <cellStyle name="Dane wejściowe 2 16 33" xfId="8748"/>
    <cellStyle name="Dane wejściowe 2 16 33 2" xfId="8749"/>
    <cellStyle name="Dane wejściowe 2 16 33 3" xfId="8750"/>
    <cellStyle name="Dane wejściowe 2 16 34" xfId="8751"/>
    <cellStyle name="Dane wejściowe 2 16 34 2" xfId="8752"/>
    <cellStyle name="Dane wejściowe 2 16 34 3" xfId="8753"/>
    <cellStyle name="Dane wejściowe 2 16 35" xfId="8754"/>
    <cellStyle name="Dane wejściowe 2 16 35 2" xfId="8755"/>
    <cellStyle name="Dane wejściowe 2 16 35 3" xfId="8756"/>
    <cellStyle name="Dane wejściowe 2 16 36" xfId="8757"/>
    <cellStyle name="Dane wejściowe 2 16 36 2" xfId="8758"/>
    <cellStyle name="Dane wejściowe 2 16 36 3" xfId="8759"/>
    <cellStyle name="Dane wejściowe 2 16 37" xfId="8760"/>
    <cellStyle name="Dane wejściowe 2 16 37 2" xfId="8761"/>
    <cellStyle name="Dane wejściowe 2 16 37 3" xfId="8762"/>
    <cellStyle name="Dane wejściowe 2 16 38" xfId="8763"/>
    <cellStyle name="Dane wejściowe 2 16 38 2" xfId="8764"/>
    <cellStyle name="Dane wejściowe 2 16 38 3" xfId="8765"/>
    <cellStyle name="Dane wejściowe 2 16 39" xfId="8766"/>
    <cellStyle name="Dane wejściowe 2 16 39 2" xfId="8767"/>
    <cellStyle name="Dane wejściowe 2 16 39 3" xfId="8768"/>
    <cellStyle name="Dane wejściowe 2 16 4" xfId="8769"/>
    <cellStyle name="Dane wejściowe 2 16 4 2" xfId="8770"/>
    <cellStyle name="Dane wejściowe 2 16 4 3" xfId="8771"/>
    <cellStyle name="Dane wejściowe 2 16 4 4" xfId="8772"/>
    <cellStyle name="Dane wejściowe 2 16 40" xfId="8773"/>
    <cellStyle name="Dane wejściowe 2 16 40 2" xfId="8774"/>
    <cellStyle name="Dane wejściowe 2 16 40 3" xfId="8775"/>
    <cellStyle name="Dane wejściowe 2 16 41" xfId="8776"/>
    <cellStyle name="Dane wejściowe 2 16 41 2" xfId="8777"/>
    <cellStyle name="Dane wejściowe 2 16 41 3" xfId="8778"/>
    <cellStyle name="Dane wejściowe 2 16 42" xfId="8779"/>
    <cellStyle name="Dane wejściowe 2 16 42 2" xfId="8780"/>
    <cellStyle name="Dane wejściowe 2 16 42 3" xfId="8781"/>
    <cellStyle name="Dane wejściowe 2 16 43" xfId="8782"/>
    <cellStyle name="Dane wejściowe 2 16 43 2" xfId="8783"/>
    <cellStyle name="Dane wejściowe 2 16 43 3" xfId="8784"/>
    <cellStyle name="Dane wejściowe 2 16 44" xfId="8785"/>
    <cellStyle name="Dane wejściowe 2 16 44 2" xfId="8786"/>
    <cellStyle name="Dane wejściowe 2 16 44 3" xfId="8787"/>
    <cellStyle name="Dane wejściowe 2 16 45" xfId="8788"/>
    <cellStyle name="Dane wejściowe 2 16 45 2" xfId="8789"/>
    <cellStyle name="Dane wejściowe 2 16 45 3" xfId="8790"/>
    <cellStyle name="Dane wejściowe 2 16 46" xfId="8791"/>
    <cellStyle name="Dane wejściowe 2 16 46 2" xfId="8792"/>
    <cellStyle name="Dane wejściowe 2 16 46 3" xfId="8793"/>
    <cellStyle name="Dane wejściowe 2 16 47" xfId="8794"/>
    <cellStyle name="Dane wejściowe 2 16 47 2" xfId="8795"/>
    <cellStyle name="Dane wejściowe 2 16 47 3" xfId="8796"/>
    <cellStyle name="Dane wejściowe 2 16 48" xfId="8797"/>
    <cellStyle name="Dane wejściowe 2 16 48 2" xfId="8798"/>
    <cellStyle name="Dane wejściowe 2 16 48 3" xfId="8799"/>
    <cellStyle name="Dane wejściowe 2 16 49" xfId="8800"/>
    <cellStyle name="Dane wejściowe 2 16 49 2" xfId="8801"/>
    <cellStyle name="Dane wejściowe 2 16 49 3" xfId="8802"/>
    <cellStyle name="Dane wejściowe 2 16 5" xfId="8803"/>
    <cellStyle name="Dane wejściowe 2 16 5 2" xfId="8804"/>
    <cellStyle name="Dane wejściowe 2 16 5 3" xfId="8805"/>
    <cellStyle name="Dane wejściowe 2 16 5 4" xfId="8806"/>
    <cellStyle name="Dane wejściowe 2 16 50" xfId="8807"/>
    <cellStyle name="Dane wejściowe 2 16 50 2" xfId="8808"/>
    <cellStyle name="Dane wejściowe 2 16 50 3" xfId="8809"/>
    <cellStyle name="Dane wejściowe 2 16 51" xfId="8810"/>
    <cellStyle name="Dane wejściowe 2 16 51 2" xfId="8811"/>
    <cellStyle name="Dane wejściowe 2 16 51 3" xfId="8812"/>
    <cellStyle name="Dane wejściowe 2 16 52" xfId="8813"/>
    <cellStyle name="Dane wejściowe 2 16 52 2" xfId="8814"/>
    <cellStyle name="Dane wejściowe 2 16 52 3" xfId="8815"/>
    <cellStyle name="Dane wejściowe 2 16 53" xfId="8816"/>
    <cellStyle name="Dane wejściowe 2 16 53 2" xfId="8817"/>
    <cellStyle name="Dane wejściowe 2 16 53 3" xfId="8818"/>
    <cellStyle name="Dane wejściowe 2 16 54" xfId="8819"/>
    <cellStyle name="Dane wejściowe 2 16 54 2" xfId="8820"/>
    <cellStyle name="Dane wejściowe 2 16 54 3" xfId="8821"/>
    <cellStyle name="Dane wejściowe 2 16 55" xfId="8822"/>
    <cellStyle name="Dane wejściowe 2 16 55 2" xfId="8823"/>
    <cellStyle name="Dane wejściowe 2 16 55 3" xfId="8824"/>
    <cellStyle name="Dane wejściowe 2 16 56" xfId="8825"/>
    <cellStyle name="Dane wejściowe 2 16 56 2" xfId="8826"/>
    <cellStyle name="Dane wejściowe 2 16 56 3" xfId="8827"/>
    <cellStyle name="Dane wejściowe 2 16 57" xfId="8828"/>
    <cellStyle name="Dane wejściowe 2 16 58" xfId="8829"/>
    <cellStyle name="Dane wejściowe 2 16 6" xfId="8830"/>
    <cellStyle name="Dane wejściowe 2 16 6 2" xfId="8831"/>
    <cellStyle name="Dane wejściowe 2 16 6 3" xfId="8832"/>
    <cellStyle name="Dane wejściowe 2 16 6 4" xfId="8833"/>
    <cellStyle name="Dane wejściowe 2 16 7" xfId="8834"/>
    <cellStyle name="Dane wejściowe 2 16 7 2" xfId="8835"/>
    <cellStyle name="Dane wejściowe 2 16 7 3" xfId="8836"/>
    <cellStyle name="Dane wejściowe 2 16 7 4" xfId="8837"/>
    <cellStyle name="Dane wejściowe 2 16 8" xfId="8838"/>
    <cellStyle name="Dane wejściowe 2 16 8 2" xfId="8839"/>
    <cellStyle name="Dane wejściowe 2 16 8 3" xfId="8840"/>
    <cellStyle name="Dane wejściowe 2 16 8 4" xfId="8841"/>
    <cellStyle name="Dane wejściowe 2 16 9" xfId="8842"/>
    <cellStyle name="Dane wejściowe 2 16 9 2" xfId="8843"/>
    <cellStyle name="Dane wejściowe 2 16 9 3" xfId="8844"/>
    <cellStyle name="Dane wejściowe 2 16 9 4" xfId="8845"/>
    <cellStyle name="Dane wejściowe 2 17" xfId="8846"/>
    <cellStyle name="Dane wejściowe 2 17 10" xfId="8847"/>
    <cellStyle name="Dane wejściowe 2 17 10 2" xfId="8848"/>
    <cellStyle name="Dane wejściowe 2 17 10 3" xfId="8849"/>
    <cellStyle name="Dane wejściowe 2 17 10 4" xfId="8850"/>
    <cellStyle name="Dane wejściowe 2 17 11" xfId="8851"/>
    <cellStyle name="Dane wejściowe 2 17 11 2" xfId="8852"/>
    <cellStyle name="Dane wejściowe 2 17 11 3" xfId="8853"/>
    <cellStyle name="Dane wejściowe 2 17 11 4" xfId="8854"/>
    <cellStyle name="Dane wejściowe 2 17 12" xfId="8855"/>
    <cellStyle name="Dane wejściowe 2 17 12 2" xfId="8856"/>
    <cellStyle name="Dane wejściowe 2 17 12 3" xfId="8857"/>
    <cellStyle name="Dane wejściowe 2 17 12 4" xfId="8858"/>
    <cellStyle name="Dane wejściowe 2 17 13" xfId="8859"/>
    <cellStyle name="Dane wejściowe 2 17 13 2" xfId="8860"/>
    <cellStyle name="Dane wejściowe 2 17 13 3" xfId="8861"/>
    <cellStyle name="Dane wejściowe 2 17 13 4" xfId="8862"/>
    <cellStyle name="Dane wejściowe 2 17 14" xfId="8863"/>
    <cellStyle name="Dane wejściowe 2 17 14 2" xfId="8864"/>
    <cellStyle name="Dane wejściowe 2 17 14 3" xfId="8865"/>
    <cellStyle name="Dane wejściowe 2 17 14 4" xfId="8866"/>
    <cellStyle name="Dane wejściowe 2 17 15" xfId="8867"/>
    <cellStyle name="Dane wejściowe 2 17 15 2" xfId="8868"/>
    <cellStyle name="Dane wejściowe 2 17 15 3" xfId="8869"/>
    <cellStyle name="Dane wejściowe 2 17 15 4" xfId="8870"/>
    <cellStyle name="Dane wejściowe 2 17 16" xfId="8871"/>
    <cellStyle name="Dane wejściowe 2 17 16 2" xfId="8872"/>
    <cellStyle name="Dane wejściowe 2 17 16 3" xfId="8873"/>
    <cellStyle name="Dane wejściowe 2 17 16 4" xfId="8874"/>
    <cellStyle name="Dane wejściowe 2 17 17" xfId="8875"/>
    <cellStyle name="Dane wejściowe 2 17 17 2" xfId="8876"/>
    <cellStyle name="Dane wejściowe 2 17 17 3" xfId="8877"/>
    <cellStyle name="Dane wejściowe 2 17 17 4" xfId="8878"/>
    <cellStyle name="Dane wejściowe 2 17 18" xfId="8879"/>
    <cellStyle name="Dane wejściowe 2 17 18 2" xfId="8880"/>
    <cellStyle name="Dane wejściowe 2 17 18 3" xfId="8881"/>
    <cellStyle name="Dane wejściowe 2 17 18 4" xfId="8882"/>
    <cellStyle name="Dane wejściowe 2 17 19" xfId="8883"/>
    <cellStyle name="Dane wejściowe 2 17 19 2" xfId="8884"/>
    <cellStyle name="Dane wejściowe 2 17 19 3" xfId="8885"/>
    <cellStyle name="Dane wejściowe 2 17 19 4" xfId="8886"/>
    <cellStyle name="Dane wejściowe 2 17 2" xfId="8887"/>
    <cellStyle name="Dane wejściowe 2 17 2 2" xfId="8888"/>
    <cellStyle name="Dane wejściowe 2 17 2 3" xfId="8889"/>
    <cellStyle name="Dane wejściowe 2 17 2 4" xfId="8890"/>
    <cellStyle name="Dane wejściowe 2 17 20" xfId="8891"/>
    <cellStyle name="Dane wejściowe 2 17 20 2" xfId="8892"/>
    <cellStyle name="Dane wejściowe 2 17 20 3" xfId="8893"/>
    <cellStyle name="Dane wejściowe 2 17 20 4" xfId="8894"/>
    <cellStyle name="Dane wejściowe 2 17 21" xfId="8895"/>
    <cellStyle name="Dane wejściowe 2 17 21 2" xfId="8896"/>
    <cellStyle name="Dane wejściowe 2 17 21 3" xfId="8897"/>
    <cellStyle name="Dane wejściowe 2 17 22" xfId="8898"/>
    <cellStyle name="Dane wejściowe 2 17 22 2" xfId="8899"/>
    <cellStyle name="Dane wejściowe 2 17 22 3" xfId="8900"/>
    <cellStyle name="Dane wejściowe 2 17 23" xfId="8901"/>
    <cellStyle name="Dane wejściowe 2 17 23 2" xfId="8902"/>
    <cellStyle name="Dane wejściowe 2 17 23 3" xfId="8903"/>
    <cellStyle name="Dane wejściowe 2 17 24" xfId="8904"/>
    <cellStyle name="Dane wejściowe 2 17 24 2" xfId="8905"/>
    <cellStyle name="Dane wejściowe 2 17 24 3" xfId="8906"/>
    <cellStyle name="Dane wejściowe 2 17 25" xfId="8907"/>
    <cellStyle name="Dane wejściowe 2 17 25 2" xfId="8908"/>
    <cellStyle name="Dane wejściowe 2 17 25 3" xfId="8909"/>
    <cellStyle name="Dane wejściowe 2 17 26" xfId="8910"/>
    <cellStyle name="Dane wejściowe 2 17 26 2" xfId="8911"/>
    <cellStyle name="Dane wejściowe 2 17 26 3" xfId="8912"/>
    <cellStyle name="Dane wejściowe 2 17 27" xfId="8913"/>
    <cellStyle name="Dane wejściowe 2 17 27 2" xfId="8914"/>
    <cellStyle name="Dane wejściowe 2 17 27 3" xfId="8915"/>
    <cellStyle name="Dane wejściowe 2 17 28" xfId="8916"/>
    <cellStyle name="Dane wejściowe 2 17 28 2" xfId="8917"/>
    <cellStyle name="Dane wejściowe 2 17 28 3" xfId="8918"/>
    <cellStyle name="Dane wejściowe 2 17 29" xfId="8919"/>
    <cellStyle name="Dane wejściowe 2 17 29 2" xfId="8920"/>
    <cellStyle name="Dane wejściowe 2 17 29 3" xfId="8921"/>
    <cellStyle name="Dane wejściowe 2 17 3" xfId="8922"/>
    <cellStyle name="Dane wejściowe 2 17 3 2" xfId="8923"/>
    <cellStyle name="Dane wejściowe 2 17 3 3" xfId="8924"/>
    <cellStyle name="Dane wejściowe 2 17 3 4" xfId="8925"/>
    <cellStyle name="Dane wejściowe 2 17 30" xfId="8926"/>
    <cellStyle name="Dane wejściowe 2 17 30 2" xfId="8927"/>
    <cellStyle name="Dane wejściowe 2 17 30 3" xfId="8928"/>
    <cellStyle name="Dane wejściowe 2 17 31" xfId="8929"/>
    <cellStyle name="Dane wejściowe 2 17 31 2" xfId="8930"/>
    <cellStyle name="Dane wejściowe 2 17 31 3" xfId="8931"/>
    <cellStyle name="Dane wejściowe 2 17 32" xfId="8932"/>
    <cellStyle name="Dane wejściowe 2 17 32 2" xfId="8933"/>
    <cellStyle name="Dane wejściowe 2 17 32 3" xfId="8934"/>
    <cellStyle name="Dane wejściowe 2 17 33" xfId="8935"/>
    <cellStyle name="Dane wejściowe 2 17 33 2" xfId="8936"/>
    <cellStyle name="Dane wejściowe 2 17 33 3" xfId="8937"/>
    <cellStyle name="Dane wejściowe 2 17 34" xfId="8938"/>
    <cellStyle name="Dane wejściowe 2 17 34 2" xfId="8939"/>
    <cellStyle name="Dane wejściowe 2 17 34 3" xfId="8940"/>
    <cellStyle name="Dane wejściowe 2 17 35" xfId="8941"/>
    <cellStyle name="Dane wejściowe 2 17 35 2" xfId="8942"/>
    <cellStyle name="Dane wejściowe 2 17 35 3" xfId="8943"/>
    <cellStyle name="Dane wejściowe 2 17 36" xfId="8944"/>
    <cellStyle name="Dane wejściowe 2 17 36 2" xfId="8945"/>
    <cellStyle name="Dane wejściowe 2 17 36 3" xfId="8946"/>
    <cellStyle name="Dane wejściowe 2 17 37" xfId="8947"/>
    <cellStyle name="Dane wejściowe 2 17 37 2" xfId="8948"/>
    <cellStyle name="Dane wejściowe 2 17 37 3" xfId="8949"/>
    <cellStyle name="Dane wejściowe 2 17 38" xfId="8950"/>
    <cellStyle name="Dane wejściowe 2 17 38 2" xfId="8951"/>
    <cellStyle name="Dane wejściowe 2 17 38 3" xfId="8952"/>
    <cellStyle name="Dane wejściowe 2 17 39" xfId="8953"/>
    <cellStyle name="Dane wejściowe 2 17 39 2" xfId="8954"/>
    <cellStyle name="Dane wejściowe 2 17 39 3" xfId="8955"/>
    <cellStyle name="Dane wejściowe 2 17 4" xfId="8956"/>
    <cellStyle name="Dane wejściowe 2 17 4 2" xfId="8957"/>
    <cellStyle name="Dane wejściowe 2 17 4 3" xfId="8958"/>
    <cellStyle name="Dane wejściowe 2 17 4 4" xfId="8959"/>
    <cellStyle name="Dane wejściowe 2 17 40" xfId="8960"/>
    <cellStyle name="Dane wejściowe 2 17 40 2" xfId="8961"/>
    <cellStyle name="Dane wejściowe 2 17 40 3" xfId="8962"/>
    <cellStyle name="Dane wejściowe 2 17 41" xfId="8963"/>
    <cellStyle name="Dane wejściowe 2 17 41 2" xfId="8964"/>
    <cellStyle name="Dane wejściowe 2 17 41 3" xfId="8965"/>
    <cellStyle name="Dane wejściowe 2 17 42" xfId="8966"/>
    <cellStyle name="Dane wejściowe 2 17 42 2" xfId="8967"/>
    <cellStyle name="Dane wejściowe 2 17 42 3" xfId="8968"/>
    <cellStyle name="Dane wejściowe 2 17 43" xfId="8969"/>
    <cellStyle name="Dane wejściowe 2 17 43 2" xfId="8970"/>
    <cellStyle name="Dane wejściowe 2 17 43 3" xfId="8971"/>
    <cellStyle name="Dane wejściowe 2 17 44" xfId="8972"/>
    <cellStyle name="Dane wejściowe 2 17 44 2" xfId="8973"/>
    <cellStyle name="Dane wejściowe 2 17 44 3" xfId="8974"/>
    <cellStyle name="Dane wejściowe 2 17 45" xfId="8975"/>
    <cellStyle name="Dane wejściowe 2 17 45 2" xfId="8976"/>
    <cellStyle name="Dane wejściowe 2 17 45 3" xfId="8977"/>
    <cellStyle name="Dane wejściowe 2 17 46" xfId="8978"/>
    <cellStyle name="Dane wejściowe 2 17 46 2" xfId="8979"/>
    <cellStyle name="Dane wejściowe 2 17 46 3" xfId="8980"/>
    <cellStyle name="Dane wejściowe 2 17 47" xfId="8981"/>
    <cellStyle name="Dane wejściowe 2 17 47 2" xfId="8982"/>
    <cellStyle name="Dane wejściowe 2 17 47 3" xfId="8983"/>
    <cellStyle name="Dane wejściowe 2 17 48" xfId="8984"/>
    <cellStyle name="Dane wejściowe 2 17 48 2" xfId="8985"/>
    <cellStyle name="Dane wejściowe 2 17 48 3" xfId="8986"/>
    <cellStyle name="Dane wejściowe 2 17 49" xfId="8987"/>
    <cellStyle name="Dane wejściowe 2 17 49 2" xfId="8988"/>
    <cellStyle name="Dane wejściowe 2 17 49 3" xfId="8989"/>
    <cellStyle name="Dane wejściowe 2 17 5" xfId="8990"/>
    <cellStyle name="Dane wejściowe 2 17 5 2" xfId="8991"/>
    <cellStyle name="Dane wejściowe 2 17 5 3" xfId="8992"/>
    <cellStyle name="Dane wejściowe 2 17 5 4" xfId="8993"/>
    <cellStyle name="Dane wejściowe 2 17 50" xfId="8994"/>
    <cellStyle name="Dane wejściowe 2 17 50 2" xfId="8995"/>
    <cellStyle name="Dane wejściowe 2 17 50 3" xfId="8996"/>
    <cellStyle name="Dane wejściowe 2 17 51" xfId="8997"/>
    <cellStyle name="Dane wejściowe 2 17 51 2" xfId="8998"/>
    <cellStyle name="Dane wejściowe 2 17 51 3" xfId="8999"/>
    <cellStyle name="Dane wejściowe 2 17 52" xfId="9000"/>
    <cellStyle name="Dane wejściowe 2 17 52 2" xfId="9001"/>
    <cellStyle name="Dane wejściowe 2 17 52 3" xfId="9002"/>
    <cellStyle name="Dane wejściowe 2 17 53" xfId="9003"/>
    <cellStyle name="Dane wejściowe 2 17 53 2" xfId="9004"/>
    <cellStyle name="Dane wejściowe 2 17 53 3" xfId="9005"/>
    <cellStyle name="Dane wejściowe 2 17 54" xfId="9006"/>
    <cellStyle name="Dane wejściowe 2 17 54 2" xfId="9007"/>
    <cellStyle name="Dane wejściowe 2 17 54 3" xfId="9008"/>
    <cellStyle name="Dane wejściowe 2 17 55" xfId="9009"/>
    <cellStyle name="Dane wejściowe 2 17 55 2" xfId="9010"/>
    <cellStyle name="Dane wejściowe 2 17 55 3" xfId="9011"/>
    <cellStyle name="Dane wejściowe 2 17 56" xfId="9012"/>
    <cellStyle name="Dane wejściowe 2 17 56 2" xfId="9013"/>
    <cellStyle name="Dane wejściowe 2 17 56 3" xfId="9014"/>
    <cellStyle name="Dane wejściowe 2 17 57" xfId="9015"/>
    <cellStyle name="Dane wejściowe 2 17 58" xfId="9016"/>
    <cellStyle name="Dane wejściowe 2 17 6" xfId="9017"/>
    <cellStyle name="Dane wejściowe 2 17 6 2" xfId="9018"/>
    <cellStyle name="Dane wejściowe 2 17 6 3" xfId="9019"/>
    <cellStyle name="Dane wejściowe 2 17 6 4" xfId="9020"/>
    <cellStyle name="Dane wejściowe 2 17 7" xfId="9021"/>
    <cellStyle name="Dane wejściowe 2 17 7 2" xfId="9022"/>
    <cellStyle name="Dane wejściowe 2 17 7 3" xfId="9023"/>
    <cellStyle name="Dane wejściowe 2 17 7 4" xfId="9024"/>
    <cellStyle name="Dane wejściowe 2 17 8" xfId="9025"/>
    <cellStyle name="Dane wejściowe 2 17 8 2" xfId="9026"/>
    <cellStyle name="Dane wejściowe 2 17 8 3" xfId="9027"/>
    <cellStyle name="Dane wejściowe 2 17 8 4" xfId="9028"/>
    <cellStyle name="Dane wejściowe 2 17 9" xfId="9029"/>
    <cellStyle name="Dane wejściowe 2 17 9 2" xfId="9030"/>
    <cellStyle name="Dane wejściowe 2 17 9 3" xfId="9031"/>
    <cellStyle name="Dane wejściowe 2 17 9 4" xfId="9032"/>
    <cellStyle name="Dane wejściowe 2 18" xfId="9033"/>
    <cellStyle name="Dane wejściowe 2 18 10" xfId="9034"/>
    <cellStyle name="Dane wejściowe 2 18 10 2" xfId="9035"/>
    <cellStyle name="Dane wejściowe 2 18 10 3" xfId="9036"/>
    <cellStyle name="Dane wejściowe 2 18 10 4" xfId="9037"/>
    <cellStyle name="Dane wejściowe 2 18 11" xfId="9038"/>
    <cellStyle name="Dane wejściowe 2 18 11 2" xfId="9039"/>
    <cellStyle name="Dane wejściowe 2 18 11 3" xfId="9040"/>
    <cellStyle name="Dane wejściowe 2 18 11 4" xfId="9041"/>
    <cellStyle name="Dane wejściowe 2 18 12" xfId="9042"/>
    <cellStyle name="Dane wejściowe 2 18 12 2" xfId="9043"/>
    <cellStyle name="Dane wejściowe 2 18 12 3" xfId="9044"/>
    <cellStyle name="Dane wejściowe 2 18 12 4" xfId="9045"/>
    <cellStyle name="Dane wejściowe 2 18 13" xfId="9046"/>
    <cellStyle name="Dane wejściowe 2 18 13 2" xfId="9047"/>
    <cellStyle name="Dane wejściowe 2 18 13 3" xfId="9048"/>
    <cellStyle name="Dane wejściowe 2 18 13 4" xfId="9049"/>
    <cellStyle name="Dane wejściowe 2 18 14" xfId="9050"/>
    <cellStyle name="Dane wejściowe 2 18 14 2" xfId="9051"/>
    <cellStyle name="Dane wejściowe 2 18 14 3" xfId="9052"/>
    <cellStyle name="Dane wejściowe 2 18 14 4" xfId="9053"/>
    <cellStyle name="Dane wejściowe 2 18 15" xfId="9054"/>
    <cellStyle name="Dane wejściowe 2 18 15 2" xfId="9055"/>
    <cellStyle name="Dane wejściowe 2 18 15 3" xfId="9056"/>
    <cellStyle name="Dane wejściowe 2 18 15 4" xfId="9057"/>
    <cellStyle name="Dane wejściowe 2 18 16" xfId="9058"/>
    <cellStyle name="Dane wejściowe 2 18 16 2" xfId="9059"/>
    <cellStyle name="Dane wejściowe 2 18 16 3" xfId="9060"/>
    <cellStyle name="Dane wejściowe 2 18 16 4" xfId="9061"/>
    <cellStyle name="Dane wejściowe 2 18 17" xfId="9062"/>
    <cellStyle name="Dane wejściowe 2 18 17 2" xfId="9063"/>
    <cellStyle name="Dane wejściowe 2 18 17 3" xfId="9064"/>
    <cellStyle name="Dane wejściowe 2 18 17 4" xfId="9065"/>
    <cellStyle name="Dane wejściowe 2 18 18" xfId="9066"/>
    <cellStyle name="Dane wejściowe 2 18 18 2" xfId="9067"/>
    <cellStyle name="Dane wejściowe 2 18 18 3" xfId="9068"/>
    <cellStyle name="Dane wejściowe 2 18 18 4" xfId="9069"/>
    <cellStyle name="Dane wejściowe 2 18 19" xfId="9070"/>
    <cellStyle name="Dane wejściowe 2 18 19 2" xfId="9071"/>
    <cellStyle name="Dane wejściowe 2 18 19 3" xfId="9072"/>
    <cellStyle name="Dane wejściowe 2 18 19 4" xfId="9073"/>
    <cellStyle name="Dane wejściowe 2 18 2" xfId="9074"/>
    <cellStyle name="Dane wejściowe 2 18 2 2" xfId="9075"/>
    <cellStyle name="Dane wejściowe 2 18 2 3" xfId="9076"/>
    <cellStyle name="Dane wejściowe 2 18 2 4" xfId="9077"/>
    <cellStyle name="Dane wejściowe 2 18 20" xfId="9078"/>
    <cellStyle name="Dane wejściowe 2 18 20 2" xfId="9079"/>
    <cellStyle name="Dane wejściowe 2 18 20 3" xfId="9080"/>
    <cellStyle name="Dane wejściowe 2 18 20 4" xfId="9081"/>
    <cellStyle name="Dane wejściowe 2 18 21" xfId="9082"/>
    <cellStyle name="Dane wejściowe 2 18 21 2" xfId="9083"/>
    <cellStyle name="Dane wejściowe 2 18 21 3" xfId="9084"/>
    <cellStyle name="Dane wejściowe 2 18 22" xfId="9085"/>
    <cellStyle name="Dane wejściowe 2 18 22 2" xfId="9086"/>
    <cellStyle name="Dane wejściowe 2 18 22 3" xfId="9087"/>
    <cellStyle name="Dane wejściowe 2 18 23" xfId="9088"/>
    <cellStyle name="Dane wejściowe 2 18 23 2" xfId="9089"/>
    <cellStyle name="Dane wejściowe 2 18 23 3" xfId="9090"/>
    <cellStyle name="Dane wejściowe 2 18 24" xfId="9091"/>
    <cellStyle name="Dane wejściowe 2 18 24 2" xfId="9092"/>
    <cellStyle name="Dane wejściowe 2 18 24 3" xfId="9093"/>
    <cellStyle name="Dane wejściowe 2 18 25" xfId="9094"/>
    <cellStyle name="Dane wejściowe 2 18 25 2" xfId="9095"/>
    <cellStyle name="Dane wejściowe 2 18 25 3" xfId="9096"/>
    <cellStyle name="Dane wejściowe 2 18 26" xfId="9097"/>
    <cellStyle name="Dane wejściowe 2 18 26 2" xfId="9098"/>
    <cellStyle name="Dane wejściowe 2 18 26 3" xfId="9099"/>
    <cellStyle name="Dane wejściowe 2 18 27" xfId="9100"/>
    <cellStyle name="Dane wejściowe 2 18 27 2" xfId="9101"/>
    <cellStyle name="Dane wejściowe 2 18 27 3" xfId="9102"/>
    <cellStyle name="Dane wejściowe 2 18 28" xfId="9103"/>
    <cellStyle name="Dane wejściowe 2 18 28 2" xfId="9104"/>
    <cellStyle name="Dane wejściowe 2 18 28 3" xfId="9105"/>
    <cellStyle name="Dane wejściowe 2 18 29" xfId="9106"/>
    <cellStyle name="Dane wejściowe 2 18 29 2" xfId="9107"/>
    <cellStyle name="Dane wejściowe 2 18 29 3" xfId="9108"/>
    <cellStyle name="Dane wejściowe 2 18 3" xfId="9109"/>
    <cellStyle name="Dane wejściowe 2 18 3 2" xfId="9110"/>
    <cellStyle name="Dane wejściowe 2 18 3 3" xfId="9111"/>
    <cellStyle name="Dane wejściowe 2 18 3 4" xfId="9112"/>
    <cellStyle name="Dane wejściowe 2 18 30" xfId="9113"/>
    <cellStyle name="Dane wejściowe 2 18 30 2" xfId="9114"/>
    <cellStyle name="Dane wejściowe 2 18 30 3" xfId="9115"/>
    <cellStyle name="Dane wejściowe 2 18 31" xfId="9116"/>
    <cellStyle name="Dane wejściowe 2 18 31 2" xfId="9117"/>
    <cellStyle name="Dane wejściowe 2 18 31 3" xfId="9118"/>
    <cellStyle name="Dane wejściowe 2 18 32" xfId="9119"/>
    <cellStyle name="Dane wejściowe 2 18 32 2" xfId="9120"/>
    <cellStyle name="Dane wejściowe 2 18 32 3" xfId="9121"/>
    <cellStyle name="Dane wejściowe 2 18 33" xfId="9122"/>
    <cellStyle name="Dane wejściowe 2 18 33 2" xfId="9123"/>
    <cellStyle name="Dane wejściowe 2 18 33 3" xfId="9124"/>
    <cellStyle name="Dane wejściowe 2 18 34" xfId="9125"/>
    <cellStyle name="Dane wejściowe 2 18 34 2" xfId="9126"/>
    <cellStyle name="Dane wejściowe 2 18 34 3" xfId="9127"/>
    <cellStyle name="Dane wejściowe 2 18 35" xfId="9128"/>
    <cellStyle name="Dane wejściowe 2 18 35 2" xfId="9129"/>
    <cellStyle name="Dane wejściowe 2 18 35 3" xfId="9130"/>
    <cellStyle name="Dane wejściowe 2 18 36" xfId="9131"/>
    <cellStyle name="Dane wejściowe 2 18 36 2" xfId="9132"/>
    <cellStyle name="Dane wejściowe 2 18 36 3" xfId="9133"/>
    <cellStyle name="Dane wejściowe 2 18 37" xfId="9134"/>
    <cellStyle name="Dane wejściowe 2 18 37 2" xfId="9135"/>
    <cellStyle name="Dane wejściowe 2 18 37 3" xfId="9136"/>
    <cellStyle name="Dane wejściowe 2 18 38" xfId="9137"/>
    <cellStyle name="Dane wejściowe 2 18 38 2" xfId="9138"/>
    <cellStyle name="Dane wejściowe 2 18 38 3" xfId="9139"/>
    <cellStyle name="Dane wejściowe 2 18 39" xfId="9140"/>
    <cellStyle name="Dane wejściowe 2 18 39 2" xfId="9141"/>
    <cellStyle name="Dane wejściowe 2 18 39 3" xfId="9142"/>
    <cellStyle name="Dane wejściowe 2 18 4" xfId="9143"/>
    <cellStyle name="Dane wejściowe 2 18 4 2" xfId="9144"/>
    <cellStyle name="Dane wejściowe 2 18 4 3" xfId="9145"/>
    <cellStyle name="Dane wejściowe 2 18 4 4" xfId="9146"/>
    <cellStyle name="Dane wejściowe 2 18 40" xfId="9147"/>
    <cellStyle name="Dane wejściowe 2 18 40 2" xfId="9148"/>
    <cellStyle name="Dane wejściowe 2 18 40 3" xfId="9149"/>
    <cellStyle name="Dane wejściowe 2 18 41" xfId="9150"/>
    <cellStyle name="Dane wejściowe 2 18 41 2" xfId="9151"/>
    <cellStyle name="Dane wejściowe 2 18 41 3" xfId="9152"/>
    <cellStyle name="Dane wejściowe 2 18 42" xfId="9153"/>
    <cellStyle name="Dane wejściowe 2 18 42 2" xfId="9154"/>
    <cellStyle name="Dane wejściowe 2 18 42 3" xfId="9155"/>
    <cellStyle name="Dane wejściowe 2 18 43" xfId="9156"/>
    <cellStyle name="Dane wejściowe 2 18 43 2" xfId="9157"/>
    <cellStyle name="Dane wejściowe 2 18 43 3" xfId="9158"/>
    <cellStyle name="Dane wejściowe 2 18 44" xfId="9159"/>
    <cellStyle name="Dane wejściowe 2 18 44 2" xfId="9160"/>
    <cellStyle name="Dane wejściowe 2 18 44 3" xfId="9161"/>
    <cellStyle name="Dane wejściowe 2 18 45" xfId="9162"/>
    <cellStyle name="Dane wejściowe 2 18 45 2" xfId="9163"/>
    <cellStyle name="Dane wejściowe 2 18 45 3" xfId="9164"/>
    <cellStyle name="Dane wejściowe 2 18 46" xfId="9165"/>
    <cellStyle name="Dane wejściowe 2 18 46 2" xfId="9166"/>
    <cellStyle name="Dane wejściowe 2 18 46 3" xfId="9167"/>
    <cellStyle name="Dane wejściowe 2 18 47" xfId="9168"/>
    <cellStyle name="Dane wejściowe 2 18 47 2" xfId="9169"/>
    <cellStyle name="Dane wejściowe 2 18 47 3" xfId="9170"/>
    <cellStyle name="Dane wejściowe 2 18 48" xfId="9171"/>
    <cellStyle name="Dane wejściowe 2 18 48 2" xfId="9172"/>
    <cellStyle name="Dane wejściowe 2 18 48 3" xfId="9173"/>
    <cellStyle name="Dane wejściowe 2 18 49" xfId="9174"/>
    <cellStyle name="Dane wejściowe 2 18 49 2" xfId="9175"/>
    <cellStyle name="Dane wejściowe 2 18 49 3" xfId="9176"/>
    <cellStyle name="Dane wejściowe 2 18 5" xfId="9177"/>
    <cellStyle name="Dane wejściowe 2 18 5 2" xfId="9178"/>
    <cellStyle name="Dane wejściowe 2 18 5 3" xfId="9179"/>
    <cellStyle name="Dane wejściowe 2 18 5 4" xfId="9180"/>
    <cellStyle name="Dane wejściowe 2 18 50" xfId="9181"/>
    <cellStyle name="Dane wejściowe 2 18 50 2" xfId="9182"/>
    <cellStyle name="Dane wejściowe 2 18 50 3" xfId="9183"/>
    <cellStyle name="Dane wejściowe 2 18 51" xfId="9184"/>
    <cellStyle name="Dane wejściowe 2 18 51 2" xfId="9185"/>
    <cellStyle name="Dane wejściowe 2 18 51 3" xfId="9186"/>
    <cellStyle name="Dane wejściowe 2 18 52" xfId="9187"/>
    <cellStyle name="Dane wejściowe 2 18 52 2" xfId="9188"/>
    <cellStyle name="Dane wejściowe 2 18 52 3" xfId="9189"/>
    <cellStyle name="Dane wejściowe 2 18 53" xfId="9190"/>
    <cellStyle name="Dane wejściowe 2 18 53 2" xfId="9191"/>
    <cellStyle name="Dane wejściowe 2 18 53 3" xfId="9192"/>
    <cellStyle name="Dane wejściowe 2 18 54" xfId="9193"/>
    <cellStyle name="Dane wejściowe 2 18 54 2" xfId="9194"/>
    <cellStyle name="Dane wejściowe 2 18 54 3" xfId="9195"/>
    <cellStyle name="Dane wejściowe 2 18 55" xfId="9196"/>
    <cellStyle name="Dane wejściowe 2 18 55 2" xfId="9197"/>
    <cellStyle name="Dane wejściowe 2 18 55 3" xfId="9198"/>
    <cellStyle name="Dane wejściowe 2 18 56" xfId="9199"/>
    <cellStyle name="Dane wejściowe 2 18 56 2" xfId="9200"/>
    <cellStyle name="Dane wejściowe 2 18 56 3" xfId="9201"/>
    <cellStyle name="Dane wejściowe 2 18 57" xfId="9202"/>
    <cellStyle name="Dane wejściowe 2 18 58" xfId="9203"/>
    <cellStyle name="Dane wejściowe 2 18 6" xfId="9204"/>
    <cellStyle name="Dane wejściowe 2 18 6 2" xfId="9205"/>
    <cellStyle name="Dane wejściowe 2 18 6 3" xfId="9206"/>
    <cellStyle name="Dane wejściowe 2 18 6 4" xfId="9207"/>
    <cellStyle name="Dane wejściowe 2 18 7" xfId="9208"/>
    <cellStyle name="Dane wejściowe 2 18 7 2" xfId="9209"/>
    <cellStyle name="Dane wejściowe 2 18 7 3" xfId="9210"/>
    <cellStyle name="Dane wejściowe 2 18 7 4" xfId="9211"/>
    <cellStyle name="Dane wejściowe 2 18 8" xfId="9212"/>
    <cellStyle name="Dane wejściowe 2 18 8 2" xfId="9213"/>
    <cellStyle name="Dane wejściowe 2 18 8 3" xfId="9214"/>
    <cellStyle name="Dane wejściowe 2 18 8 4" xfId="9215"/>
    <cellStyle name="Dane wejściowe 2 18 9" xfId="9216"/>
    <cellStyle name="Dane wejściowe 2 18 9 2" xfId="9217"/>
    <cellStyle name="Dane wejściowe 2 18 9 3" xfId="9218"/>
    <cellStyle name="Dane wejściowe 2 18 9 4" xfId="9219"/>
    <cellStyle name="Dane wejściowe 2 19" xfId="9220"/>
    <cellStyle name="Dane wejściowe 2 19 10" xfId="9221"/>
    <cellStyle name="Dane wejściowe 2 19 10 2" xfId="9222"/>
    <cellStyle name="Dane wejściowe 2 19 10 3" xfId="9223"/>
    <cellStyle name="Dane wejściowe 2 19 10 4" xfId="9224"/>
    <cellStyle name="Dane wejściowe 2 19 11" xfId="9225"/>
    <cellStyle name="Dane wejściowe 2 19 11 2" xfId="9226"/>
    <cellStyle name="Dane wejściowe 2 19 11 3" xfId="9227"/>
    <cellStyle name="Dane wejściowe 2 19 11 4" xfId="9228"/>
    <cellStyle name="Dane wejściowe 2 19 12" xfId="9229"/>
    <cellStyle name="Dane wejściowe 2 19 12 2" xfId="9230"/>
    <cellStyle name="Dane wejściowe 2 19 12 3" xfId="9231"/>
    <cellStyle name="Dane wejściowe 2 19 12 4" xfId="9232"/>
    <cellStyle name="Dane wejściowe 2 19 13" xfId="9233"/>
    <cellStyle name="Dane wejściowe 2 19 13 2" xfId="9234"/>
    <cellStyle name="Dane wejściowe 2 19 13 3" xfId="9235"/>
    <cellStyle name="Dane wejściowe 2 19 13 4" xfId="9236"/>
    <cellStyle name="Dane wejściowe 2 19 14" xfId="9237"/>
    <cellStyle name="Dane wejściowe 2 19 14 2" xfId="9238"/>
    <cellStyle name="Dane wejściowe 2 19 14 3" xfId="9239"/>
    <cellStyle name="Dane wejściowe 2 19 14 4" xfId="9240"/>
    <cellStyle name="Dane wejściowe 2 19 15" xfId="9241"/>
    <cellStyle name="Dane wejściowe 2 19 15 2" xfId="9242"/>
    <cellStyle name="Dane wejściowe 2 19 15 3" xfId="9243"/>
    <cellStyle name="Dane wejściowe 2 19 15 4" xfId="9244"/>
    <cellStyle name="Dane wejściowe 2 19 16" xfId="9245"/>
    <cellStyle name="Dane wejściowe 2 19 16 2" xfId="9246"/>
    <cellStyle name="Dane wejściowe 2 19 16 3" xfId="9247"/>
    <cellStyle name="Dane wejściowe 2 19 16 4" xfId="9248"/>
    <cellStyle name="Dane wejściowe 2 19 17" xfId="9249"/>
    <cellStyle name="Dane wejściowe 2 19 17 2" xfId="9250"/>
    <cellStyle name="Dane wejściowe 2 19 17 3" xfId="9251"/>
    <cellStyle name="Dane wejściowe 2 19 17 4" xfId="9252"/>
    <cellStyle name="Dane wejściowe 2 19 18" xfId="9253"/>
    <cellStyle name="Dane wejściowe 2 19 18 2" xfId="9254"/>
    <cellStyle name="Dane wejściowe 2 19 18 3" xfId="9255"/>
    <cellStyle name="Dane wejściowe 2 19 18 4" xfId="9256"/>
    <cellStyle name="Dane wejściowe 2 19 19" xfId="9257"/>
    <cellStyle name="Dane wejściowe 2 19 19 2" xfId="9258"/>
    <cellStyle name="Dane wejściowe 2 19 19 3" xfId="9259"/>
    <cellStyle name="Dane wejściowe 2 19 19 4" xfId="9260"/>
    <cellStyle name="Dane wejściowe 2 19 2" xfId="9261"/>
    <cellStyle name="Dane wejściowe 2 19 2 2" xfId="9262"/>
    <cellStyle name="Dane wejściowe 2 19 2 3" xfId="9263"/>
    <cellStyle name="Dane wejściowe 2 19 2 4" xfId="9264"/>
    <cellStyle name="Dane wejściowe 2 19 20" xfId="9265"/>
    <cellStyle name="Dane wejściowe 2 19 20 2" xfId="9266"/>
    <cellStyle name="Dane wejściowe 2 19 20 3" xfId="9267"/>
    <cellStyle name="Dane wejściowe 2 19 20 4" xfId="9268"/>
    <cellStyle name="Dane wejściowe 2 19 21" xfId="9269"/>
    <cellStyle name="Dane wejściowe 2 19 21 2" xfId="9270"/>
    <cellStyle name="Dane wejściowe 2 19 21 3" xfId="9271"/>
    <cellStyle name="Dane wejściowe 2 19 22" xfId="9272"/>
    <cellStyle name="Dane wejściowe 2 19 22 2" xfId="9273"/>
    <cellStyle name="Dane wejściowe 2 19 22 3" xfId="9274"/>
    <cellStyle name="Dane wejściowe 2 19 23" xfId="9275"/>
    <cellStyle name="Dane wejściowe 2 19 23 2" xfId="9276"/>
    <cellStyle name="Dane wejściowe 2 19 23 3" xfId="9277"/>
    <cellStyle name="Dane wejściowe 2 19 24" xfId="9278"/>
    <cellStyle name="Dane wejściowe 2 19 24 2" xfId="9279"/>
    <cellStyle name="Dane wejściowe 2 19 24 3" xfId="9280"/>
    <cellStyle name="Dane wejściowe 2 19 25" xfId="9281"/>
    <cellStyle name="Dane wejściowe 2 19 25 2" xfId="9282"/>
    <cellStyle name="Dane wejściowe 2 19 25 3" xfId="9283"/>
    <cellStyle name="Dane wejściowe 2 19 26" xfId="9284"/>
    <cellStyle name="Dane wejściowe 2 19 26 2" xfId="9285"/>
    <cellStyle name="Dane wejściowe 2 19 26 3" xfId="9286"/>
    <cellStyle name="Dane wejściowe 2 19 27" xfId="9287"/>
    <cellStyle name="Dane wejściowe 2 19 27 2" xfId="9288"/>
    <cellStyle name="Dane wejściowe 2 19 27 3" xfId="9289"/>
    <cellStyle name="Dane wejściowe 2 19 28" xfId="9290"/>
    <cellStyle name="Dane wejściowe 2 19 28 2" xfId="9291"/>
    <cellStyle name="Dane wejściowe 2 19 28 3" xfId="9292"/>
    <cellStyle name="Dane wejściowe 2 19 29" xfId="9293"/>
    <cellStyle name="Dane wejściowe 2 19 29 2" xfId="9294"/>
    <cellStyle name="Dane wejściowe 2 19 29 3" xfId="9295"/>
    <cellStyle name="Dane wejściowe 2 19 3" xfId="9296"/>
    <cellStyle name="Dane wejściowe 2 19 3 2" xfId="9297"/>
    <cellStyle name="Dane wejściowe 2 19 3 3" xfId="9298"/>
    <cellStyle name="Dane wejściowe 2 19 3 4" xfId="9299"/>
    <cellStyle name="Dane wejściowe 2 19 30" xfId="9300"/>
    <cellStyle name="Dane wejściowe 2 19 30 2" xfId="9301"/>
    <cellStyle name="Dane wejściowe 2 19 30 3" xfId="9302"/>
    <cellStyle name="Dane wejściowe 2 19 31" xfId="9303"/>
    <cellStyle name="Dane wejściowe 2 19 31 2" xfId="9304"/>
    <cellStyle name="Dane wejściowe 2 19 31 3" xfId="9305"/>
    <cellStyle name="Dane wejściowe 2 19 32" xfId="9306"/>
    <cellStyle name="Dane wejściowe 2 19 32 2" xfId="9307"/>
    <cellStyle name="Dane wejściowe 2 19 32 3" xfId="9308"/>
    <cellStyle name="Dane wejściowe 2 19 33" xfId="9309"/>
    <cellStyle name="Dane wejściowe 2 19 33 2" xfId="9310"/>
    <cellStyle name="Dane wejściowe 2 19 33 3" xfId="9311"/>
    <cellStyle name="Dane wejściowe 2 19 34" xfId="9312"/>
    <cellStyle name="Dane wejściowe 2 19 34 2" xfId="9313"/>
    <cellStyle name="Dane wejściowe 2 19 34 3" xfId="9314"/>
    <cellStyle name="Dane wejściowe 2 19 35" xfId="9315"/>
    <cellStyle name="Dane wejściowe 2 19 35 2" xfId="9316"/>
    <cellStyle name="Dane wejściowe 2 19 35 3" xfId="9317"/>
    <cellStyle name="Dane wejściowe 2 19 36" xfId="9318"/>
    <cellStyle name="Dane wejściowe 2 19 36 2" xfId="9319"/>
    <cellStyle name="Dane wejściowe 2 19 36 3" xfId="9320"/>
    <cellStyle name="Dane wejściowe 2 19 37" xfId="9321"/>
    <cellStyle name="Dane wejściowe 2 19 37 2" xfId="9322"/>
    <cellStyle name="Dane wejściowe 2 19 37 3" xfId="9323"/>
    <cellStyle name="Dane wejściowe 2 19 38" xfId="9324"/>
    <cellStyle name="Dane wejściowe 2 19 38 2" xfId="9325"/>
    <cellStyle name="Dane wejściowe 2 19 38 3" xfId="9326"/>
    <cellStyle name="Dane wejściowe 2 19 39" xfId="9327"/>
    <cellStyle name="Dane wejściowe 2 19 39 2" xfId="9328"/>
    <cellStyle name="Dane wejściowe 2 19 39 3" xfId="9329"/>
    <cellStyle name="Dane wejściowe 2 19 4" xfId="9330"/>
    <cellStyle name="Dane wejściowe 2 19 4 2" xfId="9331"/>
    <cellStyle name="Dane wejściowe 2 19 4 3" xfId="9332"/>
    <cellStyle name="Dane wejściowe 2 19 4 4" xfId="9333"/>
    <cellStyle name="Dane wejściowe 2 19 40" xfId="9334"/>
    <cellStyle name="Dane wejściowe 2 19 40 2" xfId="9335"/>
    <cellStyle name="Dane wejściowe 2 19 40 3" xfId="9336"/>
    <cellStyle name="Dane wejściowe 2 19 41" xfId="9337"/>
    <cellStyle name="Dane wejściowe 2 19 41 2" xfId="9338"/>
    <cellStyle name="Dane wejściowe 2 19 41 3" xfId="9339"/>
    <cellStyle name="Dane wejściowe 2 19 42" xfId="9340"/>
    <cellStyle name="Dane wejściowe 2 19 42 2" xfId="9341"/>
    <cellStyle name="Dane wejściowe 2 19 42 3" xfId="9342"/>
    <cellStyle name="Dane wejściowe 2 19 43" xfId="9343"/>
    <cellStyle name="Dane wejściowe 2 19 43 2" xfId="9344"/>
    <cellStyle name="Dane wejściowe 2 19 43 3" xfId="9345"/>
    <cellStyle name="Dane wejściowe 2 19 44" xfId="9346"/>
    <cellStyle name="Dane wejściowe 2 19 44 2" xfId="9347"/>
    <cellStyle name="Dane wejściowe 2 19 44 3" xfId="9348"/>
    <cellStyle name="Dane wejściowe 2 19 45" xfId="9349"/>
    <cellStyle name="Dane wejściowe 2 19 45 2" xfId="9350"/>
    <cellStyle name="Dane wejściowe 2 19 45 3" xfId="9351"/>
    <cellStyle name="Dane wejściowe 2 19 46" xfId="9352"/>
    <cellStyle name="Dane wejściowe 2 19 46 2" xfId="9353"/>
    <cellStyle name="Dane wejściowe 2 19 46 3" xfId="9354"/>
    <cellStyle name="Dane wejściowe 2 19 47" xfId="9355"/>
    <cellStyle name="Dane wejściowe 2 19 47 2" xfId="9356"/>
    <cellStyle name="Dane wejściowe 2 19 47 3" xfId="9357"/>
    <cellStyle name="Dane wejściowe 2 19 48" xfId="9358"/>
    <cellStyle name="Dane wejściowe 2 19 48 2" xfId="9359"/>
    <cellStyle name="Dane wejściowe 2 19 48 3" xfId="9360"/>
    <cellStyle name="Dane wejściowe 2 19 49" xfId="9361"/>
    <cellStyle name="Dane wejściowe 2 19 49 2" xfId="9362"/>
    <cellStyle name="Dane wejściowe 2 19 49 3" xfId="9363"/>
    <cellStyle name="Dane wejściowe 2 19 5" xfId="9364"/>
    <cellStyle name="Dane wejściowe 2 19 5 2" xfId="9365"/>
    <cellStyle name="Dane wejściowe 2 19 5 3" xfId="9366"/>
    <cellStyle name="Dane wejściowe 2 19 5 4" xfId="9367"/>
    <cellStyle name="Dane wejściowe 2 19 50" xfId="9368"/>
    <cellStyle name="Dane wejściowe 2 19 50 2" xfId="9369"/>
    <cellStyle name="Dane wejściowe 2 19 50 3" xfId="9370"/>
    <cellStyle name="Dane wejściowe 2 19 51" xfId="9371"/>
    <cellStyle name="Dane wejściowe 2 19 51 2" xfId="9372"/>
    <cellStyle name="Dane wejściowe 2 19 51 3" xfId="9373"/>
    <cellStyle name="Dane wejściowe 2 19 52" xfId="9374"/>
    <cellStyle name="Dane wejściowe 2 19 52 2" xfId="9375"/>
    <cellStyle name="Dane wejściowe 2 19 52 3" xfId="9376"/>
    <cellStyle name="Dane wejściowe 2 19 53" xfId="9377"/>
    <cellStyle name="Dane wejściowe 2 19 53 2" xfId="9378"/>
    <cellStyle name="Dane wejściowe 2 19 53 3" xfId="9379"/>
    <cellStyle name="Dane wejściowe 2 19 54" xfId="9380"/>
    <cellStyle name="Dane wejściowe 2 19 54 2" xfId="9381"/>
    <cellStyle name="Dane wejściowe 2 19 54 3" xfId="9382"/>
    <cellStyle name="Dane wejściowe 2 19 55" xfId="9383"/>
    <cellStyle name="Dane wejściowe 2 19 55 2" xfId="9384"/>
    <cellStyle name="Dane wejściowe 2 19 55 3" xfId="9385"/>
    <cellStyle name="Dane wejściowe 2 19 56" xfId="9386"/>
    <cellStyle name="Dane wejściowe 2 19 56 2" xfId="9387"/>
    <cellStyle name="Dane wejściowe 2 19 56 3" xfId="9388"/>
    <cellStyle name="Dane wejściowe 2 19 57" xfId="9389"/>
    <cellStyle name="Dane wejściowe 2 19 58" xfId="9390"/>
    <cellStyle name="Dane wejściowe 2 19 6" xfId="9391"/>
    <cellStyle name="Dane wejściowe 2 19 6 2" xfId="9392"/>
    <cellStyle name="Dane wejściowe 2 19 6 3" xfId="9393"/>
    <cellStyle name="Dane wejściowe 2 19 6 4" xfId="9394"/>
    <cellStyle name="Dane wejściowe 2 19 7" xfId="9395"/>
    <cellStyle name="Dane wejściowe 2 19 7 2" xfId="9396"/>
    <cellStyle name="Dane wejściowe 2 19 7 3" xfId="9397"/>
    <cellStyle name="Dane wejściowe 2 19 7 4" xfId="9398"/>
    <cellStyle name="Dane wejściowe 2 19 8" xfId="9399"/>
    <cellStyle name="Dane wejściowe 2 19 8 2" xfId="9400"/>
    <cellStyle name="Dane wejściowe 2 19 8 3" xfId="9401"/>
    <cellStyle name="Dane wejściowe 2 19 8 4" xfId="9402"/>
    <cellStyle name="Dane wejściowe 2 19 9" xfId="9403"/>
    <cellStyle name="Dane wejściowe 2 19 9 2" xfId="9404"/>
    <cellStyle name="Dane wejściowe 2 19 9 3" xfId="9405"/>
    <cellStyle name="Dane wejściowe 2 19 9 4" xfId="9406"/>
    <cellStyle name="Dane wejściowe 2 2" xfId="9407"/>
    <cellStyle name="Dane wejściowe 2 2 10" xfId="9408"/>
    <cellStyle name="Dane wejściowe 2 2 10 2" xfId="9409"/>
    <cellStyle name="Dane wejściowe 2 2 10 3" xfId="9410"/>
    <cellStyle name="Dane wejściowe 2 2 10 4" xfId="9411"/>
    <cellStyle name="Dane wejściowe 2 2 11" xfId="9412"/>
    <cellStyle name="Dane wejściowe 2 2 11 2" xfId="9413"/>
    <cellStyle name="Dane wejściowe 2 2 11 3" xfId="9414"/>
    <cellStyle name="Dane wejściowe 2 2 11 4" xfId="9415"/>
    <cellStyle name="Dane wejściowe 2 2 12" xfId="9416"/>
    <cellStyle name="Dane wejściowe 2 2 12 2" xfId="9417"/>
    <cellStyle name="Dane wejściowe 2 2 12 3" xfId="9418"/>
    <cellStyle name="Dane wejściowe 2 2 12 4" xfId="9419"/>
    <cellStyle name="Dane wejściowe 2 2 13" xfId="9420"/>
    <cellStyle name="Dane wejściowe 2 2 13 2" xfId="9421"/>
    <cellStyle name="Dane wejściowe 2 2 13 3" xfId="9422"/>
    <cellStyle name="Dane wejściowe 2 2 13 4" xfId="9423"/>
    <cellStyle name="Dane wejściowe 2 2 14" xfId="9424"/>
    <cellStyle name="Dane wejściowe 2 2 14 2" xfId="9425"/>
    <cellStyle name="Dane wejściowe 2 2 14 3" xfId="9426"/>
    <cellStyle name="Dane wejściowe 2 2 14 4" xfId="9427"/>
    <cellStyle name="Dane wejściowe 2 2 15" xfId="9428"/>
    <cellStyle name="Dane wejściowe 2 2 15 2" xfId="9429"/>
    <cellStyle name="Dane wejściowe 2 2 15 3" xfId="9430"/>
    <cellStyle name="Dane wejściowe 2 2 15 4" xfId="9431"/>
    <cellStyle name="Dane wejściowe 2 2 16" xfId="9432"/>
    <cellStyle name="Dane wejściowe 2 2 16 2" xfId="9433"/>
    <cellStyle name="Dane wejściowe 2 2 16 3" xfId="9434"/>
    <cellStyle name="Dane wejściowe 2 2 16 4" xfId="9435"/>
    <cellStyle name="Dane wejściowe 2 2 17" xfId="9436"/>
    <cellStyle name="Dane wejściowe 2 2 17 2" xfId="9437"/>
    <cellStyle name="Dane wejściowe 2 2 17 3" xfId="9438"/>
    <cellStyle name="Dane wejściowe 2 2 17 4" xfId="9439"/>
    <cellStyle name="Dane wejściowe 2 2 18" xfId="9440"/>
    <cellStyle name="Dane wejściowe 2 2 18 2" xfId="9441"/>
    <cellStyle name="Dane wejściowe 2 2 18 3" xfId="9442"/>
    <cellStyle name="Dane wejściowe 2 2 18 4" xfId="9443"/>
    <cellStyle name="Dane wejściowe 2 2 19" xfId="9444"/>
    <cellStyle name="Dane wejściowe 2 2 19 2" xfId="9445"/>
    <cellStyle name="Dane wejściowe 2 2 19 3" xfId="9446"/>
    <cellStyle name="Dane wejściowe 2 2 19 4" xfId="9447"/>
    <cellStyle name="Dane wejściowe 2 2 2" xfId="9448"/>
    <cellStyle name="Dane wejściowe 2 2 2 2" xfId="9449"/>
    <cellStyle name="Dane wejściowe 2 2 2 3" xfId="9450"/>
    <cellStyle name="Dane wejściowe 2 2 2 4" xfId="9451"/>
    <cellStyle name="Dane wejściowe 2 2 20" xfId="9452"/>
    <cellStyle name="Dane wejściowe 2 2 20 2" xfId="9453"/>
    <cellStyle name="Dane wejściowe 2 2 20 3" xfId="9454"/>
    <cellStyle name="Dane wejściowe 2 2 20 4" xfId="9455"/>
    <cellStyle name="Dane wejściowe 2 2 21" xfId="9456"/>
    <cellStyle name="Dane wejściowe 2 2 21 2" xfId="9457"/>
    <cellStyle name="Dane wejściowe 2 2 21 3" xfId="9458"/>
    <cellStyle name="Dane wejściowe 2 2 22" xfId="9459"/>
    <cellStyle name="Dane wejściowe 2 2 22 2" xfId="9460"/>
    <cellStyle name="Dane wejściowe 2 2 22 3" xfId="9461"/>
    <cellStyle name="Dane wejściowe 2 2 22 4" xfId="9462"/>
    <cellStyle name="Dane wejściowe 2 2 23" xfId="9463"/>
    <cellStyle name="Dane wejściowe 2 2 23 2" xfId="9464"/>
    <cellStyle name="Dane wejściowe 2 2 23 3" xfId="9465"/>
    <cellStyle name="Dane wejściowe 2 2 23 4" xfId="9466"/>
    <cellStyle name="Dane wejściowe 2 2 24" xfId="9467"/>
    <cellStyle name="Dane wejściowe 2 2 24 2" xfId="9468"/>
    <cellStyle name="Dane wejściowe 2 2 24 3" xfId="9469"/>
    <cellStyle name="Dane wejściowe 2 2 24 4" xfId="9470"/>
    <cellStyle name="Dane wejściowe 2 2 25" xfId="9471"/>
    <cellStyle name="Dane wejściowe 2 2 25 2" xfId="9472"/>
    <cellStyle name="Dane wejściowe 2 2 25 3" xfId="9473"/>
    <cellStyle name="Dane wejściowe 2 2 26" xfId="9474"/>
    <cellStyle name="Dane wejściowe 2 2 26 2" xfId="9475"/>
    <cellStyle name="Dane wejściowe 2 2 26 3" xfId="9476"/>
    <cellStyle name="Dane wejściowe 2 2 27" xfId="9477"/>
    <cellStyle name="Dane wejściowe 2 2 27 2" xfId="9478"/>
    <cellStyle name="Dane wejściowe 2 2 27 3" xfId="9479"/>
    <cellStyle name="Dane wejściowe 2 2 28" xfId="9480"/>
    <cellStyle name="Dane wejściowe 2 2 28 2" xfId="9481"/>
    <cellStyle name="Dane wejściowe 2 2 28 3" xfId="9482"/>
    <cellStyle name="Dane wejściowe 2 2 29" xfId="9483"/>
    <cellStyle name="Dane wejściowe 2 2 29 2" xfId="9484"/>
    <cellStyle name="Dane wejściowe 2 2 29 3" xfId="9485"/>
    <cellStyle name="Dane wejściowe 2 2 3" xfId="9486"/>
    <cellStyle name="Dane wejściowe 2 2 3 2" xfId="9487"/>
    <cellStyle name="Dane wejściowe 2 2 3 3" xfId="9488"/>
    <cellStyle name="Dane wejściowe 2 2 3 4" xfId="9489"/>
    <cellStyle name="Dane wejściowe 2 2 30" xfId="9490"/>
    <cellStyle name="Dane wejściowe 2 2 30 2" xfId="9491"/>
    <cellStyle name="Dane wejściowe 2 2 30 3" xfId="9492"/>
    <cellStyle name="Dane wejściowe 2 2 31" xfId="9493"/>
    <cellStyle name="Dane wejściowe 2 2 31 2" xfId="9494"/>
    <cellStyle name="Dane wejściowe 2 2 31 3" xfId="9495"/>
    <cellStyle name="Dane wejściowe 2 2 32" xfId="9496"/>
    <cellStyle name="Dane wejściowe 2 2 32 2" xfId="9497"/>
    <cellStyle name="Dane wejściowe 2 2 32 3" xfId="9498"/>
    <cellStyle name="Dane wejściowe 2 2 33" xfId="9499"/>
    <cellStyle name="Dane wejściowe 2 2 33 2" xfId="9500"/>
    <cellStyle name="Dane wejściowe 2 2 33 3" xfId="9501"/>
    <cellStyle name="Dane wejściowe 2 2 34" xfId="9502"/>
    <cellStyle name="Dane wejściowe 2 2 34 2" xfId="9503"/>
    <cellStyle name="Dane wejściowe 2 2 34 3" xfId="9504"/>
    <cellStyle name="Dane wejściowe 2 2 35" xfId="9505"/>
    <cellStyle name="Dane wejściowe 2 2 35 2" xfId="9506"/>
    <cellStyle name="Dane wejściowe 2 2 35 3" xfId="9507"/>
    <cellStyle name="Dane wejściowe 2 2 36" xfId="9508"/>
    <cellStyle name="Dane wejściowe 2 2 36 2" xfId="9509"/>
    <cellStyle name="Dane wejściowe 2 2 36 3" xfId="9510"/>
    <cellStyle name="Dane wejściowe 2 2 37" xfId="9511"/>
    <cellStyle name="Dane wejściowe 2 2 37 2" xfId="9512"/>
    <cellStyle name="Dane wejściowe 2 2 37 3" xfId="9513"/>
    <cellStyle name="Dane wejściowe 2 2 38" xfId="9514"/>
    <cellStyle name="Dane wejściowe 2 2 38 2" xfId="9515"/>
    <cellStyle name="Dane wejściowe 2 2 38 3" xfId="9516"/>
    <cellStyle name="Dane wejściowe 2 2 39" xfId="9517"/>
    <cellStyle name="Dane wejściowe 2 2 39 2" xfId="9518"/>
    <cellStyle name="Dane wejściowe 2 2 39 3" xfId="9519"/>
    <cellStyle name="Dane wejściowe 2 2 4" xfId="9520"/>
    <cellStyle name="Dane wejściowe 2 2 4 2" xfId="9521"/>
    <cellStyle name="Dane wejściowe 2 2 4 3" xfId="9522"/>
    <cellStyle name="Dane wejściowe 2 2 4 4" xfId="9523"/>
    <cellStyle name="Dane wejściowe 2 2 40" xfId="9524"/>
    <cellStyle name="Dane wejściowe 2 2 40 2" xfId="9525"/>
    <cellStyle name="Dane wejściowe 2 2 40 3" xfId="9526"/>
    <cellStyle name="Dane wejściowe 2 2 41" xfId="9527"/>
    <cellStyle name="Dane wejściowe 2 2 41 2" xfId="9528"/>
    <cellStyle name="Dane wejściowe 2 2 41 3" xfId="9529"/>
    <cellStyle name="Dane wejściowe 2 2 42" xfId="9530"/>
    <cellStyle name="Dane wejściowe 2 2 42 2" xfId="9531"/>
    <cellStyle name="Dane wejściowe 2 2 42 3" xfId="9532"/>
    <cellStyle name="Dane wejściowe 2 2 43" xfId="9533"/>
    <cellStyle name="Dane wejściowe 2 2 43 2" xfId="9534"/>
    <cellStyle name="Dane wejściowe 2 2 43 3" xfId="9535"/>
    <cellStyle name="Dane wejściowe 2 2 44" xfId="9536"/>
    <cellStyle name="Dane wejściowe 2 2 44 2" xfId="9537"/>
    <cellStyle name="Dane wejściowe 2 2 44 3" xfId="9538"/>
    <cellStyle name="Dane wejściowe 2 2 45" xfId="9539"/>
    <cellStyle name="Dane wejściowe 2 2 45 2" xfId="9540"/>
    <cellStyle name="Dane wejściowe 2 2 45 3" xfId="9541"/>
    <cellStyle name="Dane wejściowe 2 2 46" xfId="9542"/>
    <cellStyle name="Dane wejściowe 2 2 46 2" xfId="9543"/>
    <cellStyle name="Dane wejściowe 2 2 46 3" xfId="9544"/>
    <cellStyle name="Dane wejściowe 2 2 47" xfId="9545"/>
    <cellStyle name="Dane wejściowe 2 2 47 2" xfId="9546"/>
    <cellStyle name="Dane wejściowe 2 2 47 3" xfId="9547"/>
    <cellStyle name="Dane wejściowe 2 2 48" xfId="9548"/>
    <cellStyle name="Dane wejściowe 2 2 48 2" xfId="9549"/>
    <cellStyle name="Dane wejściowe 2 2 48 3" xfId="9550"/>
    <cellStyle name="Dane wejściowe 2 2 49" xfId="9551"/>
    <cellStyle name="Dane wejściowe 2 2 49 2" xfId="9552"/>
    <cellStyle name="Dane wejściowe 2 2 49 3" xfId="9553"/>
    <cellStyle name="Dane wejściowe 2 2 5" xfId="9554"/>
    <cellStyle name="Dane wejściowe 2 2 5 2" xfId="9555"/>
    <cellStyle name="Dane wejściowe 2 2 5 3" xfId="9556"/>
    <cellStyle name="Dane wejściowe 2 2 5 4" xfId="9557"/>
    <cellStyle name="Dane wejściowe 2 2 50" xfId="9558"/>
    <cellStyle name="Dane wejściowe 2 2 50 2" xfId="9559"/>
    <cellStyle name="Dane wejściowe 2 2 50 3" xfId="9560"/>
    <cellStyle name="Dane wejściowe 2 2 51" xfId="9561"/>
    <cellStyle name="Dane wejściowe 2 2 51 2" xfId="9562"/>
    <cellStyle name="Dane wejściowe 2 2 51 3" xfId="9563"/>
    <cellStyle name="Dane wejściowe 2 2 52" xfId="9564"/>
    <cellStyle name="Dane wejściowe 2 2 52 2" xfId="9565"/>
    <cellStyle name="Dane wejściowe 2 2 52 3" xfId="9566"/>
    <cellStyle name="Dane wejściowe 2 2 53" xfId="9567"/>
    <cellStyle name="Dane wejściowe 2 2 53 2" xfId="9568"/>
    <cellStyle name="Dane wejściowe 2 2 53 3" xfId="9569"/>
    <cellStyle name="Dane wejściowe 2 2 54" xfId="9570"/>
    <cellStyle name="Dane wejściowe 2 2 54 2" xfId="9571"/>
    <cellStyle name="Dane wejściowe 2 2 54 3" xfId="9572"/>
    <cellStyle name="Dane wejściowe 2 2 55" xfId="9573"/>
    <cellStyle name="Dane wejściowe 2 2 55 2" xfId="9574"/>
    <cellStyle name="Dane wejściowe 2 2 55 3" xfId="9575"/>
    <cellStyle name="Dane wejściowe 2 2 56" xfId="9576"/>
    <cellStyle name="Dane wejściowe 2 2 56 2" xfId="9577"/>
    <cellStyle name="Dane wejściowe 2 2 56 3" xfId="9578"/>
    <cellStyle name="Dane wejściowe 2 2 57" xfId="9579"/>
    <cellStyle name="Dane wejściowe 2 2 58" xfId="9580"/>
    <cellStyle name="Dane wejściowe 2 2 59" xfId="9581"/>
    <cellStyle name="Dane wejściowe 2 2 6" xfId="9582"/>
    <cellStyle name="Dane wejściowe 2 2 6 2" xfId="9583"/>
    <cellStyle name="Dane wejściowe 2 2 6 3" xfId="9584"/>
    <cellStyle name="Dane wejściowe 2 2 6 4" xfId="9585"/>
    <cellStyle name="Dane wejściowe 2 2 7" xfId="9586"/>
    <cellStyle name="Dane wejściowe 2 2 7 2" xfId="9587"/>
    <cellStyle name="Dane wejściowe 2 2 7 3" xfId="9588"/>
    <cellStyle name="Dane wejściowe 2 2 7 4" xfId="9589"/>
    <cellStyle name="Dane wejściowe 2 2 8" xfId="9590"/>
    <cellStyle name="Dane wejściowe 2 2 8 2" xfId="9591"/>
    <cellStyle name="Dane wejściowe 2 2 8 3" xfId="9592"/>
    <cellStyle name="Dane wejściowe 2 2 8 4" xfId="9593"/>
    <cellStyle name="Dane wejściowe 2 2 9" xfId="9594"/>
    <cellStyle name="Dane wejściowe 2 2 9 2" xfId="9595"/>
    <cellStyle name="Dane wejściowe 2 2 9 3" xfId="9596"/>
    <cellStyle name="Dane wejściowe 2 2 9 4" xfId="9597"/>
    <cellStyle name="Dane wejściowe 2 20" xfId="9598"/>
    <cellStyle name="Dane wejściowe 2 20 10" xfId="9599"/>
    <cellStyle name="Dane wejściowe 2 20 10 2" xfId="9600"/>
    <cellStyle name="Dane wejściowe 2 20 10 3" xfId="9601"/>
    <cellStyle name="Dane wejściowe 2 20 10 4" xfId="9602"/>
    <cellStyle name="Dane wejściowe 2 20 11" xfId="9603"/>
    <cellStyle name="Dane wejściowe 2 20 11 2" xfId="9604"/>
    <cellStyle name="Dane wejściowe 2 20 11 3" xfId="9605"/>
    <cellStyle name="Dane wejściowe 2 20 11 4" xfId="9606"/>
    <cellStyle name="Dane wejściowe 2 20 12" xfId="9607"/>
    <cellStyle name="Dane wejściowe 2 20 12 2" xfId="9608"/>
    <cellStyle name="Dane wejściowe 2 20 12 3" xfId="9609"/>
    <cellStyle name="Dane wejściowe 2 20 12 4" xfId="9610"/>
    <cellStyle name="Dane wejściowe 2 20 13" xfId="9611"/>
    <cellStyle name="Dane wejściowe 2 20 13 2" xfId="9612"/>
    <cellStyle name="Dane wejściowe 2 20 13 3" xfId="9613"/>
    <cellStyle name="Dane wejściowe 2 20 13 4" xfId="9614"/>
    <cellStyle name="Dane wejściowe 2 20 14" xfId="9615"/>
    <cellStyle name="Dane wejściowe 2 20 14 2" xfId="9616"/>
    <cellStyle name="Dane wejściowe 2 20 14 3" xfId="9617"/>
    <cellStyle name="Dane wejściowe 2 20 14 4" xfId="9618"/>
    <cellStyle name="Dane wejściowe 2 20 15" xfId="9619"/>
    <cellStyle name="Dane wejściowe 2 20 15 2" xfId="9620"/>
    <cellStyle name="Dane wejściowe 2 20 15 3" xfId="9621"/>
    <cellStyle name="Dane wejściowe 2 20 15 4" xfId="9622"/>
    <cellStyle name="Dane wejściowe 2 20 16" xfId="9623"/>
    <cellStyle name="Dane wejściowe 2 20 16 2" xfId="9624"/>
    <cellStyle name="Dane wejściowe 2 20 16 3" xfId="9625"/>
    <cellStyle name="Dane wejściowe 2 20 16 4" xfId="9626"/>
    <cellStyle name="Dane wejściowe 2 20 17" xfId="9627"/>
    <cellStyle name="Dane wejściowe 2 20 17 2" xfId="9628"/>
    <cellStyle name="Dane wejściowe 2 20 17 3" xfId="9629"/>
    <cellStyle name="Dane wejściowe 2 20 17 4" xfId="9630"/>
    <cellStyle name="Dane wejściowe 2 20 18" xfId="9631"/>
    <cellStyle name="Dane wejściowe 2 20 18 2" xfId="9632"/>
    <cellStyle name="Dane wejściowe 2 20 18 3" xfId="9633"/>
    <cellStyle name="Dane wejściowe 2 20 18 4" xfId="9634"/>
    <cellStyle name="Dane wejściowe 2 20 19" xfId="9635"/>
    <cellStyle name="Dane wejściowe 2 20 19 2" xfId="9636"/>
    <cellStyle name="Dane wejściowe 2 20 19 3" xfId="9637"/>
    <cellStyle name="Dane wejściowe 2 20 19 4" xfId="9638"/>
    <cellStyle name="Dane wejściowe 2 20 2" xfId="9639"/>
    <cellStyle name="Dane wejściowe 2 20 2 2" xfId="9640"/>
    <cellStyle name="Dane wejściowe 2 20 2 3" xfId="9641"/>
    <cellStyle name="Dane wejściowe 2 20 2 4" xfId="9642"/>
    <cellStyle name="Dane wejściowe 2 20 20" xfId="9643"/>
    <cellStyle name="Dane wejściowe 2 20 20 2" xfId="9644"/>
    <cellStyle name="Dane wejściowe 2 20 20 3" xfId="9645"/>
    <cellStyle name="Dane wejściowe 2 20 20 4" xfId="9646"/>
    <cellStyle name="Dane wejściowe 2 20 21" xfId="9647"/>
    <cellStyle name="Dane wejściowe 2 20 21 2" xfId="9648"/>
    <cellStyle name="Dane wejściowe 2 20 21 3" xfId="9649"/>
    <cellStyle name="Dane wejściowe 2 20 22" xfId="9650"/>
    <cellStyle name="Dane wejściowe 2 20 22 2" xfId="9651"/>
    <cellStyle name="Dane wejściowe 2 20 22 3" xfId="9652"/>
    <cellStyle name="Dane wejściowe 2 20 23" xfId="9653"/>
    <cellStyle name="Dane wejściowe 2 20 23 2" xfId="9654"/>
    <cellStyle name="Dane wejściowe 2 20 23 3" xfId="9655"/>
    <cellStyle name="Dane wejściowe 2 20 24" xfId="9656"/>
    <cellStyle name="Dane wejściowe 2 20 24 2" xfId="9657"/>
    <cellStyle name="Dane wejściowe 2 20 24 3" xfId="9658"/>
    <cellStyle name="Dane wejściowe 2 20 25" xfId="9659"/>
    <cellStyle name="Dane wejściowe 2 20 25 2" xfId="9660"/>
    <cellStyle name="Dane wejściowe 2 20 25 3" xfId="9661"/>
    <cellStyle name="Dane wejściowe 2 20 26" xfId="9662"/>
    <cellStyle name="Dane wejściowe 2 20 26 2" xfId="9663"/>
    <cellStyle name="Dane wejściowe 2 20 26 3" xfId="9664"/>
    <cellStyle name="Dane wejściowe 2 20 27" xfId="9665"/>
    <cellStyle name="Dane wejściowe 2 20 27 2" xfId="9666"/>
    <cellStyle name="Dane wejściowe 2 20 27 3" xfId="9667"/>
    <cellStyle name="Dane wejściowe 2 20 28" xfId="9668"/>
    <cellStyle name="Dane wejściowe 2 20 28 2" xfId="9669"/>
    <cellStyle name="Dane wejściowe 2 20 28 3" xfId="9670"/>
    <cellStyle name="Dane wejściowe 2 20 29" xfId="9671"/>
    <cellStyle name="Dane wejściowe 2 20 29 2" xfId="9672"/>
    <cellStyle name="Dane wejściowe 2 20 29 3" xfId="9673"/>
    <cellStyle name="Dane wejściowe 2 20 3" xfId="9674"/>
    <cellStyle name="Dane wejściowe 2 20 3 2" xfId="9675"/>
    <cellStyle name="Dane wejściowe 2 20 3 3" xfId="9676"/>
    <cellStyle name="Dane wejściowe 2 20 3 4" xfId="9677"/>
    <cellStyle name="Dane wejściowe 2 20 30" xfId="9678"/>
    <cellStyle name="Dane wejściowe 2 20 30 2" xfId="9679"/>
    <cellStyle name="Dane wejściowe 2 20 30 3" xfId="9680"/>
    <cellStyle name="Dane wejściowe 2 20 31" xfId="9681"/>
    <cellStyle name="Dane wejściowe 2 20 31 2" xfId="9682"/>
    <cellStyle name="Dane wejściowe 2 20 31 3" xfId="9683"/>
    <cellStyle name="Dane wejściowe 2 20 32" xfId="9684"/>
    <cellStyle name="Dane wejściowe 2 20 32 2" xfId="9685"/>
    <cellStyle name="Dane wejściowe 2 20 32 3" xfId="9686"/>
    <cellStyle name="Dane wejściowe 2 20 33" xfId="9687"/>
    <cellStyle name="Dane wejściowe 2 20 33 2" xfId="9688"/>
    <cellStyle name="Dane wejściowe 2 20 33 3" xfId="9689"/>
    <cellStyle name="Dane wejściowe 2 20 34" xfId="9690"/>
    <cellStyle name="Dane wejściowe 2 20 34 2" xfId="9691"/>
    <cellStyle name="Dane wejściowe 2 20 34 3" xfId="9692"/>
    <cellStyle name="Dane wejściowe 2 20 35" xfId="9693"/>
    <cellStyle name="Dane wejściowe 2 20 35 2" xfId="9694"/>
    <cellStyle name="Dane wejściowe 2 20 35 3" xfId="9695"/>
    <cellStyle name="Dane wejściowe 2 20 36" xfId="9696"/>
    <cellStyle name="Dane wejściowe 2 20 36 2" xfId="9697"/>
    <cellStyle name="Dane wejściowe 2 20 36 3" xfId="9698"/>
    <cellStyle name="Dane wejściowe 2 20 37" xfId="9699"/>
    <cellStyle name="Dane wejściowe 2 20 37 2" xfId="9700"/>
    <cellStyle name="Dane wejściowe 2 20 37 3" xfId="9701"/>
    <cellStyle name="Dane wejściowe 2 20 38" xfId="9702"/>
    <cellStyle name="Dane wejściowe 2 20 38 2" xfId="9703"/>
    <cellStyle name="Dane wejściowe 2 20 38 3" xfId="9704"/>
    <cellStyle name="Dane wejściowe 2 20 39" xfId="9705"/>
    <cellStyle name="Dane wejściowe 2 20 39 2" xfId="9706"/>
    <cellStyle name="Dane wejściowe 2 20 39 3" xfId="9707"/>
    <cellStyle name="Dane wejściowe 2 20 4" xfId="9708"/>
    <cellStyle name="Dane wejściowe 2 20 4 2" xfId="9709"/>
    <cellStyle name="Dane wejściowe 2 20 4 3" xfId="9710"/>
    <cellStyle name="Dane wejściowe 2 20 4 4" xfId="9711"/>
    <cellStyle name="Dane wejściowe 2 20 40" xfId="9712"/>
    <cellStyle name="Dane wejściowe 2 20 40 2" xfId="9713"/>
    <cellStyle name="Dane wejściowe 2 20 40 3" xfId="9714"/>
    <cellStyle name="Dane wejściowe 2 20 41" xfId="9715"/>
    <cellStyle name="Dane wejściowe 2 20 41 2" xfId="9716"/>
    <cellStyle name="Dane wejściowe 2 20 41 3" xfId="9717"/>
    <cellStyle name="Dane wejściowe 2 20 42" xfId="9718"/>
    <cellStyle name="Dane wejściowe 2 20 42 2" xfId="9719"/>
    <cellStyle name="Dane wejściowe 2 20 42 3" xfId="9720"/>
    <cellStyle name="Dane wejściowe 2 20 43" xfId="9721"/>
    <cellStyle name="Dane wejściowe 2 20 43 2" xfId="9722"/>
    <cellStyle name="Dane wejściowe 2 20 43 3" xfId="9723"/>
    <cellStyle name="Dane wejściowe 2 20 44" xfId="9724"/>
    <cellStyle name="Dane wejściowe 2 20 44 2" xfId="9725"/>
    <cellStyle name="Dane wejściowe 2 20 44 3" xfId="9726"/>
    <cellStyle name="Dane wejściowe 2 20 45" xfId="9727"/>
    <cellStyle name="Dane wejściowe 2 20 45 2" xfId="9728"/>
    <cellStyle name="Dane wejściowe 2 20 45 3" xfId="9729"/>
    <cellStyle name="Dane wejściowe 2 20 46" xfId="9730"/>
    <cellStyle name="Dane wejściowe 2 20 46 2" xfId="9731"/>
    <cellStyle name="Dane wejściowe 2 20 46 3" xfId="9732"/>
    <cellStyle name="Dane wejściowe 2 20 47" xfId="9733"/>
    <cellStyle name="Dane wejściowe 2 20 47 2" xfId="9734"/>
    <cellStyle name="Dane wejściowe 2 20 47 3" xfId="9735"/>
    <cellStyle name="Dane wejściowe 2 20 48" xfId="9736"/>
    <cellStyle name="Dane wejściowe 2 20 48 2" xfId="9737"/>
    <cellStyle name="Dane wejściowe 2 20 48 3" xfId="9738"/>
    <cellStyle name="Dane wejściowe 2 20 49" xfId="9739"/>
    <cellStyle name="Dane wejściowe 2 20 49 2" xfId="9740"/>
    <cellStyle name="Dane wejściowe 2 20 49 3" xfId="9741"/>
    <cellStyle name="Dane wejściowe 2 20 5" xfId="9742"/>
    <cellStyle name="Dane wejściowe 2 20 5 2" xfId="9743"/>
    <cellStyle name="Dane wejściowe 2 20 5 3" xfId="9744"/>
    <cellStyle name="Dane wejściowe 2 20 5 4" xfId="9745"/>
    <cellStyle name="Dane wejściowe 2 20 50" xfId="9746"/>
    <cellStyle name="Dane wejściowe 2 20 50 2" xfId="9747"/>
    <cellStyle name="Dane wejściowe 2 20 50 3" xfId="9748"/>
    <cellStyle name="Dane wejściowe 2 20 51" xfId="9749"/>
    <cellStyle name="Dane wejściowe 2 20 51 2" xfId="9750"/>
    <cellStyle name="Dane wejściowe 2 20 51 3" xfId="9751"/>
    <cellStyle name="Dane wejściowe 2 20 52" xfId="9752"/>
    <cellStyle name="Dane wejściowe 2 20 52 2" xfId="9753"/>
    <cellStyle name="Dane wejściowe 2 20 52 3" xfId="9754"/>
    <cellStyle name="Dane wejściowe 2 20 53" xfId="9755"/>
    <cellStyle name="Dane wejściowe 2 20 53 2" xfId="9756"/>
    <cellStyle name="Dane wejściowe 2 20 53 3" xfId="9757"/>
    <cellStyle name="Dane wejściowe 2 20 54" xfId="9758"/>
    <cellStyle name="Dane wejściowe 2 20 54 2" xfId="9759"/>
    <cellStyle name="Dane wejściowe 2 20 54 3" xfId="9760"/>
    <cellStyle name="Dane wejściowe 2 20 55" xfId="9761"/>
    <cellStyle name="Dane wejściowe 2 20 55 2" xfId="9762"/>
    <cellStyle name="Dane wejściowe 2 20 55 3" xfId="9763"/>
    <cellStyle name="Dane wejściowe 2 20 56" xfId="9764"/>
    <cellStyle name="Dane wejściowe 2 20 56 2" xfId="9765"/>
    <cellStyle name="Dane wejściowe 2 20 56 3" xfId="9766"/>
    <cellStyle name="Dane wejściowe 2 20 57" xfId="9767"/>
    <cellStyle name="Dane wejściowe 2 20 58" xfId="9768"/>
    <cellStyle name="Dane wejściowe 2 20 6" xfId="9769"/>
    <cellStyle name="Dane wejściowe 2 20 6 2" xfId="9770"/>
    <cellStyle name="Dane wejściowe 2 20 6 3" xfId="9771"/>
    <cellStyle name="Dane wejściowe 2 20 6 4" xfId="9772"/>
    <cellStyle name="Dane wejściowe 2 20 7" xfId="9773"/>
    <cellStyle name="Dane wejściowe 2 20 7 2" xfId="9774"/>
    <cellStyle name="Dane wejściowe 2 20 7 3" xfId="9775"/>
    <cellStyle name="Dane wejściowe 2 20 7 4" xfId="9776"/>
    <cellStyle name="Dane wejściowe 2 20 8" xfId="9777"/>
    <cellStyle name="Dane wejściowe 2 20 8 2" xfId="9778"/>
    <cellStyle name="Dane wejściowe 2 20 8 3" xfId="9779"/>
    <cellStyle name="Dane wejściowe 2 20 8 4" xfId="9780"/>
    <cellStyle name="Dane wejściowe 2 20 9" xfId="9781"/>
    <cellStyle name="Dane wejściowe 2 20 9 2" xfId="9782"/>
    <cellStyle name="Dane wejściowe 2 20 9 3" xfId="9783"/>
    <cellStyle name="Dane wejściowe 2 20 9 4" xfId="9784"/>
    <cellStyle name="Dane wejściowe 2 21" xfId="9785"/>
    <cellStyle name="Dane wejściowe 2 21 10" xfId="9786"/>
    <cellStyle name="Dane wejściowe 2 21 10 2" xfId="9787"/>
    <cellStyle name="Dane wejściowe 2 21 10 3" xfId="9788"/>
    <cellStyle name="Dane wejściowe 2 21 10 4" xfId="9789"/>
    <cellStyle name="Dane wejściowe 2 21 11" xfId="9790"/>
    <cellStyle name="Dane wejściowe 2 21 11 2" xfId="9791"/>
    <cellStyle name="Dane wejściowe 2 21 11 3" xfId="9792"/>
    <cellStyle name="Dane wejściowe 2 21 11 4" xfId="9793"/>
    <cellStyle name="Dane wejściowe 2 21 12" xfId="9794"/>
    <cellStyle name="Dane wejściowe 2 21 12 2" xfId="9795"/>
    <cellStyle name="Dane wejściowe 2 21 12 3" xfId="9796"/>
    <cellStyle name="Dane wejściowe 2 21 12 4" xfId="9797"/>
    <cellStyle name="Dane wejściowe 2 21 13" xfId="9798"/>
    <cellStyle name="Dane wejściowe 2 21 13 2" xfId="9799"/>
    <cellStyle name="Dane wejściowe 2 21 13 3" xfId="9800"/>
    <cellStyle name="Dane wejściowe 2 21 13 4" xfId="9801"/>
    <cellStyle name="Dane wejściowe 2 21 14" xfId="9802"/>
    <cellStyle name="Dane wejściowe 2 21 14 2" xfId="9803"/>
    <cellStyle name="Dane wejściowe 2 21 14 3" xfId="9804"/>
    <cellStyle name="Dane wejściowe 2 21 14 4" xfId="9805"/>
    <cellStyle name="Dane wejściowe 2 21 15" xfId="9806"/>
    <cellStyle name="Dane wejściowe 2 21 15 2" xfId="9807"/>
    <cellStyle name="Dane wejściowe 2 21 15 3" xfId="9808"/>
    <cellStyle name="Dane wejściowe 2 21 15 4" xfId="9809"/>
    <cellStyle name="Dane wejściowe 2 21 16" xfId="9810"/>
    <cellStyle name="Dane wejściowe 2 21 16 2" xfId="9811"/>
    <cellStyle name="Dane wejściowe 2 21 16 3" xfId="9812"/>
    <cellStyle name="Dane wejściowe 2 21 16 4" xfId="9813"/>
    <cellStyle name="Dane wejściowe 2 21 17" xfId="9814"/>
    <cellStyle name="Dane wejściowe 2 21 17 2" xfId="9815"/>
    <cellStyle name="Dane wejściowe 2 21 17 3" xfId="9816"/>
    <cellStyle name="Dane wejściowe 2 21 17 4" xfId="9817"/>
    <cellStyle name="Dane wejściowe 2 21 18" xfId="9818"/>
    <cellStyle name="Dane wejściowe 2 21 18 2" xfId="9819"/>
    <cellStyle name="Dane wejściowe 2 21 18 3" xfId="9820"/>
    <cellStyle name="Dane wejściowe 2 21 18 4" xfId="9821"/>
    <cellStyle name="Dane wejściowe 2 21 19" xfId="9822"/>
    <cellStyle name="Dane wejściowe 2 21 19 2" xfId="9823"/>
    <cellStyle name="Dane wejściowe 2 21 19 3" xfId="9824"/>
    <cellStyle name="Dane wejściowe 2 21 19 4" xfId="9825"/>
    <cellStyle name="Dane wejściowe 2 21 2" xfId="9826"/>
    <cellStyle name="Dane wejściowe 2 21 2 2" xfId="9827"/>
    <cellStyle name="Dane wejściowe 2 21 2 3" xfId="9828"/>
    <cellStyle name="Dane wejściowe 2 21 2 4" xfId="9829"/>
    <cellStyle name="Dane wejściowe 2 21 20" xfId="9830"/>
    <cellStyle name="Dane wejściowe 2 21 20 2" xfId="9831"/>
    <cellStyle name="Dane wejściowe 2 21 20 3" xfId="9832"/>
    <cellStyle name="Dane wejściowe 2 21 20 4" xfId="9833"/>
    <cellStyle name="Dane wejściowe 2 21 21" xfId="9834"/>
    <cellStyle name="Dane wejściowe 2 21 21 2" xfId="9835"/>
    <cellStyle name="Dane wejściowe 2 21 21 3" xfId="9836"/>
    <cellStyle name="Dane wejściowe 2 21 22" xfId="9837"/>
    <cellStyle name="Dane wejściowe 2 21 22 2" xfId="9838"/>
    <cellStyle name="Dane wejściowe 2 21 22 3" xfId="9839"/>
    <cellStyle name="Dane wejściowe 2 21 23" xfId="9840"/>
    <cellStyle name="Dane wejściowe 2 21 23 2" xfId="9841"/>
    <cellStyle name="Dane wejściowe 2 21 23 3" xfId="9842"/>
    <cellStyle name="Dane wejściowe 2 21 24" xfId="9843"/>
    <cellStyle name="Dane wejściowe 2 21 24 2" xfId="9844"/>
    <cellStyle name="Dane wejściowe 2 21 24 3" xfId="9845"/>
    <cellStyle name="Dane wejściowe 2 21 25" xfId="9846"/>
    <cellStyle name="Dane wejściowe 2 21 25 2" xfId="9847"/>
    <cellStyle name="Dane wejściowe 2 21 25 3" xfId="9848"/>
    <cellStyle name="Dane wejściowe 2 21 26" xfId="9849"/>
    <cellStyle name="Dane wejściowe 2 21 26 2" xfId="9850"/>
    <cellStyle name="Dane wejściowe 2 21 26 3" xfId="9851"/>
    <cellStyle name="Dane wejściowe 2 21 27" xfId="9852"/>
    <cellStyle name="Dane wejściowe 2 21 27 2" xfId="9853"/>
    <cellStyle name="Dane wejściowe 2 21 27 3" xfId="9854"/>
    <cellStyle name="Dane wejściowe 2 21 28" xfId="9855"/>
    <cellStyle name="Dane wejściowe 2 21 28 2" xfId="9856"/>
    <cellStyle name="Dane wejściowe 2 21 28 3" xfId="9857"/>
    <cellStyle name="Dane wejściowe 2 21 29" xfId="9858"/>
    <cellStyle name="Dane wejściowe 2 21 29 2" xfId="9859"/>
    <cellStyle name="Dane wejściowe 2 21 29 3" xfId="9860"/>
    <cellStyle name="Dane wejściowe 2 21 3" xfId="9861"/>
    <cellStyle name="Dane wejściowe 2 21 3 2" xfId="9862"/>
    <cellStyle name="Dane wejściowe 2 21 3 3" xfId="9863"/>
    <cellStyle name="Dane wejściowe 2 21 3 4" xfId="9864"/>
    <cellStyle name="Dane wejściowe 2 21 30" xfId="9865"/>
    <cellStyle name="Dane wejściowe 2 21 30 2" xfId="9866"/>
    <cellStyle name="Dane wejściowe 2 21 30 3" xfId="9867"/>
    <cellStyle name="Dane wejściowe 2 21 31" xfId="9868"/>
    <cellStyle name="Dane wejściowe 2 21 31 2" xfId="9869"/>
    <cellStyle name="Dane wejściowe 2 21 31 3" xfId="9870"/>
    <cellStyle name="Dane wejściowe 2 21 32" xfId="9871"/>
    <cellStyle name="Dane wejściowe 2 21 32 2" xfId="9872"/>
    <cellStyle name="Dane wejściowe 2 21 32 3" xfId="9873"/>
    <cellStyle name="Dane wejściowe 2 21 33" xfId="9874"/>
    <cellStyle name="Dane wejściowe 2 21 33 2" xfId="9875"/>
    <cellStyle name="Dane wejściowe 2 21 33 3" xfId="9876"/>
    <cellStyle name="Dane wejściowe 2 21 34" xfId="9877"/>
    <cellStyle name="Dane wejściowe 2 21 34 2" xfId="9878"/>
    <cellStyle name="Dane wejściowe 2 21 34 3" xfId="9879"/>
    <cellStyle name="Dane wejściowe 2 21 35" xfId="9880"/>
    <cellStyle name="Dane wejściowe 2 21 35 2" xfId="9881"/>
    <cellStyle name="Dane wejściowe 2 21 35 3" xfId="9882"/>
    <cellStyle name="Dane wejściowe 2 21 36" xfId="9883"/>
    <cellStyle name="Dane wejściowe 2 21 36 2" xfId="9884"/>
    <cellStyle name="Dane wejściowe 2 21 36 3" xfId="9885"/>
    <cellStyle name="Dane wejściowe 2 21 37" xfId="9886"/>
    <cellStyle name="Dane wejściowe 2 21 37 2" xfId="9887"/>
    <cellStyle name="Dane wejściowe 2 21 37 3" xfId="9888"/>
    <cellStyle name="Dane wejściowe 2 21 38" xfId="9889"/>
    <cellStyle name="Dane wejściowe 2 21 38 2" xfId="9890"/>
    <cellStyle name="Dane wejściowe 2 21 38 3" xfId="9891"/>
    <cellStyle name="Dane wejściowe 2 21 39" xfId="9892"/>
    <cellStyle name="Dane wejściowe 2 21 39 2" xfId="9893"/>
    <cellStyle name="Dane wejściowe 2 21 39 3" xfId="9894"/>
    <cellStyle name="Dane wejściowe 2 21 4" xfId="9895"/>
    <cellStyle name="Dane wejściowe 2 21 4 2" xfId="9896"/>
    <cellStyle name="Dane wejściowe 2 21 4 3" xfId="9897"/>
    <cellStyle name="Dane wejściowe 2 21 4 4" xfId="9898"/>
    <cellStyle name="Dane wejściowe 2 21 40" xfId="9899"/>
    <cellStyle name="Dane wejściowe 2 21 40 2" xfId="9900"/>
    <cellStyle name="Dane wejściowe 2 21 40 3" xfId="9901"/>
    <cellStyle name="Dane wejściowe 2 21 41" xfId="9902"/>
    <cellStyle name="Dane wejściowe 2 21 41 2" xfId="9903"/>
    <cellStyle name="Dane wejściowe 2 21 41 3" xfId="9904"/>
    <cellStyle name="Dane wejściowe 2 21 42" xfId="9905"/>
    <cellStyle name="Dane wejściowe 2 21 42 2" xfId="9906"/>
    <cellStyle name="Dane wejściowe 2 21 42 3" xfId="9907"/>
    <cellStyle name="Dane wejściowe 2 21 43" xfId="9908"/>
    <cellStyle name="Dane wejściowe 2 21 43 2" xfId="9909"/>
    <cellStyle name="Dane wejściowe 2 21 43 3" xfId="9910"/>
    <cellStyle name="Dane wejściowe 2 21 44" xfId="9911"/>
    <cellStyle name="Dane wejściowe 2 21 44 2" xfId="9912"/>
    <cellStyle name="Dane wejściowe 2 21 44 3" xfId="9913"/>
    <cellStyle name="Dane wejściowe 2 21 45" xfId="9914"/>
    <cellStyle name="Dane wejściowe 2 21 45 2" xfId="9915"/>
    <cellStyle name="Dane wejściowe 2 21 45 3" xfId="9916"/>
    <cellStyle name="Dane wejściowe 2 21 46" xfId="9917"/>
    <cellStyle name="Dane wejściowe 2 21 46 2" xfId="9918"/>
    <cellStyle name="Dane wejściowe 2 21 46 3" xfId="9919"/>
    <cellStyle name="Dane wejściowe 2 21 47" xfId="9920"/>
    <cellStyle name="Dane wejściowe 2 21 47 2" xfId="9921"/>
    <cellStyle name="Dane wejściowe 2 21 47 3" xfId="9922"/>
    <cellStyle name="Dane wejściowe 2 21 48" xfId="9923"/>
    <cellStyle name="Dane wejściowe 2 21 48 2" xfId="9924"/>
    <cellStyle name="Dane wejściowe 2 21 48 3" xfId="9925"/>
    <cellStyle name="Dane wejściowe 2 21 49" xfId="9926"/>
    <cellStyle name="Dane wejściowe 2 21 49 2" xfId="9927"/>
    <cellStyle name="Dane wejściowe 2 21 49 3" xfId="9928"/>
    <cellStyle name="Dane wejściowe 2 21 5" xfId="9929"/>
    <cellStyle name="Dane wejściowe 2 21 5 2" xfId="9930"/>
    <cellStyle name="Dane wejściowe 2 21 5 3" xfId="9931"/>
    <cellStyle name="Dane wejściowe 2 21 5 4" xfId="9932"/>
    <cellStyle name="Dane wejściowe 2 21 50" xfId="9933"/>
    <cellStyle name="Dane wejściowe 2 21 50 2" xfId="9934"/>
    <cellStyle name="Dane wejściowe 2 21 50 3" xfId="9935"/>
    <cellStyle name="Dane wejściowe 2 21 51" xfId="9936"/>
    <cellStyle name="Dane wejściowe 2 21 51 2" xfId="9937"/>
    <cellStyle name="Dane wejściowe 2 21 51 3" xfId="9938"/>
    <cellStyle name="Dane wejściowe 2 21 52" xfId="9939"/>
    <cellStyle name="Dane wejściowe 2 21 52 2" xfId="9940"/>
    <cellStyle name="Dane wejściowe 2 21 52 3" xfId="9941"/>
    <cellStyle name="Dane wejściowe 2 21 53" xfId="9942"/>
    <cellStyle name="Dane wejściowe 2 21 53 2" xfId="9943"/>
    <cellStyle name="Dane wejściowe 2 21 53 3" xfId="9944"/>
    <cellStyle name="Dane wejściowe 2 21 54" xfId="9945"/>
    <cellStyle name="Dane wejściowe 2 21 54 2" xfId="9946"/>
    <cellStyle name="Dane wejściowe 2 21 54 3" xfId="9947"/>
    <cellStyle name="Dane wejściowe 2 21 55" xfId="9948"/>
    <cellStyle name="Dane wejściowe 2 21 55 2" xfId="9949"/>
    <cellStyle name="Dane wejściowe 2 21 55 3" xfId="9950"/>
    <cellStyle name="Dane wejściowe 2 21 56" xfId="9951"/>
    <cellStyle name="Dane wejściowe 2 21 56 2" xfId="9952"/>
    <cellStyle name="Dane wejściowe 2 21 56 3" xfId="9953"/>
    <cellStyle name="Dane wejściowe 2 21 57" xfId="9954"/>
    <cellStyle name="Dane wejściowe 2 21 58" xfId="9955"/>
    <cellStyle name="Dane wejściowe 2 21 6" xfId="9956"/>
    <cellStyle name="Dane wejściowe 2 21 6 2" xfId="9957"/>
    <cellStyle name="Dane wejściowe 2 21 6 3" xfId="9958"/>
    <cellStyle name="Dane wejściowe 2 21 6 4" xfId="9959"/>
    <cellStyle name="Dane wejściowe 2 21 7" xfId="9960"/>
    <cellStyle name="Dane wejściowe 2 21 7 2" xfId="9961"/>
    <cellStyle name="Dane wejściowe 2 21 7 3" xfId="9962"/>
    <cellStyle name="Dane wejściowe 2 21 7 4" xfId="9963"/>
    <cellStyle name="Dane wejściowe 2 21 8" xfId="9964"/>
    <cellStyle name="Dane wejściowe 2 21 8 2" xfId="9965"/>
    <cellStyle name="Dane wejściowe 2 21 8 3" xfId="9966"/>
    <cellStyle name="Dane wejściowe 2 21 8 4" xfId="9967"/>
    <cellStyle name="Dane wejściowe 2 21 9" xfId="9968"/>
    <cellStyle name="Dane wejściowe 2 21 9 2" xfId="9969"/>
    <cellStyle name="Dane wejściowe 2 21 9 3" xfId="9970"/>
    <cellStyle name="Dane wejściowe 2 21 9 4" xfId="9971"/>
    <cellStyle name="Dane wejściowe 2 22" xfId="9972"/>
    <cellStyle name="Dane wejściowe 2 22 10" xfId="9973"/>
    <cellStyle name="Dane wejściowe 2 22 10 2" xfId="9974"/>
    <cellStyle name="Dane wejściowe 2 22 10 3" xfId="9975"/>
    <cellStyle name="Dane wejściowe 2 22 10 4" xfId="9976"/>
    <cellStyle name="Dane wejściowe 2 22 11" xfId="9977"/>
    <cellStyle name="Dane wejściowe 2 22 11 2" xfId="9978"/>
    <cellStyle name="Dane wejściowe 2 22 11 3" xfId="9979"/>
    <cellStyle name="Dane wejściowe 2 22 11 4" xfId="9980"/>
    <cellStyle name="Dane wejściowe 2 22 12" xfId="9981"/>
    <cellStyle name="Dane wejściowe 2 22 12 2" xfId="9982"/>
    <cellStyle name="Dane wejściowe 2 22 12 3" xfId="9983"/>
    <cellStyle name="Dane wejściowe 2 22 12 4" xfId="9984"/>
    <cellStyle name="Dane wejściowe 2 22 13" xfId="9985"/>
    <cellStyle name="Dane wejściowe 2 22 13 2" xfId="9986"/>
    <cellStyle name="Dane wejściowe 2 22 13 3" xfId="9987"/>
    <cellStyle name="Dane wejściowe 2 22 13 4" xfId="9988"/>
    <cellStyle name="Dane wejściowe 2 22 14" xfId="9989"/>
    <cellStyle name="Dane wejściowe 2 22 14 2" xfId="9990"/>
    <cellStyle name="Dane wejściowe 2 22 14 3" xfId="9991"/>
    <cellStyle name="Dane wejściowe 2 22 14 4" xfId="9992"/>
    <cellStyle name="Dane wejściowe 2 22 15" xfId="9993"/>
    <cellStyle name="Dane wejściowe 2 22 15 2" xfId="9994"/>
    <cellStyle name="Dane wejściowe 2 22 15 3" xfId="9995"/>
    <cellStyle name="Dane wejściowe 2 22 15 4" xfId="9996"/>
    <cellStyle name="Dane wejściowe 2 22 16" xfId="9997"/>
    <cellStyle name="Dane wejściowe 2 22 16 2" xfId="9998"/>
    <cellStyle name="Dane wejściowe 2 22 16 3" xfId="9999"/>
    <cellStyle name="Dane wejściowe 2 22 16 4" xfId="10000"/>
    <cellStyle name="Dane wejściowe 2 22 17" xfId="10001"/>
    <cellStyle name="Dane wejściowe 2 22 17 2" xfId="10002"/>
    <cellStyle name="Dane wejściowe 2 22 17 3" xfId="10003"/>
    <cellStyle name="Dane wejściowe 2 22 17 4" xfId="10004"/>
    <cellStyle name="Dane wejściowe 2 22 18" xfId="10005"/>
    <cellStyle name="Dane wejściowe 2 22 18 2" xfId="10006"/>
    <cellStyle name="Dane wejściowe 2 22 18 3" xfId="10007"/>
    <cellStyle name="Dane wejściowe 2 22 18 4" xfId="10008"/>
    <cellStyle name="Dane wejściowe 2 22 19" xfId="10009"/>
    <cellStyle name="Dane wejściowe 2 22 19 2" xfId="10010"/>
    <cellStyle name="Dane wejściowe 2 22 19 3" xfId="10011"/>
    <cellStyle name="Dane wejściowe 2 22 19 4" xfId="10012"/>
    <cellStyle name="Dane wejściowe 2 22 2" xfId="10013"/>
    <cellStyle name="Dane wejściowe 2 22 2 2" xfId="10014"/>
    <cellStyle name="Dane wejściowe 2 22 2 3" xfId="10015"/>
    <cellStyle name="Dane wejściowe 2 22 2 4" xfId="10016"/>
    <cellStyle name="Dane wejściowe 2 22 20" xfId="10017"/>
    <cellStyle name="Dane wejściowe 2 22 20 2" xfId="10018"/>
    <cellStyle name="Dane wejściowe 2 22 20 3" xfId="10019"/>
    <cellStyle name="Dane wejściowe 2 22 20 4" xfId="10020"/>
    <cellStyle name="Dane wejściowe 2 22 21" xfId="10021"/>
    <cellStyle name="Dane wejściowe 2 22 21 2" xfId="10022"/>
    <cellStyle name="Dane wejściowe 2 22 21 3" xfId="10023"/>
    <cellStyle name="Dane wejściowe 2 22 22" xfId="10024"/>
    <cellStyle name="Dane wejściowe 2 22 22 2" xfId="10025"/>
    <cellStyle name="Dane wejściowe 2 22 22 3" xfId="10026"/>
    <cellStyle name="Dane wejściowe 2 22 23" xfId="10027"/>
    <cellStyle name="Dane wejściowe 2 22 23 2" xfId="10028"/>
    <cellStyle name="Dane wejściowe 2 22 23 3" xfId="10029"/>
    <cellStyle name="Dane wejściowe 2 22 24" xfId="10030"/>
    <cellStyle name="Dane wejściowe 2 22 24 2" xfId="10031"/>
    <cellStyle name="Dane wejściowe 2 22 24 3" xfId="10032"/>
    <cellStyle name="Dane wejściowe 2 22 25" xfId="10033"/>
    <cellStyle name="Dane wejściowe 2 22 25 2" xfId="10034"/>
    <cellStyle name="Dane wejściowe 2 22 25 3" xfId="10035"/>
    <cellStyle name="Dane wejściowe 2 22 26" xfId="10036"/>
    <cellStyle name="Dane wejściowe 2 22 26 2" xfId="10037"/>
    <cellStyle name="Dane wejściowe 2 22 26 3" xfId="10038"/>
    <cellStyle name="Dane wejściowe 2 22 27" xfId="10039"/>
    <cellStyle name="Dane wejściowe 2 22 27 2" xfId="10040"/>
    <cellStyle name="Dane wejściowe 2 22 27 3" xfId="10041"/>
    <cellStyle name="Dane wejściowe 2 22 28" xfId="10042"/>
    <cellStyle name="Dane wejściowe 2 22 28 2" xfId="10043"/>
    <cellStyle name="Dane wejściowe 2 22 28 3" xfId="10044"/>
    <cellStyle name="Dane wejściowe 2 22 29" xfId="10045"/>
    <cellStyle name="Dane wejściowe 2 22 29 2" xfId="10046"/>
    <cellStyle name="Dane wejściowe 2 22 29 3" xfId="10047"/>
    <cellStyle name="Dane wejściowe 2 22 3" xfId="10048"/>
    <cellStyle name="Dane wejściowe 2 22 3 2" xfId="10049"/>
    <cellStyle name="Dane wejściowe 2 22 3 3" xfId="10050"/>
    <cellStyle name="Dane wejściowe 2 22 3 4" xfId="10051"/>
    <cellStyle name="Dane wejściowe 2 22 30" xfId="10052"/>
    <cellStyle name="Dane wejściowe 2 22 30 2" xfId="10053"/>
    <cellStyle name="Dane wejściowe 2 22 30 3" xfId="10054"/>
    <cellStyle name="Dane wejściowe 2 22 31" xfId="10055"/>
    <cellStyle name="Dane wejściowe 2 22 31 2" xfId="10056"/>
    <cellStyle name="Dane wejściowe 2 22 31 3" xfId="10057"/>
    <cellStyle name="Dane wejściowe 2 22 32" xfId="10058"/>
    <cellStyle name="Dane wejściowe 2 22 32 2" xfId="10059"/>
    <cellStyle name="Dane wejściowe 2 22 32 3" xfId="10060"/>
    <cellStyle name="Dane wejściowe 2 22 33" xfId="10061"/>
    <cellStyle name="Dane wejściowe 2 22 33 2" xfId="10062"/>
    <cellStyle name="Dane wejściowe 2 22 33 3" xfId="10063"/>
    <cellStyle name="Dane wejściowe 2 22 34" xfId="10064"/>
    <cellStyle name="Dane wejściowe 2 22 34 2" xfId="10065"/>
    <cellStyle name="Dane wejściowe 2 22 34 3" xfId="10066"/>
    <cellStyle name="Dane wejściowe 2 22 35" xfId="10067"/>
    <cellStyle name="Dane wejściowe 2 22 35 2" xfId="10068"/>
    <cellStyle name="Dane wejściowe 2 22 35 3" xfId="10069"/>
    <cellStyle name="Dane wejściowe 2 22 36" xfId="10070"/>
    <cellStyle name="Dane wejściowe 2 22 36 2" xfId="10071"/>
    <cellStyle name="Dane wejściowe 2 22 36 3" xfId="10072"/>
    <cellStyle name="Dane wejściowe 2 22 37" xfId="10073"/>
    <cellStyle name="Dane wejściowe 2 22 37 2" xfId="10074"/>
    <cellStyle name="Dane wejściowe 2 22 37 3" xfId="10075"/>
    <cellStyle name="Dane wejściowe 2 22 38" xfId="10076"/>
    <cellStyle name="Dane wejściowe 2 22 38 2" xfId="10077"/>
    <cellStyle name="Dane wejściowe 2 22 38 3" xfId="10078"/>
    <cellStyle name="Dane wejściowe 2 22 39" xfId="10079"/>
    <cellStyle name="Dane wejściowe 2 22 39 2" xfId="10080"/>
    <cellStyle name="Dane wejściowe 2 22 39 3" xfId="10081"/>
    <cellStyle name="Dane wejściowe 2 22 4" xfId="10082"/>
    <cellStyle name="Dane wejściowe 2 22 4 2" xfId="10083"/>
    <cellStyle name="Dane wejściowe 2 22 4 3" xfId="10084"/>
    <cellStyle name="Dane wejściowe 2 22 4 4" xfId="10085"/>
    <cellStyle name="Dane wejściowe 2 22 40" xfId="10086"/>
    <cellStyle name="Dane wejściowe 2 22 40 2" xfId="10087"/>
    <cellStyle name="Dane wejściowe 2 22 40 3" xfId="10088"/>
    <cellStyle name="Dane wejściowe 2 22 41" xfId="10089"/>
    <cellStyle name="Dane wejściowe 2 22 41 2" xfId="10090"/>
    <cellStyle name="Dane wejściowe 2 22 41 3" xfId="10091"/>
    <cellStyle name="Dane wejściowe 2 22 42" xfId="10092"/>
    <cellStyle name="Dane wejściowe 2 22 42 2" xfId="10093"/>
    <cellStyle name="Dane wejściowe 2 22 42 3" xfId="10094"/>
    <cellStyle name="Dane wejściowe 2 22 43" xfId="10095"/>
    <cellStyle name="Dane wejściowe 2 22 43 2" xfId="10096"/>
    <cellStyle name="Dane wejściowe 2 22 43 3" xfId="10097"/>
    <cellStyle name="Dane wejściowe 2 22 44" xfId="10098"/>
    <cellStyle name="Dane wejściowe 2 22 44 2" xfId="10099"/>
    <cellStyle name="Dane wejściowe 2 22 44 3" xfId="10100"/>
    <cellStyle name="Dane wejściowe 2 22 45" xfId="10101"/>
    <cellStyle name="Dane wejściowe 2 22 45 2" xfId="10102"/>
    <cellStyle name="Dane wejściowe 2 22 45 3" xfId="10103"/>
    <cellStyle name="Dane wejściowe 2 22 46" xfId="10104"/>
    <cellStyle name="Dane wejściowe 2 22 46 2" xfId="10105"/>
    <cellStyle name="Dane wejściowe 2 22 46 3" xfId="10106"/>
    <cellStyle name="Dane wejściowe 2 22 47" xfId="10107"/>
    <cellStyle name="Dane wejściowe 2 22 47 2" xfId="10108"/>
    <cellStyle name="Dane wejściowe 2 22 47 3" xfId="10109"/>
    <cellStyle name="Dane wejściowe 2 22 48" xfId="10110"/>
    <cellStyle name="Dane wejściowe 2 22 48 2" xfId="10111"/>
    <cellStyle name="Dane wejściowe 2 22 48 3" xfId="10112"/>
    <cellStyle name="Dane wejściowe 2 22 49" xfId="10113"/>
    <cellStyle name="Dane wejściowe 2 22 49 2" xfId="10114"/>
    <cellStyle name="Dane wejściowe 2 22 49 3" xfId="10115"/>
    <cellStyle name="Dane wejściowe 2 22 5" xfId="10116"/>
    <cellStyle name="Dane wejściowe 2 22 5 2" xfId="10117"/>
    <cellStyle name="Dane wejściowe 2 22 5 3" xfId="10118"/>
    <cellStyle name="Dane wejściowe 2 22 5 4" xfId="10119"/>
    <cellStyle name="Dane wejściowe 2 22 50" xfId="10120"/>
    <cellStyle name="Dane wejściowe 2 22 50 2" xfId="10121"/>
    <cellStyle name="Dane wejściowe 2 22 50 3" xfId="10122"/>
    <cellStyle name="Dane wejściowe 2 22 51" xfId="10123"/>
    <cellStyle name="Dane wejściowe 2 22 51 2" xfId="10124"/>
    <cellStyle name="Dane wejściowe 2 22 51 3" xfId="10125"/>
    <cellStyle name="Dane wejściowe 2 22 52" xfId="10126"/>
    <cellStyle name="Dane wejściowe 2 22 52 2" xfId="10127"/>
    <cellStyle name="Dane wejściowe 2 22 52 3" xfId="10128"/>
    <cellStyle name="Dane wejściowe 2 22 53" xfId="10129"/>
    <cellStyle name="Dane wejściowe 2 22 53 2" xfId="10130"/>
    <cellStyle name="Dane wejściowe 2 22 53 3" xfId="10131"/>
    <cellStyle name="Dane wejściowe 2 22 54" xfId="10132"/>
    <cellStyle name="Dane wejściowe 2 22 54 2" xfId="10133"/>
    <cellStyle name="Dane wejściowe 2 22 54 3" xfId="10134"/>
    <cellStyle name="Dane wejściowe 2 22 55" xfId="10135"/>
    <cellStyle name="Dane wejściowe 2 22 55 2" xfId="10136"/>
    <cellStyle name="Dane wejściowe 2 22 55 3" xfId="10137"/>
    <cellStyle name="Dane wejściowe 2 22 56" xfId="10138"/>
    <cellStyle name="Dane wejściowe 2 22 56 2" xfId="10139"/>
    <cellStyle name="Dane wejściowe 2 22 56 3" xfId="10140"/>
    <cellStyle name="Dane wejściowe 2 22 57" xfId="10141"/>
    <cellStyle name="Dane wejściowe 2 22 58" xfId="10142"/>
    <cellStyle name="Dane wejściowe 2 22 6" xfId="10143"/>
    <cellStyle name="Dane wejściowe 2 22 6 2" xfId="10144"/>
    <cellStyle name="Dane wejściowe 2 22 6 3" xfId="10145"/>
    <cellStyle name="Dane wejściowe 2 22 6 4" xfId="10146"/>
    <cellStyle name="Dane wejściowe 2 22 7" xfId="10147"/>
    <cellStyle name="Dane wejściowe 2 22 7 2" xfId="10148"/>
    <cellStyle name="Dane wejściowe 2 22 7 3" xfId="10149"/>
    <cellStyle name="Dane wejściowe 2 22 7 4" xfId="10150"/>
    <cellStyle name="Dane wejściowe 2 22 8" xfId="10151"/>
    <cellStyle name="Dane wejściowe 2 22 8 2" xfId="10152"/>
    <cellStyle name="Dane wejściowe 2 22 8 3" xfId="10153"/>
    <cellStyle name="Dane wejściowe 2 22 8 4" xfId="10154"/>
    <cellStyle name="Dane wejściowe 2 22 9" xfId="10155"/>
    <cellStyle name="Dane wejściowe 2 22 9 2" xfId="10156"/>
    <cellStyle name="Dane wejściowe 2 22 9 3" xfId="10157"/>
    <cellStyle name="Dane wejściowe 2 22 9 4" xfId="10158"/>
    <cellStyle name="Dane wejściowe 2 23" xfId="10159"/>
    <cellStyle name="Dane wejściowe 2 23 10" xfId="10160"/>
    <cellStyle name="Dane wejściowe 2 23 10 2" xfId="10161"/>
    <cellStyle name="Dane wejściowe 2 23 10 3" xfId="10162"/>
    <cellStyle name="Dane wejściowe 2 23 10 4" xfId="10163"/>
    <cellStyle name="Dane wejściowe 2 23 11" xfId="10164"/>
    <cellStyle name="Dane wejściowe 2 23 11 2" xfId="10165"/>
    <cellStyle name="Dane wejściowe 2 23 11 3" xfId="10166"/>
    <cellStyle name="Dane wejściowe 2 23 11 4" xfId="10167"/>
    <cellStyle name="Dane wejściowe 2 23 12" xfId="10168"/>
    <cellStyle name="Dane wejściowe 2 23 12 2" xfId="10169"/>
    <cellStyle name="Dane wejściowe 2 23 12 3" xfId="10170"/>
    <cellStyle name="Dane wejściowe 2 23 12 4" xfId="10171"/>
    <cellStyle name="Dane wejściowe 2 23 13" xfId="10172"/>
    <cellStyle name="Dane wejściowe 2 23 13 2" xfId="10173"/>
    <cellStyle name="Dane wejściowe 2 23 13 3" xfId="10174"/>
    <cellStyle name="Dane wejściowe 2 23 13 4" xfId="10175"/>
    <cellStyle name="Dane wejściowe 2 23 14" xfId="10176"/>
    <cellStyle name="Dane wejściowe 2 23 14 2" xfId="10177"/>
    <cellStyle name="Dane wejściowe 2 23 14 3" xfId="10178"/>
    <cellStyle name="Dane wejściowe 2 23 14 4" xfId="10179"/>
    <cellStyle name="Dane wejściowe 2 23 15" xfId="10180"/>
    <cellStyle name="Dane wejściowe 2 23 15 2" xfId="10181"/>
    <cellStyle name="Dane wejściowe 2 23 15 3" xfId="10182"/>
    <cellStyle name="Dane wejściowe 2 23 15 4" xfId="10183"/>
    <cellStyle name="Dane wejściowe 2 23 16" xfId="10184"/>
    <cellStyle name="Dane wejściowe 2 23 16 2" xfId="10185"/>
    <cellStyle name="Dane wejściowe 2 23 16 3" xfId="10186"/>
    <cellStyle name="Dane wejściowe 2 23 16 4" xfId="10187"/>
    <cellStyle name="Dane wejściowe 2 23 17" xfId="10188"/>
    <cellStyle name="Dane wejściowe 2 23 17 2" xfId="10189"/>
    <cellStyle name="Dane wejściowe 2 23 17 3" xfId="10190"/>
    <cellStyle name="Dane wejściowe 2 23 17 4" xfId="10191"/>
    <cellStyle name="Dane wejściowe 2 23 18" xfId="10192"/>
    <cellStyle name="Dane wejściowe 2 23 18 2" xfId="10193"/>
    <cellStyle name="Dane wejściowe 2 23 18 3" xfId="10194"/>
    <cellStyle name="Dane wejściowe 2 23 18 4" xfId="10195"/>
    <cellStyle name="Dane wejściowe 2 23 19" xfId="10196"/>
    <cellStyle name="Dane wejściowe 2 23 19 2" xfId="10197"/>
    <cellStyle name="Dane wejściowe 2 23 19 3" xfId="10198"/>
    <cellStyle name="Dane wejściowe 2 23 19 4" xfId="10199"/>
    <cellStyle name="Dane wejściowe 2 23 2" xfId="10200"/>
    <cellStyle name="Dane wejściowe 2 23 2 2" xfId="10201"/>
    <cellStyle name="Dane wejściowe 2 23 2 3" xfId="10202"/>
    <cellStyle name="Dane wejściowe 2 23 2 4" xfId="10203"/>
    <cellStyle name="Dane wejściowe 2 23 20" xfId="10204"/>
    <cellStyle name="Dane wejściowe 2 23 20 2" xfId="10205"/>
    <cellStyle name="Dane wejściowe 2 23 20 3" xfId="10206"/>
    <cellStyle name="Dane wejściowe 2 23 20 4" xfId="10207"/>
    <cellStyle name="Dane wejściowe 2 23 21" xfId="10208"/>
    <cellStyle name="Dane wejściowe 2 23 21 2" xfId="10209"/>
    <cellStyle name="Dane wejściowe 2 23 21 3" xfId="10210"/>
    <cellStyle name="Dane wejściowe 2 23 22" xfId="10211"/>
    <cellStyle name="Dane wejściowe 2 23 22 2" xfId="10212"/>
    <cellStyle name="Dane wejściowe 2 23 22 3" xfId="10213"/>
    <cellStyle name="Dane wejściowe 2 23 23" xfId="10214"/>
    <cellStyle name="Dane wejściowe 2 23 23 2" xfId="10215"/>
    <cellStyle name="Dane wejściowe 2 23 23 3" xfId="10216"/>
    <cellStyle name="Dane wejściowe 2 23 24" xfId="10217"/>
    <cellStyle name="Dane wejściowe 2 23 24 2" xfId="10218"/>
    <cellStyle name="Dane wejściowe 2 23 24 3" xfId="10219"/>
    <cellStyle name="Dane wejściowe 2 23 25" xfId="10220"/>
    <cellStyle name="Dane wejściowe 2 23 25 2" xfId="10221"/>
    <cellStyle name="Dane wejściowe 2 23 25 3" xfId="10222"/>
    <cellStyle name="Dane wejściowe 2 23 26" xfId="10223"/>
    <cellStyle name="Dane wejściowe 2 23 26 2" xfId="10224"/>
    <cellStyle name="Dane wejściowe 2 23 26 3" xfId="10225"/>
    <cellStyle name="Dane wejściowe 2 23 27" xfId="10226"/>
    <cellStyle name="Dane wejściowe 2 23 27 2" xfId="10227"/>
    <cellStyle name="Dane wejściowe 2 23 27 3" xfId="10228"/>
    <cellStyle name="Dane wejściowe 2 23 28" xfId="10229"/>
    <cellStyle name="Dane wejściowe 2 23 28 2" xfId="10230"/>
    <cellStyle name="Dane wejściowe 2 23 28 3" xfId="10231"/>
    <cellStyle name="Dane wejściowe 2 23 29" xfId="10232"/>
    <cellStyle name="Dane wejściowe 2 23 29 2" xfId="10233"/>
    <cellStyle name="Dane wejściowe 2 23 29 3" xfId="10234"/>
    <cellStyle name="Dane wejściowe 2 23 3" xfId="10235"/>
    <cellStyle name="Dane wejściowe 2 23 3 2" xfId="10236"/>
    <cellStyle name="Dane wejściowe 2 23 3 3" xfId="10237"/>
    <cellStyle name="Dane wejściowe 2 23 3 4" xfId="10238"/>
    <cellStyle name="Dane wejściowe 2 23 30" xfId="10239"/>
    <cellStyle name="Dane wejściowe 2 23 30 2" xfId="10240"/>
    <cellStyle name="Dane wejściowe 2 23 30 3" xfId="10241"/>
    <cellStyle name="Dane wejściowe 2 23 31" xfId="10242"/>
    <cellStyle name="Dane wejściowe 2 23 31 2" xfId="10243"/>
    <cellStyle name="Dane wejściowe 2 23 31 3" xfId="10244"/>
    <cellStyle name="Dane wejściowe 2 23 32" xfId="10245"/>
    <cellStyle name="Dane wejściowe 2 23 32 2" xfId="10246"/>
    <cellStyle name="Dane wejściowe 2 23 32 3" xfId="10247"/>
    <cellStyle name="Dane wejściowe 2 23 33" xfId="10248"/>
    <cellStyle name="Dane wejściowe 2 23 33 2" xfId="10249"/>
    <cellStyle name="Dane wejściowe 2 23 33 3" xfId="10250"/>
    <cellStyle name="Dane wejściowe 2 23 34" xfId="10251"/>
    <cellStyle name="Dane wejściowe 2 23 34 2" xfId="10252"/>
    <cellStyle name="Dane wejściowe 2 23 34 3" xfId="10253"/>
    <cellStyle name="Dane wejściowe 2 23 35" xfId="10254"/>
    <cellStyle name="Dane wejściowe 2 23 35 2" xfId="10255"/>
    <cellStyle name="Dane wejściowe 2 23 35 3" xfId="10256"/>
    <cellStyle name="Dane wejściowe 2 23 36" xfId="10257"/>
    <cellStyle name="Dane wejściowe 2 23 36 2" xfId="10258"/>
    <cellStyle name="Dane wejściowe 2 23 36 3" xfId="10259"/>
    <cellStyle name="Dane wejściowe 2 23 37" xfId="10260"/>
    <cellStyle name="Dane wejściowe 2 23 37 2" xfId="10261"/>
    <cellStyle name="Dane wejściowe 2 23 37 3" xfId="10262"/>
    <cellStyle name="Dane wejściowe 2 23 38" xfId="10263"/>
    <cellStyle name="Dane wejściowe 2 23 38 2" xfId="10264"/>
    <cellStyle name="Dane wejściowe 2 23 38 3" xfId="10265"/>
    <cellStyle name="Dane wejściowe 2 23 39" xfId="10266"/>
    <cellStyle name="Dane wejściowe 2 23 39 2" xfId="10267"/>
    <cellStyle name="Dane wejściowe 2 23 39 3" xfId="10268"/>
    <cellStyle name="Dane wejściowe 2 23 4" xfId="10269"/>
    <cellStyle name="Dane wejściowe 2 23 4 2" xfId="10270"/>
    <cellStyle name="Dane wejściowe 2 23 4 3" xfId="10271"/>
    <cellStyle name="Dane wejściowe 2 23 4 4" xfId="10272"/>
    <cellStyle name="Dane wejściowe 2 23 40" xfId="10273"/>
    <cellStyle name="Dane wejściowe 2 23 40 2" xfId="10274"/>
    <cellStyle name="Dane wejściowe 2 23 40 3" xfId="10275"/>
    <cellStyle name="Dane wejściowe 2 23 41" xfId="10276"/>
    <cellStyle name="Dane wejściowe 2 23 41 2" xfId="10277"/>
    <cellStyle name="Dane wejściowe 2 23 41 3" xfId="10278"/>
    <cellStyle name="Dane wejściowe 2 23 42" xfId="10279"/>
    <cellStyle name="Dane wejściowe 2 23 42 2" xfId="10280"/>
    <cellStyle name="Dane wejściowe 2 23 42 3" xfId="10281"/>
    <cellStyle name="Dane wejściowe 2 23 43" xfId="10282"/>
    <cellStyle name="Dane wejściowe 2 23 43 2" xfId="10283"/>
    <cellStyle name="Dane wejściowe 2 23 43 3" xfId="10284"/>
    <cellStyle name="Dane wejściowe 2 23 44" xfId="10285"/>
    <cellStyle name="Dane wejściowe 2 23 44 2" xfId="10286"/>
    <cellStyle name="Dane wejściowe 2 23 44 3" xfId="10287"/>
    <cellStyle name="Dane wejściowe 2 23 45" xfId="10288"/>
    <cellStyle name="Dane wejściowe 2 23 45 2" xfId="10289"/>
    <cellStyle name="Dane wejściowe 2 23 45 3" xfId="10290"/>
    <cellStyle name="Dane wejściowe 2 23 46" xfId="10291"/>
    <cellStyle name="Dane wejściowe 2 23 46 2" xfId="10292"/>
    <cellStyle name="Dane wejściowe 2 23 46 3" xfId="10293"/>
    <cellStyle name="Dane wejściowe 2 23 47" xfId="10294"/>
    <cellStyle name="Dane wejściowe 2 23 47 2" xfId="10295"/>
    <cellStyle name="Dane wejściowe 2 23 47 3" xfId="10296"/>
    <cellStyle name="Dane wejściowe 2 23 48" xfId="10297"/>
    <cellStyle name="Dane wejściowe 2 23 48 2" xfId="10298"/>
    <cellStyle name="Dane wejściowe 2 23 48 3" xfId="10299"/>
    <cellStyle name="Dane wejściowe 2 23 49" xfId="10300"/>
    <cellStyle name="Dane wejściowe 2 23 49 2" xfId="10301"/>
    <cellStyle name="Dane wejściowe 2 23 49 3" xfId="10302"/>
    <cellStyle name="Dane wejściowe 2 23 5" xfId="10303"/>
    <cellStyle name="Dane wejściowe 2 23 5 2" xfId="10304"/>
    <cellStyle name="Dane wejściowe 2 23 5 3" xfId="10305"/>
    <cellStyle name="Dane wejściowe 2 23 5 4" xfId="10306"/>
    <cellStyle name="Dane wejściowe 2 23 50" xfId="10307"/>
    <cellStyle name="Dane wejściowe 2 23 50 2" xfId="10308"/>
    <cellStyle name="Dane wejściowe 2 23 50 3" xfId="10309"/>
    <cellStyle name="Dane wejściowe 2 23 51" xfId="10310"/>
    <cellStyle name="Dane wejściowe 2 23 51 2" xfId="10311"/>
    <cellStyle name="Dane wejściowe 2 23 51 3" xfId="10312"/>
    <cellStyle name="Dane wejściowe 2 23 52" xfId="10313"/>
    <cellStyle name="Dane wejściowe 2 23 52 2" xfId="10314"/>
    <cellStyle name="Dane wejściowe 2 23 52 3" xfId="10315"/>
    <cellStyle name="Dane wejściowe 2 23 53" xfId="10316"/>
    <cellStyle name="Dane wejściowe 2 23 53 2" xfId="10317"/>
    <cellStyle name="Dane wejściowe 2 23 53 3" xfId="10318"/>
    <cellStyle name="Dane wejściowe 2 23 54" xfId="10319"/>
    <cellStyle name="Dane wejściowe 2 23 54 2" xfId="10320"/>
    <cellStyle name="Dane wejściowe 2 23 54 3" xfId="10321"/>
    <cellStyle name="Dane wejściowe 2 23 55" xfId="10322"/>
    <cellStyle name="Dane wejściowe 2 23 55 2" xfId="10323"/>
    <cellStyle name="Dane wejściowe 2 23 55 3" xfId="10324"/>
    <cellStyle name="Dane wejściowe 2 23 56" xfId="10325"/>
    <cellStyle name="Dane wejściowe 2 23 56 2" xfId="10326"/>
    <cellStyle name="Dane wejściowe 2 23 56 3" xfId="10327"/>
    <cellStyle name="Dane wejściowe 2 23 57" xfId="10328"/>
    <cellStyle name="Dane wejściowe 2 23 58" xfId="10329"/>
    <cellStyle name="Dane wejściowe 2 23 6" xfId="10330"/>
    <cellStyle name="Dane wejściowe 2 23 6 2" xfId="10331"/>
    <cellStyle name="Dane wejściowe 2 23 6 3" xfId="10332"/>
    <cellStyle name="Dane wejściowe 2 23 6 4" xfId="10333"/>
    <cellStyle name="Dane wejściowe 2 23 7" xfId="10334"/>
    <cellStyle name="Dane wejściowe 2 23 7 2" xfId="10335"/>
    <cellStyle name="Dane wejściowe 2 23 7 3" xfId="10336"/>
    <cellStyle name="Dane wejściowe 2 23 7 4" xfId="10337"/>
    <cellStyle name="Dane wejściowe 2 23 8" xfId="10338"/>
    <cellStyle name="Dane wejściowe 2 23 8 2" xfId="10339"/>
    <cellStyle name="Dane wejściowe 2 23 8 3" xfId="10340"/>
    <cellStyle name="Dane wejściowe 2 23 8 4" xfId="10341"/>
    <cellStyle name="Dane wejściowe 2 23 9" xfId="10342"/>
    <cellStyle name="Dane wejściowe 2 23 9 2" xfId="10343"/>
    <cellStyle name="Dane wejściowe 2 23 9 3" xfId="10344"/>
    <cellStyle name="Dane wejściowe 2 23 9 4" xfId="10345"/>
    <cellStyle name="Dane wejściowe 2 24" xfId="10346"/>
    <cellStyle name="Dane wejściowe 2 24 10" xfId="10347"/>
    <cellStyle name="Dane wejściowe 2 24 10 2" xfId="10348"/>
    <cellStyle name="Dane wejściowe 2 24 10 3" xfId="10349"/>
    <cellStyle name="Dane wejściowe 2 24 10 4" xfId="10350"/>
    <cellStyle name="Dane wejściowe 2 24 11" xfId="10351"/>
    <cellStyle name="Dane wejściowe 2 24 11 2" xfId="10352"/>
    <cellStyle name="Dane wejściowe 2 24 11 3" xfId="10353"/>
    <cellStyle name="Dane wejściowe 2 24 11 4" xfId="10354"/>
    <cellStyle name="Dane wejściowe 2 24 12" xfId="10355"/>
    <cellStyle name="Dane wejściowe 2 24 12 2" xfId="10356"/>
    <cellStyle name="Dane wejściowe 2 24 12 3" xfId="10357"/>
    <cellStyle name="Dane wejściowe 2 24 12 4" xfId="10358"/>
    <cellStyle name="Dane wejściowe 2 24 13" xfId="10359"/>
    <cellStyle name="Dane wejściowe 2 24 13 2" xfId="10360"/>
    <cellStyle name="Dane wejściowe 2 24 13 3" xfId="10361"/>
    <cellStyle name="Dane wejściowe 2 24 13 4" xfId="10362"/>
    <cellStyle name="Dane wejściowe 2 24 14" xfId="10363"/>
    <cellStyle name="Dane wejściowe 2 24 14 2" xfId="10364"/>
    <cellStyle name="Dane wejściowe 2 24 14 3" xfId="10365"/>
    <cellStyle name="Dane wejściowe 2 24 14 4" xfId="10366"/>
    <cellStyle name="Dane wejściowe 2 24 15" xfId="10367"/>
    <cellStyle name="Dane wejściowe 2 24 15 2" xfId="10368"/>
    <cellStyle name="Dane wejściowe 2 24 15 3" xfId="10369"/>
    <cellStyle name="Dane wejściowe 2 24 15 4" xfId="10370"/>
    <cellStyle name="Dane wejściowe 2 24 16" xfId="10371"/>
    <cellStyle name="Dane wejściowe 2 24 16 2" xfId="10372"/>
    <cellStyle name="Dane wejściowe 2 24 16 3" xfId="10373"/>
    <cellStyle name="Dane wejściowe 2 24 16 4" xfId="10374"/>
    <cellStyle name="Dane wejściowe 2 24 17" xfId="10375"/>
    <cellStyle name="Dane wejściowe 2 24 17 2" xfId="10376"/>
    <cellStyle name="Dane wejściowe 2 24 17 3" xfId="10377"/>
    <cellStyle name="Dane wejściowe 2 24 17 4" xfId="10378"/>
    <cellStyle name="Dane wejściowe 2 24 18" xfId="10379"/>
    <cellStyle name="Dane wejściowe 2 24 18 2" xfId="10380"/>
    <cellStyle name="Dane wejściowe 2 24 18 3" xfId="10381"/>
    <cellStyle name="Dane wejściowe 2 24 18 4" xfId="10382"/>
    <cellStyle name="Dane wejściowe 2 24 19" xfId="10383"/>
    <cellStyle name="Dane wejściowe 2 24 19 2" xfId="10384"/>
    <cellStyle name="Dane wejściowe 2 24 19 3" xfId="10385"/>
    <cellStyle name="Dane wejściowe 2 24 19 4" xfId="10386"/>
    <cellStyle name="Dane wejściowe 2 24 2" xfId="10387"/>
    <cellStyle name="Dane wejściowe 2 24 2 2" xfId="10388"/>
    <cellStyle name="Dane wejściowe 2 24 2 3" xfId="10389"/>
    <cellStyle name="Dane wejściowe 2 24 2 4" xfId="10390"/>
    <cellStyle name="Dane wejściowe 2 24 20" xfId="10391"/>
    <cellStyle name="Dane wejściowe 2 24 20 2" xfId="10392"/>
    <cellStyle name="Dane wejściowe 2 24 20 3" xfId="10393"/>
    <cellStyle name="Dane wejściowe 2 24 20 4" xfId="10394"/>
    <cellStyle name="Dane wejściowe 2 24 21" xfId="10395"/>
    <cellStyle name="Dane wejściowe 2 24 21 2" xfId="10396"/>
    <cellStyle name="Dane wejściowe 2 24 21 3" xfId="10397"/>
    <cellStyle name="Dane wejściowe 2 24 22" xfId="10398"/>
    <cellStyle name="Dane wejściowe 2 24 22 2" xfId="10399"/>
    <cellStyle name="Dane wejściowe 2 24 22 3" xfId="10400"/>
    <cellStyle name="Dane wejściowe 2 24 23" xfId="10401"/>
    <cellStyle name="Dane wejściowe 2 24 23 2" xfId="10402"/>
    <cellStyle name="Dane wejściowe 2 24 23 3" xfId="10403"/>
    <cellStyle name="Dane wejściowe 2 24 24" xfId="10404"/>
    <cellStyle name="Dane wejściowe 2 24 24 2" xfId="10405"/>
    <cellStyle name="Dane wejściowe 2 24 24 3" xfId="10406"/>
    <cellStyle name="Dane wejściowe 2 24 25" xfId="10407"/>
    <cellStyle name="Dane wejściowe 2 24 25 2" xfId="10408"/>
    <cellStyle name="Dane wejściowe 2 24 25 3" xfId="10409"/>
    <cellStyle name="Dane wejściowe 2 24 26" xfId="10410"/>
    <cellStyle name="Dane wejściowe 2 24 26 2" xfId="10411"/>
    <cellStyle name="Dane wejściowe 2 24 26 3" xfId="10412"/>
    <cellStyle name="Dane wejściowe 2 24 27" xfId="10413"/>
    <cellStyle name="Dane wejściowe 2 24 27 2" xfId="10414"/>
    <cellStyle name="Dane wejściowe 2 24 27 3" xfId="10415"/>
    <cellStyle name="Dane wejściowe 2 24 28" xfId="10416"/>
    <cellStyle name="Dane wejściowe 2 24 28 2" xfId="10417"/>
    <cellStyle name="Dane wejściowe 2 24 28 3" xfId="10418"/>
    <cellStyle name="Dane wejściowe 2 24 29" xfId="10419"/>
    <cellStyle name="Dane wejściowe 2 24 29 2" xfId="10420"/>
    <cellStyle name="Dane wejściowe 2 24 29 3" xfId="10421"/>
    <cellStyle name="Dane wejściowe 2 24 3" xfId="10422"/>
    <cellStyle name="Dane wejściowe 2 24 3 2" xfId="10423"/>
    <cellStyle name="Dane wejściowe 2 24 3 3" xfId="10424"/>
    <cellStyle name="Dane wejściowe 2 24 3 4" xfId="10425"/>
    <cellStyle name="Dane wejściowe 2 24 30" xfId="10426"/>
    <cellStyle name="Dane wejściowe 2 24 30 2" xfId="10427"/>
    <cellStyle name="Dane wejściowe 2 24 30 3" xfId="10428"/>
    <cellStyle name="Dane wejściowe 2 24 31" xfId="10429"/>
    <cellStyle name="Dane wejściowe 2 24 31 2" xfId="10430"/>
    <cellStyle name="Dane wejściowe 2 24 31 3" xfId="10431"/>
    <cellStyle name="Dane wejściowe 2 24 32" xfId="10432"/>
    <cellStyle name="Dane wejściowe 2 24 32 2" xfId="10433"/>
    <cellStyle name="Dane wejściowe 2 24 32 3" xfId="10434"/>
    <cellStyle name="Dane wejściowe 2 24 33" xfId="10435"/>
    <cellStyle name="Dane wejściowe 2 24 33 2" xfId="10436"/>
    <cellStyle name="Dane wejściowe 2 24 33 3" xfId="10437"/>
    <cellStyle name="Dane wejściowe 2 24 34" xfId="10438"/>
    <cellStyle name="Dane wejściowe 2 24 34 2" xfId="10439"/>
    <cellStyle name="Dane wejściowe 2 24 34 3" xfId="10440"/>
    <cellStyle name="Dane wejściowe 2 24 35" xfId="10441"/>
    <cellStyle name="Dane wejściowe 2 24 35 2" xfId="10442"/>
    <cellStyle name="Dane wejściowe 2 24 35 3" xfId="10443"/>
    <cellStyle name="Dane wejściowe 2 24 36" xfId="10444"/>
    <cellStyle name="Dane wejściowe 2 24 36 2" xfId="10445"/>
    <cellStyle name="Dane wejściowe 2 24 36 3" xfId="10446"/>
    <cellStyle name="Dane wejściowe 2 24 37" xfId="10447"/>
    <cellStyle name="Dane wejściowe 2 24 37 2" xfId="10448"/>
    <cellStyle name="Dane wejściowe 2 24 37 3" xfId="10449"/>
    <cellStyle name="Dane wejściowe 2 24 38" xfId="10450"/>
    <cellStyle name="Dane wejściowe 2 24 38 2" xfId="10451"/>
    <cellStyle name="Dane wejściowe 2 24 38 3" xfId="10452"/>
    <cellStyle name="Dane wejściowe 2 24 39" xfId="10453"/>
    <cellStyle name="Dane wejściowe 2 24 39 2" xfId="10454"/>
    <cellStyle name="Dane wejściowe 2 24 39 3" xfId="10455"/>
    <cellStyle name="Dane wejściowe 2 24 4" xfId="10456"/>
    <cellStyle name="Dane wejściowe 2 24 4 2" xfId="10457"/>
    <cellStyle name="Dane wejściowe 2 24 4 3" xfId="10458"/>
    <cellStyle name="Dane wejściowe 2 24 4 4" xfId="10459"/>
    <cellStyle name="Dane wejściowe 2 24 40" xfId="10460"/>
    <cellStyle name="Dane wejściowe 2 24 40 2" xfId="10461"/>
    <cellStyle name="Dane wejściowe 2 24 40 3" xfId="10462"/>
    <cellStyle name="Dane wejściowe 2 24 41" xfId="10463"/>
    <cellStyle name="Dane wejściowe 2 24 41 2" xfId="10464"/>
    <cellStyle name="Dane wejściowe 2 24 41 3" xfId="10465"/>
    <cellStyle name="Dane wejściowe 2 24 42" xfId="10466"/>
    <cellStyle name="Dane wejściowe 2 24 42 2" xfId="10467"/>
    <cellStyle name="Dane wejściowe 2 24 42 3" xfId="10468"/>
    <cellStyle name="Dane wejściowe 2 24 43" xfId="10469"/>
    <cellStyle name="Dane wejściowe 2 24 43 2" xfId="10470"/>
    <cellStyle name="Dane wejściowe 2 24 43 3" xfId="10471"/>
    <cellStyle name="Dane wejściowe 2 24 44" xfId="10472"/>
    <cellStyle name="Dane wejściowe 2 24 44 2" xfId="10473"/>
    <cellStyle name="Dane wejściowe 2 24 44 3" xfId="10474"/>
    <cellStyle name="Dane wejściowe 2 24 45" xfId="10475"/>
    <cellStyle name="Dane wejściowe 2 24 45 2" xfId="10476"/>
    <cellStyle name="Dane wejściowe 2 24 45 3" xfId="10477"/>
    <cellStyle name="Dane wejściowe 2 24 46" xfId="10478"/>
    <cellStyle name="Dane wejściowe 2 24 46 2" xfId="10479"/>
    <cellStyle name="Dane wejściowe 2 24 46 3" xfId="10480"/>
    <cellStyle name="Dane wejściowe 2 24 47" xfId="10481"/>
    <cellStyle name="Dane wejściowe 2 24 47 2" xfId="10482"/>
    <cellStyle name="Dane wejściowe 2 24 47 3" xfId="10483"/>
    <cellStyle name="Dane wejściowe 2 24 48" xfId="10484"/>
    <cellStyle name="Dane wejściowe 2 24 48 2" xfId="10485"/>
    <cellStyle name="Dane wejściowe 2 24 48 3" xfId="10486"/>
    <cellStyle name="Dane wejściowe 2 24 49" xfId="10487"/>
    <cellStyle name="Dane wejściowe 2 24 49 2" xfId="10488"/>
    <cellStyle name="Dane wejściowe 2 24 49 3" xfId="10489"/>
    <cellStyle name="Dane wejściowe 2 24 5" xfId="10490"/>
    <cellStyle name="Dane wejściowe 2 24 5 2" xfId="10491"/>
    <cellStyle name="Dane wejściowe 2 24 5 3" xfId="10492"/>
    <cellStyle name="Dane wejściowe 2 24 5 4" xfId="10493"/>
    <cellStyle name="Dane wejściowe 2 24 50" xfId="10494"/>
    <cellStyle name="Dane wejściowe 2 24 50 2" xfId="10495"/>
    <cellStyle name="Dane wejściowe 2 24 50 3" xfId="10496"/>
    <cellStyle name="Dane wejściowe 2 24 51" xfId="10497"/>
    <cellStyle name="Dane wejściowe 2 24 51 2" xfId="10498"/>
    <cellStyle name="Dane wejściowe 2 24 51 3" xfId="10499"/>
    <cellStyle name="Dane wejściowe 2 24 52" xfId="10500"/>
    <cellStyle name="Dane wejściowe 2 24 52 2" xfId="10501"/>
    <cellStyle name="Dane wejściowe 2 24 52 3" xfId="10502"/>
    <cellStyle name="Dane wejściowe 2 24 53" xfId="10503"/>
    <cellStyle name="Dane wejściowe 2 24 53 2" xfId="10504"/>
    <cellStyle name="Dane wejściowe 2 24 53 3" xfId="10505"/>
    <cellStyle name="Dane wejściowe 2 24 54" xfId="10506"/>
    <cellStyle name="Dane wejściowe 2 24 54 2" xfId="10507"/>
    <cellStyle name="Dane wejściowe 2 24 54 3" xfId="10508"/>
    <cellStyle name="Dane wejściowe 2 24 55" xfId="10509"/>
    <cellStyle name="Dane wejściowe 2 24 55 2" xfId="10510"/>
    <cellStyle name="Dane wejściowe 2 24 55 3" xfId="10511"/>
    <cellStyle name="Dane wejściowe 2 24 56" xfId="10512"/>
    <cellStyle name="Dane wejściowe 2 24 56 2" xfId="10513"/>
    <cellStyle name="Dane wejściowe 2 24 56 3" xfId="10514"/>
    <cellStyle name="Dane wejściowe 2 24 57" xfId="10515"/>
    <cellStyle name="Dane wejściowe 2 24 58" xfId="10516"/>
    <cellStyle name="Dane wejściowe 2 24 6" xfId="10517"/>
    <cellStyle name="Dane wejściowe 2 24 6 2" xfId="10518"/>
    <cellStyle name="Dane wejściowe 2 24 6 3" xfId="10519"/>
    <cellStyle name="Dane wejściowe 2 24 6 4" xfId="10520"/>
    <cellStyle name="Dane wejściowe 2 24 7" xfId="10521"/>
    <cellStyle name="Dane wejściowe 2 24 7 2" xfId="10522"/>
    <cellStyle name="Dane wejściowe 2 24 7 3" xfId="10523"/>
    <cellStyle name="Dane wejściowe 2 24 7 4" xfId="10524"/>
    <cellStyle name="Dane wejściowe 2 24 8" xfId="10525"/>
    <cellStyle name="Dane wejściowe 2 24 8 2" xfId="10526"/>
    <cellStyle name="Dane wejściowe 2 24 8 3" xfId="10527"/>
    <cellStyle name="Dane wejściowe 2 24 8 4" xfId="10528"/>
    <cellStyle name="Dane wejściowe 2 24 9" xfId="10529"/>
    <cellStyle name="Dane wejściowe 2 24 9 2" xfId="10530"/>
    <cellStyle name="Dane wejściowe 2 24 9 3" xfId="10531"/>
    <cellStyle name="Dane wejściowe 2 24 9 4" xfId="10532"/>
    <cellStyle name="Dane wejściowe 2 25" xfId="10533"/>
    <cellStyle name="Dane wejściowe 2 25 10" xfId="10534"/>
    <cellStyle name="Dane wejściowe 2 25 10 2" xfId="10535"/>
    <cellStyle name="Dane wejściowe 2 25 10 3" xfId="10536"/>
    <cellStyle name="Dane wejściowe 2 25 10 4" xfId="10537"/>
    <cellStyle name="Dane wejściowe 2 25 11" xfId="10538"/>
    <cellStyle name="Dane wejściowe 2 25 11 2" xfId="10539"/>
    <cellStyle name="Dane wejściowe 2 25 11 3" xfId="10540"/>
    <cellStyle name="Dane wejściowe 2 25 11 4" xfId="10541"/>
    <cellStyle name="Dane wejściowe 2 25 12" xfId="10542"/>
    <cellStyle name="Dane wejściowe 2 25 12 2" xfId="10543"/>
    <cellStyle name="Dane wejściowe 2 25 12 3" xfId="10544"/>
    <cellStyle name="Dane wejściowe 2 25 12 4" xfId="10545"/>
    <cellStyle name="Dane wejściowe 2 25 13" xfId="10546"/>
    <cellStyle name="Dane wejściowe 2 25 13 2" xfId="10547"/>
    <cellStyle name="Dane wejściowe 2 25 13 3" xfId="10548"/>
    <cellStyle name="Dane wejściowe 2 25 13 4" xfId="10549"/>
    <cellStyle name="Dane wejściowe 2 25 14" xfId="10550"/>
    <cellStyle name="Dane wejściowe 2 25 14 2" xfId="10551"/>
    <cellStyle name="Dane wejściowe 2 25 14 3" xfId="10552"/>
    <cellStyle name="Dane wejściowe 2 25 14 4" xfId="10553"/>
    <cellStyle name="Dane wejściowe 2 25 15" xfId="10554"/>
    <cellStyle name="Dane wejściowe 2 25 15 2" xfId="10555"/>
    <cellStyle name="Dane wejściowe 2 25 15 3" xfId="10556"/>
    <cellStyle name="Dane wejściowe 2 25 15 4" xfId="10557"/>
    <cellStyle name="Dane wejściowe 2 25 16" xfId="10558"/>
    <cellStyle name="Dane wejściowe 2 25 16 2" xfId="10559"/>
    <cellStyle name="Dane wejściowe 2 25 16 3" xfId="10560"/>
    <cellStyle name="Dane wejściowe 2 25 16 4" xfId="10561"/>
    <cellStyle name="Dane wejściowe 2 25 17" xfId="10562"/>
    <cellStyle name="Dane wejściowe 2 25 17 2" xfId="10563"/>
    <cellStyle name="Dane wejściowe 2 25 17 3" xfId="10564"/>
    <cellStyle name="Dane wejściowe 2 25 17 4" xfId="10565"/>
    <cellStyle name="Dane wejściowe 2 25 18" xfId="10566"/>
    <cellStyle name="Dane wejściowe 2 25 18 2" xfId="10567"/>
    <cellStyle name="Dane wejściowe 2 25 18 3" xfId="10568"/>
    <cellStyle name="Dane wejściowe 2 25 18 4" xfId="10569"/>
    <cellStyle name="Dane wejściowe 2 25 19" xfId="10570"/>
    <cellStyle name="Dane wejściowe 2 25 19 2" xfId="10571"/>
    <cellStyle name="Dane wejściowe 2 25 19 3" xfId="10572"/>
    <cellStyle name="Dane wejściowe 2 25 19 4" xfId="10573"/>
    <cellStyle name="Dane wejściowe 2 25 2" xfId="10574"/>
    <cellStyle name="Dane wejściowe 2 25 2 2" xfId="10575"/>
    <cellStyle name="Dane wejściowe 2 25 2 3" xfId="10576"/>
    <cellStyle name="Dane wejściowe 2 25 2 4" xfId="10577"/>
    <cellStyle name="Dane wejściowe 2 25 20" xfId="10578"/>
    <cellStyle name="Dane wejściowe 2 25 20 2" xfId="10579"/>
    <cellStyle name="Dane wejściowe 2 25 20 3" xfId="10580"/>
    <cellStyle name="Dane wejściowe 2 25 20 4" xfId="10581"/>
    <cellStyle name="Dane wejściowe 2 25 21" xfId="10582"/>
    <cellStyle name="Dane wejściowe 2 25 21 2" xfId="10583"/>
    <cellStyle name="Dane wejściowe 2 25 21 3" xfId="10584"/>
    <cellStyle name="Dane wejściowe 2 25 22" xfId="10585"/>
    <cellStyle name="Dane wejściowe 2 25 22 2" xfId="10586"/>
    <cellStyle name="Dane wejściowe 2 25 22 3" xfId="10587"/>
    <cellStyle name="Dane wejściowe 2 25 23" xfId="10588"/>
    <cellStyle name="Dane wejściowe 2 25 23 2" xfId="10589"/>
    <cellStyle name="Dane wejściowe 2 25 23 3" xfId="10590"/>
    <cellStyle name="Dane wejściowe 2 25 24" xfId="10591"/>
    <cellStyle name="Dane wejściowe 2 25 24 2" xfId="10592"/>
    <cellStyle name="Dane wejściowe 2 25 24 3" xfId="10593"/>
    <cellStyle name="Dane wejściowe 2 25 25" xfId="10594"/>
    <cellStyle name="Dane wejściowe 2 25 25 2" xfId="10595"/>
    <cellStyle name="Dane wejściowe 2 25 25 3" xfId="10596"/>
    <cellStyle name="Dane wejściowe 2 25 26" xfId="10597"/>
    <cellStyle name="Dane wejściowe 2 25 26 2" xfId="10598"/>
    <cellStyle name="Dane wejściowe 2 25 26 3" xfId="10599"/>
    <cellStyle name="Dane wejściowe 2 25 27" xfId="10600"/>
    <cellStyle name="Dane wejściowe 2 25 27 2" xfId="10601"/>
    <cellStyle name="Dane wejściowe 2 25 27 3" xfId="10602"/>
    <cellStyle name="Dane wejściowe 2 25 28" xfId="10603"/>
    <cellStyle name="Dane wejściowe 2 25 28 2" xfId="10604"/>
    <cellStyle name="Dane wejściowe 2 25 28 3" xfId="10605"/>
    <cellStyle name="Dane wejściowe 2 25 29" xfId="10606"/>
    <cellStyle name="Dane wejściowe 2 25 29 2" xfId="10607"/>
    <cellStyle name="Dane wejściowe 2 25 29 3" xfId="10608"/>
    <cellStyle name="Dane wejściowe 2 25 3" xfId="10609"/>
    <cellStyle name="Dane wejściowe 2 25 3 2" xfId="10610"/>
    <cellStyle name="Dane wejściowe 2 25 3 3" xfId="10611"/>
    <cellStyle name="Dane wejściowe 2 25 3 4" xfId="10612"/>
    <cellStyle name="Dane wejściowe 2 25 30" xfId="10613"/>
    <cellStyle name="Dane wejściowe 2 25 30 2" xfId="10614"/>
    <cellStyle name="Dane wejściowe 2 25 30 3" xfId="10615"/>
    <cellStyle name="Dane wejściowe 2 25 31" xfId="10616"/>
    <cellStyle name="Dane wejściowe 2 25 31 2" xfId="10617"/>
    <cellStyle name="Dane wejściowe 2 25 31 3" xfId="10618"/>
    <cellStyle name="Dane wejściowe 2 25 32" xfId="10619"/>
    <cellStyle name="Dane wejściowe 2 25 32 2" xfId="10620"/>
    <cellStyle name="Dane wejściowe 2 25 32 3" xfId="10621"/>
    <cellStyle name="Dane wejściowe 2 25 33" xfId="10622"/>
    <cellStyle name="Dane wejściowe 2 25 33 2" xfId="10623"/>
    <cellStyle name="Dane wejściowe 2 25 33 3" xfId="10624"/>
    <cellStyle name="Dane wejściowe 2 25 34" xfId="10625"/>
    <cellStyle name="Dane wejściowe 2 25 34 2" xfId="10626"/>
    <cellStyle name="Dane wejściowe 2 25 34 3" xfId="10627"/>
    <cellStyle name="Dane wejściowe 2 25 35" xfId="10628"/>
    <cellStyle name="Dane wejściowe 2 25 35 2" xfId="10629"/>
    <cellStyle name="Dane wejściowe 2 25 35 3" xfId="10630"/>
    <cellStyle name="Dane wejściowe 2 25 36" xfId="10631"/>
    <cellStyle name="Dane wejściowe 2 25 36 2" xfId="10632"/>
    <cellStyle name="Dane wejściowe 2 25 36 3" xfId="10633"/>
    <cellStyle name="Dane wejściowe 2 25 37" xfId="10634"/>
    <cellStyle name="Dane wejściowe 2 25 37 2" xfId="10635"/>
    <cellStyle name="Dane wejściowe 2 25 37 3" xfId="10636"/>
    <cellStyle name="Dane wejściowe 2 25 38" xfId="10637"/>
    <cellStyle name="Dane wejściowe 2 25 38 2" xfId="10638"/>
    <cellStyle name="Dane wejściowe 2 25 38 3" xfId="10639"/>
    <cellStyle name="Dane wejściowe 2 25 39" xfId="10640"/>
    <cellStyle name="Dane wejściowe 2 25 39 2" xfId="10641"/>
    <cellStyle name="Dane wejściowe 2 25 39 3" xfId="10642"/>
    <cellStyle name="Dane wejściowe 2 25 4" xfId="10643"/>
    <cellStyle name="Dane wejściowe 2 25 4 2" xfId="10644"/>
    <cellStyle name="Dane wejściowe 2 25 4 3" xfId="10645"/>
    <cellStyle name="Dane wejściowe 2 25 4 4" xfId="10646"/>
    <cellStyle name="Dane wejściowe 2 25 40" xfId="10647"/>
    <cellStyle name="Dane wejściowe 2 25 40 2" xfId="10648"/>
    <cellStyle name="Dane wejściowe 2 25 40 3" xfId="10649"/>
    <cellStyle name="Dane wejściowe 2 25 41" xfId="10650"/>
    <cellStyle name="Dane wejściowe 2 25 41 2" xfId="10651"/>
    <cellStyle name="Dane wejściowe 2 25 41 3" xfId="10652"/>
    <cellStyle name="Dane wejściowe 2 25 42" xfId="10653"/>
    <cellStyle name="Dane wejściowe 2 25 42 2" xfId="10654"/>
    <cellStyle name="Dane wejściowe 2 25 42 3" xfId="10655"/>
    <cellStyle name="Dane wejściowe 2 25 43" xfId="10656"/>
    <cellStyle name="Dane wejściowe 2 25 43 2" xfId="10657"/>
    <cellStyle name="Dane wejściowe 2 25 43 3" xfId="10658"/>
    <cellStyle name="Dane wejściowe 2 25 44" xfId="10659"/>
    <cellStyle name="Dane wejściowe 2 25 44 2" xfId="10660"/>
    <cellStyle name="Dane wejściowe 2 25 44 3" xfId="10661"/>
    <cellStyle name="Dane wejściowe 2 25 45" xfId="10662"/>
    <cellStyle name="Dane wejściowe 2 25 45 2" xfId="10663"/>
    <cellStyle name="Dane wejściowe 2 25 45 3" xfId="10664"/>
    <cellStyle name="Dane wejściowe 2 25 46" xfId="10665"/>
    <cellStyle name="Dane wejściowe 2 25 46 2" xfId="10666"/>
    <cellStyle name="Dane wejściowe 2 25 46 3" xfId="10667"/>
    <cellStyle name="Dane wejściowe 2 25 47" xfId="10668"/>
    <cellStyle name="Dane wejściowe 2 25 47 2" xfId="10669"/>
    <cellStyle name="Dane wejściowe 2 25 47 3" xfId="10670"/>
    <cellStyle name="Dane wejściowe 2 25 48" xfId="10671"/>
    <cellStyle name="Dane wejściowe 2 25 48 2" xfId="10672"/>
    <cellStyle name="Dane wejściowe 2 25 48 3" xfId="10673"/>
    <cellStyle name="Dane wejściowe 2 25 49" xfId="10674"/>
    <cellStyle name="Dane wejściowe 2 25 49 2" xfId="10675"/>
    <cellStyle name="Dane wejściowe 2 25 49 3" xfId="10676"/>
    <cellStyle name="Dane wejściowe 2 25 5" xfId="10677"/>
    <cellStyle name="Dane wejściowe 2 25 5 2" xfId="10678"/>
    <cellStyle name="Dane wejściowe 2 25 5 3" xfId="10679"/>
    <cellStyle name="Dane wejściowe 2 25 5 4" xfId="10680"/>
    <cellStyle name="Dane wejściowe 2 25 50" xfId="10681"/>
    <cellStyle name="Dane wejściowe 2 25 50 2" xfId="10682"/>
    <cellStyle name="Dane wejściowe 2 25 50 3" xfId="10683"/>
    <cellStyle name="Dane wejściowe 2 25 51" xfId="10684"/>
    <cellStyle name="Dane wejściowe 2 25 51 2" xfId="10685"/>
    <cellStyle name="Dane wejściowe 2 25 51 3" xfId="10686"/>
    <cellStyle name="Dane wejściowe 2 25 52" xfId="10687"/>
    <cellStyle name="Dane wejściowe 2 25 52 2" xfId="10688"/>
    <cellStyle name="Dane wejściowe 2 25 52 3" xfId="10689"/>
    <cellStyle name="Dane wejściowe 2 25 53" xfId="10690"/>
    <cellStyle name="Dane wejściowe 2 25 53 2" xfId="10691"/>
    <cellStyle name="Dane wejściowe 2 25 53 3" xfId="10692"/>
    <cellStyle name="Dane wejściowe 2 25 54" xfId="10693"/>
    <cellStyle name="Dane wejściowe 2 25 54 2" xfId="10694"/>
    <cellStyle name="Dane wejściowe 2 25 54 3" xfId="10695"/>
    <cellStyle name="Dane wejściowe 2 25 55" xfId="10696"/>
    <cellStyle name="Dane wejściowe 2 25 55 2" xfId="10697"/>
    <cellStyle name="Dane wejściowe 2 25 55 3" xfId="10698"/>
    <cellStyle name="Dane wejściowe 2 25 56" xfId="10699"/>
    <cellStyle name="Dane wejściowe 2 25 56 2" xfId="10700"/>
    <cellStyle name="Dane wejściowe 2 25 56 3" xfId="10701"/>
    <cellStyle name="Dane wejściowe 2 25 57" xfId="10702"/>
    <cellStyle name="Dane wejściowe 2 25 58" xfId="10703"/>
    <cellStyle name="Dane wejściowe 2 25 6" xfId="10704"/>
    <cellStyle name="Dane wejściowe 2 25 6 2" xfId="10705"/>
    <cellStyle name="Dane wejściowe 2 25 6 3" xfId="10706"/>
    <cellStyle name="Dane wejściowe 2 25 6 4" xfId="10707"/>
    <cellStyle name="Dane wejściowe 2 25 7" xfId="10708"/>
    <cellStyle name="Dane wejściowe 2 25 7 2" xfId="10709"/>
    <cellStyle name="Dane wejściowe 2 25 7 3" xfId="10710"/>
    <cellStyle name="Dane wejściowe 2 25 7 4" xfId="10711"/>
    <cellStyle name="Dane wejściowe 2 25 8" xfId="10712"/>
    <cellStyle name="Dane wejściowe 2 25 8 2" xfId="10713"/>
    <cellStyle name="Dane wejściowe 2 25 8 3" xfId="10714"/>
    <cellStyle name="Dane wejściowe 2 25 8 4" xfId="10715"/>
    <cellStyle name="Dane wejściowe 2 25 9" xfId="10716"/>
    <cellStyle name="Dane wejściowe 2 25 9 2" xfId="10717"/>
    <cellStyle name="Dane wejściowe 2 25 9 3" xfId="10718"/>
    <cellStyle name="Dane wejściowe 2 25 9 4" xfId="10719"/>
    <cellStyle name="Dane wejściowe 2 26" xfId="10720"/>
    <cellStyle name="Dane wejściowe 2 26 10" xfId="10721"/>
    <cellStyle name="Dane wejściowe 2 26 10 2" xfId="10722"/>
    <cellStyle name="Dane wejściowe 2 26 10 3" xfId="10723"/>
    <cellStyle name="Dane wejściowe 2 26 10 4" xfId="10724"/>
    <cellStyle name="Dane wejściowe 2 26 11" xfId="10725"/>
    <cellStyle name="Dane wejściowe 2 26 11 2" xfId="10726"/>
    <cellStyle name="Dane wejściowe 2 26 11 3" xfId="10727"/>
    <cellStyle name="Dane wejściowe 2 26 11 4" xfId="10728"/>
    <cellStyle name="Dane wejściowe 2 26 12" xfId="10729"/>
    <cellStyle name="Dane wejściowe 2 26 12 2" xfId="10730"/>
    <cellStyle name="Dane wejściowe 2 26 12 3" xfId="10731"/>
    <cellStyle name="Dane wejściowe 2 26 12 4" xfId="10732"/>
    <cellStyle name="Dane wejściowe 2 26 13" xfId="10733"/>
    <cellStyle name="Dane wejściowe 2 26 13 2" xfId="10734"/>
    <cellStyle name="Dane wejściowe 2 26 13 3" xfId="10735"/>
    <cellStyle name="Dane wejściowe 2 26 13 4" xfId="10736"/>
    <cellStyle name="Dane wejściowe 2 26 14" xfId="10737"/>
    <cellStyle name="Dane wejściowe 2 26 14 2" xfId="10738"/>
    <cellStyle name="Dane wejściowe 2 26 14 3" xfId="10739"/>
    <cellStyle name="Dane wejściowe 2 26 14 4" xfId="10740"/>
    <cellStyle name="Dane wejściowe 2 26 15" xfId="10741"/>
    <cellStyle name="Dane wejściowe 2 26 15 2" xfId="10742"/>
    <cellStyle name="Dane wejściowe 2 26 15 3" xfId="10743"/>
    <cellStyle name="Dane wejściowe 2 26 15 4" xfId="10744"/>
    <cellStyle name="Dane wejściowe 2 26 16" xfId="10745"/>
    <cellStyle name="Dane wejściowe 2 26 16 2" xfId="10746"/>
    <cellStyle name="Dane wejściowe 2 26 16 3" xfId="10747"/>
    <cellStyle name="Dane wejściowe 2 26 16 4" xfId="10748"/>
    <cellStyle name="Dane wejściowe 2 26 17" xfId="10749"/>
    <cellStyle name="Dane wejściowe 2 26 17 2" xfId="10750"/>
    <cellStyle name="Dane wejściowe 2 26 17 3" xfId="10751"/>
    <cellStyle name="Dane wejściowe 2 26 17 4" xfId="10752"/>
    <cellStyle name="Dane wejściowe 2 26 18" xfId="10753"/>
    <cellStyle name="Dane wejściowe 2 26 18 2" xfId="10754"/>
    <cellStyle name="Dane wejściowe 2 26 18 3" xfId="10755"/>
    <cellStyle name="Dane wejściowe 2 26 18 4" xfId="10756"/>
    <cellStyle name="Dane wejściowe 2 26 19" xfId="10757"/>
    <cellStyle name="Dane wejściowe 2 26 19 2" xfId="10758"/>
    <cellStyle name="Dane wejściowe 2 26 19 3" xfId="10759"/>
    <cellStyle name="Dane wejściowe 2 26 19 4" xfId="10760"/>
    <cellStyle name="Dane wejściowe 2 26 2" xfId="10761"/>
    <cellStyle name="Dane wejściowe 2 26 2 2" xfId="10762"/>
    <cellStyle name="Dane wejściowe 2 26 2 3" xfId="10763"/>
    <cellStyle name="Dane wejściowe 2 26 2 4" xfId="10764"/>
    <cellStyle name="Dane wejściowe 2 26 20" xfId="10765"/>
    <cellStyle name="Dane wejściowe 2 26 20 2" xfId="10766"/>
    <cellStyle name="Dane wejściowe 2 26 20 3" xfId="10767"/>
    <cellStyle name="Dane wejściowe 2 26 20 4" xfId="10768"/>
    <cellStyle name="Dane wejściowe 2 26 21" xfId="10769"/>
    <cellStyle name="Dane wejściowe 2 26 21 2" xfId="10770"/>
    <cellStyle name="Dane wejściowe 2 26 21 3" xfId="10771"/>
    <cellStyle name="Dane wejściowe 2 26 22" xfId="10772"/>
    <cellStyle name="Dane wejściowe 2 26 22 2" xfId="10773"/>
    <cellStyle name="Dane wejściowe 2 26 22 3" xfId="10774"/>
    <cellStyle name="Dane wejściowe 2 26 23" xfId="10775"/>
    <cellStyle name="Dane wejściowe 2 26 23 2" xfId="10776"/>
    <cellStyle name="Dane wejściowe 2 26 23 3" xfId="10777"/>
    <cellStyle name="Dane wejściowe 2 26 24" xfId="10778"/>
    <cellStyle name="Dane wejściowe 2 26 24 2" xfId="10779"/>
    <cellStyle name="Dane wejściowe 2 26 24 3" xfId="10780"/>
    <cellStyle name="Dane wejściowe 2 26 25" xfId="10781"/>
    <cellStyle name="Dane wejściowe 2 26 25 2" xfId="10782"/>
    <cellStyle name="Dane wejściowe 2 26 25 3" xfId="10783"/>
    <cellStyle name="Dane wejściowe 2 26 26" xfId="10784"/>
    <cellStyle name="Dane wejściowe 2 26 26 2" xfId="10785"/>
    <cellStyle name="Dane wejściowe 2 26 26 3" xfId="10786"/>
    <cellStyle name="Dane wejściowe 2 26 27" xfId="10787"/>
    <cellStyle name="Dane wejściowe 2 26 27 2" xfId="10788"/>
    <cellStyle name="Dane wejściowe 2 26 27 3" xfId="10789"/>
    <cellStyle name="Dane wejściowe 2 26 28" xfId="10790"/>
    <cellStyle name="Dane wejściowe 2 26 28 2" xfId="10791"/>
    <cellStyle name="Dane wejściowe 2 26 28 3" xfId="10792"/>
    <cellStyle name="Dane wejściowe 2 26 29" xfId="10793"/>
    <cellStyle name="Dane wejściowe 2 26 29 2" xfId="10794"/>
    <cellStyle name="Dane wejściowe 2 26 29 3" xfId="10795"/>
    <cellStyle name="Dane wejściowe 2 26 3" xfId="10796"/>
    <cellStyle name="Dane wejściowe 2 26 3 2" xfId="10797"/>
    <cellStyle name="Dane wejściowe 2 26 3 3" xfId="10798"/>
    <cellStyle name="Dane wejściowe 2 26 3 4" xfId="10799"/>
    <cellStyle name="Dane wejściowe 2 26 30" xfId="10800"/>
    <cellStyle name="Dane wejściowe 2 26 30 2" xfId="10801"/>
    <cellStyle name="Dane wejściowe 2 26 30 3" xfId="10802"/>
    <cellStyle name="Dane wejściowe 2 26 31" xfId="10803"/>
    <cellStyle name="Dane wejściowe 2 26 31 2" xfId="10804"/>
    <cellStyle name="Dane wejściowe 2 26 31 3" xfId="10805"/>
    <cellStyle name="Dane wejściowe 2 26 32" xfId="10806"/>
    <cellStyle name="Dane wejściowe 2 26 32 2" xfId="10807"/>
    <cellStyle name="Dane wejściowe 2 26 32 3" xfId="10808"/>
    <cellStyle name="Dane wejściowe 2 26 33" xfId="10809"/>
    <cellStyle name="Dane wejściowe 2 26 33 2" xfId="10810"/>
    <cellStyle name="Dane wejściowe 2 26 33 3" xfId="10811"/>
    <cellStyle name="Dane wejściowe 2 26 34" xfId="10812"/>
    <cellStyle name="Dane wejściowe 2 26 34 2" xfId="10813"/>
    <cellStyle name="Dane wejściowe 2 26 34 3" xfId="10814"/>
    <cellStyle name="Dane wejściowe 2 26 35" xfId="10815"/>
    <cellStyle name="Dane wejściowe 2 26 35 2" xfId="10816"/>
    <cellStyle name="Dane wejściowe 2 26 35 3" xfId="10817"/>
    <cellStyle name="Dane wejściowe 2 26 36" xfId="10818"/>
    <cellStyle name="Dane wejściowe 2 26 36 2" xfId="10819"/>
    <cellStyle name="Dane wejściowe 2 26 36 3" xfId="10820"/>
    <cellStyle name="Dane wejściowe 2 26 37" xfId="10821"/>
    <cellStyle name="Dane wejściowe 2 26 37 2" xfId="10822"/>
    <cellStyle name="Dane wejściowe 2 26 37 3" xfId="10823"/>
    <cellStyle name="Dane wejściowe 2 26 38" xfId="10824"/>
    <cellStyle name="Dane wejściowe 2 26 38 2" xfId="10825"/>
    <cellStyle name="Dane wejściowe 2 26 38 3" xfId="10826"/>
    <cellStyle name="Dane wejściowe 2 26 39" xfId="10827"/>
    <cellStyle name="Dane wejściowe 2 26 39 2" xfId="10828"/>
    <cellStyle name="Dane wejściowe 2 26 39 3" xfId="10829"/>
    <cellStyle name="Dane wejściowe 2 26 4" xfId="10830"/>
    <cellStyle name="Dane wejściowe 2 26 4 2" xfId="10831"/>
    <cellStyle name="Dane wejściowe 2 26 4 3" xfId="10832"/>
    <cellStyle name="Dane wejściowe 2 26 4 4" xfId="10833"/>
    <cellStyle name="Dane wejściowe 2 26 40" xfId="10834"/>
    <cellStyle name="Dane wejściowe 2 26 40 2" xfId="10835"/>
    <cellStyle name="Dane wejściowe 2 26 40 3" xfId="10836"/>
    <cellStyle name="Dane wejściowe 2 26 41" xfId="10837"/>
    <cellStyle name="Dane wejściowe 2 26 41 2" xfId="10838"/>
    <cellStyle name="Dane wejściowe 2 26 41 3" xfId="10839"/>
    <cellStyle name="Dane wejściowe 2 26 42" xfId="10840"/>
    <cellStyle name="Dane wejściowe 2 26 42 2" xfId="10841"/>
    <cellStyle name="Dane wejściowe 2 26 42 3" xfId="10842"/>
    <cellStyle name="Dane wejściowe 2 26 43" xfId="10843"/>
    <cellStyle name="Dane wejściowe 2 26 43 2" xfId="10844"/>
    <cellStyle name="Dane wejściowe 2 26 43 3" xfId="10845"/>
    <cellStyle name="Dane wejściowe 2 26 44" xfId="10846"/>
    <cellStyle name="Dane wejściowe 2 26 44 2" xfId="10847"/>
    <cellStyle name="Dane wejściowe 2 26 44 3" xfId="10848"/>
    <cellStyle name="Dane wejściowe 2 26 45" xfId="10849"/>
    <cellStyle name="Dane wejściowe 2 26 45 2" xfId="10850"/>
    <cellStyle name="Dane wejściowe 2 26 45 3" xfId="10851"/>
    <cellStyle name="Dane wejściowe 2 26 46" xfId="10852"/>
    <cellStyle name="Dane wejściowe 2 26 46 2" xfId="10853"/>
    <cellStyle name="Dane wejściowe 2 26 46 3" xfId="10854"/>
    <cellStyle name="Dane wejściowe 2 26 47" xfId="10855"/>
    <cellStyle name="Dane wejściowe 2 26 47 2" xfId="10856"/>
    <cellStyle name="Dane wejściowe 2 26 47 3" xfId="10857"/>
    <cellStyle name="Dane wejściowe 2 26 48" xfId="10858"/>
    <cellStyle name="Dane wejściowe 2 26 48 2" xfId="10859"/>
    <cellStyle name="Dane wejściowe 2 26 48 3" xfId="10860"/>
    <cellStyle name="Dane wejściowe 2 26 49" xfId="10861"/>
    <cellStyle name="Dane wejściowe 2 26 49 2" xfId="10862"/>
    <cellStyle name="Dane wejściowe 2 26 49 3" xfId="10863"/>
    <cellStyle name="Dane wejściowe 2 26 5" xfId="10864"/>
    <cellStyle name="Dane wejściowe 2 26 5 2" xfId="10865"/>
    <cellStyle name="Dane wejściowe 2 26 5 3" xfId="10866"/>
    <cellStyle name="Dane wejściowe 2 26 5 4" xfId="10867"/>
    <cellStyle name="Dane wejściowe 2 26 50" xfId="10868"/>
    <cellStyle name="Dane wejściowe 2 26 50 2" xfId="10869"/>
    <cellStyle name="Dane wejściowe 2 26 50 3" xfId="10870"/>
    <cellStyle name="Dane wejściowe 2 26 51" xfId="10871"/>
    <cellStyle name="Dane wejściowe 2 26 51 2" xfId="10872"/>
    <cellStyle name="Dane wejściowe 2 26 51 3" xfId="10873"/>
    <cellStyle name="Dane wejściowe 2 26 52" xfId="10874"/>
    <cellStyle name="Dane wejściowe 2 26 52 2" xfId="10875"/>
    <cellStyle name="Dane wejściowe 2 26 52 3" xfId="10876"/>
    <cellStyle name="Dane wejściowe 2 26 53" xfId="10877"/>
    <cellStyle name="Dane wejściowe 2 26 53 2" xfId="10878"/>
    <cellStyle name="Dane wejściowe 2 26 53 3" xfId="10879"/>
    <cellStyle name="Dane wejściowe 2 26 54" xfId="10880"/>
    <cellStyle name="Dane wejściowe 2 26 54 2" xfId="10881"/>
    <cellStyle name="Dane wejściowe 2 26 54 3" xfId="10882"/>
    <cellStyle name="Dane wejściowe 2 26 55" xfId="10883"/>
    <cellStyle name="Dane wejściowe 2 26 55 2" xfId="10884"/>
    <cellStyle name="Dane wejściowe 2 26 55 3" xfId="10885"/>
    <cellStyle name="Dane wejściowe 2 26 56" xfId="10886"/>
    <cellStyle name="Dane wejściowe 2 26 56 2" xfId="10887"/>
    <cellStyle name="Dane wejściowe 2 26 56 3" xfId="10888"/>
    <cellStyle name="Dane wejściowe 2 26 57" xfId="10889"/>
    <cellStyle name="Dane wejściowe 2 26 58" xfId="10890"/>
    <cellStyle name="Dane wejściowe 2 26 6" xfId="10891"/>
    <cellStyle name="Dane wejściowe 2 26 6 2" xfId="10892"/>
    <cellStyle name="Dane wejściowe 2 26 6 3" xfId="10893"/>
    <cellStyle name="Dane wejściowe 2 26 6 4" xfId="10894"/>
    <cellStyle name="Dane wejściowe 2 26 7" xfId="10895"/>
    <cellStyle name="Dane wejściowe 2 26 7 2" xfId="10896"/>
    <cellStyle name="Dane wejściowe 2 26 7 3" xfId="10897"/>
    <cellStyle name="Dane wejściowe 2 26 7 4" xfId="10898"/>
    <cellStyle name="Dane wejściowe 2 26 8" xfId="10899"/>
    <cellStyle name="Dane wejściowe 2 26 8 2" xfId="10900"/>
    <cellStyle name="Dane wejściowe 2 26 8 3" xfId="10901"/>
    <cellStyle name="Dane wejściowe 2 26 8 4" xfId="10902"/>
    <cellStyle name="Dane wejściowe 2 26 9" xfId="10903"/>
    <cellStyle name="Dane wejściowe 2 26 9 2" xfId="10904"/>
    <cellStyle name="Dane wejściowe 2 26 9 3" xfId="10905"/>
    <cellStyle name="Dane wejściowe 2 26 9 4" xfId="10906"/>
    <cellStyle name="Dane wejściowe 2 27" xfId="10907"/>
    <cellStyle name="Dane wejściowe 2 27 10" xfId="10908"/>
    <cellStyle name="Dane wejściowe 2 27 10 2" xfId="10909"/>
    <cellStyle name="Dane wejściowe 2 27 10 3" xfId="10910"/>
    <cellStyle name="Dane wejściowe 2 27 10 4" xfId="10911"/>
    <cellStyle name="Dane wejściowe 2 27 11" xfId="10912"/>
    <cellStyle name="Dane wejściowe 2 27 11 2" xfId="10913"/>
    <cellStyle name="Dane wejściowe 2 27 11 3" xfId="10914"/>
    <cellStyle name="Dane wejściowe 2 27 11 4" xfId="10915"/>
    <cellStyle name="Dane wejściowe 2 27 12" xfId="10916"/>
    <cellStyle name="Dane wejściowe 2 27 12 2" xfId="10917"/>
    <cellStyle name="Dane wejściowe 2 27 12 3" xfId="10918"/>
    <cellStyle name="Dane wejściowe 2 27 12 4" xfId="10919"/>
    <cellStyle name="Dane wejściowe 2 27 13" xfId="10920"/>
    <cellStyle name="Dane wejściowe 2 27 13 2" xfId="10921"/>
    <cellStyle name="Dane wejściowe 2 27 13 3" xfId="10922"/>
    <cellStyle name="Dane wejściowe 2 27 13 4" xfId="10923"/>
    <cellStyle name="Dane wejściowe 2 27 14" xfId="10924"/>
    <cellStyle name="Dane wejściowe 2 27 14 2" xfId="10925"/>
    <cellStyle name="Dane wejściowe 2 27 14 3" xfId="10926"/>
    <cellStyle name="Dane wejściowe 2 27 14 4" xfId="10927"/>
    <cellStyle name="Dane wejściowe 2 27 15" xfId="10928"/>
    <cellStyle name="Dane wejściowe 2 27 15 2" xfId="10929"/>
    <cellStyle name="Dane wejściowe 2 27 15 3" xfId="10930"/>
    <cellStyle name="Dane wejściowe 2 27 15 4" xfId="10931"/>
    <cellStyle name="Dane wejściowe 2 27 16" xfId="10932"/>
    <cellStyle name="Dane wejściowe 2 27 16 2" xfId="10933"/>
    <cellStyle name="Dane wejściowe 2 27 16 3" xfId="10934"/>
    <cellStyle name="Dane wejściowe 2 27 16 4" xfId="10935"/>
    <cellStyle name="Dane wejściowe 2 27 17" xfId="10936"/>
    <cellStyle name="Dane wejściowe 2 27 17 2" xfId="10937"/>
    <cellStyle name="Dane wejściowe 2 27 17 3" xfId="10938"/>
    <cellStyle name="Dane wejściowe 2 27 17 4" xfId="10939"/>
    <cellStyle name="Dane wejściowe 2 27 18" xfId="10940"/>
    <cellStyle name="Dane wejściowe 2 27 18 2" xfId="10941"/>
    <cellStyle name="Dane wejściowe 2 27 18 3" xfId="10942"/>
    <cellStyle name="Dane wejściowe 2 27 18 4" xfId="10943"/>
    <cellStyle name="Dane wejściowe 2 27 19" xfId="10944"/>
    <cellStyle name="Dane wejściowe 2 27 19 2" xfId="10945"/>
    <cellStyle name="Dane wejściowe 2 27 19 3" xfId="10946"/>
    <cellStyle name="Dane wejściowe 2 27 19 4" xfId="10947"/>
    <cellStyle name="Dane wejściowe 2 27 2" xfId="10948"/>
    <cellStyle name="Dane wejściowe 2 27 2 2" xfId="10949"/>
    <cellStyle name="Dane wejściowe 2 27 2 3" xfId="10950"/>
    <cellStyle name="Dane wejściowe 2 27 2 4" xfId="10951"/>
    <cellStyle name="Dane wejściowe 2 27 20" xfId="10952"/>
    <cellStyle name="Dane wejściowe 2 27 20 2" xfId="10953"/>
    <cellStyle name="Dane wejściowe 2 27 20 3" xfId="10954"/>
    <cellStyle name="Dane wejściowe 2 27 20 4" xfId="10955"/>
    <cellStyle name="Dane wejściowe 2 27 21" xfId="10956"/>
    <cellStyle name="Dane wejściowe 2 27 21 2" xfId="10957"/>
    <cellStyle name="Dane wejściowe 2 27 21 3" xfId="10958"/>
    <cellStyle name="Dane wejściowe 2 27 22" xfId="10959"/>
    <cellStyle name="Dane wejściowe 2 27 22 2" xfId="10960"/>
    <cellStyle name="Dane wejściowe 2 27 22 3" xfId="10961"/>
    <cellStyle name="Dane wejściowe 2 27 23" xfId="10962"/>
    <cellStyle name="Dane wejściowe 2 27 23 2" xfId="10963"/>
    <cellStyle name="Dane wejściowe 2 27 23 3" xfId="10964"/>
    <cellStyle name="Dane wejściowe 2 27 24" xfId="10965"/>
    <cellStyle name="Dane wejściowe 2 27 24 2" xfId="10966"/>
    <cellStyle name="Dane wejściowe 2 27 24 3" xfId="10967"/>
    <cellStyle name="Dane wejściowe 2 27 25" xfId="10968"/>
    <cellStyle name="Dane wejściowe 2 27 25 2" xfId="10969"/>
    <cellStyle name="Dane wejściowe 2 27 25 3" xfId="10970"/>
    <cellStyle name="Dane wejściowe 2 27 26" xfId="10971"/>
    <cellStyle name="Dane wejściowe 2 27 26 2" xfId="10972"/>
    <cellStyle name="Dane wejściowe 2 27 26 3" xfId="10973"/>
    <cellStyle name="Dane wejściowe 2 27 27" xfId="10974"/>
    <cellStyle name="Dane wejściowe 2 27 27 2" xfId="10975"/>
    <cellStyle name="Dane wejściowe 2 27 27 3" xfId="10976"/>
    <cellStyle name="Dane wejściowe 2 27 28" xfId="10977"/>
    <cellStyle name="Dane wejściowe 2 27 28 2" xfId="10978"/>
    <cellStyle name="Dane wejściowe 2 27 28 3" xfId="10979"/>
    <cellStyle name="Dane wejściowe 2 27 29" xfId="10980"/>
    <cellStyle name="Dane wejściowe 2 27 29 2" xfId="10981"/>
    <cellStyle name="Dane wejściowe 2 27 29 3" xfId="10982"/>
    <cellStyle name="Dane wejściowe 2 27 3" xfId="10983"/>
    <cellStyle name="Dane wejściowe 2 27 3 2" xfId="10984"/>
    <cellStyle name="Dane wejściowe 2 27 3 3" xfId="10985"/>
    <cellStyle name="Dane wejściowe 2 27 3 4" xfId="10986"/>
    <cellStyle name="Dane wejściowe 2 27 30" xfId="10987"/>
    <cellStyle name="Dane wejściowe 2 27 30 2" xfId="10988"/>
    <cellStyle name="Dane wejściowe 2 27 30 3" xfId="10989"/>
    <cellStyle name="Dane wejściowe 2 27 31" xfId="10990"/>
    <cellStyle name="Dane wejściowe 2 27 31 2" xfId="10991"/>
    <cellStyle name="Dane wejściowe 2 27 31 3" xfId="10992"/>
    <cellStyle name="Dane wejściowe 2 27 32" xfId="10993"/>
    <cellStyle name="Dane wejściowe 2 27 32 2" xfId="10994"/>
    <cellStyle name="Dane wejściowe 2 27 32 3" xfId="10995"/>
    <cellStyle name="Dane wejściowe 2 27 33" xfId="10996"/>
    <cellStyle name="Dane wejściowe 2 27 33 2" xfId="10997"/>
    <cellStyle name="Dane wejściowe 2 27 33 3" xfId="10998"/>
    <cellStyle name="Dane wejściowe 2 27 34" xfId="10999"/>
    <cellStyle name="Dane wejściowe 2 27 34 2" xfId="11000"/>
    <cellStyle name="Dane wejściowe 2 27 34 3" xfId="11001"/>
    <cellStyle name="Dane wejściowe 2 27 35" xfId="11002"/>
    <cellStyle name="Dane wejściowe 2 27 35 2" xfId="11003"/>
    <cellStyle name="Dane wejściowe 2 27 35 3" xfId="11004"/>
    <cellStyle name="Dane wejściowe 2 27 36" xfId="11005"/>
    <cellStyle name="Dane wejściowe 2 27 36 2" xfId="11006"/>
    <cellStyle name="Dane wejściowe 2 27 36 3" xfId="11007"/>
    <cellStyle name="Dane wejściowe 2 27 37" xfId="11008"/>
    <cellStyle name="Dane wejściowe 2 27 37 2" xfId="11009"/>
    <cellStyle name="Dane wejściowe 2 27 37 3" xfId="11010"/>
    <cellStyle name="Dane wejściowe 2 27 38" xfId="11011"/>
    <cellStyle name="Dane wejściowe 2 27 38 2" xfId="11012"/>
    <cellStyle name="Dane wejściowe 2 27 38 3" xfId="11013"/>
    <cellStyle name="Dane wejściowe 2 27 39" xfId="11014"/>
    <cellStyle name="Dane wejściowe 2 27 39 2" xfId="11015"/>
    <cellStyle name="Dane wejściowe 2 27 39 3" xfId="11016"/>
    <cellStyle name="Dane wejściowe 2 27 4" xfId="11017"/>
    <cellStyle name="Dane wejściowe 2 27 4 2" xfId="11018"/>
    <cellStyle name="Dane wejściowe 2 27 4 3" xfId="11019"/>
    <cellStyle name="Dane wejściowe 2 27 4 4" xfId="11020"/>
    <cellStyle name="Dane wejściowe 2 27 40" xfId="11021"/>
    <cellStyle name="Dane wejściowe 2 27 40 2" xfId="11022"/>
    <cellStyle name="Dane wejściowe 2 27 40 3" xfId="11023"/>
    <cellStyle name="Dane wejściowe 2 27 41" xfId="11024"/>
    <cellStyle name="Dane wejściowe 2 27 41 2" xfId="11025"/>
    <cellStyle name="Dane wejściowe 2 27 41 3" xfId="11026"/>
    <cellStyle name="Dane wejściowe 2 27 42" xfId="11027"/>
    <cellStyle name="Dane wejściowe 2 27 42 2" xfId="11028"/>
    <cellStyle name="Dane wejściowe 2 27 42 3" xfId="11029"/>
    <cellStyle name="Dane wejściowe 2 27 43" xfId="11030"/>
    <cellStyle name="Dane wejściowe 2 27 43 2" xfId="11031"/>
    <cellStyle name="Dane wejściowe 2 27 43 3" xfId="11032"/>
    <cellStyle name="Dane wejściowe 2 27 44" xfId="11033"/>
    <cellStyle name="Dane wejściowe 2 27 44 2" xfId="11034"/>
    <cellStyle name="Dane wejściowe 2 27 44 3" xfId="11035"/>
    <cellStyle name="Dane wejściowe 2 27 45" xfId="11036"/>
    <cellStyle name="Dane wejściowe 2 27 45 2" xfId="11037"/>
    <cellStyle name="Dane wejściowe 2 27 45 3" xfId="11038"/>
    <cellStyle name="Dane wejściowe 2 27 46" xfId="11039"/>
    <cellStyle name="Dane wejściowe 2 27 46 2" xfId="11040"/>
    <cellStyle name="Dane wejściowe 2 27 46 3" xfId="11041"/>
    <cellStyle name="Dane wejściowe 2 27 47" xfId="11042"/>
    <cellStyle name="Dane wejściowe 2 27 47 2" xfId="11043"/>
    <cellStyle name="Dane wejściowe 2 27 47 3" xfId="11044"/>
    <cellStyle name="Dane wejściowe 2 27 48" xfId="11045"/>
    <cellStyle name="Dane wejściowe 2 27 48 2" xfId="11046"/>
    <cellStyle name="Dane wejściowe 2 27 48 3" xfId="11047"/>
    <cellStyle name="Dane wejściowe 2 27 49" xfId="11048"/>
    <cellStyle name="Dane wejściowe 2 27 49 2" xfId="11049"/>
    <cellStyle name="Dane wejściowe 2 27 49 3" xfId="11050"/>
    <cellStyle name="Dane wejściowe 2 27 5" xfId="11051"/>
    <cellStyle name="Dane wejściowe 2 27 5 2" xfId="11052"/>
    <cellStyle name="Dane wejściowe 2 27 5 3" xfId="11053"/>
    <cellStyle name="Dane wejściowe 2 27 5 4" xfId="11054"/>
    <cellStyle name="Dane wejściowe 2 27 50" xfId="11055"/>
    <cellStyle name="Dane wejściowe 2 27 50 2" xfId="11056"/>
    <cellStyle name="Dane wejściowe 2 27 50 3" xfId="11057"/>
    <cellStyle name="Dane wejściowe 2 27 51" xfId="11058"/>
    <cellStyle name="Dane wejściowe 2 27 51 2" xfId="11059"/>
    <cellStyle name="Dane wejściowe 2 27 51 3" xfId="11060"/>
    <cellStyle name="Dane wejściowe 2 27 52" xfId="11061"/>
    <cellStyle name="Dane wejściowe 2 27 52 2" xfId="11062"/>
    <cellStyle name="Dane wejściowe 2 27 52 3" xfId="11063"/>
    <cellStyle name="Dane wejściowe 2 27 53" xfId="11064"/>
    <cellStyle name="Dane wejściowe 2 27 53 2" xfId="11065"/>
    <cellStyle name="Dane wejściowe 2 27 53 3" xfId="11066"/>
    <cellStyle name="Dane wejściowe 2 27 54" xfId="11067"/>
    <cellStyle name="Dane wejściowe 2 27 54 2" xfId="11068"/>
    <cellStyle name="Dane wejściowe 2 27 54 3" xfId="11069"/>
    <cellStyle name="Dane wejściowe 2 27 55" xfId="11070"/>
    <cellStyle name="Dane wejściowe 2 27 55 2" xfId="11071"/>
    <cellStyle name="Dane wejściowe 2 27 55 3" xfId="11072"/>
    <cellStyle name="Dane wejściowe 2 27 56" xfId="11073"/>
    <cellStyle name="Dane wejściowe 2 27 56 2" xfId="11074"/>
    <cellStyle name="Dane wejściowe 2 27 56 3" xfId="11075"/>
    <cellStyle name="Dane wejściowe 2 27 57" xfId="11076"/>
    <cellStyle name="Dane wejściowe 2 27 58" xfId="11077"/>
    <cellStyle name="Dane wejściowe 2 27 6" xfId="11078"/>
    <cellStyle name="Dane wejściowe 2 27 6 2" xfId="11079"/>
    <cellStyle name="Dane wejściowe 2 27 6 3" xfId="11080"/>
    <cellStyle name="Dane wejściowe 2 27 6 4" xfId="11081"/>
    <cellStyle name="Dane wejściowe 2 27 7" xfId="11082"/>
    <cellStyle name="Dane wejściowe 2 27 7 2" xfId="11083"/>
    <cellStyle name="Dane wejściowe 2 27 7 3" xfId="11084"/>
    <cellStyle name="Dane wejściowe 2 27 7 4" xfId="11085"/>
    <cellStyle name="Dane wejściowe 2 27 8" xfId="11086"/>
    <cellStyle name="Dane wejściowe 2 27 8 2" xfId="11087"/>
    <cellStyle name="Dane wejściowe 2 27 8 3" xfId="11088"/>
    <cellStyle name="Dane wejściowe 2 27 8 4" xfId="11089"/>
    <cellStyle name="Dane wejściowe 2 27 9" xfId="11090"/>
    <cellStyle name="Dane wejściowe 2 27 9 2" xfId="11091"/>
    <cellStyle name="Dane wejściowe 2 27 9 3" xfId="11092"/>
    <cellStyle name="Dane wejściowe 2 27 9 4" xfId="11093"/>
    <cellStyle name="Dane wejściowe 2 28" xfId="11094"/>
    <cellStyle name="Dane wejściowe 2 28 10" xfId="11095"/>
    <cellStyle name="Dane wejściowe 2 28 10 2" xfId="11096"/>
    <cellStyle name="Dane wejściowe 2 28 10 3" xfId="11097"/>
    <cellStyle name="Dane wejściowe 2 28 10 4" xfId="11098"/>
    <cellStyle name="Dane wejściowe 2 28 11" xfId="11099"/>
    <cellStyle name="Dane wejściowe 2 28 11 2" xfId="11100"/>
    <cellStyle name="Dane wejściowe 2 28 11 3" xfId="11101"/>
    <cellStyle name="Dane wejściowe 2 28 11 4" xfId="11102"/>
    <cellStyle name="Dane wejściowe 2 28 12" xfId="11103"/>
    <cellStyle name="Dane wejściowe 2 28 12 2" xfId="11104"/>
    <cellStyle name="Dane wejściowe 2 28 12 3" xfId="11105"/>
    <cellStyle name="Dane wejściowe 2 28 12 4" xfId="11106"/>
    <cellStyle name="Dane wejściowe 2 28 13" xfId="11107"/>
    <cellStyle name="Dane wejściowe 2 28 13 2" xfId="11108"/>
    <cellStyle name="Dane wejściowe 2 28 13 3" xfId="11109"/>
    <cellStyle name="Dane wejściowe 2 28 13 4" xfId="11110"/>
    <cellStyle name="Dane wejściowe 2 28 14" xfId="11111"/>
    <cellStyle name="Dane wejściowe 2 28 14 2" xfId="11112"/>
    <cellStyle name="Dane wejściowe 2 28 14 3" xfId="11113"/>
    <cellStyle name="Dane wejściowe 2 28 14 4" xfId="11114"/>
    <cellStyle name="Dane wejściowe 2 28 15" xfId="11115"/>
    <cellStyle name="Dane wejściowe 2 28 15 2" xfId="11116"/>
    <cellStyle name="Dane wejściowe 2 28 15 3" xfId="11117"/>
    <cellStyle name="Dane wejściowe 2 28 15 4" xfId="11118"/>
    <cellStyle name="Dane wejściowe 2 28 16" xfId="11119"/>
    <cellStyle name="Dane wejściowe 2 28 16 2" xfId="11120"/>
    <cellStyle name="Dane wejściowe 2 28 16 3" xfId="11121"/>
    <cellStyle name="Dane wejściowe 2 28 16 4" xfId="11122"/>
    <cellStyle name="Dane wejściowe 2 28 17" xfId="11123"/>
    <cellStyle name="Dane wejściowe 2 28 17 2" xfId="11124"/>
    <cellStyle name="Dane wejściowe 2 28 17 3" xfId="11125"/>
    <cellStyle name="Dane wejściowe 2 28 17 4" xfId="11126"/>
    <cellStyle name="Dane wejściowe 2 28 18" xfId="11127"/>
    <cellStyle name="Dane wejściowe 2 28 18 2" xfId="11128"/>
    <cellStyle name="Dane wejściowe 2 28 18 3" xfId="11129"/>
    <cellStyle name="Dane wejściowe 2 28 18 4" xfId="11130"/>
    <cellStyle name="Dane wejściowe 2 28 19" xfId="11131"/>
    <cellStyle name="Dane wejściowe 2 28 19 2" xfId="11132"/>
    <cellStyle name="Dane wejściowe 2 28 19 3" xfId="11133"/>
    <cellStyle name="Dane wejściowe 2 28 19 4" xfId="11134"/>
    <cellStyle name="Dane wejściowe 2 28 2" xfId="11135"/>
    <cellStyle name="Dane wejściowe 2 28 2 2" xfId="11136"/>
    <cellStyle name="Dane wejściowe 2 28 2 3" xfId="11137"/>
    <cellStyle name="Dane wejściowe 2 28 2 4" xfId="11138"/>
    <cellStyle name="Dane wejściowe 2 28 20" xfId="11139"/>
    <cellStyle name="Dane wejściowe 2 28 20 2" xfId="11140"/>
    <cellStyle name="Dane wejściowe 2 28 20 3" xfId="11141"/>
    <cellStyle name="Dane wejściowe 2 28 20 4" xfId="11142"/>
    <cellStyle name="Dane wejściowe 2 28 21" xfId="11143"/>
    <cellStyle name="Dane wejściowe 2 28 21 2" xfId="11144"/>
    <cellStyle name="Dane wejściowe 2 28 21 3" xfId="11145"/>
    <cellStyle name="Dane wejściowe 2 28 22" xfId="11146"/>
    <cellStyle name="Dane wejściowe 2 28 22 2" xfId="11147"/>
    <cellStyle name="Dane wejściowe 2 28 22 3" xfId="11148"/>
    <cellStyle name="Dane wejściowe 2 28 23" xfId="11149"/>
    <cellStyle name="Dane wejściowe 2 28 23 2" xfId="11150"/>
    <cellStyle name="Dane wejściowe 2 28 23 3" xfId="11151"/>
    <cellStyle name="Dane wejściowe 2 28 24" xfId="11152"/>
    <cellStyle name="Dane wejściowe 2 28 24 2" xfId="11153"/>
    <cellStyle name="Dane wejściowe 2 28 24 3" xfId="11154"/>
    <cellStyle name="Dane wejściowe 2 28 25" xfId="11155"/>
    <cellStyle name="Dane wejściowe 2 28 25 2" xfId="11156"/>
    <cellStyle name="Dane wejściowe 2 28 25 3" xfId="11157"/>
    <cellStyle name="Dane wejściowe 2 28 26" xfId="11158"/>
    <cellStyle name="Dane wejściowe 2 28 26 2" xfId="11159"/>
    <cellStyle name="Dane wejściowe 2 28 26 3" xfId="11160"/>
    <cellStyle name="Dane wejściowe 2 28 27" xfId="11161"/>
    <cellStyle name="Dane wejściowe 2 28 27 2" xfId="11162"/>
    <cellStyle name="Dane wejściowe 2 28 27 3" xfId="11163"/>
    <cellStyle name="Dane wejściowe 2 28 28" xfId="11164"/>
    <cellStyle name="Dane wejściowe 2 28 28 2" xfId="11165"/>
    <cellStyle name="Dane wejściowe 2 28 28 3" xfId="11166"/>
    <cellStyle name="Dane wejściowe 2 28 29" xfId="11167"/>
    <cellStyle name="Dane wejściowe 2 28 29 2" xfId="11168"/>
    <cellStyle name="Dane wejściowe 2 28 29 3" xfId="11169"/>
    <cellStyle name="Dane wejściowe 2 28 3" xfId="11170"/>
    <cellStyle name="Dane wejściowe 2 28 3 2" xfId="11171"/>
    <cellStyle name="Dane wejściowe 2 28 3 3" xfId="11172"/>
    <cellStyle name="Dane wejściowe 2 28 3 4" xfId="11173"/>
    <cellStyle name="Dane wejściowe 2 28 30" xfId="11174"/>
    <cellStyle name="Dane wejściowe 2 28 30 2" xfId="11175"/>
    <cellStyle name="Dane wejściowe 2 28 30 3" xfId="11176"/>
    <cellStyle name="Dane wejściowe 2 28 31" xfId="11177"/>
    <cellStyle name="Dane wejściowe 2 28 31 2" xfId="11178"/>
    <cellStyle name="Dane wejściowe 2 28 31 3" xfId="11179"/>
    <cellStyle name="Dane wejściowe 2 28 32" xfId="11180"/>
    <cellStyle name="Dane wejściowe 2 28 32 2" xfId="11181"/>
    <cellStyle name="Dane wejściowe 2 28 32 3" xfId="11182"/>
    <cellStyle name="Dane wejściowe 2 28 33" xfId="11183"/>
    <cellStyle name="Dane wejściowe 2 28 33 2" xfId="11184"/>
    <cellStyle name="Dane wejściowe 2 28 33 3" xfId="11185"/>
    <cellStyle name="Dane wejściowe 2 28 34" xfId="11186"/>
    <cellStyle name="Dane wejściowe 2 28 34 2" xfId="11187"/>
    <cellStyle name="Dane wejściowe 2 28 34 3" xfId="11188"/>
    <cellStyle name="Dane wejściowe 2 28 35" xfId="11189"/>
    <cellStyle name="Dane wejściowe 2 28 35 2" xfId="11190"/>
    <cellStyle name="Dane wejściowe 2 28 35 3" xfId="11191"/>
    <cellStyle name="Dane wejściowe 2 28 36" xfId="11192"/>
    <cellStyle name="Dane wejściowe 2 28 36 2" xfId="11193"/>
    <cellStyle name="Dane wejściowe 2 28 36 3" xfId="11194"/>
    <cellStyle name="Dane wejściowe 2 28 37" xfId="11195"/>
    <cellStyle name="Dane wejściowe 2 28 37 2" xfId="11196"/>
    <cellStyle name="Dane wejściowe 2 28 37 3" xfId="11197"/>
    <cellStyle name="Dane wejściowe 2 28 38" xfId="11198"/>
    <cellStyle name="Dane wejściowe 2 28 38 2" xfId="11199"/>
    <cellStyle name="Dane wejściowe 2 28 38 3" xfId="11200"/>
    <cellStyle name="Dane wejściowe 2 28 39" xfId="11201"/>
    <cellStyle name="Dane wejściowe 2 28 39 2" xfId="11202"/>
    <cellStyle name="Dane wejściowe 2 28 39 3" xfId="11203"/>
    <cellStyle name="Dane wejściowe 2 28 4" xfId="11204"/>
    <cellStyle name="Dane wejściowe 2 28 4 2" xfId="11205"/>
    <cellStyle name="Dane wejściowe 2 28 4 3" xfId="11206"/>
    <cellStyle name="Dane wejściowe 2 28 4 4" xfId="11207"/>
    <cellStyle name="Dane wejściowe 2 28 40" xfId="11208"/>
    <cellStyle name="Dane wejściowe 2 28 40 2" xfId="11209"/>
    <cellStyle name="Dane wejściowe 2 28 40 3" xfId="11210"/>
    <cellStyle name="Dane wejściowe 2 28 41" xfId="11211"/>
    <cellStyle name="Dane wejściowe 2 28 41 2" xfId="11212"/>
    <cellStyle name="Dane wejściowe 2 28 41 3" xfId="11213"/>
    <cellStyle name="Dane wejściowe 2 28 42" xfId="11214"/>
    <cellStyle name="Dane wejściowe 2 28 42 2" xfId="11215"/>
    <cellStyle name="Dane wejściowe 2 28 42 3" xfId="11216"/>
    <cellStyle name="Dane wejściowe 2 28 43" xfId="11217"/>
    <cellStyle name="Dane wejściowe 2 28 43 2" xfId="11218"/>
    <cellStyle name="Dane wejściowe 2 28 43 3" xfId="11219"/>
    <cellStyle name="Dane wejściowe 2 28 44" xfId="11220"/>
    <cellStyle name="Dane wejściowe 2 28 44 2" xfId="11221"/>
    <cellStyle name="Dane wejściowe 2 28 44 3" xfId="11222"/>
    <cellStyle name="Dane wejściowe 2 28 45" xfId="11223"/>
    <cellStyle name="Dane wejściowe 2 28 45 2" xfId="11224"/>
    <cellStyle name="Dane wejściowe 2 28 45 3" xfId="11225"/>
    <cellStyle name="Dane wejściowe 2 28 46" xfId="11226"/>
    <cellStyle name="Dane wejściowe 2 28 46 2" xfId="11227"/>
    <cellStyle name="Dane wejściowe 2 28 46 3" xfId="11228"/>
    <cellStyle name="Dane wejściowe 2 28 47" xfId="11229"/>
    <cellStyle name="Dane wejściowe 2 28 47 2" xfId="11230"/>
    <cellStyle name="Dane wejściowe 2 28 47 3" xfId="11231"/>
    <cellStyle name="Dane wejściowe 2 28 48" xfId="11232"/>
    <cellStyle name="Dane wejściowe 2 28 48 2" xfId="11233"/>
    <cellStyle name="Dane wejściowe 2 28 48 3" xfId="11234"/>
    <cellStyle name="Dane wejściowe 2 28 49" xfId="11235"/>
    <cellStyle name="Dane wejściowe 2 28 49 2" xfId="11236"/>
    <cellStyle name="Dane wejściowe 2 28 49 3" xfId="11237"/>
    <cellStyle name="Dane wejściowe 2 28 5" xfId="11238"/>
    <cellStyle name="Dane wejściowe 2 28 5 2" xfId="11239"/>
    <cellStyle name="Dane wejściowe 2 28 5 3" xfId="11240"/>
    <cellStyle name="Dane wejściowe 2 28 5 4" xfId="11241"/>
    <cellStyle name="Dane wejściowe 2 28 50" xfId="11242"/>
    <cellStyle name="Dane wejściowe 2 28 50 2" xfId="11243"/>
    <cellStyle name="Dane wejściowe 2 28 50 3" xfId="11244"/>
    <cellStyle name="Dane wejściowe 2 28 51" xfId="11245"/>
    <cellStyle name="Dane wejściowe 2 28 51 2" xfId="11246"/>
    <cellStyle name="Dane wejściowe 2 28 51 3" xfId="11247"/>
    <cellStyle name="Dane wejściowe 2 28 52" xfId="11248"/>
    <cellStyle name="Dane wejściowe 2 28 52 2" xfId="11249"/>
    <cellStyle name="Dane wejściowe 2 28 52 3" xfId="11250"/>
    <cellStyle name="Dane wejściowe 2 28 53" xfId="11251"/>
    <cellStyle name="Dane wejściowe 2 28 53 2" xfId="11252"/>
    <cellStyle name="Dane wejściowe 2 28 53 3" xfId="11253"/>
    <cellStyle name="Dane wejściowe 2 28 54" xfId="11254"/>
    <cellStyle name="Dane wejściowe 2 28 54 2" xfId="11255"/>
    <cellStyle name="Dane wejściowe 2 28 54 3" xfId="11256"/>
    <cellStyle name="Dane wejściowe 2 28 55" xfId="11257"/>
    <cellStyle name="Dane wejściowe 2 28 55 2" xfId="11258"/>
    <cellStyle name="Dane wejściowe 2 28 55 3" xfId="11259"/>
    <cellStyle name="Dane wejściowe 2 28 56" xfId="11260"/>
    <cellStyle name="Dane wejściowe 2 28 56 2" xfId="11261"/>
    <cellStyle name="Dane wejściowe 2 28 56 3" xfId="11262"/>
    <cellStyle name="Dane wejściowe 2 28 57" xfId="11263"/>
    <cellStyle name="Dane wejściowe 2 28 58" xfId="11264"/>
    <cellStyle name="Dane wejściowe 2 28 6" xfId="11265"/>
    <cellStyle name="Dane wejściowe 2 28 6 2" xfId="11266"/>
    <cellStyle name="Dane wejściowe 2 28 6 3" xfId="11267"/>
    <cellStyle name="Dane wejściowe 2 28 6 4" xfId="11268"/>
    <cellStyle name="Dane wejściowe 2 28 7" xfId="11269"/>
    <cellStyle name="Dane wejściowe 2 28 7 2" xfId="11270"/>
    <cellStyle name="Dane wejściowe 2 28 7 3" xfId="11271"/>
    <cellStyle name="Dane wejściowe 2 28 7 4" xfId="11272"/>
    <cellStyle name="Dane wejściowe 2 28 8" xfId="11273"/>
    <cellStyle name="Dane wejściowe 2 28 8 2" xfId="11274"/>
    <cellStyle name="Dane wejściowe 2 28 8 3" xfId="11275"/>
    <cellStyle name="Dane wejściowe 2 28 8 4" xfId="11276"/>
    <cellStyle name="Dane wejściowe 2 28 9" xfId="11277"/>
    <cellStyle name="Dane wejściowe 2 28 9 2" xfId="11278"/>
    <cellStyle name="Dane wejściowe 2 28 9 3" xfId="11279"/>
    <cellStyle name="Dane wejściowe 2 28 9 4" xfId="11280"/>
    <cellStyle name="Dane wejściowe 2 29" xfId="11281"/>
    <cellStyle name="Dane wejściowe 2 29 2" xfId="11282"/>
    <cellStyle name="Dane wejściowe 2 29 3" xfId="11283"/>
    <cellStyle name="Dane wejściowe 2 29 4" xfId="11284"/>
    <cellStyle name="Dane wejściowe 2 3" xfId="11285"/>
    <cellStyle name="Dane wejściowe 2 3 10" xfId="11286"/>
    <cellStyle name="Dane wejściowe 2 3 10 2" xfId="11287"/>
    <cellStyle name="Dane wejściowe 2 3 10 3" xfId="11288"/>
    <cellStyle name="Dane wejściowe 2 3 10 4" xfId="11289"/>
    <cellStyle name="Dane wejściowe 2 3 11" xfId="11290"/>
    <cellStyle name="Dane wejściowe 2 3 11 2" xfId="11291"/>
    <cellStyle name="Dane wejściowe 2 3 11 3" xfId="11292"/>
    <cellStyle name="Dane wejściowe 2 3 11 4" xfId="11293"/>
    <cellStyle name="Dane wejściowe 2 3 12" xfId="11294"/>
    <cellStyle name="Dane wejściowe 2 3 12 2" xfId="11295"/>
    <cellStyle name="Dane wejściowe 2 3 12 3" xfId="11296"/>
    <cellStyle name="Dane wejściowe 2 3 12 4" xfId="11297"/>
    <cellStyle name="Dane wejściowe 2 3 13" xfId="11298"/>
    <cellStyle name="Dane wejściowe 2 3 13 2" xfId="11299"/>
    <cellStyle name="Dane wejściowe 2 3 13 3" xfId="11300"/>
    <cellStyle name="Dane wejściowe 2 3 13 4" xfId="11301"/>
    <cellStyle name="Dane wejściowe 2 3 14" xfId="11302"/>
    <cellStyle name="Dane wejściowe 2 3 14 2" xfId="11303"/>
    <cellStyle name="Dane wejściowe 2 3 14 3" xfId="11304"/>
    <cellStyle name="Dane wejściowe 2 3 14 4" xfId="11305"/>
    <cellStyle name="Dane wejściowe 2 3 15" xfId="11306"/>
    <cellStyle name="Dane wejściowe 2 3 15 2" xfId="11307"/>
    <cellStyle name="Dane wejściowe 2 3 15 3" xfId="11308"/>
    <cellStyle name="Dane wejściowe 2 3 15 4" xfId="11309"/>
    <cellStyle name="Dane wejściowe 2 3 16" xfId="11310"/>
    <cellStyle name="Dane wejściowe 2 3 16 2" xfId="11311"/>
    <cellStyle name="Dane wejściowe 2 3 16 3" xfId="11312"/>
    <cellStyle name="Dane wejściowe 2 3 16 4" xfId="11313"/>
    <cellStyle name="Dane wejściowe 2 3 17" xfId="11314"/>
    <cellStyle name="Dane wejściowe 2 3 17 2" xfId="11315"/>
    <cellStyle name="Dane wejściowe 2 3 17 3" xfId="11316"/>
    <cellStyle name="Dane wejściowe 2 3 17 4" xfId="11317"/>
    <cellStyle name="Dane wejściowe 2 3 18" xfId="11318"/>
    <cellStyle name="Dane wejściowe 2 3 18 2" xfId="11319"/>
    <cellStyle name="Dane wejściowe 2 3 18 3" xfId="11320"/>
    <cellStyle name="Dane wejściowe 2 3 18 4" xfId="11321"/>
    <cellStyle name="Dane wejściowe 2 3 19" xfId="11322"/>
    <cellStyle name="Dane wejściowe 2 3 19 2" xfId="11323"/>
    <cellStyle name="Dane wejściowe 2 3 19 3" xfId="11324"/>
    <cellStyle name="Dane wejściowe 2 3 19 4" xfId="11325"/>
    <cellStyle name="Dane wejściowe 2 3 2" xfId="11326"/>
    <cellStyle name="Dane wejściowe 2 3 2 2" xfId="11327"/>
    <cellStyle name="Dane wejściowe 2 3 2 3" xfId="11328"/>
    <cellStyle name="Dane wejściowe 2 3 2 4" xfId="11329"/>
    <cellStyle name="Dane wejściowe 2 3 20" xfId="11330"/>
    <cellStyle name="Dane wejściowe 2 3 20 2" xfId="11331"/>
    <cellStyle name="Dane wejściowe 2 3 20 3" xfId="11332"/>
    <cellStyle name="Dane wejściowe 2 3 20 4" xfId="11333"/>
    <cellStyle name="Dane wejściowe 2 3 21" xfId="11334"/>
    <cellStyle name="Dane wejściowe 2 3 21 2" xfId="11335"/>
    <cellStyle name="Dane wejściowe 2 3 21 3" xfId="11336"/>
    <cellStyle name="Dane wejściowe 2 3 22" xfId="11337"/>
    <cellStyle name="Dane wejściowe 2 3 22 2" xfId="11338"/>
    <cellStyle name="Dane wejściowe 2 3 22 3" xfId="11339"/>
    <cellStyle name="Dane wejściowe 2 3 23" xfId="11340"/>
    <cellStyle name="Dane wejściowe 2 3 23 2" xfId="11341"/>
    <cellStyle name="Dane wejściowe 2 3 23 3" xfId="11342"/>
    <cellStyle name="Dane wejściowe 2 3 24" xfId="11343"/>
    <cellStyle name="Dane wejściowe 2 3 24 2" xfId="11344"/>
    <cellStyle name="Dane wejściowe 2 3 24 3" xfId="11345"/>
    <cellStyle name="Dane wejściowe 2 3 25" xfId="11346"/>
    <cellStyle name="Dane wejściowe 2 3 25 2" xfId="11347"/>
    <cellStyle name="Dane wejściowe 2 3 25 3" xfId="11348"/>
    <cellStyle name="Dane wejściowe 2 3 26" xfId="11349"/>
    <cellStyle name="Dane wejściowe 2 3 26 2" xfId="11350"/>
    <cellStyle name="Dane wejściowe 2 3 26 3" xfId="11351"/>
    <cellStyle name="Dane wejściowe 2 3 27" xfId="11352"/>
    <cellStyle name="Dane wejściowe 2 3 27 2" xfId="11353"/>
    <cellStyle name="Dane wejściowe 2 3 27 3" xfId="11354"/>
    <cellStyle name="Dane wejściowe 2 3 28" xfId="11355"/>
    <cellStyle name="Dane wejściowe 2 3 28 2" xfId="11356"/>
    <cellStyle name="Dane wejściowe 2 3 28 3" xfId="11357"/>
    <cellStyle name="Dane wejściowe 2 3 29" xfId="11358"/>
    <cellStyle name="Dane wejściowe 2 3 29 2" xfId="11359"/>
    <cellStyle name="Dane wejściowe 2 3 29 3" xfId="11360"/>
    <cellStyle name="Dane wejściowe 2 3 3" xfId="11361"/>
    <cellStyle name="Dane wejściowe 2 3 3 2" xfId="11362"/>
    <cellStyle name="Dane wejściowe 2 3 3 3" xfId="11363"/>
    <cellStyle name="Dane wejściowe 2 3 3 4" xfId="11364"/>
    <cellStyle name="Dane wejściowe 2 3 30" xfId="11365"/>
    <cellStyle name="Dane wejściowe 2 3 30 2" xfId="11366"/>
    <cellStyle name="Dane wejściowe 2 3 30 3" xfId="11367"/>
    <cellStyle name="Dane wejściowe 2 3 31" xfId="11368"/>
    <cellStyle name="Dane wejściowe 2 3 31 2" xfId="11369"/>
    <cellStyle name="Dane wejściowe 2 3 31 3" xfId="11370"/>
    <cellStyle name="Dane wejściowe 2 3 32" xfId="11371"/>
    <cellStyle name="Dane wejściowe 2 3 32 2" xfId="11372"/>
    <cellStyle name="Dane wejściowe 2 3 32 3" xfId="11373"/>
    <cellStyle name="Dane wejściowe 2 3 33" xfId="11374"/>
    <cellStyle name="Dane wejściowe 2 3 33 2" xfId="11375"/>
    <cellStyle name="Dane wejściowe 2 3 33 3" xfId="11376"/>
    <cellStyle name="Dane wejściowe 2 3 34" xfId="11377"/>
    <cellStyle name="Dane wejściowe 2 3 34 2" xfId="11378"/>
    <cellStyle name="Dane wejściowe 2 3 34 3" xfId="11379"/>
    <cellStyle name="Dane wejściowe 2 3 35" xfId="11380"/>
    <cellStyle name="Dane wejściowe 2 3 35 2" xfId="11381"/>
    <cellStyle name="Dane wejściowe 2 3 35 3" xfId="11382"/>
    <cellStyle name="Dane wejściowe 2 3 36" xfId="11383"/>
    <cellStyle name="Dane wejściowe 2 3 36 2" xfId="11384"/>
    <cellStyle name="Dane wejściowe 2 3 36 3" xfId="11385"/>
    <cellStyle name="Dane wejściowe 2 3 37" xfId="11386"/>
    <cellStyle name="Dane wejściowe 2 3 37 2" xfId="11387"/>
    <cellStyle name="Dane wejściowe 2 3 37 3" xfId="11388"/>
    <cellStyle name="Dane wejściowe 2 3 38" xfId="11389"/>
    <cellStyle name="Dane wejściowe 2 3 38 2" xfId="11390"/>
    <cellStyle name="Dane wejściowe 2 3 38 3" xfId="11391"/>
    <cellStyle name="Dane wejściowe 2 3 39" xfId="11392"/>
    <cellStyle name="Dane wejściowe 2 3 39 2" xfId="11393"/>
    <cellStyle name="Dane wejściowe 2 3 39 3" xfId="11394"/>
    <cellStyle name="Dane wejściowe 2 3 4" xfId="11395"/>
    <cellStyle name="Dane wejściowe 2 3 4 2" xfId="11396"/>
    <cellStyle name="Dane wejściowe 2 3 4 3" xfId="11397"/>
    <cellStyle name="Dane wejściowe 2 3 4 4" xfId="11398"/>
    <cellStyle name="Dane wejściowe 2 3 40" xfId="11399"/>
    <cellStyle name="Dane wejściowe 2 3 40 2" xfId="11400"/>
    <cellStyle name="Dane wejściowe 2 3 40 3" xfId="11401"/>
    <cellStyle name="Dane wejściowe 2 3 41" xfId="11402"/>
    <cellStyle name="Dane wejściowe 2 3 41 2" xfId="11403"/>
    <cellStyle name="Dane wejściowe 2 3 41 3" xfId="11404"/>
    <cellStyle name="Dane wejściowe 2 3 42" xfId="11405"/>
    <cellStyle name="Dane wejściowe 2 3 42 2" xfId="11406"/>
    <cellStyle name="Dane wejściowe 2 3 42 3" xfId="11407"/>
    <cellStyle name="Dane wejściowe 2 3 43" xfId="11408"/>
    <cellStyle name="Dane wejściowe 2 3 43 2" xfId="11409"/>
    <cellStyle name="Dane wejściowe 2 3 43 3" xfId="11410"/>
    <cellStyle name="Dane wejściowe 2 3 44" xfId="11411"/>
    <cellStyle name="Dane wejściowe 2 3 44 2" xfId="11412"/>
    <cellStyle name="Dane wejściowe 2 3 44 3" xfId="11413"/>
    <cellStyle name="Dane wejściowe 2 3 45" xfId="11414"/>
    <cellStyle name="Dane wejściowe 2 3 45 2" xfId="11415"/>
    <cellStyle name="Dane wejściowe 2 3 45 3" xfId="11416"/>
    <cellStyle name="Dane wejściowe 2 3 46" xfId="11417"/>
    <cellStyle name="Dane wejściowe 2 3 46 2" xfId="11418"/>
    <cellStyle name="Dane wejściowe 2 3 46 3" xfId="11419"/>
    <cellStyle name="Dane wejściowe 2 3 47" xfId="11420"/>
    <cellStyle name="Dane wejściowe 2 3 47 2" xfId="11421"/>
    <cellStyle name="Dane wejściowe 2 3 47 3" xfId="11422"/>
    <cellStyle name="Dane wejściowe 2 3 48" xfId="11423"/>
    <cellStyle name="Dane wejściowe 2 3 48 2" xfId="11424"/>
    <cellStyle name="Dane wejściowe 2 3 48 3" xfId="11425"/>
    <cellStyle name="Dane wejściowe 2 3 49" xfId="11426"/>
    <cellStyle name="Dane wejściowe 2 3 49 2" xfId="11427"/>
    <cellStyle name="Dane wejściowe 2 3 49 3" xfId="11428"/>
    <cellStyle name="Dane wejściowe 2 3 5" xfId="11429"/>
    <cellStyle name="Dane wejściowe 2 3 5 2" xfId="11430"/>
    <cellStyle name="Dane wejściowe 2 3 5 3" xfId="11431"/>
    <cellStyle name="Dane wejściowe 2 3 5 4" xfId="11432"/>
    <cellStyle name="Dane wejściowe 2 3 50" xfId="11433"/>
    <cellStyle name="Dane wejściowe 2 3 50 2" xfId="11434"/>
    <cellStyle name="Dane wejściowe 2 3 50 3" xfId="11435"/>
    <cellStyle name="Dane wejściowe 2 3 51" xfId="11436"/>
    <cellStyle name="Dane wejściowe 2 3 51 2" xfId="11437"/>
    <cellStyle name="Dane wejściowe 2 3 51 3" xfId="11438"/>
    <cellStyle name="Dane wejściowe 2 3 52" xfId="11439"/>
    <cellStyle name="Dane wejściowe 2 3 52 2" xfId="11440"/>
    <cellStyle name="Dane wejściowe 2 3 52 3" xfId="11441"/>
    <cellStyle name="Dane wejściowe 2 3 53" xfId="11442"/>
    <cellStyle name="Dane wejściowe 2 3 53 2" xfId="11443"/>
    <cellStyle name="Dane wejściowe 2 3 53 3" xfId="11444"/>
    <cellStyle name="Dane wejściowe 2 3 54" xfId="11445"/>
    <cellStyle name="Dane wejściowe 2 3 54 2" xfId="11446"/>
    <cellStyle name="Dane wejściowe 2 3 54 3" xfId="11447"/>
    <cellStyle name="Dane wejściowe 2 3 55" xfId="11448"/>
    <cellStyle name="Dane wejściowe 2 3 55 2" xfId="11449"/>
    <cellStyle name="Dane wejściowe 2 3 55 3" xfId="11450"/>
    <cellStyle name="Dane wejściowe 2 3 56" xfId="11451"/>
    <cellStyle name="Dane wejściowe 2 3 56 2" xfId="11452"/>
    <cellStyle name="Dane wejściowe 2 3 56 3" xfId="11453"/>
    <cellStyle name="Dane wejściowe 2 3 57" xfId="11454"/>
    <cellStyle name="Dane wejściowe 2 3 58" xfId="11455"/>
    <cellStyle name="Dane wejściowe 2 3 6" xfId="11456"/>
    <cellStyle name="Dane wejściowe 2 3 6 2" xfId="11457"/>
    <cellStyle name="Dane wejściowe 2 3 6 3" xfId="11458"/>
    <cellStyle name="Dane wejściowe 2 3 6 4" xfId="11459"/>
    <cellStyle name="Dane wejściowe 2 3 7" xfId="11460"/>
    <cellStyle name="Dane wejściowe 2 3 7 2" xfId="11461"/>
    <cellStyle name="Dane wejściowe 2 3 7 3" xfId="11462"/>
    <cellStyle name="Dane wejściowe 2 3 7 4" xfId="11463"/>
    <cellStyle name="Dane wejściowe 2 3 8" xfId="11464"/>
    <cellStyle name="Dane wejściowe 2 3 8 2" xfId="11465"/>
    <cellStyle name="Dane wejściowe 2 3 8 3" xfId="11466"/>
    <cellStyle name="Dane wejściowe 2 3 8 4" xfId="11467"/>
    <cellStyle name="Dane wejściowe 2 3 9" xfId="11468"/>
    <cellStyle name="Dane wejściowe 2 3 9 2" xfId="11469"/>
    <cellStyle name="Dane wejściowe 2 3 9 3" xfId="11470"/>
    <cellStyle name="Dane wejściowe 2 3 9 4" xfId="11471"/>
    <cellStyle name="Dane wejściowe 2 30" xfId="11472"/>
    <cellStyle name="Dane wejściowe 2 30 2" xfId="11473"/>
    <cellStyle name="Dane wejściowe 2 30 3" xfId="11474"/>
    <cellStyle name="Dane wejściowe 2 30 4" xfId="11475"/>
    <cellStyle name="Dane wejściowe 2 31" xfId="11476"/>
    <cellStyle name="Dane wejściowe 2 31 2" xfId="11477"/>
    <cellStyle name="Dane wejściowe 2 31 3" xfId="11478"/>
    <cellStyle name="Dane wejściowe 2 31 4" xfId="11479"/>
    <cellStyle name="Dane wejściowe 2 32" xfId="11480"/>
    <cellStyle name="Dane wejściowe 2 32 2" xfId="11481"/>
    <cellStyle name="Dane wejściowe 2 32 3" xfId="11482"/>
    <cellStyle name="Dane wejściowe 2 32 4" xfId="11483"/>
    <cellStyle name="Dane wejściowe 2 33" xfId="11484"/>
    <cellStyle name="Dane wejściowe 2 33 2" xfId="11485"/>
    <cellStyle name="Dane wejściowe 2 33 3" xfId="11486"/>
    <cellStyle name="Dane wejściowe 2 33 4" xfId="11487"/>
    <cellStyle name="Dane wejściowe 2 34" xfId="11488"/>
    <cellStyle name="Dane wejściowe 2 34 2" xfId="11489"/>
    <cellStyle name="Dane wejściowe 2 34 3" xfId="11490"/>
    <cellStyle name="Dane wejściowe 2 34 4" xfId="11491"/>
    <cellStyle name="Dane wejściowe 2 35" xfId="11492"/>
    <cellStyle name="Dane wejściowe 2 35 2" xfId="11493"/>
    <cellStyle name="Dane wejściowe 2 35 3" xfId="11494"/>
    <cellStyle name="Dane wejściowe 2 35 4" xfId="11495"/>
    <cellStyle name="Dane wejściowe 2 36" xfId="11496"/>
    <cellStyle name="Dane wejściowe 2 36 2" xfId="11497"/>
    <cellStyle name="Dane wejściowe 2 36 3" xfId="11498"/>
    <cellStyle name="Dane wejściowe 2 36 4" xfId="11499"/>
    <cellStyle name="Dane wejściowe 2 37" xfId="11500"/>
    <cellStyle name="Dane wejściowe 2 37 2" xfId="11501"/>
    <cellStyle name="Dane wejściowe 2 37 3" xfId="11502"/>
    <cellStyle name="Dane wejściowe 2 37 4" xfId="11503"/>
    <cellStyle name="Dane wejściowe 2 38" xfId="11504"/>
    <cellStyle name="Dane wejściowe 2 38 2" xfId="11505"/>
    <cellStyle name="Dane wejściowe 2 38 3" xfId="11506"/>
    <cellStyle name="Dane wejściowe 2 38 4" xfId="11507"/>
    <cellStyle name="Dane wejściowe 2 39" xfId="11508"/>
    <cellStyle name="Dane wejściowe 2 39 2" xfId="11509"/>
    <cellStyle name="Dane wejściowe 2 39 3" xfId="11510"/>
    <cellStyle name="Dane wejściowe 2 39 4" xfId="11511"/>
    <cellStyle name="Dane wejściowe 2 4" xfId="11512"/>
    <cellStyle name="Dane wejściowe 2 4 10" xfId="11513"/>
    <cellStyle name="Dane wejściowe 2 4 10 2" xfId="11514"/>
    <cellStyle name="Dane wejściowe 2 4 10 3" xfId="11515"/>
    <cellStyle name="Dane wejściowe 2 4 10 4" xfId="11516"/>
    <cellStyle name="Dane wejściowe 2 4 11" xfId="11517"/>
    <cellStyle name="Dane wejściowe 2 4 11 2" xfId="11518"/>
    <cellStyle name="Dane wejściowe 2 4 11 3" xfId="11519"/>
    <cellStyle name="Dane wejściowe 2 4 11 4" xfId="11520"/>
    <cellStyle name="Dane wejściowe 2 4 12" xfId="11521"/>
    <cellStyle name="Dane wejściowe 2 4 12 2" xfId="11522"/>
    <cellStyle name="Dane wejściowe 2 4 12 3" xfId="11523"/>
    <cellStyle name="Dane wejściowe 2 4 12 4" xfId="11524"/>
    <cellStyle name="Dane wejściowe 2 4 13" xfId="11525"/>
    <cellStyle name="Dane wejściowe 2 4 13 2" xfId="11526"/>
    <cellStyle name="Dane wejściowe 2 4 13 3" xfId="11527"/>
    <cellStyle name="Dane wejściowe 2 4 13 4" xfId="11528"/>
    <cellStyle name="Dane wejściowe 2 4 14" xfId="11529"/>
    <cellStyle name="Dane wejściowe 2 4 14 2" xfId="11530"/>
    <cellStyle name="Dane wejściowe 2 4 14 3" xfId="11531"/>
    <cellStyle name="Dane wejściowe 2 4 14 4" xfId="11532"/>
    <cellStyle name="Dane wejściowe 2 4 15" xfId="11533"/>
    <cellStyle name="Dane wejściowe 2 4 15 2" xfId="11534"/>
    <cellStyle name="Dane wejściowe 2 4 15 3" xfId="11535"/>
    <cellStyle name="Dane wejściowe 2 4 15 4" xfId="11536"/>
    <cellStyle name="Dane wejściowe 2 4 16" xfId="11537"/>
    <cellStyle name="Dane wejściowe 2 4 16 2" xfId="11538"/>
    <cellStyle name="Dane wejściowe 2 4 16 3" xfId="11539"/>
    <cellStyle name="Dane wejściowe 2 4 16 4" xfId="11540"/>
    <cellStyle name="Dane wejściowe 2 4 17" xfId="11541"/>
    <cellStyle name="Dane wejściowe 2 4 17 2" xfId="11542"/>
    <cellStyle name="Dane wejściowe 2 4 17 3" xfId="11543"/>
    <cellStyle name="Dane wejściowe 2 4 17 4" xfId="11544"/>
    <cellStyle name="Dane wejściowe 2 4 18" xfId="11545"/>
    <cellStyle name="Dane wejściowe 2 4 18 2" xfId="11546"/>
    <cellStyle name="Dane wejściowe 2 4 18 3" xfId="11547"/>
    <cellStyle name="Dane wejściowe 2 4 18 4" xfId="11548"/>
    <cellStyle name="Dane wejściowe 2 4 19" xfId="11549"/>
    <cellStyle name="Dane wejściowe 2 4 19 2" xfId="11550"/>
    <cellStyle name="Dane wejściowe 2 4 19 3" xfId="11551"/>
    <cellStyle name="Dane wejściowe 2 4 19 4" xfId="11552"/>
    <cellStyle name="Dane wejściowe 2 4 2" xfId="11553"/>
    <cellStyle name="Dane wejściowe 2 4 2 2" xfId="11554"/>
    <cellStyle name="Dane wejściowe 2 4 2 3" xfId="11555"/>
    <cellStyle name="Dane wejściowe 2 4 2 4" xfId="11556"/>
    <cellStyle name="Dane wejściowe 2 4 20" xfId="11557"/>
    <cellStyle name="Dane wejściowe 2 4 20 2" xfId="11558"/>
    <cellStyle name="Dane wejściowe 2 4 20 3" xfId="11559"/>
    <cellStyle name="Dane wejściowe 2 4 20 4" xfId="11560"/>
    <cellStyle name="Dane wejściowe 2 4 21" xfId="11561"/>
    <cellStyle name="Dane wejściowe 2 4 21 2" xfId="11562"/>
    <cellStyle name="Dane wejściowe 2 4 21 3" xfId="11563"/>
    <cellStyle name="Dane wejściowe 2 4 22" xfId="11564"/>
    <cellStyle name="Dane wejściowe 2 4 22 2" xfId="11565"/>
    <cellStyle name="Dane wejściowe 2 4 22 3" xfId="11566"/>
    <cellStyle name="Dane wejściowe 2 4 23" xfId="11567"/>
    <cellStyle name="Dane wejściowe 2 4 23 2" xfId="11568"/>
    <cellStyle name="Dane wejściowe 2 4 23 3" xfId="11569"/>
    <cellStyle name="Dane wejściowe 2 4 24" xfId="11570"/>
    <cellStyle name="Dane wejściowe 2 4 24 2" xfId="11571"/>
    <cellStyle name="Dane wejściowe 2 4 24 3" xfId="11572"/>
    <cellStyle name="Dane wejściowe 2 4 25" xfId="11573"/>
    <cellStyle name="Dane wejściowe 2 4 25 2" xfId="11574"/>
    <cellStyle name="Dane wejściowe 2 4 25 3" xfId="11575"/>
    <cellStyle name="Dane wejściowe 2 4 26" xfId="11576"/>
    <cellStyle name="Dane wejściowe 2 4 26 2" xfId="11577"/>
    <cellStyle name="Dane wejściowe 2 4 26 3" xfId="11578"/>
    <cellStyle name="Dane wejściowe 2 4 27" xfId="11579"/>
    <cellStyle name="Dane wejściowe 2 4 27 2" xfId="11580"/>
    <cellStyle name="Dane wejściowe 2 4 27 3" xfId="11581"/>
    <cellStyle name="Dane wejściowe 2 4 28" xfId="11582"/>
    <cellStyle name="Dane wejściowe 2 4 28 2" xfId="11583"/>
    <cellStyle name="Dane wejściowe 2 4 28 3" xfId="11584"/>
    <cellStyle name="Dane wejściowe 2 4 29" xfId="11585"/>
    <cellStyle name="Dane wejściowe 2 4 29 2" xfId="11586"/>
    <cellStyle name="Dane wejściowe 2 4 29 3" xfId="11587"/>
    <cellStyle name="Dane wejściowe 2 4 3" xfId="11588"/>
    <cellStyle name="Dane wejściowe 2 4 3 2" xfId="11589"/>
    <cellStyle name="Dane wejściowe 2 4 3 3" xfId="11590"/>
    <cellStyle name="Dane wejściowe 2 4 3 4" xfId="11591"/>
    <cellStyle name="Dane wejściowe 2 4 30" xfId="11592"/>
    <cellStyle name="Dane wejściowe 2 4 30 2" xfId="11593"/>
    <cellStyle name="Dane wejściowe 2 4 30 3" xfId="11594"/>
    <cellStyle name="Dane wejściowe 2 4 31" xfId="11595"/>
    <cellStyle name="Dane wejściowe 2 4 31 2" xfId="11596"/>
    <cellStyle name="Dane wejściowe 2 4 31 3" xfId="11597"/>
    <cellStyle name="Dane wejściowe 2 4 32" xfId="11598"/>
    <cellStyle name="Dane wejściowe 2 4 32 2" xfId="11599"/>
    <cellStyle name="Dane wejściowe 2 4 32 3" xfId="11600"/>
    <cellStyle name="Dane wejściowe 2 4 33" xfId="11601"/>
    <cellStyle name="Dane wejściowe 2 4 33 2" xfId="11602"/>
    <cellStyle name="Dane wejściowe 2 4 33 3" xfId="11603"/>
    <cellStyle name="Dane wejściowe 2 4 34" xfId="11604"/>
    <cellStyle name="Dane wejściowe 2 4 34 2" xfId="11605"/>
    <cellStyle name="Dane wejściowe 2 4 34 3" xfId="11606"/>
    <cellStyle name="Dane wejściowe 2 4 35" xfId="11607"/>
    <cellStyle name="Dane wejściowe 2 4 35 2" xfId="11608"/>
    <cellStyle name="Dane wejściowe 2 4 35 3" xfId="11609"/>
    <cellStyle name="Dane wejściowe 2 4 36" xfId="11610"/>
    <cellStyle name="Dane wejściowe 2 4 36 2" xfId="11611"/>
    <cellStyle name="Dane wejściowe 2 4 36 3" xfId="11612"/>
    <cellStyle name="Dane wejściowe 2 4 37" xfId="11613"/>
    <cellStyle name="Dane wejściowe 2 4 37 2" xfId="11614"/>
    <cellStyle name="Dane wejściowe 2 4 37 3" xfId="11615"/>
    <cellStyle name="Dane wejściowe 2 4 38" xfId="11616"/>
    <cellStyle name="Dane wejściowe 2 4 38 2" xfId="11617"/>
    <cellStyle name="Dane wejściowe 2 4 38 3" xfId="11618"/>
    <cellStyle name="Dane wejściowe 2 4 39" xfId="11619"/>
    <cellStyle name="Dane wejściowe 2 4 39 2" xfId="11620"/>
    <cellStyle name="Dane wejściowe 2 4 39 3" xfId="11621"/>
    <cellStyle name="Dane wejściowe 2 4 4" xfId="11622"/>
    <cellStyle name="Dane wejściowe 2 4 4 2" xfId="11623"/>
    <cellStyle name="Dane wejściowe 2 4 4 3" xfId="11624"/>
    <cellStyle name="Dane wejściowe 2 4 4 4" xfId="11625"/>
    <cellStyle name="Dane wejściowe 2 4 40" xfId="11626"/>
    <cellStyle name="Dane wejściowe 2 4 40 2" xfId="11627"/>
    <cellStyle name="Dane wejściowe 2 4 40 3" xfId="11628"/>
    <cellStyle name="Dane wejściowe 2 4 41" xfId="11629"/>
    <cellStyle name="Dane wejściowe 2 4 41 2" xfId="11630"/>
    <cellStyle name="Dane wejściowe 2 4 41 3" xfId="11631"/>
    <cellStyle name="Dane wejściowe 2 4 42" xfId="11632"/>
    <cellStyle name="Dane wejściowe 2 4 42 2" xfId="11633"/>
    <cellStyle name="Dane wejściowe 2 4 42 3" xfId="11634"/>
    <cellStyle name="Dane wejściowe 2 4 43" xfId="11635"/>
    <cellStyle name="Dane wejściowe 2 4 43 2" xfId="11636"/>
    <cellStyle name="Dane wejściowe 2 4 43 3" xfId="11637"/>
    <cellStyle name="Dane wejściowe 2 4 44" xfId="11638"/>
    <cellStyle name="Dane wejściowe 2 4 44 2" xfId="11639"/>
    <cellStyle name="Dane wejściowe 2 4 44 3" xfId="11640"/>
    <cellStyle name="Dane wejściowe 2 4 45" xfId="11641"/>
    <cellStyle name="Dane wejściowe 2 4 45 2" xfId="11642"/>
    <cellStyle name="Dane wejściowe 2 4 45 3" xfId="11643"/>
    <cellStyle name="Dane wejściowe 2 4 46" xfId="11644"/>
    <cellStyle name="Dane wejściowe 2 4 46 2" xfId="11645"/>
    <cellStyle name="Dane wejściowe 2 4 46 3" xfId="11646"/>
    <cellStyle name="Dane wejściowe 2 4 47" xfId="11647"/>
    <cellStyle name="Dane wejściowe 2 4 47 2" xfId="11648"/>
    <cellStyle name="Dane wejściowe 2 4 47 3" xfId="11649"/>
    <cellStyle name="Dane wejściowe 2 4 48" xfId="11650"/>
    <cellStyle name="Dane wejściowe 2 4 48 2" xfId="11651"/>
    <cellStyle name="Dane wejściowe 2 4 48 3" xfId="11652"/>
    <cellStyle name="Dane wejściowe 2 4 49" xfId="11653"/>
    <cellStyle name="Dane wejściowe 2 4 49 2" xfId="11654"/>
    <cellStyle name="Dane wejściowe 2 4 49 3" xfId="11655"/>
    <cellStyle name="Dane wejściowe 2 4 5" xfId="11656"/>
    <cellStyle name="Dane wejściowe 2 4 5 2" xfId="11657"/>
    <cellStyle name="Dane wejściowe 2 4 5 3" xfId="11658"/>
    <cellStyle name="Dane wejściowe 2 4 5 4" xfId="11659"/>
    <cellStyle name="Dane wejściowe 2 4 50" xfId="11660"/>
    <cellStyle name="Dane wejściowe 2 4 50 2" xfId="11661"/>
    <cellStyle name="Dane wejściowe 2 4 50 3" xfId="11662"/>
    <cellStyle name="Dane wejściowe 2 4 51" xfId="11663"/>
    <cellStyle name="Dane wejściowe 2 4 51 2" xfId="11664"/>
    <cellStyle name="Dane wejściowe 2 4 51 3" xfId="11665"/>
    <cellStyle name="Dane wejściowe 2 4 52" xfId="11666"/>
    <cellStyle name="Dane wejściowe 2 4 52 2" xfId="11667"/>
    <cellStyle name="Dane wejściowe 2 4 52 3" xfId="11668"/>
    <cellStyle name="Dane wejściowe 2 4 53" xfId="11669"/>
    <cellStyle name="Dane wejściowe 2 4 53 2" xfId="11670"/>
    <cellStyle name="Dane wejściowe 2 4 53 3" xfId="11671"/>
    <cellStyle name="Dane wejściowe 2 4 54" xfId="11672"/>
    <cellStyle name="Dane wejściowe 2 4 54 2" xfId="11673"/>
    <cellStyle name="Dane wejściowe 2 4 54 3" xfId="11674"/>
    <cellStyle name="Dane wejściowe 2 4 55" xfId="11675"/>
    <cellStyle name="Dane wejściowe 2 4 55 2" xfId="11676"/>
    <cellStyle name="Dane wejściowe 2 4 55 3" xfId="11677"/>
    <cellStyle name="Dane wejściowe 2 4 56" xfId="11678"/>
    <cellStyle name="Dane wejściowe 2 4 56 2" xfId="11679"/>
    <cellStyle name="Dane wejściowe 2 4 56 3" xfId="11680"/>
    <cellStyle name="Dane wejściowe 2 4 57" xfId="11681"/>
    <cellStyle name="Dane wejściowe 2 4 58" xfId="11682"/>
    <cellStyle name="Dane wejściowe 2 4 6" xfId="11683"/>
    <cellStyle name="Dane wejściowe 2 4 6 2" xfId="11684"/>
    <cellStyle name="Dane wejściowe 2 4 6 3" xfId="11685"/>
    <cellStyle name="Dane wejściowe 2 4 6 4" xfId="11686"/>
    <cellStyle name="Dane wejściowe 2 4 7" xfId="11687"/>
    <cellStyle name="Dane wejściowe 2 4 7 2" xfId="11688"/>
    <cellStyle name="Dane wejściowe 2 4 7 3" xfId="11689"/>
    <cellStyle name="Dane wejściowe 2 4 7 4" xfId="11690"/>
    <cellStyle name="Dane wejściowe 2 4 8" xfId="11691"/>
    <cellStyle name="Dane wejściowe 2 4 8 2" xfId="11692"/>
    <cellStyle name="Dane wejściowe 2 4 8 3" xfId="11693"/>
    <cellStyle name="Dane wejściowe 2 4 8 4" xfId="11694"/>
    <cellStyle name="Dane wejściowe 2 4 9" xfId="11695"/>
    <cellStyle name="Dane wejściowe 2 4 9 2" xfId="11696"/>
    <cellStyle name="Dane wejściowe 2 4 9 3" xfId="11697"/>
    <cellStyle name="Dane wejściowe 2 4 9 4" xfId="11698"/>
    <cellStyle name="Dane wejściowe 2 40" xfId="11699"/>
    <cellStyle name="Dane wejściowe 2 40 2" xfId="11700"/>
    <cellStyle name="Dane wejściowe 2 40 3" xfId="11701"/>
    <cellStyle name="Dane wejściowe 2 40 4" xfId="11702"/>
    <cellStyle name="Dane wejściowe 2 41" xfId="11703"/>
    <cellStyle name="Dane wejściowe 2 41 2" xfId="11704"/>
    <cellStyle name="Dane wejściowe 2 41 3" xfId="11705"/>
    <cellStyle name="Dane wejściowe 2 41 4" xfId="11706"/>
    <cellStyle name="Dane wejściowe 2 42" xfId="11707"/>
    <cellStyle name="Dane wejściowe 2 42 2" xfId="11708"/>
    <cellStyle name="Dane wejściowe 2 42 3" xfId="11709"/>
    <cellStyle name="Dane wejściowe 2 42 4" xfId="11710"/>
    <cellStyle name="Dane wejściowe 2 43" xfId="11711"/>
    <cellStyle name="Dane wejściowe 2 43 2" xfId="11712"/>
    <cellStyle name="Dane wejściowe 2 43 3" xfId="11713"/>
    <cellStyle name="Dane wejściowe 2 43 4" xfId="11714"/>
    <cellStyle name="Dane wejściowe 2 44" xfId="11715"/>
    <cellStyle name="Dane wejściowe 2 44 2" xfId="11716"/>
    <cellStyle name="Dane wejściowe 2 44 3" xfId="11717"/>
    <cellStyle name="Dane wejściowe 2 44 4" xfId="11718"/>
    <cellStyle name="Dane wejściowe 2 45" xfId="11719"/>
    <cellStyle name="Dane wejściowe 2 45 2" xfId="11720"/>
    <cellStyle name="Dane wejściowe 2 45 3" xfId="11721"/>
    <cellStyle name="Dane wejściowe 2 45 4" xfId="11722"/>
    <cellStyle name="Dane wejściowe 2 46" xfId="11723"/>
    <cellStyle name="Dane wejściowe 2 46 2" xfId="11724"/>
    <cellStyle name="Dane wejściowe 2 46 3" xfId="11725"/>
    <cellStyle name="Dane wejściowe 2 46 4" xfId="11726"/>
    <cellStyle name="Dane wejściowe 2 47" xfId="11727"/>
    <cellStyle name="Dane wejściowe 2 47 2" xfId="11728"/>
    <cellStyle name="Dane wejściowe 2 47 3" xfId="11729"/>
    <cellStyle name="Dane wejściowe 2 47 4" xfId="11730"/>
    <cellStyle name="Dane wejściowe 2 48" xfId="11731"/>
    <cellStyle name="Dane wejściowe 2 48 2" xfId="11732"/>
    <cellStyle name="Dane wejściowe 2 48 3" xfId="11733"/>
    <cellStyle name="Dane wejściowe 2 49" xfId="11734"/>
    <cellStyle name="Dane wejściowe 2 49 2" xfId="11735"/>
    <cellStyle name="Dane wejściowe 2 49 3" xfId="11736"/>
    <cellStyle name="Dane wejściowe 2 5" xfId="11737"/>
    <cellStyle name="Dane wejściowe 2 5 10" xfId="11738"/>
    <cellStyle name="Dane wejściowe 2 5 10 2" xfId="11739"/>
    <cellStyle name="Dane wejściowe 2 5 10 3" xfId="11740"/>
    <cellStyle name="Dane wejściowe 2 5 10 4" xfId="11741"/>
    <cellStyle name="Dane wejściowe 2 5 11" xfId="11742"/>
    <cellStyle name="Dane wejściowe 2 5 11 2" xfId="11743"/>
    <cellStyle name="Dane wejściowe 2 5 11 3" xfId="11744"/>
    <cellStyle name="Dane wejściowe 2 5 11 4" xfId="11745"/>
    <cellStyle name="Dane wejściowe 2 5 12" xfId="11746"/>
    <cellStyle name="Dane wejściowe 2 5 12 2" xfId="11747"/>
    <cellStyle name="Dane wejściowe 2 5 12 3" xfId="11748"/>
    <cellStyle name="Dane wejściowe 2 5 12 4" xfId="11749"/>
    <cellStyle name="Dane wejściowe 2 5 13" xfId="11750"/>
    <cellStyle name="Dane wejściowe 2 5 13 2" xfId="11751"/>
    <cellStyle name="Dane wejściowe 2 5 13 3" xfId="11752"/>
    <cellStyle name="Dane wejściowe 2 5 13 4" xfId="11753"/>
    <cellStyle name="Dane wejściowe 2 5 14" xfId="11754"/>
    <cellStyle name="Dane wejściowe 2 5 14 2" xfId="11755"/>
    <cellStyle name="Dane wejściowe 2 5 14 3" xfId="11756"/>
    <cellStyle name="Dane wejściowe 2 5 14 4" xfId="11757"/>
    <cellStyle name="Dane wejściowe 2 5 15" xfId="11758"/>
    <cellStyle name="Dane wejściowe 2 5 15 2" xfId="11759"/>
    <cellStyle name="Dane wejściowe 2 5 15 3" xfId="11760"/>
    <cellStyle name="Dane wejściowe 2 5 15 4" xfId="11761"/>
    <cellStyle name="Dane wejściowe 2 5 16" xfId="11762"/>
    <cellStyle name="Dane wejściowe 2 5 16 2" xfId="11763"/>
    <cellStyle name="Dane wejściowe 2 5 16 3" xfId="11764"/>
    <cellStyle name="Dane wejściowe 2 5 16 4" xfId="11765"/>
    <cellStyle name="Dane wejściowe 2 5 17" xfId="11766"/>
    <cellStyle name="Dane wejściowe 2 5 17 2" xfId="11767"/>
    <cellStyle name="Dane wejściowe 2 5 17 3" xfId="11768"/>
    <cellStyle name="Dane wejściowe 2 5 17 4" xfId="11769"/>
    <cellStyle name="Dane wejściowe 2 5 18" xfId="11770"/>
    <cellStyle name="Dane wejściowe 2 5 18 2" xfId="11771"/>
    <cellStyle name="Dane wejściowe 2 5 18 3" xfId="11772"/>
    <cellStyle name="Dane wejściowe 2 5 18 4" xfId="11773"/>
    <cellStyle name="Dane wejściowe 2 5 19" xfId="11774"/>
    <cellStyle name="Dane wejściowe 2 5 19 2" xfId="11775"/>
    <cellStyle name="Dane wejściowe 2 5 19 3" xfId="11776"/>
    <cellStyle name="Dane wejściowe 2 5 19 4" xfId="11777"/>
    <cellStyle name="Dane wejściowe 2 5 2" xfId="11778"/>
    <cellStyle name="Dane wejściowe 2 5 2 2" xfId="11779"/>
    <cellStyle name="Dane wejściowe 2 5 2 3" xfId="11780"/>
    <cellStyle name="Dane wejściowe 2 5 2 4" xfId="11781"/>
    <cellStyle name="Dane wejściowe 2 5 20" xfId="11782"/>
    <cellStyle name="Dane wejściowe 2 5 20 2" xfId="11783"/>
    <cellStyle name="Dane wejściowe 2 5 20 3" xfId="11784"/>
    <cellStyle name="Dane wejściowe 2 5 20 4" xfId="11785"/>
    <cellStyle name="Dane wejściowe 2 5 21" xfId="11786"/>
    <cellStyle name="Dane wejściowe 2 5 21 2" xfId="11787"/>
    <cellStyle name="Dane wejściowe 2 5 21 3" xfId="11788"/>
    <cellStyle name="Dane wejściowe 2 5 22" xfId="11789"/>
    <cellStyle name="Dane wejściowe 2 5 22 2" xfId="11790"/>
    <cellStyle name="Dane wejściowe 2 5 22 3" xfId="11791"/>
    <cellStyle name="Dane wejściowe 2 5 23" xfId="11792"/>
    <cellStyle name="Dane wejściowe 2 5 23 2" xfId="11793"/>
    <cellStyle name="Dane wejściowe 2 5 23 3" xfId="11794"/>
    <cellStyle name="Dane wejściowe 2 5 24" xfId="11795"/>
    <cellStyle name="Dane wejściowe 2 5 24 2" xfId="11796"/>
    <cellStyle name="Dane wejściowe 2 5 24 3" xfId="11797"/>
    <cellStyle name="Dane wejściowe 2 5 25" xfId="11798"/>
    <cellStyle name="Dane wejściowe 2 5 25 2" xfId="11799"/>
    <cellStyle name="Dane wejściowe 2 5 25 3" xfId="11800"/>
    <cellStyle name="Dane wejściowe 2 5 26" xfId="11801"/>
    <cellStyle name="Dane wejściowe 2 5 26 2" xfId="11802"/>
    <cellStyle name="Dane wejściowe 2 5 26 3" xfId="11803"/>
    <cellStyle name="Dane wejściowe 2 5 27" xfId="11804"/>
    <cellStyle name="Dane wejściowe 2 5 27 2" xfId="11805"/>
    <cellStyle name="Dane wejściowe 2 5 27 3" xfId="11806"/>
    <cellStyle name="Dane wejściowe 2 5 28" xfId="11807"/>
    <cellStyle name="Dane wejściowe 2 5 28 2" xfId="11808"/>
    <cellStyle name="Dane wejściowe 2 5 28 3" xfId="11809"/>
    <cellStyle name="Dane wejściowe 2 5 29" xfId="11810"/>
    <cellStyle name="Dane wejściowe 2 5 29 2" xfId="11811"/>
    <cellStyle name="Dane wejściowe 2 5 29 3" xfId="11812"/>
    <cellStyle name="Dane wejściowe 2 5 3" xfId="11813"/>
    <cellStyle name="Dane wejściowe 2 5 3 2" xfId="11814"/>
    <cellStyle name="Dane wejściowe 2 5 3 3" xfId="11815"/>
    <cellStyle name="Dane wejściowe 2 5 3 4" xfId="11816"/>
    <cellStyle name="Dane wejściowe 2 5 30" xfId="11817"/>
    <cellStyle name="Dane wejściowe 2 5 30 2" xfId="11818"/>
    <cellStyle name="Dane wejściowe 2 5 30 3" xfId="11819"/>
    <cellStyle name="Dane wejściowe 2 5 31" xfId="11820"/>
    <cellStyle name="Dane wejściowe 2 5 31 2" xfId="11821"/>
    <cellStyle name="Dane wejściowe 2 5 31 3" xfId="11822"/>
    <cellStyle name="Dane wejściowe 2 5 32" xfId="11823"/>
    <cellStyle name="Dane wejściowe 2 5 32 2" xfId="11824"/>
    <cellStyle name="Dane wejściowe 2 5 32 3" xfId="11825"/>
    <cellStyle name="Dane wejściowe 2 5 33" xfId="11826"/>
    <cellStyle name="Dane wejściowe 2 5 33 2" xfId="11827"/>
    <cellStyle name="Dane wejściowe 2 5 33 3" xfId="11828"/>
    <cellStyle name="Dane wejściowe 2 5 34" xfId="11829"/>
    <cellStyle name="Dane wejściowe 2 5 34 2" xfId="11830"/>
    <cellStyle name="Dane wejściowe 2 5 34 3" xfId="11831"/>
    <cellStyle name="Dane wejściowe 2 5 35" xfId="11832"/>
    <cellStyle name="Dane wejściowe 2 5 35 2" xfId="11833"/>
    <cellStyle name="Dane wejściowe 2 5 35 3" xfId="11834"/>
    <cellStyle name="Dane wejściowe 2 5 36" xfId="11835"/>
    <cellStyle name="Dane wejściowe 2 5 36 2" xfId="11836"/>
    <cellStyle name="Dane wejściowe 2 5 36 3" xfId="11837"/>
    <cellStyle name="Dane wejściowe 2 5 37" xfId="11838"/>
    <cellStyle name="Dane wejściowe 2 5 37 2" xfId="11839"/>
    <cellStyle name="Dane wejściowe 2 5 37 3" xfId="11840"/>
    <cellStyle name="Dane wejściowe 2 5 38" xfId="11841"/>
    <cellStyle name="Dane wejściowe 2 5 38 2" xfId="11842"/>
    <cellStyle name="Dane wejściowe 2 5 38 3" xfId="11843"/>
    <cellStyle name="Dane wejściowe 2 5 39" xfId="11844"/>
    <cellStyle name="Dane wejściowe 2 5 39 2" xfId="11845"/>
    <cellStyle name="Dane wejściowe 2 5 39 3" xfId="11846"/>
    <cellStyle name="Dane wejściowe 2 5 4" xfId="11847"/>
    <cellStyle name="Dane wejściowe 2 5 4 2" xfId="11848"/>
    <cellStyle name="Dane wejściowe 2 5 4 3" xfId="11849"/>
    <cellStyle name="Dane wejściowe 2 5 4 4" xfId="11850"/>
    <cellStyle name="Dane wejściowe 2 5 40" xfId="11851"/>
    <cellStyle name="Dane wejściowe 2 5 40 2" xfId="11852"/>
    <cellStyle name="Dane wejściowe 2 5 40 3" xfId="11853"/>
    <cellStyle name="Dane wejściowe 2 5 41" xfId="11854"/>
    <cellStyle name="Dane wejściowe 2 5 41 2" xfId="11855"/>
    <cellStyle name="Dane wejściowe 2 5 41 3" xfId="11856"/>
    <cellStyle name="Dane wejściowe 2 5 42" xfId="11857"/>
    <cellStyle name="Dane wejściowe 2 5 42 2" xfId="11858"/>
    <cellStyle name="Dane wejściowe 2 5 42 3" xfId="11859"/>
    <cellStyle name="Dane wejściowe 2 5 43" xfId="11860"/>
    <cellStyle name="Dane wejściowe 2 5 43 2" xfId="11861"/>
    <cellStyle name="Dane wejściowe 2 5 43 3" xfId="11862"/>
    <cellStyle name="Dane wejściowe 2 5 44" xfId="11863"/>
    <cellStyle name="Dane wejściowe 2 5 44 2" xfId="11864"/>
    <cellStyle name="Dane wejściowe 2 5 44 3" xfId="11865"/>
    <cellStyle name="Dane wejściowe 2 5 45" xfId="11866"/>
    <cellStyle name="Dane wejściowe 2 5 45 2" xfId="11867"/>
    <cellStyle name="Dane wejściowe 2 5 45 3" xfId="11868"/>
    <cellStyle name="Dane wejściowe 2 5 46" xfId="11869"/>
    <cellStyle name="Dane wejściowe 2 5 46 2" xfId="11870"/>
    <cellStyle name="Dane wejściowe 2 5 46 3" xfId="11871"/>
    <cellStyle name="Dane wejściowe 2 5 47" xfId="11872"/>
    <cellStyle name="Dane wejściowe 2 5 47 2" xfId="11873"/>
    <cellStyle name="Dane wejściowe 2 5 47 3" xfId="11874"/>
    <cellStyle name="Dane wejściowe 2 5 48" xfId="11875"/>
    <cellStyle name="Dane wejściowe 2 5 48 2" xfId="11876"/>
    <cellStyle name="Dane wejściowe 2 5 48 3" xfId="11877"/>
    <cellStyle name="Dane wejściowe 2 5 49" xfId="11878"/>
    <cellStyle name="Dane wejściowe 2 5 49 2" xfId="11879"/>
    <cellStyle name="Dane wejściowe 2 5 49 3" xfId="11880"/>
    <cellStyle name="Dane wejściowe 2 5 5" xfId="11881"/>
    <cellStyle name="Dane wejściowe 2 5 5 2" xfId="11882"/>
    <cellStyle name="Dane wejściowe 2 5 5 3" xfId="11883"/>
    <cellStyle name="Dane wejściowe 2 5 5 4" xfId="11884"/>
    <cellStyle name="Dane wejściowe 2 5 50" xfId="11885"/>
    <cellStyle name="Dane wejściowe 2 5 50 2" xfId="11886"/>
    <cellStyle name="Dane wejściowe 2 5 50 3" xfId="11887"/>
    <cellStyle name="Dane wejściowe 2 5 51" xfId="11888"/>
    <cellStyle name="Dane wejściowe 2 5 51 2" xfId="11889"/>
    <cellStyle name="Dane wejściowe 2 5 51 3" xfId="11890"/>
    <cellStyle name="Dane wejściowe 2 5 52" xfId="11891"/>
    <cellStyle name="Dane wejściowe 2 5 52 2" xfId="11892"/>
    <cellStyle name="Dane wejściowe 2 5 52 3" xfId="11893"/>
    <cellStyle name="Dane wejściowe 2 5 53" xfId="11894"/>
    <cellStyle name="Dane wejściowe 2 5 53 2" xfId="11895"/>
    <cellStyle name="Dane wejściowe 2 5 53 3" xfId="11896"/>
    <cellStyle name="Dane wejściowe 2 5 54" xfId="11897"/>
    <cellStyle name="Dane wejściowe 2 5 54 2" xfId="11898"/>
    <cellStyle name="Dane wejściowe 2 5 54 3" xfId="11899"/>
    <cellStyle name="Dane wejściowe 2 5 55" xfId="11900"/>
    <cellStyle name="Dane wejściowe 2 5 55 2" xfId="11901"/>
    <cellStyle name="Dane wejściowe 2 5 55 3" xfId="11902"/>
    <cellStyle name="Dane wejściowe 2 5 56" xfId="11903"/>
    <cellStyle name="Dane wejściowe 2 5 56 2" xfId="11904"/>
    <cellStyle name="Dane wejściowe 2 5 56 3" xfId="11905"/>
    <cellStyle name="Dane wejściowe 2 5 57" xfId="11906"/>
    <cellStyle name="Dane wejściowe 2 5 58" xfId="11907"/>
    <cellStyle name="Dane wejściowe 2 5 6" xfId="11908"/>
    <cellStyle name="Dane wejściowe 2 5 6 2" xfId="11909"/>
    <cellStyle name="Dane wejściowe 2 5 6 3" xfId="11910"/>
    <cellStyle name="Dane wejściowe 2 5 6 4" xfId="11911"/>
    <cellStyle name="Dane wejściowe 2 5 7" xfId="11912"/>
    <cellStyle name="Dane wejściowe 2 5 7 2" xfId="11913"/>
    <cellStyle name="Dane wejściowe 2 5 7 3" xfId="11914"/>
    <cellStyle name="Dane wejściowe 2 5 7 4" xfId="11915"/>
    <cellStyle name="Dane wejściowe 2 5 8" xfId="11916"/>
    <cellStyle name="Dane wejściowe 2 5 8 2" xfId="11917"/>
    <cellStyle name="Dane wejściowe 2 5 8 3" xfId="11918"/>
    <cellStyle name="Dane wejściowe 2 5 8 4" xfId="11919"/>
    <cellStyle name="Dane wejściowe 2 5 9" xfId="11920"/>
    <cellStyle name="Dane wejściowe 2 5 9 2" xfId="11921"/>
    <cellStyle name="Dane wejściowe 2 5 9 3" xfId="11922"/>
    <cellStyle name="Dane wejściowe 2 5 9 4" xfId="11923"/>
    <cellStyle name="Dane wejściowe 2 50" xfId="11924"/>
    <cellStyle name="Dane wejściowe 2 50 2" xfId="11925"/>
    <cellStyle name="Dane wejściowe 2 50 3" xfId="11926"/>
    <cellStyle name="Dane wejściowe 2 51" xfId="11927"/>
    <cellStyle name="Dane wejściowe 2 51 2" xfId="11928"/>
    <cellStyle name="Dane wejściowe 2 51 3" xfId="11929"/>
    <cellStyle name="Dane wejściowe 2 52" xfId="11930"/>
    <cellStyle name="Dane wejściowe 2 52 2" xfId="11931"/>
    <cellStyle name="Dane wejściowe 2 52 3" xfId="11932"/>
    <cellStyle name="Dane wejściowe 2 53" xfId="11933"/>
    <cellStyle name="Dane wejściowe 2 53 2" xfId="11934"/>
    <cellStyle name="Dane wejściowe 2 53 3" xfId="11935"/>
    <cellStyle name="Dane wejściowe 2 54" xfId="11936"/>
    <cellStyle name="Dane wejściowe 2 54 2" xfId="11937"/>
    <cellStyle name="Dane wejściowe 2 54 3" xfId="11938"/>
    <cellStyle name="Dane wejściowe 2 55" xfId="11939"/>
    <cellStyle name="Dane wejściowe 2 55 2" xfId="11940"/>
    <cellStyle name="Dane wejściowe 2 55 3" xfId="11941"/>
    <cellStyle name="Dane wejściowe 2 56" xfId="11942"/>
    <cellStyle name="Dane wejściowe 2 56 2" xfId="11943"/>
    <cellStyle name="Dane wejściowe 2 56 3" xfId="11944"/>
    <cellStyle name="Dane wejściowe 2 57" xfId="11945"/>
    <cellStyle name="Dane wejściowe 2 57 2" xfId="11946"/>
    <cellStyle name="Dane wejściowe 2 57 3" xfId="11947"/>
    <cellStyle name="Dane wejściowe 2 58" xfId="11948"/>
    <cellStyle name="Dane wejściowe 2 58 2" xfId="11949"/>
    <cellStyle name="Dane wejściowe 2 58 3" xfId="11950"/>
    <cellStyle name="Dane wejściowe 2 59" xfId="11951"/>
    <cellStyle name="Dane wejściowe 2 59 2" xfId="11952"/>
    <cellStyle name="Dane wejściowe 2 59 3" xfId="11953"/>
    <cellStyle name="Dane wejściowe 2 6" xfId="11954"/>
    <cellStyle name="Dane wejściowe 2 6 10" xfId="11955"/>
    <cellStyle name="Dane wejściowe 2 6 10 2" xfId="11956"/>
    <cellStyle name="Dane wejściowe 2 6 10 3" xfId="11957"/>
    <cellStyle name="Dane wejściowe 2 6 10 4" xfId="11958"/>
    <cellStyle name="Dane wejściowe 2 6 11" xfId="11959"/>
    <cellStyle name="Dane wejściowe 2 6 11 2" xfId="11960"/>
    <cellStyle name="Dane wejściowe 2 6 11 3" xfId="11961"/>
    <cellStyle name="Dane wejściowe 2 6 11 4" xfId="11962"/>
    <cellStyle name="Dane wejściowe 2 6 12" xfId="11963"/>
    <cellStyle name="Dane wejściowe 2 6 12 2" xfId="11964"/>
    <cellStyle name="Dane wejściowe 2 6 12 3" xfId="11965"/>
    <cellStyle name="Dane wejściowe 2 6 12 4" xfId="11966"/>
    <cellStyle name="Dane wejściowe 2 6 13" xfId="11967"/>
    <cellStyle name="Dane wejściowe 2 6 13 2" xfId="11968"/>
    <cellStyle name="Dane wejściowe 2 6 13 3" xfId="11969"/>
    <cellStyle name="Dane wejściowe 2 6 13 4" xfId="11970"/>
    <cellStyle name="Dane wejściowe 2 6 14" xfId="11971"/>
    <cellStyle name="Dane wejściowe 2 6 14 2" xfId="11972"/>
    <cellStyle name="Dane wejściowe 2 6 14 3" xfId="11973"/>
    <cellStyle name="Dane wejściowe 2 6 14 4" xfId="11974"/>
    <cellStyle name="Dane wejściowe 2 6 15" xfId="11975"/>
    <cellStyle name="Dane wejściowe 2 6 15 2" xfId="11976"/>
    <cellStyle name="Dane wejściowe 2 6 15 3" xfId="11977"/>
    <cellStyle name="Dane wejściowe 2 6 15 4" xfId="11978"/>
    <cellStyle name="Dane wejściowe 2 6 16" xfId="11979"/>
    <cellStyle name="Dane wejściowe 2 6 16 2" xfId="11980"/>
    <cellStyle name="Dane wejściowe 2 6 16 3" xfId="11981"/>
    <cellStyle name="Dane wejściowe 2 6 16 4" xfId="11982"/>
    <cellStyle name="Dane wejściowe 2 6 17" xfId="11983"/>
    <cellStyle name="Dane wejściowe 2 6 17 2" xfId="11984"/>
    <cellStyle name="Dane wejściowe 2 6 17 3" xfId="11985"/>
    <cellStyle name="Dane wejściowe 2 6 17 4" xfId="11986"/>
    <cellStyle name="Dane wejściowe 2 6 18" xfId="11987"/>
    <cellStyle name="Dane wejściowe 2 6 18 2" xfId="11988"/>
    <cellStyle name="Dane wejściowe 2 6 18 3" xfId="11989"/>
    <cellStyle name="Dane wejściowe 2 6 18 4" xfId="11990"/>
    <cellStyle name="Dane wejściowe 2 6 19" xfId="11991"/>
    <cellStyle name="Dane wejściowe 2 6 19 2" xfId="11992"/>
    <cellStyle name="Dane wejściowe 2 6 19 3" xfId="11993"/>
    <cellStyle name="Dane wejściowe 2 6 19 4" xfId="11994"/>
    <cellStyle name="Dane wejściowe 2 6 2" xfId="11995"/>
    <cellStyle name="Dane wejściowe 2 6 2 2" xfId="11996"/>
    <cellStyle name="Dane wejściowe 2 6 2 3" xfId="11997"/>
    <cellStyle name="Dane wejściowe 2 6 2 4" xfId="11998"/>
    <cellStyle name="Dane wejściowe 2 6 20" xfId="11999"/>
    <cellStyle name="Dane wejściowe 2 6 20 2" xfId="12000"/>
    <cellStyle name="Dane wejściowe 2 6 20 3" xfId="12001"/>
    <cellStyle name="Dane wejściowe 2 6 20 4" xfId="12002"/>
    <cellStyle name="Dane wejściowe 2 6 21" xfId="12003"/>
    <cellStyle name="Dane wejściowe 2 6 21 2" xfId="12004"/>
    <cellStyle name="Dane wejściowe 2 6 21 3" xfId="12005"/>
    <cellStyle name="Dane wejściowe 2 6 22" xfId="12006"/>
    <cellStyle name="Dane wejściowe 2 6 22 2" xfId="12007"/>
    <cellStyle name="Dane wejściowe 2 6 22 3" xfId="12008"/>
    <cellStyle name="Dane wejściowe 2 6 23" xfId="12009"/>
    <cellStyle name="Dane wejściowe 2 6 23 2" xfId="12010"/>
    <cellStyle name="Dane wejściowe 2 6 23 3" xfId="12011"/>
    <cellStyle name="Dane wejściowe 2 6 24" xfId="12012"/>
    <cellStyle name="Dane wejściowe 2 6 24 2" xfId="12013"/>
    <cellStyle name="Dane wejściowe 2 6 24 3" xfId="12014"/>
    <cellStyle name="Dane wejściowe 2 6 25" xfId="12015"/>
    <cellStyle name="Dane wejściowe 2 6 25 2" xfId="12016"/>
    <cellStyle name="Dane wejściowe 2 6 25 3" xfId="12017"/>
    <cellStyle name="Dane wejściowe 2 6 26" xfId="12018"/>
    <cellStyle name="Dane wejściowe 2 6 26 2" xfId="12019"/>
    <cellStyle name="Dane wejściowe 2 6 26 3" xfId="12020"/>
    <cellStyle name="Dane wejściowe 2 6 27" xfId="12021"/>
    <cellStyle name="Dane wejściowe 2 6 27 2" xfId="12022"/>
    <cellStyle name="Dane wejściowe 2 6 27 3" xfId="12023"/>
    <cellStyle name="Dane wejściowe 2 6 28" xfId="12024"/>
    <cellStyle name="Dane wejściowe 2 6 28 2" xfId="12025"/>
    <cellStyle name="Dane wejściowe 2 6 28 3" xfId="12026"/>
    <cellStyle name="Dane wejściowe 2 6 29" xfId="12027"/>
    <cellStyle name="Dane wejściowe 2 6 29 2" xfId="12028"/>
    <cellStyle name="Dane wejściowe 2 6 29 3" xfId="12029"/>
    <cellStyle name="Dane wejściowe 2 6 3" xfId="12030"/>
    <cellStyle name="Dane wejściowe 2 6 3 2" xfId="12031"/>
    <cellStyle name="Dane wejściowe 2 6 3 3" xfId="12032"/>
    <cellStyle name="Dane wejściowe 2 6 3 4" xfId="12033"/>
    <cellStyle name="Dane wejściowe 2 6 30" xfId="12034"/>
    <cellStyle name="Dane wejściowe 2 6 30 2" xfId="12035"/>
    <cellStyle name="Dane wejściowe 2 6 30 3" xfId="12036"/>
    <cellStyle name="Dane wejściowe 2 6 31" xfId="12037"/>
    <cellStyle name="Dane wejściowe 2 6 31 2" xfId="12038"/>
    <cellStyle name="Dane wejściowe 2 6 31 3" xfId="12039"/>
    <cellStyle name="Dane wejściowe 2 6 32" xfId="12040"/>
    <cellStyle name="Dane wejściowe 2 6 32 2" xfId="12041"/>
    <cellStyle name="Dane wejściowe 2 6 32 3" xfId="12042"/>
    <cellStyle name="Dane wejściowe 2 6 33" xfId="12043"/>
    <cellStyle name="Dane wejściowe 2 6 33 2" xfId="12044"/>
    <cellStyle name="Dane wejściowe 2 6 33 3" xfId="12045"/>
    <cellStyle name="Dane wejściowe 2 6 34" xfId="12046"/>
    <cellStyle name="Dane wejściowe 2 6 34 2" xfId="12047"/>
    <cellStyle name="Dane wejściowe 2 6 34 3" xfId="12048"/>
    <cellStyle name="Dane wejściowe 2 6 35" xfId="12049"/>
    <cellStyle name="Dane wejściowe 2 6 35 2" xfId="12050"/>
    <cellStyle name="Dane wejściowe 2 6 35 3" xfId="12051"/>
    <cellStyle name="Dane wejściowe 2 6 36" xfId="12052"/>
    <cellStyle name="Dane wejściowe 2 6 36 2" xfId="12053"/>
    <cellStyle name="Dane wejściowe 2 6 36 3" xfId="12054"/>
    <cellStyle name="Dane wejściowe 2 6 37" xfId="12055"/>
    <cellStyle name="Dane wejściowe 2 6 37 2" xfId="12056"/>
    <cellStyle name="Dane wejściowe 2 6 37 3" xfId="12057"/>
    <cellStyle name="Dane wejściowe 2 6 38" xfId="12058"/>
    <cellStyle name="Dane wejściowe 2 6 38 2" xfId="12059"/>
    <cellStyle name="Dane wejściowe 2 6 38 3" xfId="12060"/>
    <cellStyle name="Dane wejściowe 2 6 39" xfId="12061"/>
    <cellStyle name="Dane wejściowe 2 6 39 2" xfId="12062"/>
    <cellStyle name="Dane wejściowe 2 6 39 3" xfId="12063"/>
    <cellStyle name="Dane wejściowe 2 6 4" xfId="12064"/>
    <cellStyle name="Dane wejściowe 2 6 4 2" xfId="12065"/>
    <cellStyle name="Dane wejściowe 2 6 4 3" xfId="12066"/>
    <cellStyle name="Dane wejściowe 2 6 4 4" xfId="12067"/>
    <cellStyle name="Dane wejściowe 2 6 40" xfId="12068"/>
    <cellStyle name="Dane wejściowe 2 6 40 2" xfId="12069"/>
    <cellStyle name="Dane wejściowe 2 6 40 3" xfId="12070"/>
    <cellStyle name="Dane wejściowe 2 6 41" xfId="12071"/>
    <cellStyle name="Dane wejściowe 2 6 41 2" xfId="12072"/>
    <cellStyle name="Dane wejściowe 2 6 41 3" xfId="12073"/>
    <cellStyle name="Dane wejściowe 2 6 42" xfId="12074"/>
    <cellStyle name="Dane wejściowe 2 6 42 2" xfId="12075"/>
    <cellStyle name="Dane wejściowe 2 6 42 3" xfId="12076"/>
    <cellStyle name="Dane wejściowe 2 6 43" xfId="12077"/>
    <cellStyle name="Dane wejściowe 2 6 43 2" xfId="12078"/>
    <cellStyle name="Dane wejściowe 2 6 43 3" xfId="12079"/>
    <cellStyle name="Dane wejściowe 2 6 44" xfId="12080"/>
    <cellStyle name="Dane wejściowe 2 6 44 2" xfId="12081"/>
    <cellStyle name="Dane wejściowe 2 6 44 3" xfId="12082"/>
    <cellStyle name="Dane wejściowe 2 6 45" xfId="12083"/>
    <cellStyle name="Dane wejściowe 2 6 45 2" xfId="12084"/>
    <cellStyle name="Dane wejściowe 2 6 45 3" xfId="12085"/>
    <cellStyle name="Dane wejściowe 2 6 46" xfId="12086"/>
    <cellStyle name="Dane wejściowe 2 6 46 2" xfId="12087"/>
    <cellStyle name="Dane wejściowe 2 6 46 3" xfId="12088"/>
    <cellStyle name="Dane wejściowe 2 6 47" xfId="12089"/>
    <cellStyle name="Dane wejściowe 2 6 47 2" xfId="12090"/>
    <cellStyle name="Dane wejściowe 2 6 47 3" xfId="12091"/>
    <cellStyle name="Dane wejściowe 2 6 48" xfId="12092"/>
    <cellStyle name="Dane wejściowe 2 6 48 2" xfId="12093"/>
    <cellStyle name="Dane wejściowe 2 6 48 3" xfId="12094"/>
    <cellStyle name="Dane wejściowe 2 6 49" xfId="12095"/>
    <cellStyle name="Dane wejściowe 2 6 49 2" xfId="12096"/>
    <cellStyle name="Dane wejściowe 2 6 49 3" xfId="12097"/>
    <cellStyle name="Dane wejściowe 2 6 5" xfId="12098"/>
    <cellStyle name="Dane wejściowe 2 6 5 2" xfId="12099"/>
    <cellStyle name="Dane wejściowe 2 6 5 3" xfId="12100"/>
    <cellStyle name="Dane wejściowe 2 6 5 4" xfId="12101"/>
    <cellStyle name="Dane wejściowe 2 6 50" xfId="12102"/>
    <cellStyle name="Dane wejściowe 2 6 50 2" xfId="12103"/>
    <cellStyle name="Dane wejściowe 2 6 50 3" xfId="12104"/>
    <cellStyle name="Dane wejściowe 2 6 51" xfId="12105"/>
    <cellStyle name="Dane wejściowe 2 6 51 2" xfId="12106"/>
    <cellStyle name="Dane wejściowe 2 6 51 3" xfId="12107"/>
    <cellStyle name="Dane wejściowe 2 6 52" xfId="12108"/>
    <cellStyle name="Dane wejściowe 2 6 52 2" xfId="12109"/>
    <cellStyle name="Dane wejściowe 2 6 52 3" xfId="12110"/>
    <cellStyle name="Dane wejściowe 2 6 53" xfId="12111"/>
    <cellStyle name="Dane wejściowe 2 6 53 2" xfId="12112"/>
    <cellStyle name="Dane wejściowe 2 6 53 3" xfId="12113"/>
    <cellStyle name="Dane wejściowe 2 6 54" xfId="12114"/>
    <cellStyle name="Dane wejściowe 2 6 54 2" xfId="12115"/>
    <cellStyle name="Dane wejściowe 2 6 54 3" xfId="12116"/>
    <cellStyle name="Dane wejściowe 2 6 55" xfId="12117"/>
    <cellStyle name="Dane wejściowe 2 6 55 2" xfId="12118"/>
    <cellStyle name="Dane wejściowe 2 6 55 3" xfId="12119"/>
    <cellStyle name="Dane wejściowe 2 6 56" xfId="12120"/>
    <cellStyle name="Dane wejściowe 2 6 56 2" xfId="12121"/>
    <cellStyle name="Dane wejściowe 2 6 56 3" xfId="12122"/>
    <cellStyle name="Dane wejściowe 2 6 57" xfId="12123"/>
    <cellStyle name="Dane wejściowe 2 6 58" xfId="12124"/>
    <cellStyle name="Dane wejściowe 2 6 6" xfId="12125"/>
    <cellStyle name="Dane wejściowe 2 6 6 2" xfId="12126"/>
    <cellStyle name="Dane wejściowe 2 6 6 3" xfId="12127"/>
    <cellStyle name="Dane wejściowe 2 6 6 4" xfId="12128"/>
    <cellStyle name="Dane wejściowe 2 6 7" xfId="12129"/>
    <cellStyle name="Dane wejściowe 2 6 7 2" xfId="12130"/>
    <cellStyle name="Dane wejściowe 2 6 7 3" xfId="12131"/>
    <cellStyle name="Dane wejściowe 2 6 7 4" xfId="12132"/>
    <cellStyle name="Dane wejściowe 2 6 8" xfId="12133"/>
    <cellStyle name="Dane wejściowe 2 6 8 2" xfId="12134"/>
    <cellStyle name="Dane wejściowe 2 6 8 3" xfId="12135"/>
    <cellStyle name="Dane wejściowe 2 6 8 4" xfId="12136"/>
    <cellStyle name="Dane wejściowe 2 6 9" xfId="12137"/>
    <cellStyle name="Dane wejściowe 2 6 9 2" xfId="12138"/>
    <cellStyle name="Dane wejściowe 2 6 9 3" xfId="12139"/>
    <cellStyle name="Dane wejściowe 2 6 9 4" xfId="12140"/>
    <cellStyle name="Dane wejściowe 2 60" xfId="12141"/>
    <cellStyle name="Dane wejściowe 2 60 2" xfId="12142"/>
    <cellStyle name="Dane wejściowe 2 60 3" xfId="12143"/>
    <cellStyle name="Dane wejściowe 2 61" xfId="12144"/>
    <cellStyle name="Dane wejściowe 2 61 2" xfId="12145"/>
    <cellStyle name="Dane wejściowe 2 61 3" xfId="12146"/>
    <cellStyle name="Dane wejściowe 2 62" xfId="12147"/>
    <cellStyle name="Dane wejściowe 2 62 2" xfId="12148"/>
    <cellStyle name="Dane wejściowe 2 62 3" xfId="12149"/>
    <cellStyle name="Dane wejściowe 2 63" xfId="12150"/>
    <cellStyle name="Dane wejściowe 2 63 2" xfId="12151"/>
    <cellStyle name="Dane wejściowe 2 63 3" xfId="12152"/>
    <cellStyle name="Dane wejściowe 2 64" xfId="12153"/>
    <cellStyle name="Dane wejściowe 2 64 2" xfId="12154"/>
    <cellStyle name="Dane wejściowe 2 64 3" xfId="12155"/>
    <cellStyle name="Dane wejściowe 2 65" xfId="12156"/>
    <cellStyle name="Dane wejściowe 2 65 2" xfId="12157"/>
    <cellStyle name="Dane wejściowe 2 65 3" xfId="12158"/>
    <cellStyle name="Dane wejściowe 2 66" xfId="12159"/>
    <cellStyle name="Dane wejściowe 2 66 2" xfId="12160"/>
    <cellStyle name="Dane wejściowe 2 66 3" xfId="12161"/>
    <cellStyle name="Dane wejściowe 2 67" xfId="12162"/>
    <cellStyle name="Dane wejściowe 2 67 2" xfId="12163"/>
    <cellStyle name="Dane wejściowe 2 67 3" xfId="12164"/>
    <cellStyle name="Dane wejściowe 2 68" xfId="12165"/>
    <cellStyle name="Dane wejściowe 2 68 2" xfId="12166"/>
    <cellStyle name="Dane wejściowe 2 68 3" xfId="12167"/>
    <cellStyle name="Dane wejściowe 2 69" xfId="12168"/>
    <cellStyle name="Dane wejściowe 2 69 2" xfId="12169"/>
    <cellStyle name="Dane wejściowe 2 69 3" xfId="12170"/>
    <cellStyle name="Dane wejściowe 2 7" xfId="12171"/>
    <cellStyle name="Dane wejściowe 2 7 10" xfId="12172"/>
    <cellStyle name="Dane wejściowe 2 7 10 2" xfId="12173"/>
    <cellStyle name="Dane wejściowe 2 7 10 3" xfId="12174"/>
    <cellStyle name="Dane wejściowe 2 7 10 4" xfId="12175"/>
    <cellStyle name="Dane wejściowe 2 7 11" xfId="12176"/>
    <cellStyle name="Dane wejściowe 2 7 11 2" xfId="12177"/>
    <cellStyle name="Dane wejściowe 2 7 11 3" xfId="12178"/>
    <cellStyle name="Dane wejściowe 2 7 11 4" xfId="12179"/>
    <cellStyle name="Dane wejściowe 2 7 12" xfId="12180"/>
    <cellStyle name="Dane wejściowe 2 7 12 2" xfId="12181"/>
    <cellStyle name="Dane wejściowe 2 7 12 3" xfId="12182"/>
    <cellStyle name="Dane wejściowe 2 7 12 4" xfId="12183"/>
    <cellStyle name="Dane wejściowe 2 7 13" xfId="12184"/>
    <cellStyle name="Dane wejściowe 2 7 13 2" xfId="12185"/>
    <cellStyle name="Dane wejściowe 2 7 13 3" xfId="12186"/>
    <cellStyle name="Dane wejściowe 2 7 13 4" xfId="12187"/>
    <cellStyle name="Dane wejściowe 2 7 14" xfId="12188"/>
    <cellStyle name="Dane wejściowe 2 7 14 2" xfId="12189"/>
    <cellStyle name="Dane wejściowe 2 7 14 3" xfId="12190"/>
    <cellStyle name="Dane wejściowe 2 7 14 4" xfId="12191"/>
    <cellStyle name="Dane wejściowe 2 7 15" xfId="12192"/>
    <cellStyle name="Dane wejściowe 2 7 15 2" xfId="12193"/>
    <cellStyle name="Dane wejściowe 2 7 15 3" xfId="12194"/>
    <cellStyle name="Dane wejściowe 2 7 15 4" xfId="12195"/>
    <cellStyle name="Dane wejściowe 2 7 16" xfId="12196"/>
    <cellStyle name="Dane wejściowe 2 7 16 2" xfId="12197"/>
    <cellStyle name="Dane wejściowe 2 7 16 3" xfId="12198"/>
    <cellStyle name="Dane wejściowe 2 7 16 4" xfId="12199"/>
    <cellStyle name="Dane wejściowe 2 7 17" xfId="12200"/>
    <cellStyle name="Dane wejściowe 2 7 17 2" xfId="12201"/>
    <cellStyle name="Dane wejściowe 2 7 17 3" xfId="12202"/>
    <cellStyle name="Dane wejściowe 2 7 17 4" xfId="12203"/>
    <cellStyle name="Dane wejściowe 2 7 18" xfId="12204"/>
    <cellStyle name="Dane wejściowe 2 7 18 2" xfId="12205"/>
    <cellStyle name="Dane wejściowe 2 7 18 3" xfId="12206"/>
    <cellStyle name="Dane wejściowe 2 7 18 4" xfId="12207"/>
    <cellStyle name="Dane wejściowe 2 7 19" xfId="12208"/>
    <cellStyle name="Dane wejściowe 2 7 19 2" xfId="12209"/>
    <cellStyle name="Dane wejściowe 2 7 19 3" xfId="12210"/>
    <cellStyle name="Dane wejściowe 2 7 19 4" xfId="12211"/>
    <cellStyle name="Dane wejściowe 2 7 2" xfId="12212"/>
    <cellStyle name="Dane wejściowe 2 7 2 2" xfId="12213"/>
    <cellStyle name="Dane wejściowe 2 7 2 3" xfId="12214"/>
    <cellStyle name="Dane wejściowe 2 7 2 4" xfId="12215"/>
    <cellStyle name="Dane wejściowe 2 7 20" xfId="12216"/>
    <cellStyle name="Dane wejściowe 2 7 20 2" xfId="12217"/>
    <cellStyle name="Dane wejściowe 2 7 20 3" xfId="12218"/>
    <cellStyle name="Dane wejściowe 2 7 20 4" xfId="12219"/>
    <cellStyle name="Dane wejściowe 2 7 21" xfId="12220"/>
    <cellStyle name="Dane wejściowe 2 7 21 2" xfId="12221"/>
    <cellStyle name="Dane wejściowe 2 7 21 3" xfId="12222"/>
    <cellStyle name="Dane wejściowe 2 7 22" xfId="12223"/>
    <cellStyle name="Dane wejściowe 2 7 22 2" xfId="12224"/>
    <cellStyle name="Dane wejściowe 2 7 22 3" xfId="12225"/>
    <cellStyle name="Dane wejściowe 2 7 23" xfId="12226"/>
    <cellStyle name="Dane wejściowe 2 7 23 2" xfId="12227"/>
    <cellStyle name="Dane wejściowe 2 7 23 3" xfId="12228"/>
    <cellStyle name="Dane wejściowe 2 7 24" xfId="12229"/>
    <cellStyle name="Dane wejściowe 2 7 24 2" xfId="12230"/>
    <cellStyle name="Dane wejściowe 2 7 24 3" xfId="12231"/>
    <cellStyle name="Dane wejściowe 2 7 25" xfId="12232"/>
    <cellStyle name="Dane wejściowe 2 7 25 2" xfId="12233"/>
    <cellStyle name="Dane wejściowe 2 7 25 3" xfId="12234"/>
    <cellStyle name="Dane wejściowe 2 7 26" xfId="12235"/>
    <cellStyle name="Dane wejściowe 2 7 26 2" xfId="12236"/>
    <cellStyle name="Dane wejściowe 2 7 26 3" xfId="12237"/>
    <cellStyle name="Dane wejściowe 2 7 27" xfId="12238"/>
    <cellStyle name="Dane wejściowe 2 7 27 2" xfId="12239"/>
    <cellStyle name="Dane wejściowe 2 7 27 3" xfId="12240"/>
    <cellStyle name="Dane wejściowe 2 7 28" xfId="12241"/>
    <cellStyle name="Dane wejściowe 2 7 28 2" xfId="12242"/>
    <cellStyle name="Dane wejściowe 2 7 28 3" xfId="12243"/>
    <cellStyle name="Dane wejściowe 2 7 29" xfId="12244"/>
    <cellStyle name="Dane wejściowe 2 7 29 2" xfId="12245"/>
    <cellStyle name="Dane wejściowe 2 7 29 3" xfId="12246"/>
    <cellStyle name="Dane wejściowe 2 7 3" xfId="12247"/>
    <cellStyle name="Dane wejściowe 2 7 3 2" xfId="12248"/>
    <cellStyle name="Dane wejściowe 2 7 3 3" xfId="12249"/>
    <cellStyle name="Dane wejściowe 2 7 3 4" xfId="12250"/>
    <cellStyle name="Dane wejściowe 2 7 30" xfId="12251"/>
    <cellStyle name="Dane wejściowe 2 7 30 2" xfId="12252"/>
    <cellStyle name="Dane wejściowe 2 7 30 3" xfId="12253"/>
    <cellStyle name="Dane wejściowe 2 7 31" xfId="12254"/>
    <cellStyle name="Dane wejściowe 2 7 31 2" xfId="12255"/>
    <cellStyle name="Dane wejściowe 2 7 31 3" xfId="12256"/>
    <cellStyle name="Dane wejściowe 2 7 32" xfId="12257"/>
    <cellStyle name="Dane wejściowe 2 7 32 2" xfId="12258"/>
    <cellStyle name="Dane wejściowe 2 7 32 3" xfId="12259"/>
    <cellStyle name="Dane wejściowe 2 7 33" xfId="12260"/>
    <cellStyle name="Dane wejściowe 2 7 33 2" xfId="12261"/>
    <cellStyle name="Dane wejściowe 2 7 33 3" xfId="12262"/>
    <cellStyle name="Dane wejściowe 2 7 34" xfId="12263"/>
    <cellStyle name="Dane wejściowe 2 7 34 2" xfId="12264"/>
    <cellStyle name="Dane wejściowe 2 7 34 3" xfId="12265"/>
    <cellStyle name="Dane wejściowe 2 7 35" xfId="12266"/>
    <cellStyle name="Dane wejściowe 2 7 35 2" xfId="12267"/>
    <cellStyle name="Dane wejściowe 2 7 35 3" xfId="12268"/>
    <cellStyle name="Dane wejściowe 2 7 36" xfId="12269"/>
    <cellStyle name="Dane wejściowe 2 7 36 2" xfId="12270"/>
    <cellStyle name="Dane wejściowe 2 7 36 3" xfId="12271"/>
    <cellStyle name="Dane wejściowe 2 7 37" xfId="12272"/>
    <cellStyle name="Dane wejściowe 2 7 37 2" xfId="12273"/>
    <cellStyle name="Dane wejściowe 2 7 37 3" xfId="12274"/>
    <cellStyle name="Dane wejściowe 2 7 38" xfId="12275"/>
    <cellStyle name="Dane wejściowe 2 7 38 2" xfId="12276"/>
    <cellStyle name="Dane wejściowe 2 7 38 3" xfId="12277"/>
    <cellStyle name="Dane wejściowe 2 7 39" xfId="12278"/>
    <cellStyle name="Dane wejściowe 2 7 39 2" xfId="12279"/>
    <cellStyle name="Dane wejściowe 2 7 39 3" xfId="12280"/>
    <cellStyle name="Dane wejściowe 2 7 4" xfId="12281"/>
    <cellStyle name="Dane wejściowe 2 7 4 2" xfId="12282"/>
    <cellStyle name="Dane wejściowe 2 7 4 3" xfId="12283"/>
    <cellStyle name="Dane wejściowe 2 7 4 4" xfId="12284"/>
    <cellStyle name="Dane wejściowe 2 7 40" xfId="12285"/>
    <cellStyle name="Dane wejściowe 2 7 40 2" xfId="12286"/>
    <cellStyle name="Dane wejściowe 2 7 40 3" xfId="12287"/>
    <cellStyle name="Dane wejściowe 2 7 41" xfId="12288"/>
    <cellStyle name="Dane wejściowe 2 7 41 2" xfId="12289"/>
    <cellStyle name="Dane wejściowe 2 7 41 3" xfId="12290"/>
    <cellStyle name="Dane wejściowe 2 7 42" xfId="12291"/>
    <cellStyle name="Dane wejściowe 2 7 42 2" xfId="12292"/>
    <cellStyle name="Dane wejściowe 2 7 42 3" xfId="12293"/>
    <cellStyle name="Dane wejściowe 2 7 43" xfId="12294"/>
    <cellStyle name="Dane wejściowe 2 7 43 2" xfId="12295"/>
    <cellStyle name="Dane wejściowe 2 7 43 3" xfId="12296"/>
    <cellStyle name="Dane wejściowe 2 7 44" xfId="12297"/>
    <cellStyle name="Dane wejściowe 2 7 44 2" xfId="12298"/>
    <cellStyle name="Dane wejściowe 2 7 44 3" xfId="12299"/>
    <cellStyle name="Dane wejściowe 2 7 45" xfId="12300"/>
    <cellStyle name="Dane wejściowe 2 7 45 2" xfId="12301"/>
    <cellStyle name="Dane wejściowe 2 7 45 3" xfId="12302"/>
    <cellStyle name="Dane wejściowe 2 7 46" xfId="12303"/>
    <cellStyle name="Dane wejściowe 2 7 46 2" xfId="12304"/>
    <cellStyle name="Dane wejściowe 2 7 46 3" xfId="12305"/>
    <cellStyle name="Dane wejściowe 2 7 47" xfId="12306"/>
    <cellStyle name="Dane wejściowe 2 7 47 2" xfId="12307"/>
    <cellStyle name="Dane wejściowe 2 7 47 3" xfId="12308"/>
    <cellStyle name="Dane wejściowe 2 7 48" xfId="12309"/>
    <cellStyle name="Dane wejściowe 2 7 48 2" xfId="12310"/>
    <cellStyle name="Dane wejściowe 2 7 48 3" xfId="12311"/>
    <cellStyle name="Dane wejściowe 2 7 49" xfId="12312"/>
    <cellStyle name="Dane wejściowe 2 7 49 2" xfId="12313"/>
    <cellStyle name="Dane wejściowe 2 7 49 3" xfId="12314"/>
    <cellStyle name="Dane wejściowe 2 7 5" xfId="12315"/>
    <cellStyle name="Dane wejściowe 2 7 5 2" xfId="12316"/>
    <cellStyle name="Dane wejściowe 2 7 5 3" xfId="12317"/>
    <cellStyle name="Dane wejściowe 2 7 5 4" xfId="12318"/>
    <cellStyle name="Dane wejściowe 2 7 50" xfId="12319"/>
    <cellStyle name="Dane wejściowe 2 7 50 2" xfId="12320"/>
    <cellStyle name="Dane wejściowe 2 7 50 3" xfId="12321"/>
    <cellStyle name="Dane wejściowe 2 7 51" xfId="12322"/>
    <cellStyle name="Dane wejściowe 2 7 51 2" xfId="12323"/>
    <cellStyle name="Dane wejściowe 2 7 51 3" xfId="12324"/>
    <cellStyle name="Dane wejściowe 2 7 52" xfId="12325"/>
    <cellStyle name="Dane wejściowe 2 7 52 2" xfId="12326"/>
    <cellStyle name="Dane wejściowe 2 7 52 3" xfId="12327"/>
    <cellStyle name="Dane wejściowe 2 7 53" xfId="12328"/>
    <cellStyle name="Dane wejściowe 2 7 53 2" xfId="12329"/>
    <cellStyle name="Dane wejściowe 2 7 53 3" xfId="12330"/>
    <cellStyle name="Dane wejściowe 2 7 54" xfId="12331"/>
    <cellStyle name="Dane wejściowe 2 7 54 2" xfId="12332"/>
    <cellStyle name="Dane wejściowe 2 7 54 3" xfId="12333"/>
    <cellStyle name="Dane wejściowe 2 7 55" xfId="12334"/>
    <cellStyle name="Dane wejściowe 2 7 55 2" xfId="12335"/>
    <cellStyle name="Dane wejściowe 2 7 55 3" xfId="12336"/>
    <cellStyle name="Dane wejściowe 2 7 56" xfId="12337"/>
    <cellStyle name="Dane wejściowe 2 7 56 2" xfId="12338"/>
    <cellStyle name="Dane wejściowe 2 7 56 3" xfId="12339"/>
    <cellStyle name="Dane wejściowe 2 7 57" xfId="12340"/>
    <cellStyle name="Dane wejściowe 2 7 58" xfId="12341"/>
    <cellStyle name="Dane wejściowe 2 7 6" xfId="12342"/>
    <cellStyle name="Dane wejściowe 2 7 6 2" xfId="12343"/>
    <cellStyle name="Dane wejściowe 2 7 6 3" xfId="12344"/>
    <cellStyle name="Dane wejściowe 2 7 6 4" xfId="12345"/>
    <cellStyle name="Dane wejściowe 2 7 7" xfId="12346"/>
    <cellStyle name="Dane wejściowe 2 7 7 2" xfId="12347"/>
    <cellStyle name="Dane wejściowe 2 7 7 3" xfId="12348"/>
    <cellStyle name="Dane wejściowe 2 7 7 4" xfId="12349"/>
    <cellStyle name="Dane wejściowe 2 7 8" xfId="12350"/>
    <cellStyle name="Dane wejściowe 2 7 8 2" xfId="12351"/>
    <cellStyle name="Dane wejściowe 2 7 8 3" xfId="12352"/>
    <cellStyle name="Dane wejściowe 2 7 8 4" xfId="12353"/>
    <cellStyle name="Dane wejściowe 2 7 9" xfId="12354"/>
    <cellStyle name="Dane wejściowe 2 7 9 2" xfId="12355"/>
    <cellStyle name="Dane wejściowe 2 7 9 3" xfId="12356"/>
    <cellStyle name="Dane wejściowe 2 7 9 4" xfId="12357"/>
    <cellStyle name="Dane wejściowe 2 70" xfId="12358"/>
    <cellStyle name="Dane wejściowe 2 70 2" xfId="12359"/>
    <cellStyle name="Dane wejściowe 2 70 3" xfId="12360"/>
    <cellStyle name="Dane wejściowe 2 71" xfId="12361"/>
    <cellStyle name="Dane wejściowe 2 71 2" xfId="12362"/>
    <cellStyle name="Dane wejściowe 2 71 3" xfId="12363"/>
    <cellStyle name="Dane wejściowe 2 72" xfId="12364"/>
    <cellStyle name="Dane wejściowe 2 72 2" xfId="12365"/>
    <cellStyle name="Dane wejściowe 2 72 3" xfId="12366"/>
    <cellStyle name="Dane wejściowe 2 73" xfId="12367"/>
    <cellStyle name="Dane wejściowe 2 73 2" xfId="12368"/>
    <cellStyle name="Dane wejściowe 2 73 3" xfId="12369"/>
    <cellStyle name="Dane wejściowe 2 74" xfId="12370"/>
    <cellStyle name="Dane wejściowe 2 74 2" xfId="12371"/>
    <cellStyle name="Dane wejściowe 2 74 3" xfId="12372"/>
    <cellStyle name="Dane wejściowe 2 75" xfId="12373"/>
    <cellStyle name="Dane wejściowe 2 75 2" xfId="12374"/>
    <cellStyle name="Dane wejściowe 2 75 3" xfId="12375"/>
    <cellStyle name="Dane wejściowe 2 76" xfId="12376"/>
    <cellStyle name="Dane wejściowe 2 76 2" xfId="12377"/>
    <cellStyle name="Dane wejściowe 2 76 3" xfId="12378"/>
    <cellStyle name="Dane wejściowe 2 77" xfId="12379"/>
    <cellStyle name="Dane wejściowe 2 77 2" xfId="12380"/>
    <cellStyle name="Dane wejściowe 2 77 3" xfId="12381"/>
    <cellStyle name="Dane wejściowe 2 78" xfId="12382"/>
    <cellStyle name="Dane wejściowe 2 78 2" xfId="12383"/>
    <cellStyle name="Dane wejściowe 2 78 3" xfId="12384"/>
    <cellStyle name="Dane wejściowe 2 79" xfId="12385"/>
    <cellStyle name="Dane wejściowe 2 79 2" xfId="12386"/>
    <cellStyle name="Dane wejściowe 2 79 3" xfId="12387"/>
    <cellStyle name="Dane wejściowe 2 8" xfId="12388"/>
    <cellStyle name="Dane wejściowe 2 8 10" xfId="12389"/>
    <cellStyle name="Dane wejściowe 2 8 10 2" xfId="12390"/>
    <cellStyle name="Dane wejściowe 2 8 10 3" xfId="12391"/>
    <cellStyle name="Dane wejściowe 2 8 10 4" xfId="12392"/>
    <cellStyle name="Dane wejściowe 2 8 11" xfId="12393"/>
    <cellStyle name="Dane wejściowe 2 8 11 2" xfId="12394"/>
    <cellStyle name="Dane wejściowe 2 8 11 3" xfId="12395"/>
    <cellStyle name="Dane wejściowe 2 8 11 4" xfId="12396"/>
    <cellStyle name="Dane wejściowe 2 8 12" xfId="12397"/>
    <cellStyle name="Dane wejściowe 2 8 12 2" xfId="12398"/>
    <cellStyle name="Dane wejściowe 2 8 12 3" xfId="12399"/>
    <cellStyle name="Dane wejściowe 2 8 12 4" xfId="12400"/>
    <cellStyle name="Dane wejściowe 2 8 13" xfId="12401"/>
    <cellStyle name="Dane wejściowe 2 8 13 2" xfId="12402"/>
    <cellStyle name="Dane wejściowe 2 8 13 3" xfId="12403"/>
    <cellStyle name="Dane wejściowe 2 8 13 4" xfId="12404"/>
    <cellStyle name="Dane wejściowe 2 8 14" xfId="12405"/>
    <cellStyle name="Dane wejściowe 2 8 14 2" xfId="12406"/>
    <cellStyle name="Dane wejściowe 2 8 14 3" xfId="12407"/>
    <cellStyle name="Dane wejściowe 2 8 14 4" xfId="12408"/>
    <cellStyle name="Dane wejściowe 2 8 15" xfId="12409"/>
    <cellStyle name="Dane wejściowe 2 8 15 2" xfId="12410"/>
    <cellStyle name="Dane wejściowe 2 8 15 3" xfId="12411"/>
    <cellStyle name="Dane wejściowe 2 8 15 4" xfId="12412"/>
    <cellStyle name="Dane wejściowe 2 8 16" xfId="12413"/>
    <cellStyle name="Dane wejściowe 2 8 16 2" xfId="12414"/>
    <cellStyle name="Dane wejściowe 2 8 16 3" xfId="12415"/>
    <cellStyle name="Dane wejściowe 2 8 16 4" xfId="12416"/>
    <cellStyle name="Dane wejściowe 2 8 17" xfId="12417"/>
    <cellStyle name="Dane wejściowe 2 8 17 2" xfId="12418"/>
    <cellStyle name="Dane wejściowe 2 8 17 3" xfId="12419"/>
    <cellStyle name="Dane wejściowe 2 8 17 4" xfId="12420"/>
    <cellStyle name="Dane wejściowe 2 8 18" xfId="12421"/>
    <cellStyle name="Dane wejściowe 2 8 18 2" xfId="12422"/>
    <cellStyle name="Dane wejściowe 2 8 18 3" xfId="12423"/>
    <cellStyle name="Dane wejściowe 2 8 18 4" xfId="12424"/>
    <cellStyle name="Dane wejściowe 2 8 19" xfId="12425"/>
    <cellStyle name="Dane wejściowe 2 8 19 2" xfId="12426"/>
    <cellStyle name="Dane wejściowe 2 8 19 3" xfId="12427"/>
    <cellStyle name="Dane wejściowe 2 8 19 4" xfId="12428"/>
    <cellStyle name="Dane wejściowe 2 8 2" xfId="12429"/>
    <cellStyle name="Dane wejściowe 2 8 2 2" xfId="12430"/>
    <cellStyle name="Dane wejściowe 2 8 2 3" xfId="12431"/>
    <cellStyle name="Dane wejściowe 2 8 2 4" xfId="12432"/>
    <cellStyle name="Dane wejściowe 2 8 20" xfId="12433"/>
    <cellStyle name="Dane wejściowe 2 8 20 2" xfId="12434"/>
    <cellStyle name="Dane wejściowe 2 8 20 3" xfId="12435"/>
    <cellStyle name="Dane wejściowe 2 8 20 4" xfId="12436"/>
    <cellStyle name="Dane wejściowe 2 8 21" xfId="12437"/>
    <cellStyle name="Dane wejściowe 2 8 21 2" xfId="12438"/>
    <cellStyle name="Dane wejściowe 2 8 21 3" xfId="12439"/>
    <cellStyle name="Dane wejściowe 2 8 22" xfId="12440"/>
    <cellStyle name="Dane wejściowe 2 8 22 2" xfId="12441"/>
    <cellStyle name="Dane wejściowe 2 8 22 3" xfId="12442"/>
    <cellStyle name="Dane wejściowe 2 8 23" xfId="12443"/>
    <cellStyle name="Dane wejściowe 2 8 23 2" xfId="12444"/>
    <cellStyle name="Dane wejściowe 2 8 23 3" xfId="12445"/>
    <cellStyle name="Dane wejściowe 2 8 24" xfId="12446"/>
    <cellStyle name="Dane wejściowe 2 8 24 2" xfId="12447"/>
    <cellStyle name="Dane wejściowe 2 8 24 3" xfId="12448"/>
    <cellStyle name="Dane wejściowe 2 8 25" xfId="12449"/>
    <cellStyle name="Dane wejściowe 2 8 25 2" xfId="12450"/>
    <cellStyle name="Dane wejściowe 2 8 25 3" xfId="12451"/>
    <cellStyle name="Dane wejściowe 2 8 26" xfId="12452"/>
    <cellStyle name="Dane wejściowe 2 8 26 2" xfId="12453"/>
    <cellStyle name="Dane wejściowe 2 8 26 3" xfId="12454"/>
    <cellStyle name="Dane wejściowe 2 8 27" xfId="12455"/>
    <cellStyle name="Dane wejściowe 2 8 27 2" xfId="12456"/>
    <cellStyle name="Dane wejściowe 2 8 27 3" xfId="12457"/>
    <cellStyle name="Dane wejściowe 2 8 28" xfId="12458"/>
    <cellStyle name="Dane wejściowe 2 8 28 2" xfId="12459"/>
    <cellStyle name="Dane wejściowe 2 8 28 3" xfId="12460"/>
    <cellStyle name="Dane wejściowe 2 8 29" xfId="12461"/>
    <cellStyle name="Dane wejściowe 2 8 29 2" xfId="12462"/>
    <cellStyle name="Dane wejściowe 2 8 29 3" xfId="12463"/>
    <cellStyle name="Dane wejściowe 2 8 3" xfId="12464"/>
    <cellStyle name="Dane wejściowe 2 8 3 2" xfId="12465"/>
    <cellStyle name="Dane wejściowe 2 8 3 3" xfId="12466"/>
    <cellStyle name="Dane wejściowe 2 8 3 4" xfId="12467"/>
    <cellStyle name="Dane wejściowe 2 8 30" xfId="12468"/>
    <cellStyle name="Dane wejściowe 2 8 30 2" xfId="12469"/>
    <cellStyle name="Dane wejściowe 2 8 30 3" xfId="12470"/>
    <cellStyle name="Dane wejściowe 2 8 31" xfId="12471"/>
    <cellStyle name="Dane wejściowe 2 8 31 2" xfId="12472"/>
    <cellStyle name="Dane wejściowe 2 8 31 3" xfId="12473"/>
    <cellStyle name="Dane wejściowe 2 8 32" xfId="12474"/>
    <cellStyle name="Dane wejściowe 2 8 32 2" xfId="12475"/>
    <cellStyle name="Dane wejściowe 2 8 32 3" xfId="12476"/>
    <cellStyle name="Dane wejściowe 2 8 33" xfId="12477"/>
    <cellStyle name="Dane wejściowe 2 8 33 2" xfId="12478"/>
    <cellStyle name="Dane wejściowe 2 8 33 3" xfId="12479"/>
    <cellStyle name="Dane wejściowe 2 8 34" xfId="12480"/>
    <cellStyle name="Dane wejściowe 2 8 34 2" xfId="12481"/>
    <cellStyle name="Dane wejściowe 2 8 34 3" xfId="12482"/>
    <cellStyle name="Dane wejściowe 2 8 35" xfId="12483"/>
    <cellStyle name="Dane wejściowe 2 8 35 2" xfId="12484"/>
    <cellStyle name="Dane wejściowe 2 8 35 3" xfId="12485"/>
    <cellStyle name="Dane wejściowe 2 8 36" xfId="12486"/>
    <cellStyle name="Dane wejściowe 2 8 36 2" xfId="12487"/>
    <cellStyle name="Dane wejściowe 2 8 36 3" xfId="12488"/>
    <cellStyle name="Dane wejściowe 2 8 37" xfId="12489"/>
    <cellStyle name="Dane wejściowe 2 8 37 2" xfId="12490"/>
    <cellStyle name="Dane wejściowe 2 8 37 3" xfId="12491"/>
    <cellStyle name="Dane wejściowe 2 8 38" xfId="12492"/>
    <cellStyle name="Dane wejściowe 2 8 38 2" xfId="12493"/>
    <cellStyle name="Dane wejściowe 2 8 38 3" xfId="12494"/>
    <cellStyle name="Dane wejściowe 2 8 39" xfId="12495"/>
    <cellStyle name="Dane wejściowe 2 8 39 2" xfId="12496"/>
    <cellStyle name="Dane wejściowe 2 8 39 3" xfId="12497"/>
    <cellStyle name="Dane wejściowe 2 8 4" xfId="12498"/>
    <cellStyle name="Dane wejściowe 2 8 4 2" xfId="12499"/>
    <cellStyle name="Dane wejściowe 2 8 4 3" xfId="12500"/>
    <cellStyle name="Dane wejściowe 2 8 4 4" xfId="12501"/>
    <cellStyle name="Dane wejściowe 2 8 40" xfId="12502"/>
    <cellStyle name="Dane wejściowe 2 8 40 2" xfId="12503"/>
    <cellStyle name="Dane wejściowe 2 8 40 3" xfId="12504"/>
    <cellStyle name="Dane wejściowe 2 8 41" xfId="12505"/>
    <cellStyle name="Dane wejściowe 2 8 41 2" xfId="12506"/>
    <cellStyle name="Dane wejściowe 2 8 41 3" xfId="12507"/>
    <cellStyle name="Dane wejściowe 2 8 42" xfId="12508"/>
    <cellStyle name="Dane wejściowe 2 8 42 2" xfId="12509"/>
    <cellStyle name="Dane wejściowe 2 8 42 3" xfId="12510"/>
    <cellStyle name="Dane wejściowe 2 8 43" xfId="12511"/>
    <cellStyle name="Dane wejściowe 2 8 43 2" xfId="12512"/>
    <cellStyle name="Dane wejściowe 2 8 43 3" xfId="12513"/>
    <cellStyle name="Dane wejściowe 2 8 44" xfId="12514"/>
    <cellStyle name="Dane wejściowe 2 8 44 2" xfId="12515"/>
    <cellStyle name="Dane wejściowe 2 8 44 3" xfId="12516"/>
    <cellStyle name="Dane wejściowe 2 8 45" xfId="12517"/>
    <cellStyle name="Dane wejściowe 2 8 45 2" xfId="12518"/>
    <cellStyle name="Dane wejściowe 2 8 45 3" xfId="12519"/>
    <cellStyle name="Dane wejściowe 2 8 46" xfId="12520"/>
    <cellStyle name="Dane wejściowe 2 8 46 2" xfId="12521"/>
    <cellStyle name="Dane wejściowe 2 8 46 3" xfId="12522"/>
    <cellStyle name="Dane wejściowe 2 8 47" xfId="12523"/>
    <cellStyle name="Dane wejściowe 2 8 47 2" xfId="12524"/>
    <cellStyle name="Dane wejściowe 2 8 47 3" xfId="12525"/>
    <cellStyle name="Dane wejściowe 2 8 48" xfId="12526"/>
    <cellStyle name="Dane wejściowe 2 8 48 2" xfId="12527"/>
    <cellStyle name="Dane wejściowe 2 8 48 3" xfId="12528"/>
    <cellStyle name="Dane wejściowe 2 8 49" xfId="12529"/>
    <cellStyle name="Dane wejściowe 2 8 49 2" xfId="12530"/>
    <cellStyle name="Dane wejściowe 2 8 49 3" xfId="12531"/>
    <cellStyle name="Dane wejściowe 2 8 5" xfId="12532"/>
    <cellStyle name="Dane wejściowe 2 8 5 2" xfId="12533"/>
    <cellStyle name="Dane wejściowe 2 8 5 3" xfId="12534"/>
    <cellStyle name="Dane wejściowe 2 8 5 4" xfId="12535"/>
    <cellStyle name="Dane wejściowe 2 8 50" xfId="12536"/>
    <cellStyle name="Dane wejściowe 2 8 50 2" xfId="12537"/>
    <cellStyle name="Dane wejściowe 2 8 50 3" xfId="12538"/>
    <cellStyle name="Dane wejściowe 2 8 51" xfId="12539"/>
    <cellStyle name="Dane wejściowe 2 8 51 2" xfId="12540"/>
    <cellStyle name="Dane wejściowe 2 8 51 3" xfId="12541"/>
    <cellStyle name="Dane wejściowe 2 8 52" xfId="12542"/>
    <cellStyle name="Dane wejściowe 2 8 52 2" xfId="12543"/>
    <cellStyle name="Dane wejściowe 2 8 52 3" xfId="12544"/>
    <cellStyle name="Dane wejściowe 2 8 53" xfId="12545"/>
    <cellStyle name="Dane wejściowe 2 8 53 2" xfId="12546"/>
    <cellStyle name="Dane wejściowe 2 8 53 3" xfId="12547"/>
    <cellStyle name="Dane wejściowe 2 8 54" xfId="12548"/>
    <cellStyle name="Dane wejściowe 2 8 54 2" xfId="12549"/>
    <cellStyle name="Dane wejściowe 2 8 54 3" xfId="12550"/>
    <cellStyle name="Dane wejściowe 2 8 55" xfId="12551"/>
    <cellStyle name="Dane wejściowe 2 8 55 2" xfId="12552"/>
    <cellStyle name="Dane wejściowe 2 8 55 3" xfId="12553"/>
    <cellStyle name="Dane wejściowe 2 8 56" xfId="12554"/>
    <cellStyle name="Dane wejściowe 2 8 56 2" xfId="12555"/>
    <cellStyle name="Dane wejściowe 2 8 56 3" xfId="12556"/>
    <cellStyle name="Dane wejściowe 2 8 57" xfId="12557"/>
    <cellStyle name="Dane wejściowe 2 8 58" xfId="12558"/>
    <cellStyle name="Dane wejściowe 2 8 6" xfId="12559"/>
    <cellStyle name="Dane wejściowe 2 8 6 2" xfId="12560"/>
    <cellStyle name="Dane wejściowe 2 8 6 3" xfId="12561"/>
    <cellStyle name="Dane wejściowe 2 8 6 4" xfId="12562"/>
    <cellStyle name="Dane wejściowe 2 8 7" xfId="12563"/>
    <cellStyle name="Dane wejściowe 2 8 7 2" xfId="12564"/>
    <cellStyle name="Dane wejściowe 2 8 7 3" xfId="12565"/>
    <cellStyle name="Dane wejściowe 2 8 7 4" xfId="12566"/>
    <cellStyle name="Dane wejściowe 2 8 8" xfId="12567"/>
    <cellStyle name="Dane wejściowe 2 8 8 2" xfId="12568"/>
    <cellStyle name="Dane wejściowe 2 8 8 3" xfId="12569"/>
    <cellStyle name="Dane wejściowe 2 8 8 4" xfId="12570"/>
    <cellStyle name="Dane wejściowe 2 8 9" xfId="12571"/>
    <cellStyle name="Dane wejściowe 2 8 9 2" xfId="12572"/>
    <cellStyle name="Dane wejściowe 2 8 9 3" xfId="12573"/>
    <cellStyle name="Dane wejściowe 2 8 9 4" xfId="12574"/>
    <cellStyle name="Dane wejściowe 2 80" xfId="12575"/>
    <cellStyle name="Dane wejściowe 2 80 2" xfId="12576"/>
    <cellStyle name="Dane wejściowe 2 80 3" xfId="12577"/>
    <cellStyle name="Dane wejściowe 2 81" xfId="12578"/>
    <cellStyle name="Dane wejściowe 2 81 2" xfId="12579"/>
    <cellStyle name="Dane wejściowe 2 81 3" xfId="12580"/>
    <cellStyle name="Dane wejściowe 2 82" xfId="12581"/>
    <cellStyle name="Dane wejściowe 2 82 2" xfId="12582"/>
    <cellStyle name="Dane wejściowe 2 82 3" xfId="12583"/>
    <cellStyle name="Dane wejściowe 2 83" xfId="12584"/>
    <cellStyle name="Dane wejściowe 2 83 2" xfId="12585"/>
    <cellStyle name="Dane wejściowe 2 83 3" xfId="12586"/>
    <cellStyle name="Dane wejściowe 2 84" xfId="12587"/>
    <cellStyle name="Dane wejściowe 2 84 2" xfId="12588"/>
    <cellStyle name="Dane wejściowe 2 84 3" xfId="12589"/>
    <cellStyle name="Dane wejściowe 2 85" xfId="12590"/>
    <cellStyle name="Dane wejściowe 2 85 2" xfId="12591"/>
    <cellStyle name="Dane wejściowe 2 85 3" xfId="12592"/>
    <cellStyle name="Dane wejściowe 2 86" xfId="12593"/>
    <cellStyle name="Dane wejściowe 2 86 2" xfId="12594"/>
    <cellStyle name="Dane wejściowe 2 86 3" xfId="12595"/>
    <cellStyle name="Dane wejściowe 2 87" xfId="12596"/>
    <cellStyle name="Dane wejściowe 2 87 2" xfId="12597"/>
    <cellStyle name="Dane wejściowe 2 87 3" xfId="12598"/>
    <cellStyle name="Dane wejściowe 2 88" xfId="12599"/>
    <cellStyle name="Dane wejściowe 2 9" xfId="12600"/>
    <cellStyle name="Dane wejściowe 2 9 10" xfId="12601"/>
    <cellStyle name="Dane wejściowe 2 9 10 2" xfId="12602"/>
    <cellStyle name="Dane wejściowe 2 9 10 3" xfId="12603"/>
    <cellStyle name="Dane wejściowe 2 9 10 4" xfId="12604"/>
    <cellStyle name="Dane wejściowe 2 9 11" xfId="12605"/>
    <cellStyle name="Dane wejściowe 2 9 11 2" xfId="12606"/>
    <cellStyle name="Dane wejściowe 2 9 11 3" xfId="12607"/>
    <cellStyle name="Dane wejściowe 2 9 11 4" xfId="12608"/>
    <cellStyle name="Dane wejściowe 2 9 12" xfId="12609"/>
    <cellStyle name="Dane wejściowe 2 9 12 2" xfId="12610"/>
    <cellStyle name="Dane wejściowe 2 9 12 3" xfId="12611"/>
    <cellStyle name="Dane wejściowe 2 9 12 4" xfId="12612"/>
    <cellStyle name="Dane wejściowe 2 9 13" xfId="12613"/>
    <cellStyle name="Dane wejściowe 2 9 13 2" xfId="12614"/>
    <cellStyle name="Dane wejściowe 2 9 13 3" xfId="12615"/>
    <cellStyle name="Dane wejściowe 2 9 13 4" xfId="12616"/>
    <cellStyle name="Dane wejściowe 2 9 14" xfId="12617"/>
    <cellStyle name="Dane wejściowe 2 9 14 2" xfId="12618"/>
    <cellStyle name="Dane wejściowe 2 9 14 3" xfId="12619"/>
    <cellStyle name="Dane wejściowe 2 9 14 4" xfId="12620"/>
    <cellStyle name="Dane wejściowe 2 9 15" xfId="12621"/>
    <cellStyle name="Dane wejściowe 2 9 15 2" xfId="12622"/>
    <cellStyle name="Dane wejściowe 2 9 15 3" xfId="12623"/>
    <cellStyle name="Dane wejściowe 2 9 15 4" xfId="12624"/>
    <cellStyle name="Dane wejściowe 2 9 16" xfId="12625"/>
    <cellStyle name="Dane wejściowe 2 9 16 2" xfId="12626"/>
    <cellStyle name="Dane wejściowe 2 9 16 3" xfId="12627"/>
    <cellStyle name="Dane wejściowe 2 9 16 4" xfId="12628"/>
    <cellStyle name="Dane wejściowe 2 9 17" xfId="12629"/>
    <cellStyle name="Dane wejściowe 2 9 17 2" xfId="12630"/>
    <cellStyle name="Dane wejściowe 2 9 17 3" xfId="12631"/>
    <cellStyle name="Dane wejściowe 2 9 17 4" xfId="12632"/>
    <cellStyle name="Dane wejściowe 2 9 18" xfId="12633"/>
    <cellStyle name="Dane wejściowe 2 9 18 2" xfId="12634"/>
    <cellStyle name="Dane wejściowe 2 9 18 3" xfId="12635"/>
    <cellStyle name="Dane wejściowe 2 9 18 4" xfId="12636"/>
    <cellStyle name="Dane wejściowe 2 9 19" xfId="12637"/>
    <cellStyle name="Dane wejściowe 2 9 19 2" xfId="12638"/>
    <cellStyle name="Dane wejściowe 2 9 19 3" xfId="12639"/>
    <cellStyle name="Dane wejściowe 2 9 19 4" xfId="12640"/>
    <cellStyle name="Dane wejściowe 2 9 2" xfId="12641"/>
    <cellStyle name="Dane wejściowe 2 9 2 2" xfId="12642"/>
    <cellStyle name="Dane wejściowe 2 9 2 3" xfId="12643"/>
    <cellStyle name="Dane wejściowe 2 9 2 4" xfId="12644"/>
    <cellStyle name="Dane wejściowe 2 9 20" xfId="12645"/>
    <cellStyle name="Dane wejściowe 2 9 20 2" xfId="12646"/>
    <cellStyle name="Dane wejściowe 2 9 20 3" xfId="12647"/>
    <cellStyle name="Dane wejściowe 2 9 20 4" xfId="12648"/>
    <cellStyle name="Dane wejściowe 2 9 21" xfId="12649"/>
    <cellStyle name="Dane wejściowe 2 9 21 2" xfId="12650"/>
    <cellStyle name="Dane wejściowe 2 9 21 3" xfId="12651"/>
    <cellStyle name="Dane wejściowe 2 9 22" xfId="12652"/>
    <cellStyle name="Dane wejściowe 2 9 22 2" xfId="12653"/>
    <cellStyle name="Dane wejściowe 2 9 22 3" xfId="12654"/>
    <cellStyle name="Dane wejściowe 2 9 23" xfId="12655"/>
    <cellStyle name="Dane wejściowe 2 9 23 2" xfId="12656"/>
    <cellStyle name="Dane wejściowe 2 9 23 3" xfId="12657"/>
    <cellStyle name="Dane wejściowe 2 9 24" xfId="12658"/>
    <cellStyle name="Dane wejściowe 2 9 24 2" xfId="12659"/>
    <cellStyle name="Dane wejściowe 2 9 24 3" xfId="12660"/>
    <cellStyle name="Dane wejściowe 2 9 25" xfId="12661"/>
    <cellStyle name="Dane wejściowe 2 9 25 2" xfId="12662"/>
    <cellStyle name="Dane wejściowe 2 9 25 3" xfId="12663"/>
    <cellStyle name="Dane wejściowe 2 9 26" xfId="12664"/>
    <cellStyle name="Dane wejściowe 2 9 26 2" xfId="12665"/>
    <cellStyle name="Dane wejściowe 2 9 26 3" xfId="12666"/>
    <cellStyle name="Dane wejściowe 2 9 27" xfId="12667"/>
    <cellStyle name="Dane wejściowe 2 9 27 2" xfId="12668"/>
    <cellStyle name="Dane wejściowe 2 9 27 3" xfId="12669"/>
    <cellStyle name="Dane wejściowe 2 9 28" xfId="12670"/>
    <cellStyle name="Dane wejściowe 2 9 28 2" xfId="12671"/>
    <cellStyle name="Dane wejściowe 2 9 28 3" xfId="12672"/>
    <cellStyle name="Dane wejściowe 2 9 29" xfId="12673"/>
    <cellStyle name="Dane wejściowe 2 9 29 2" xfId="12674"/>
    <cellStyle name="Dane wejściowe 2 9 29 3" xfId="12675"/>
    <cellStyle name="Dane wejściowe 2 9 3" xfId="12676"/>
    <cellStyle name="Dane wejściowe 2 9 3 2" xfId="12677"/>
    <cellStyle name="Dane wejściowe 2 9 3 3" xfId="12678"/>
    <cellStyle name="Dane wejściowe 2 9 3 4" xfId="12679"/>
    <cellStyle name="Dane wejściowe 2 9 30" xfId="12680"/>
    <cellStyle name="Dane wejściowe 2 9 30 2" xfId="12681"/>
    <cellStyle name="Dane wejściowe 2 9 30 3" xfId="12682"/>
    <cellStyle name="Dane wejściowe 2 9 31" xfId="12683"/>
    <cellStyle name="Dane wejściowe 2 9 31 2" xfId="12684"/>
    <cellStyle name="Dane wejściowe 2 9 31 3" xfId="12685"/>
    <cellStyle name="Dane wejściowe 2 9 32" xfId="12686"/>
    <cellStyle name="Dane wejściowe 2 9 32 2" xfId="12687"/>
    <cellStyle name="Dane wejściowe 2 9 32 3" xfId="12688"/>
    <cellStyle name="Dane wejściowe 2 9 33" xfId="12689"/>
    <cellStyle name="Dane wejściowe 2 9 33 2" xfId="12690"/>
    <cellStyle name="Dane wejściowe 2 9 33 3" xfId="12691"/>
    <cellStyle name="Dane wejściowe 2 9 34" xfId="12692"/>
    <cellStyle name="Dane wejściowe 2 9 34 2" xfId="12693"/>
    <cellStyle name="Dane wejściowe 2 9 34 3" xfId="12694"/>
    <cellStyle name="Dane wejściowe 2 9 35" xfId="12695"/>
    <cellStyle name="Dane wejściowe 2 9 35 2" xfId="12696"/>
    <cellStyle name="Dane wejściowe 2 9 35 3" xfId="12697"/>
    <cellStyle name="Dane wejściowe 2 9 36" xfId="12698"/>
    <cellStyle name="Dane wejściowe 2 9 36 2" xfId="12699"/>
    <cellStyle name="Dane wejściowe 2 9 36 3" xfId="12700"/>
    <cellStyle name="Dane wejściowe 2 9 37" xfId="12701"/>
    <cellStyle name="Dane wejściowe 2 9 37 2" xfId="12702"/>
    <cellStyle name="Dane wejściowe 2 9 37 3" xfId="12703"/>
    <cellStyle name="Dane wejściowe 2 9 38" xfId="12704"/>
    <cellStyle name="Dane wejściowe 2 9 38 2" xfId="12705"/>
    <cellStyle name="Dane wejściowe 2 9 38 3" xfId="12706"/>
    <cellStyle name="Dane wejściowe 2 9 39" xfId="12707"/>
    <cellStyle name="Dane wejściowe 2 9 39 2" xfId="12708"/>
    <cellStyle name="Dane wejściowe 2 9 39 3" xfId="12709"/>
    <cellStyle name="Dane wejściowe 2 9 4" xfId="12710"/>
    <cellStyle name="Dane wejściowe 2 9 4 2" xfId="12711"/>
    <cellStyle name="Dane wejściowe 2 9 4 3" xfId="12712"/>
    <cellStyle name="Dane wejściowe 2 9 4 4" xfId="12713"/>
    <cellStyle name="Dane wejściowe 2 9 40" xfId="12714"/>
    <cellStyle name="Dane wejściowe 2 9 40 2" xfId="12715"/>
    <cellStyle name="Dane wejściowe 2 9 40 3" xfId="12716"/>
    <cellStyle name="Dane wejściowe 2 9 41" xfId="12717"/>
    <cellStyle name="Dane wejściowe 2 9 41 2" xfId="12718"/>
    <cellStyle name="Dane wejściowe 2 9 41 3" xfId="12719"/>
    <cellStyle name="Dane wejściowe 2 9 42" xfId="12720"/>
    <cellStyle name="Dane wejściowe 2 9 42 2" xfId="12721"/>
    <cellStyle name="Dane wejściowe 2 9 42 3" xfId="12722"/>
    <cellStyle name="Dane wejściowe 2 9 43" xfId="12723"/>
    <cellStyle name="Dane wejściowe 2 9 43 2" xfId="12724"/>
    <cellStyle name="Dane wejściowe 2 9 43 3" xfId="12725"/>
    <cellStyle name="Dane wejściowe 2 9 44" xfId="12726"/>
    <cellStyle name="Dane wejściowe 2 9 44 2" xfId="12727"/>
    <cellStyle name="Dane wejściowe 2 9 44 3" xfId="12728"/>
    <cellStyle name="Dane wejściowe 2 9 45" xfId="12729"/>
    <cellStyle name="Dane wejściowe 2 9 45 2" xfId="12730"/>
    <cellStyle name="Dane wejściowe 2 9 45 3" xfId="12731"/>
    <cellStyle name="Dane wejściowe 2 9 46" xfId="12732"/>
    <cellStyle name="Dane wejściowe 2 9 46 2" xfId="12733"/>
    <cellStyle name="Dane wejściowe 2 9 46 3" xfId="12734"/>
    <cellStyle name="Dane wejściowe 2 9 47" xfId="12735"/>
    <cellStyle name="Dane wejściowe 2 9 47 2" xfId="12736"/>
    <cellStyle name="Dane wejściowe 2 9 47 3" xfId="12737"/>
    <cellStyle name="Dane wejściowe 2 9 48" xfId="12738"/>
    <cellStyle name="Dane wejściowe 2 9 48 2" xfId="12739"/>
    <cellStyle name="Dane wejściowe 2 9 48 3" xfId="12740"/>
    <cellStyle name="Dane wejściowe 2 9 49" xfId="12741"/>
    <cellStyle name="Dane wejściowe 2 9 49 2" xfId="12742"/>
    <cellStyle name="Dane wejściowe 2 9 49 3" xfId="12743"/>
    <cellStyle name="Dane wejściowe 2 9 5" xfId="12744"/>
    <cellStyle name="Dane wejściowe 2 9 5 2" xfId="12745"/>
    <cellStyle name="Dane wejściowe 2 9 5 3" xfId="12746"/>
    <cellStyle name="Dane wejściowe 2 9 5 4" xfId="12747"/>
    <cellStyle name="Dane wejściowe 2 9 50" xfId="12748"/>
    <cellStyle name="Dane wejściowe 2 9 50 2" xfId="12749"/>
    <cellStyle name="Dane wejściowe 2 9 50 3" xfId="12750"/>
    <cellStyle name="Dane wejściowe 2 9 51" xfId="12751"/>
    <cellStyle name="Dane wejściowe 2 9 51 2" xfId="12752"/>
    <cellStyle name="Dane wejściowe 2 9 51 3" xfId="12753"/>
    <cellStyle name="Dane wejściowe 2 9 52" xfId="12754"/>
    <cellStyle name="Dane wejściowe 2 9 52 2" xfId="12755"/>
    <cellStyle name="Dane wejściowe 2 9 52 3" xfId="12756"/>
    <cellStyle name="Dane wejściowe 2 9 53" xfId="12757"/>
    <cellStyle name="Dane wejściowe 2 9 53 2" xfId="12758"/>
    <cellStyle name="Dane wejściowe 2 9 53 3" xfId="12759"/>
    <cellStyle name="Dane wejściowe 2 9 54" xfId="12760"/>
    <cellStyle name="Dane wejściowe 2 9 54 2" xfId="12761"/>
    <cellStyle name="Dane wejściowe 2 9 54 3" xfId="12762"/>
    <cellStyle name="Dane wejściowe 2 9 55" xfId="12763"/>
    <cellStyle name="Dane wejściowe 2 9 55 2" xfId="12764"/>
    <cellStyle name="Dane wejściowe 2 9 55 3" xfId="12765"/>
    <cellStyle name="Dane wejściowe 2 9 56" xfId="12766"/>
    <cellStyle name="Dane wejściowe 2 9 56 2" xfId="12767"/>
    <cellStyle name="Dane wejściowe 2 9 56 3" xfId="12768"/>
    <cellStyle name="Dane wejściowe 2 9 57" xfId="12769"/>
    <cellStyle name="Dane wejściowe 2 9 58" xfId="12770"/>
    <cellStyle name="Dane wejściowe 2 9 6" xfId="12771"/>
    <cellStyle name="Dane wejściowe 2 9 6 2" xfId="12772"/>
    <cellStyle name="Dane wejściowe 2 9 6 3" xfId="12773"/>
    <cellStyle name="Dane wejściowe 2 9 6 4" xfId="12774"/>
    <cellStyle name="Dane wejściowe 2 9 7" xfId="12775"/>
    <cellStyle name="Dane wejściowe 2 9 7 2" xfId="12776"/>
    <cellStyle name="Dane wejściowe 2 9 7 3" xfId="12777"/>
    <cellStyle name="Dane wejściowe 2 9 7 4" xfId="12778"/>
    <cellStyle name="Dane wejściowe 2 9 8" xfId="12779"/>
    <cellStyle name="Dane wejściowe 2 9 8 2" xfId="12780"/>
    <cellStyle name="Dane wejściowe 2 9 8 3" xfId="12781"/>
    <cellStyle name="Dane wejściowe 2 9 8 4" xfId="12782"/>
    <cellStyle name="Dane wejściowe 2 9 9" xfId="12783"/>
    <cellStyle name="Dane wejściowe 2 9 9 2" xfId="12784"/>
    <cellStyle name="Dane wejściowe 2 9 9 3" xfId="12785"/>
    <cellStyle name="Dane wejściowe 2 9 9 4" xfId="12786"/>
    <cellStyle name="Dane wejściowe 3" xfId="12787"/>
    <cellStyle name="Dane wejściowe 3 2" xfId="12788"/>
    <cellStyle name="Dane wejściowe 3 2 2" xfId="12789"/>
    <cellStyle name="Dane wejściowe 3 3" xfId="12790"/>
    <cellStyle name="Dane wejściowe 3 4" xfId="12791"/>
    <cellStyle name="Dane wejściowe 3 5" xfId="12792"/>
    <cellStyle name="Dane wejściowe 3 6" xfId="12793"/>
    <cellStyle name="Dane wejściowe 3 7" xfId="12794"/>
    <cellStyle name="Dane wejściowe 3 8" xfId="12795"/>
    <cellStyle name="Dane wejściowe 3 9" xfId="12796"/>
    <cellStyle name="Dane wejściowe 4" xfId="12797"/>
    <cellStyle name="Dane wejściowe 4 2" xfId="12798"/>
    <cellStyle name="Dane wejściowe 4 3" xfId="12799"/>
    <cellStyle name="Dane wejściowe 4 4" xfId="12800"/>
    <cellStyle name="Dane wejściowe 4 5" xfId="12801"/>
    <cellStyle name="Dane wejściowe 4 6" xfId="12802"/>
    <cellStyle name="Dane wejściowe 4 7" xfId="12803"/>
    <cellStyle name="Dane wejściowe 4 8" xfId="12804"/>
    <cellStyle name="Dane wejściowe 4 9" xfId="12805"/>
    <cellStyle name="Dane wejściowe 5" xfId="12806"/>
    <cellStyle name="Dane wejściowe 5 2" xfId="12807"/>
    <cellStyle name="Dane wejściowe 6" xfId="12808"/>
    <cellStyle name="Dane wejściowe 7" xfId="12809"/>
    <cellStyle name="Dane wyjściowe 2" xfId="12810"/>
    <cellStyle name="Dane wyjściowe 2 10" xfId="12811"/>
    <cellStyle name="Dane wyjściowe 2 10 10" xfId="12812"/>
    <cellStyle name="Dane wyjściowe 2 10 10 2" xfId="12813"/>
    <cellStyle name="Dane wyjściowe 2 10 10 3" xfId="12814"/>
    <cellStyle name="Dane wyjściowe 2 10 10 4" xfId="12815"/>
    <cellStyle name="Dane wyjściowe 2 10 11" xfId="12816"/>
    <cellStyle name="Dane wyjściowe 2 10 11 2" xfId="12817"/>
    <cellStyle name="Dane wyjściowe 2 10 11 3" xfId="12818"/>
    <cellStyle name="Dane wyjściowe 2 10 11 4" xfId="12819"/>
    <cellStyle name="Dane wyjściowe 2 10 12" xfId="12820"/>
    <cellStyle name="Dane wyjściowe 2 10 12 2" xfId="12821"/>
    <cellStyle name="Dane wyjściowe 2 10 12 3" xfId="12822"/>
    <cellStyle name="Dane wyjściowe 2 10 12 4" xfId="12823"/>
    <cellStyle name="Dane wyjściowe 2 10 13" xfId="12824"/>
    <cellStyle name="Dane wyjściowe 2 10 13 2" xfId="12825"/>
    <cellStyle name="Dane wyjściowe 2 10 13 3" xfId="12826"/>
    <cellStyle name="Dane wyjściowe 2 10 13 4" xfId="12827"/>
    <cellStyle name="Dane wyjściowe 2 10 14" xfId="12828"/>
    <cellStyle name="Dane wyjściowe 2 10 14 2" xfId="12829"/>
    <cellStyle name="Dane wyjściowe 2 10 14 3" xfId="12830"/>
    <cellStyle name="Dane wyjściowe 2 10 14 4" xfId="12831"/>
    <cellStyle name="Dane wyjściowe 2 10 15" xfId="12832"/>
    <cellStyle name="Dane wyjściowe 2 10 15 2" xfId="12833"/>
    <cellStyle name="Dane wyjściowe 2 10 15 3" xfId="12834"/>
    <cellStyle name="Dane wyjściowe 2 10 15 4" xfId="12835"/>
    <cellStyle name="Dane wyjściowe 2 10 16" xfId="12836"/>
    <cellStyle name="Dane wyjściowe 2 10 16 2" xfId="12837"/>
    <cellStyle name="Dane wyjściowe 2 10 16 3" xfId="12838"/>
    <cellStyle name="Dane wyjściowe 2 10 16 4" xfId="12839"/>
    <cellStyle name="Dane wyjściowe 2 10 17" xfId="12840"/>
    <cellStyle name="Dane wyjściowe 2 10 17 2" xfId="12841"/>
    <cellStyle name="Dane wyjściowe 2 10 17 3" xfId="12842"/>
    <cellStyle name="Dane wyjściowe 2 10 17 4" xfId="12843"/>
    <cellStyle name="Dane wyjściowe 2 10 18" xfId="12844"/>
    <cellStyle name="Dane wyjściowe 2 10 18 2" xfId="12845"/>
    <cellStyle name="Dane wyjściowe 2 10 18 3" xfId="12846"/>
    <cellStyle name="Dane wyjściowe 2 10 18 4" xfId="12847"/>
    <cellStyle name="Dane wyjściowe 2 10 19" xfId="12848"/>
    <cellStyle name="Dane wyjściowe 2 10 19 2" xfId="12849"/>
    <cellStyle name="Dane wyjściowe 2 10 19 3" xfId="12850"/>
    <cellStyle name="Dane wyjściowe 2 10 19 4" xfId="12851"/>
    <cellStyle name="Dane wyjściowe 2 10 2" xfId="12852"/>
    <cellStyle name="Dane wyjściowe 2 10 2 2" xfId="12853"/>
    <cellStyle name="Dane wyjściowe 2 10 2 3" xfId="12854"/>
    <cellStyle name="Dane wyjściowe 2 10 2 4" xfId="12855"/>
    <cellStyle name="Dane wyjściowe 2 10 20" xfId="12856"/>
    <cellStyle name="Dane wyjściowe 2 10 20 2" xfId="12857"/>
    <cellStyle name="Dane wyjściowe 2 10 20 3" xfId="12858"/>
    <cellStyle name="Dane wyjściowe 2 10 20 4" xfId="12859"/>
    <cellStyle name="Dane wyjściowe 2 10 21" xfId="12860"/>
    <cellStyle name="Dane wyjściowe 2 10 21 2" xfId="12861"/>
    <cellStyle name="Dane wyjściowe 2 10 21 3" xfId="12862"/>
    <cellStyle name="Dane wyjściowe 2 10 22" xfId="12863"/>
    <cellStyle name="Dane wyjściowe 2 10 22 2" xfId="12864"/>
    <cellStyle name="Dane wyjściowe 2 10 22 3" xfId="12865"/>
    <cellStyle name="Dane wyjściowe 2 10 23" xfId="12866"/>
    <cellStyle name="Dane wyjściowe 2 10 23 2" xfId="12867"/>
    <cellStyle name="Dane wyjściowe 2 10 23 3" xfId="12868"/>
    <cellStyle name="Dane wyjściowe 2 10 24" xfId="12869"/>
    <cellStyle name="Dane wyjściowe 2 10 24 2" xfId="12870"/>
    <cellStyle name="Dane wyjściowe 2 10 24 3" xfId="12871"/>
    <cellStyle name="Dane wyjściowe 2 10 25" xfId="12872"/>
    <cellStyle name="Dane wyjściowe 2 10 25 2" xfId="12873"/>
    <cellStyle name="Dane wyjściowe 2 10 25 3" xfId="12874"/>
    <cellStyle name="Dane wyjściowe 2 10 26" xfId="12875"/>
    <cellStyle name="Dane wyjściowe 2 10 26 2" xfId="12876"/>
    <cellStyle name="Dane wyjściowe 2 10 26 3" xfId="12877"/>
    <cellStyle name="Dane wyjściowe 2 10 27" xfId="12878"/>
    <cellStyle name="Dane wyjściowe 2 10 27 2" xfId="12879"/>
    <cellStyle name="Dane wyjściowe 2 10 27 3" xfId="12880"/>
    <cellStyle name="Dane wyjściowe 2 10 28" xfId="12881"/>
    <cellStyle name="Dane wyjściowe 2 10 28 2" xfId="12882"/>
    <cellStyle name="Dane wyjściowe 2 10 28 3" xfId="12883"/>
    <cellStyle name="Dane wyjściowe 2 10 29" xfId="12884"/>
    <cellStyle name="Dane wyjściowe 2 10 29 2" xfId="12885"/>
    <cellStyle name="Dane wyjściowe 2 10 29 3" xfId="12886"/>
    <cellStyle name="Dane wyjściowe 2 10 3" xfId="12887"/>
    <cellStyle name="Dane wyjściowe 2 10 3 2" xfId="12888"/>
    <cellStyle name="Dane wyjściowe 2 10 3 3" xfId="12889"/>
    <cellStyle name="Dane wyjściowe 2 10 3 4" xfId="12890"/>
    <cellStyle name="Dane wyjściowe 2 10 30" xfId="12891"/>
    <cellStyle name="Dane wyjściowe 2 10 30 2" xfId="12892"/>
    <cellStyle name="Dane wyjściowe 2 10 30 3" xfId="12893"/>
    <cellStyle name="Dane wyjściowe 2 10 31" xfId="12894"/>
    <cellStyle name="Dane wyjściowe 2 10 31 2" xfId="12895"/>
    <cellStyle name="Dane wyjściowe 2 10 31 3" xfId="12896"/>
    <cellStyle name="Dane wyjściowe 2 10 32" xfId="12897"/>
    <cellStyle name="Dane wyjściowe 2 10 32 2" xfId="12898"/>
    <cellStyle name="Dane wyjściowe 2 10 32 3" xfId="12899"/>
    <cellStyle name="Dane wyjściowe 2 10 33" xfId="12900"/>
    <cellStyle name="Dane wyjściowe 2 10 33 2" xfId="12901"/>
    <cellStyle name="Dane wyjściowe 2 10 33 3" xfId="12902"/>
    <cellStyle name="Dane wyjściowe 2 10 34" xfId="12903"/>
    <cellStyle name="Dane wyjściowe 2 10 34 2" xfId="12904"/>
    <cellStyle name="Dane wyjściowe 2 10 34 3" xfId="12905"/>
    <cellStyle name="Dane wyjściowe 2 10 35" xfId="12906"/>
    <cellStyle name="Dane wyjściowe 2 10 35 2" xfId="12907"/>
    <cellStyle name="Dane wyjściowe 2 10 35 3" xfId="12908"/>
    <cellStyle name="Dane wyjściowe 2 10 36" xfId="12909"/>
    <cellStyle name="Dane wyjściowe 2 10 36 2" xfId="12910"/>
    <cellStyle name="Dane wyjściowe 2 10 36 3" xfId="12911"/>
    <cellStyle name="Dane wyjściowe 2 10 37" xfId="12912"/>
    <cellStyle name="Dane wyjściowe 2 10 37 2" xfId="12913"/>
    <cellStyle name="Dane wyjściowe 2 10 37 3" xfId="12914"/>
    <cellStyle name="Dane wyjściowe 2 10 38" xfId="12915"/>
    <cellStyle name="Dane wyjściowe 2 10 38 2" xfId="12916"/>
    <cellStyle name="Dane wyjściowe 2 10 38 3" xfId="12917"/>
    <cellStyle name="Dane wyjściowe 2 10 39" xfId="12918"/>
    <cellStyle name="Dane wyjściowe 2 10 39 2" xfId="12919"/>
    <cellStyle name="Dane wyjściowe 2 10 39 3" xfId="12920"/>
    <cellStyle name="Dane wyjściowe 2 10 4" xfId="12921"/>
    <cellStyle name="Dane wyjściowe 2 10 4 2" xfId="12922"/>
    <cellStyle name="Dane wyjściowe 2 10 4 3" xfId="12923"/>
    <cellStyle name="Dane wyjściowe 2 10 4 4" xfId="12924"/>
    <cellStyle name="Dane wyjściowe 2 10 40" xfId="12925"/>
    <cellStyle name="Dane wyjściowe 2 10 40 2" xfId="12926"/>
    <cellStyle name="Dane wyjściowe 2 10 40 3" xfId="12927"/>
    <cellStyle name="Dane wyjściowe 2 10 41" xfId="12928"/>
    <cellStyle name="Dane wyjściowe 2 10 41 2" xfId="12929"/>
    <cellStyle name="Dane wyjściowe 2 10 41 3" xfId="12930"/>
    <cellStyle name="Dane wyjściowe 2 10 42" xfId="12931"/>
    <cellStyle name="Dane wyjściowe 2 10 42 2" xfId="12932"/>
    <cellStyle name="Dane wyjściowe 2 10 42 3" xfId="12933"/>
    <cellStyle name="Dane wyjściowe 2 10 43" xfId="12934"/>
    <cellStyle name="Dane wyjściowe 2 10 43 2" xfId="12935"/>
    <cellStyle name="Dane wyjściowe 2 10 43 3" xfId="12936"/>
    <cellStyle name="Dane wyjściowe 2 10 44" xfId="12937"/>
    <cellStyle name="Dane wyjściowe 2 10 44 2" xfId="12938"/>
    <cellStyle name="Dane wyjściowe 2 10 44 3" xfId="12939"/>
    <cellStyle name="Dane wyjściowe 2 10 45" xfId="12940"/>
    <cellStyle name="Dane wyjściowe 2 10 45 2" xfId="12941"/>
    <cellStyle name="Dane wyjściowe 2 10 45 3" xfId="12942"/>
    <cellStyle name="Dane wyjściowe 2 10 46" xfId="12943"/>
    <cellStyle name="Dane wyjściowe 2 10 46 2" xfId="12944"/>
    <cellStyle name="Dane wyjściowe 2 10 46 3" xfId="12945"/>
    <cellStyle name="Dane wyjściowe 2 10 47" xfId="12946"/>
    <cellStyle name="Dane wyjściowe 2 10 47 2" xfId="12947"/>
    <cellStyle name="Dane wyjściowe 2 10 47 3" xfId="12948"/>
    <cellStyle name="Dane wyjściowe 2 10 48" xfId="12949"/>
    <cellStyle name="Dane wyjściowe 2 10 48 2" xfId="12950"/>
    <cellStyle name="Dane wyjściowe 2 10 48 3" xfId="12951"/>
    <cellStyle name="Dane wyjściowe 2 10 49" xfId="12952"/>
    <cellStyle name="Dane wyjściowe 2 10 49 2" xfId="12953"/>
    <cellStyle name="Dane wyjściowe 2 10 49 3" xfId="12954"/>
    <cellStyle name="Dane wyjściowe 2 10 5" xfId="12955"/>
    <cellStyle name="Dane wyjściowe 2 10 5 2" xfId="12956"/>
    <cellStyle name="Dane wyjściowe 2 10 5 3" xfId="12957"/>
    <cellStyle name="Dane wyjściowe 2 10 5 4" xfId="12958"/>
    <cellStyle name="Dane wyjściowe 2 10 50" xfId="12959"/>
    <cellStyle name="Dane wyjściowe 2 10 50 2" xfId="12960"/>
    <cellStyle name="Dane wyjściowe 2 10 50 3" xfId="12961"/>
    <cellStyle name="Dane wyjściowe 2 10 51" xfId="12962"/>
    <cellStyle name="Dane wyjściowe 2 10 51 2" xfId="12963"/>
    <cellStyle name="Dane wyjściowe 2 10 51 3" xfId="12964"/>
    <cellStyle name="Dane wyjściowe 2 10 52" xfId="12965"/>
    <cellStyle name="Dane wyjściowe 2 10 52 2" xfId="12966"/>
    <cellStyle name="Dane wyjściowe 2 10 52 3" xfId="12967"/>
    <cellStyle name="Dane wyjściowe 2 10 53" xfId="12968"/>
    <cellStyle name="Dane wyjściowe 2 10 53 2" xfId="12969"/>
    <cellStyle name="Dane wyjściowe 2 10 53 3" xfId="12970"/>
    <cellStyle name="Dane wyjściowe 2 10 54" xfId="12971"/>
    <cellStyle name="Dane wyjściowe 2 10 54 2" xfId="12972"/>
    <cellStyle name="Dane wyjściowe 2 10 54 3" xfId="12973"/>
    <cellStyle name="Dane wyjściowe 2 10 55" xfId="12974"/>
    <cellStyle name="Dane wyjściowe 2 10 55 2" xfId="12975"/>
    <cellStyle name="Dane wyjściowe 2 10 55 3" xfId="12976"/>
    <cellStyle name="Dane wyjściowe 2 10 56" xfId="12977"/>
    <cellStyle name="Dane wyjściowe 2 10 56 2" xfId="12978"/>
    <cellStyle name="Dane wyjściowe 2 10 56 3" xfId="12979"/>
    <cellStyle name="Dane wyjściowe 2 10 57" xfId="12980"/>
    <cellStyle name="Dane wyjściowe 2 10 58" xfId="12981"/>
    <cellStyle name="Dane wyjściowe 2 10 6" xfId="12982"/>
    <cellStyle name="Dane wyjściowe 2 10 6 2" xfId="12983"/>
    <cellStyle name="Dane wyjściowe 2 10 6 3" xfId="12984"/>
    <cellStyle name="Dane wyjściowe 2 10 6 4" xfId="12985"/>
    <cellStyle name="Dane wyjściowe 2 10 7" xfId="12986"/>
    <cellStyle name="Dane wyjściowe 2 10 7 2" xfId="12987"/>
    <cellStyle name="Dane wyjściowe 2 10 7 3" xfId="12988"/>
    <cellStyle name="Dane wyjściowe 2 10 7 4" xfId="12989"/>
    <cellStyle name="Dane wyjściowe 2 10 8" xfId="12990"/>
    <cellStyle name="Dane wyjściowe 2 10 8 2" xfId="12991"/>
    <cellStyle name="Dane wyjściowe 2 10 8 3" xfId="12992"/>
    <cellStyle name="Dane wyjściowe 2 10 8 4" xfId="12993"/>
    <cellStyle name="Dane wyjściowe 2 10 9" xfId="12994"/>
    <cellStyle name="Dane wyjściowe 2 10 9 2" xfId="12995"/>
    <cellStyle name="Dane wyjściowe 2 10 9 3" xfId="12996"/>
    <cellStyle name="Dane wyjściowe 2 10 9 4" xfId="12997"/>
    <cellStyle name="Dane wyjściowe 2 11" xfId="12998"/>
    <cellStyle name="Dane wyjściowe 2 11 10" xfId="12999"/>
    <cellStyle name="Dane wyjściowe 2 11 10 2" xfId="13000"/>
    <cellStyle name="Dane wyjściowe 2 11 10 3" xfId="13001"/>
    <cellStyle name="Dane wyjściowe 2 11 10 4" xfId="13002"/>
    <cellStyle name="Dane wyjściowe 2 11 11" xfId="13003"/>
    <cellStyle name="Dane wyjściowe 2 11 11 2" xfId="13004"/>
    <cellStyle name="Dane wyjściowe 2 11 11 3" xfId="13005"/>
    <cellStyle name="Dane wyjściowe 2 11 11 4" xfId="13006"/>
    <cellStyle name="Dane wyjściowe 2 11 12" xfId="13007"/>
    <cellStyle name="Dane wyjściowe 2 11 12 2" xfId="13008"/>
    <cellStyle name="Dane wyjściowe 2 11 12 3" xfId="13009"/>
    <cellStyle name="Dane wyjściowe 2 11 12 4" xfId="13010"/>
    <cellStyle name="Dane wyjściowe 2 11 13" xfId="13011"/>
    <cellStyle name="Dane wyjściowe 2 11 13 2" xfId="13012"/>
    <cellStyle name="Dane wyjściowe 2 11 13 3" xfId="13013"/>
    <cellStyle name="Dane wyjściowe 2 11 13 4" xfId="13014"/>
    <cellStyle name="Dane wyjściowe 2 11 14" xfId="13015"/>
    <cellStyle name="Dane wyjściowe 2 11 14 2" xfId="13016"/>
    <cellStyle name="Dane wyjściowe 2 11 14 3" xfId="13017"/>
    <cellStyle name="Dane wyjściowe 2 11 14 4" xfId="13018"/>
    <cellStyle name="Dane wyjściowe 2 11 15" xfId="13019"/>
    <cellStyle name="Dane wyjściowe 2 11 15 2" xfId="13020"/>
    <cellStyle name="Dane wyjściowe 2 11 15 3" xfId="13021"/>
    <cellStyle name="Dane wyjściowe 2 11 15 4" xfId="13022"/>
    <cellStyle name="Dane wyjściowe 2 11 16" xfId="13023"/>
    <cellStyle name="Dane wyjściowe 2 11 16 2" xfId="13024"/>
    <cellStyle name="Dane wyjściowe 2 11 16 3" xfId="13025"/>
    <cellStyle name="Dane wyjściowe 2 11 16 4" xfId="13026"/>
    <cellStyle name="Dane wyjściowe 2 11 17" xfId="13027"/>
    <cellStyle name="Dane wyjściowe 2 11 17 2" xfId="13028"/>
    <cellStyle name="Dane wyjściowe 2 11 17 3" xfId="13029"/>
    <cellStyle name="Dane wyjściowe 2 11 17 4" xfId="13030"/>
    <cellStyle name="Dane wyjściowe 2 11 18" xfId="13031"/>
    <cellStyle name="Dane wyjściowe 2 11 18 2" xfId="13032"/>
    <cellStyle name="Dane wyjściowe 2 11 18 3" xfId="13033"/>
    <cellStyle name="Dane wyjściowe 2 11 18 4" xfId="13034"/>
    <cellStyle name="Dane wyjściowe 2 11 19" xfId="13035"/>
    <cellStyle name="Dane wyjściowe 2 11 19 2" xfId="13036"/>
    <cellStyle name="Dane wyjściowe 2 11 19 3" xfId="13037"/>
    <cellStyle name="Dane wyjściowe 2 11 19 4" xfId="13038"/>
    <cellStyle name="Dane wyjściowe 2 11 2" xfId="13039"/>
    <cellStyle name="Dane wyjściowe 2 11 2 2" xfId="13040"/>
    <cellStyle name="Dane wyjściowe 2 11 2 3" xfId="13041"/>
    <cellStyle name="Dane wyjściowe 2 11 2 4" xfId="13042"/>
    <cellStyle name="Dane wyjściowe 2 11 20" xfId="13043"/>
    <cellStyle name="Dane wyjściowe 2 11 20 2" xfId="13044"/>
    <cellStyle name="Dane wyjściowe 2 11 20 3" xfId="13045"/>
    <cellStyle name="Dane wyjściowe 2 11 20 4" xfId="13046"/>
    <cellStyle name="Dane wyjściowe 2 11 21" xfId="13047"/>
    <cellStyle name="Dane wyjściowe 2 11 21 2" xfId="13048"/>
    <cellStyle name="Dane wyjściowe 2 11 21 3" xfId="13049"/>
    <cellStyle name="Dane wyjściowe 2 11 22" xfId="13050"/>
    <cellStyle name="Dane wyjściowe 2 11 22 2" xfId="13051"/>
    <cellStyle name="Dane wyjściowe 2 11 22 3" xfId="13052"/>
    <cellStyle name="Dane wyjściowe 2 11 23" xfId="13053"/>
    <cellStyle name="Dane wyjściowe 2 11 23 2" xfId="13054"/>
    <cellStyle name="Dane wyjściowe 2 11 23 3" xfId="13055"/>
    <cellStyle name="Dane wyjściowe 2 11 24" xfId="13056"/>
    <cellStyle name="Dane wyjściowe 2 11 24 2" xfId="13057"/>
    <cellStyle name="Dane wyjściowe 2 11 24 3" xfId="13058"/>
    <cellStyle name="Dane wyjściowe 2 11 25" xfId="13059"/>
    <cellStyle name="Dane wyjściowe 2 11 25 2" xfId="13060"/>
    <cellStyle name="Dane wyjściowe 2 11 25 3" xfId="13061"/>
    <cellStyle name="Dane wyjściowe 2 11 26" xfId="13062"/>
    <cellStyle name="Dane wyjściowe 2 11 26 2" xfId="13063"/>
    <cellStyle name="Dane wyjściowe 2 11 26 3" xfId="13064"/>
    <cellStyle name="Dane wyjściowe 2 11 27" xfId="13065"/>
    <cellStyle name="Dane wyjściowe 2 11 27 2" xfId="13066"/>
    <cellStyle name="Dane wyjściowe 2 11 27 3" xfId="13067"/>
    <cellStyle name="Dane wyjściowe 2 11 28" xfId="13068"/>
    <cellStyle name="Dane wyjściowe 2 11 28 2" xfId="13069"/>
    <cellStyle name="Dane wyjściowe 2 11 28 3" xfId="13070"/>
    <cellStyle name="Dane wyjściowe 2 11 29" xfId="13071"/>
    <cellStyle name="Dane wyjściowe 2 11 29 2" xfId="13072"/>
    <cellStyle name="Dane wyjściowe 2 11 29 3" xfId="13073"/>
    <cellStyle name="Dane wyjściowe 2 11 3" xfId="13074"/>
    <cellStyle name="Dane wyjściowe 2 11 3 2" xfId="13075"/>
    <cellStyle name="Dane wyjściowe 2 11 3 3" xfId="13076"/>
    <cellStyle name="Dane wyjściowe 2 11 3 4" xfId="13077"/>
    <cellStyle name="Dane wyjściowe 2 11 30" xfId="13078"/>
    <cellStyle name="Dane wyjściowe 2 11 30 2" xfId="13079"/>
    <cellStyle name="Dane wyjściowe 2 11 30 3" xfId="13080"/>
    <cellStyle name="Dane wyjściowe 2 11 31" xfId="13081"/>
    <cellStyle name="Dane wyjściowe 2 11 31 2" xfId="13082"/>
    <cellStyle name="Dane wyjściowe 2 11 31 3" xfId="13083"/>
    <cellStyle name="Dane wyjściowe 2 11 32" xfId="13084"/>
    <cellStyle name="Dane wyjściowe 2 11 32 2" xfId="13085"/>
    <cellStyle name="Dane wyjściowe 2 11 32 3" xfId="13086"/>
    <cellStyle name="Dane wyjściowe 2 11 33" xfId="13087"/>
    <cellStyle name="Dane wyjściowe 2 11 33 2" xfId="13088"/>
    <cellStyle name="Dane wyjściowe 2 11 33 3" xfId="13089"/>
    <cellStyle name="Dane wyjściowe 2 11 34" xfId="13090"/>
    <cellStyle name="Dane wyjściowe 2 11 34 2" xfId="13091"/>
    <cellStyle name="Dane wyjściowe 2 11 34 3" xfId="13092"/>
    <cellStyle name="Dane wyjściowe 2 11 35" xfId="13093"/>
    <cellStyle name="Dane wyjściowe 2 11 35 2" xfId="13094"/>
    <cellStyle name="Dane wyjściowe 2 11 35 3" xfId="13095"/>
    <cellStyle name="Dane wyjściowe 2 11 36" xfId="13096"/>
    <cellStyle name="Dane wyjściowe 2 11 36 2" xfId="13097"/>
    <cellStyle name="Dane wyjściowe 2 11 36 3" xfId="13098"/>
    <cellStyle name="Dane wyjściowe 2 11 37" xfId="13099"/>
    <cellStyle name="Dane wyjściowe 2 11 37 2" xfId="13100"/>
    <cellStyle name="Dane wyjściowe 2 11 37 3" xfId="13101"/>
    <cellStyle name="Dane wyjściowe 2 11 38" xfId="13102"/>
    <cellStyle name="Dane wyjściowe 2 11 38 2" xfId="13103"/>
    <cellStyle name="Dane wyjściowe 2 11 38 3" xfId="13104"/>
    <cellStyle name="Dane wyjściowe 2 11 39" xfId="13105"/>
    <cellStyle name="Dane wyjściowe 2 11 39 2" xfId="13106"/>
    <cellStyle name="Dane wyjściowe 2 11 39 3" xfId="13107"/>
    <cellStyle name="Dane wyjściowe 2 11 4" xfId="13108"/>
    <cellStyle name="Dane wyjściowe 2 11 4 2" xfId="13109"/>
    <cellStyle name="Dane wyjściowe 2 11 4 3" xfId="13110"/>
    <cellStyle name="Dane wyjściowe 2 11 4 4" xfId="13111"/>
    <cellStyle name="Dane wyjściowe 2 11 40" xfId="13112"/>
    <cellStyle name="Dane wyjściowe 2 11 40 2" xfId="13113"/>
    <cellStyle name="Dane wyjściowe 2 11 40 3" xfId="13114"/>
    <cellStyle name="Dane wyjściowe 2 11 41" xfId="13115"/>
    <cellStyle name="Dane wyjściowe 2 11 41 2" xfId="13116"/>
    <cellStyle name="Dane wyjściowe 2 11 41 3" xfId="13117"/>
    <cellStyle name="Dane wyjściowe 2 11 42" xfId="13118"/>
    <cellStyle name="Dane wyjściowe 2 11 42 2" xfId="13119"/>
    <cellStyle name="Dane wyjściowe 2 11 42 3" xfId="13120"/>
    <cellStyle name="Dane wyjściowe 2 11 43" xfId="13121"/>
    <cellStyle name="Dane wyjściowe 2 11 43 2" xfId="13122"/>
    <cellStyle name="Dane wyjściowe 2 11 43 3" xfId="13123"/>
    <cellStyle name="Dane wyjściowe 2 11 44" xfId="13124"/>
    <cellStyle name="Dane wyjściowe 2 11 44 2" xfId="13125"/>
    <cellStyle name="Dane wyjściowe 2 11 44 3" xfId="13126"/>
    <cellStyle name="Dane wyjściowe 2 11 45" xfId="13127"/>
    <cellStyle name="Dane wyjściowe 2 11 45 2" xfId="13128"/>
    <cellStyle name="Dane wyjściowe 2 11 45 3" xfId="13129"/>
    <cellStyle name="Dane wyjściowe 2 11 46" xfId="13130"/>
    <cellStyle name="Dane wyjściowe 2 11 46 2" xfId="13131"/>
    <cellStyle name="Dane wyjściowe 2 11 46 3" xfId="13132"/>
    <cellStyle name="Dane wyjściowe 2 11 47" xfId="13133"/>
    <cellStyle name="Dane wyjściowe 2 11 47 2" xfId="13134"/>
    <cellStyle name="Dane wyjściowe 2 11 47 3" xfId="13135"/>
    <cellStyle name="Dane wyjściowe 2 11 48" xfId="13136"/>
    <cellStyle name="Dane wyjściowe 2 11 48 2" xfId="13137"/>
    <cellStyle name="Dane wyjściowe 2 11 48 3" xfId="13138"/>
    <cellStyle name="Dane wyjściowe 2 11 49" xfId="13139"/>
    <cellStyle name="Dane wyjściowe 2 11 49 2" xfId="13140"/>
    <cellStyle name="Dane wyjściowe 2 11 49 3" xfId="13141"/>
    <cellStyle name="Dane wyjściowe 2 11 5" xfId="13142"/>
    <cellStyle name="Dane wyjściowe 2 11 5 2" xfId="13143"/>
    <cellStyle name="Dane wyjściowe 2 11 5 3" xfId="13144"/>
    <cellStyle name="Dane wyjściowe 2 11 5 4" xfId="13145"/>
    <cellStyle name="Dane wyjściowe 2 11 50" xfId="13146"/>
    <cellStyle name="Dane wyjściowe 2 11 50 2" xfId="13147"/>
    <cellStyle name="Dane wyjściowe 2 11 50 3" xfId="13148"/>
    <cellStyle name="Dane wyjściowe 2 11 51" xfId="13149"/>
    <cellStyle name="Dane wyjściowe 2 11 51 2" xfId="13150"/>
    <cellStyle name="Dane wyjściowe 2 11 51 3" xfId="13151"/>
    <cellStyle name="Dane wyjściowe 2 11 52" xfId="13152"/>
    <cellStyle name="Dane wyjściowe 2 11 52 2" xfId="13153"/>
    <cellStyle name="Dane wyjściowe 2 11 52 3" xfId="13154"/>
    <cellStyle name="Dane wyjściowe 2 11 53" xfId="13155"/>
    <cellStyle name="Dane wyjściowe 2 11 53 2" xfId="13156"/>
    <cellStyle name="Dane wyjściowe 2 11 53 3" xfId="13157"/>
    <cellStyle name="Dane wyjściowe 2 11 54" xfId="13158"/>
    <cellStyle name="Dane wyjściowe 2 11 54 2" xfId="13159"/>
    <cellStyle name="Dane wyjściowe 2 11 54 3" xfId="13160"/>
    <cellStyle name="Dane wyjściowe 2 11 55" xfId="13161"/>
    <cellStyle name="Dane wyjściowe 2 11 55 2" xfId="13162"/>
    <cellStyle name="Dane wyjściowe 2 11 55 3" xfId="13163"/>
    <cellStyle name="Dane wyjściowe 2 11 56" xfId="13164"/>
    <cellStyle name="Dane wyjściowe 2 11 56 2" xfId="13165"/>
    <cellStyle name="Dane wyjściowe 2 11 56 3" xfId="13166"/>
    <cellStyle name="Dane wyjściowe 2 11 57" xfId="13167"/>
    <cellStyle name="Dane wyjściowe 2 11 58" xfId="13168"/>
    <cellStyle name="Dane wyjściowe 2 11 6" xfId="13169"/>
    <cellStyle name="Dane wyjściowe 2 11 6 2" xfId="13170"/>
    <cellStyle name="Dane wyjściowe 2 11 6 3" xfId="13171"/>
    <cellStyle name="Dane wyjściowe 2 11 6 4" xfId="13172"/>
    <cellStyle name="Dane wyjściowe 2 11 7" xfId="13173"/>
    <cellStyle name="Dane wyjściowe 2 11 7 2" xfId="13174"/>
    <cellStyle name="Dane wyjściowe 2 11 7 3" xfId="13175"/>
    <cellStyle name="Dane wyjściowe 2 11 7 4" xfId="13176"/>
    <cellStyle name="Dane wyjściowe 2 11 8" xfId="13177"/>
    <cellStyle name="Dane wyjściowe 2 11 8 2" xfId="13178"/>
    <cellStyle name="Dane wyjściowe 2 11 8 3" xfId="13179"/>
    <cellStyle name="Dane wyjściowe 2 11 8 4" xfId="13180"/>
    <cellStyle name="Dane wyjściowe 2 11 9" xfId="13181"/>
    <cellStyle name="Dane wyjściowe 2 11 9 2" xfId="13182"/>
    <cellStyle name="Dane wyjściowe 2 11 9 3" xfId="13183"/>
    <cellStyle name="Dane wyjściowe 2 11 9 4" xfId="13184"/>
    <cellStyle name="Dane wyjściowe 2 12" xfId="13185"/>
    <cellStyle name="Dane wyjściowe 2 12 10" xfId="13186"/>
    <cellStyle name="Dane wyjściowe 2 12 10 2" xfId="13187"/>
    <cellStyle name="Dane wyjściowe 2 12 10 3" xfId="13188"/>
    <cellStyle name="Dane wyjściowe 2 12 10 4" xfId="13189"/>
    <cellStyle name="Dane wyjściowe 2 12 11" xfId="13190"/>
    <cellStyle name="Dane wyjściowe 2 12 11 2" xfId="13191"/>
    <cellStyle name="Dane wyjściowe 2 12 11 3" xfId="13192"/>
    <cellStyle name="Dane wyjściowe 2 12 11 4" xfId="13193"/>
    <cellStyle name="Dane wyjściowe 2 12 12" xfId="13194"/>
    <cellStyle name="Dane wyjściowe 2 12 12 2" xfId="13195"/>
    <cellStyle name="Dane wyjściowe 2 12 12 3" xfId="13196"/>
    <cellStyle name="Dane wyjściowe 2 12 12 4" xfId="13197"/>
    <cellStyle name="Dane wyjściowe 2 12 13" xfId="13198"/>
    <cellStyle name="Dane wyjściowe 2 12 13 2" xfId="13199"/>
    <cellStyle name="Dane wyjściowe 2 12 13 3" xfId="13200"/>
    <cellStyle name="Dane wyjściowe 2 12 13 4" xfId="13201"/>
    <cellStyle name="Dane wyjściowe 2 12 14" xfId="13202"/>
    <cellStyle name="Dane wyjściowe 2 12 14 2" xfId="13203"/>
    <cellStyle name="Dane wyjściowe 2 12 14 3" xfId="13204"/>
    <cellStyle name="Dane wyjściowe 2 12 14 4" xfId="13205"/>
    <cellStyle name="Dane wyjściowe 2 12 15" xfId="13206"/>
    <cellStyle name="Dane wyjściowe 2 12 15 2" xfId="13207"/>
    <cellStyle name="Dane wyjściowe 2 12 15 3" xfId="13208"/>
    <cellStyle name="Dane wyjściowe 2 12 15 4" xfId="13209"/>
    <cellStyle name="Dane wyjściowe 2 12 16" xfId="13210"/>
    <cellStyle name="Dane wyjściowe 2 12 16 2" xfId="13211"/>
    <cellStyle name="Dane wyjściowe 2 12 16 3" xfId="13212"/>
    <cellStyle name="Dane wyjściowe 2 12 16 4" xfId="13213"/>
    <cellStyle name="Dane wyjściowe 2 12 17" xfId="13214"/>
    <cellStyle name="Dane wyjściowe 2 12 17 2" xfId="13215"/>
    <cellStyle name="Dane wyjściowe 2 12 17 3" xfId="13216"/>
    <cellStyle name="Dane wyjściowe 2 12 17 4" xfId="13217"/>
    <cellStyle name="Dane wyjściowe 2 12 18" xfId="13218"/>
    <cellStyle name="Dane wyjściowe 2 12 18 2" xfId="13219"/>
    <cellStyle name="Dane wyjściowe 2 12 18 3" xfId="13220"/>
    <cellStyle name="Dane wyjściowe 2 12 18 4" xfId="13221"/>
    <cellStyle name="Dane wyjściowe 2 12 19" xfId="13222"/>
    <cellStyle name="Dane wyjściowe 2 12 19 2" xfId="13223"/>
    <cellStyle name="Dane wyjściowe 2 12 19 3" xfId="13224"/>
    <cellStyle name="Dane wyjściowe 2 12 19 4" xfId="13225"/>
    <cellStyle name="Dane wyjściowe 2 12 2" xfId="13226"/>
    <cellStyle name="Dane wyjściowe 2 12 2 2" xfId="13227"/>
    <cellStyle name="Dane wyjściowe 2 12 2 3" xfId="13228"/>
    <cellStyle name="Dane wyjściowe 2 12 2 4" xfId="13229"/>
    <cellStyle name="Dane wyjściowe 2 12 20" xfId="13230"/>
    <cellStyle name="Dane wyjściowe 2 12 20 2" xfId="13231"/>
    <cellStyle name="Dane wyjściowe 2 12 20 3" xfId="13232"/>
    <cellStyle name="Dane wyjściowe 2 12 20 4" xfId="13233"/>
    <cellStyle name="Dane wyjściowe 2 12 21" xfId="13234"/>
    <cellStyle name="Dane wyjściowe 2 12 21 2" xfId="13235"/>
    <cellStyle name="Dane wyjściowe 2 12 21 3" xfId="13236"/>
    <cellStyle name="Dane wyjściowe 2 12 22" xfId="13237"/>
    <cellStyle name="Dane wyjściowe 2 12 22 2" xfId="13238"/>
    <cellStyle name="Dane wyjściowe 2 12 22 3" xfId="13239"/>
    <cellStyle name="Dane wyjściowe 2 12 23" xfId="13240"/>
    <cellStyle name="Dane wyjściowe 2 12 23 2" xfId="13241"/>
    <cellStyle name="Dane wyjściowe 2 12 23 3" xfId="13242"/>
    <cellStyle name="Dane wyjściowe 2 12 24" xfId="13243"/>
    <cellStyle name="Dane wyjściowe 2 12 24 2" xfId="13244"/>
    <cellStyle name="Dane wyjściowe 2 12 24 3" xfId="13245"/>
    <cellStyle name="Dane wyjściowe 2 12 25" xfId="13246"/>
    <cellStyle name="Dane wyjściowe 2 12 25 2" xfId="13247"/>
    <cellStyle name="Dane wyjściowe 2 12 25 3" xfId="13248"/>
    <cellStyle name="Dane wyjściowe 2 12 26" xfId="13249"/>
    <cellStyle name="Dane wyjściowe 2 12 26 2" xfId="13250"/>
    <cellStyle name="Dane wyjściowe 2 12 26 3" xfId="13251"/>
    <cellStyle name="Dane wyjściowe 2 12 27" xfId="13252"/>
    <cellStyle name="Dane wyjściowe 2 12 27 2" xfId="13253"/>
    <cellStyle name="Dane wyjściowe 2 12 27 3" xfId="13254"/>
    <cellStyle name="Dane wyjściowe 2 12 28" xfId="13255"/>
    <cellStyle name="Dane wyjściowe 2 12 28 2" xfId="13256"/>
    <cellStyle name="Dane wyjściowe 2 12 28 3" xfId="13257"/>
    <cellStyle name="Dane wyjściowe 2 12 29" xfId="13258"/>
    <cellStyle name="Dane wyjściowe 2 12 29 2" xfId="13259"/>
    <cellStyle name="Dane wyjściowe 2 12 29 3" xfId="13260"/>
    <cellStyle name="Dane wyjściowe 2 12 3" xfId="13261"/>
    <cellStyle name="Dane wyjściowe 2 12 3 2" xfId="13262"/>
    <cellStyle name="Dane wyjściowe 2 12 3 3" xfId="13263"/>
    <cellStyle name="Dane wyjściowe 2 12 3 4" xfId="13264"/>
    <cellStyle name="Dane wyjściowe 2 12 30" xfId="13265"/>
    <cellStyle name="Dane wyjściowe 2 12 30 2" xfId="13266"/>
    <cellStyle name="Dane wyjściowe 2 12 30 3" xfId="13267"/>
    <cellStyle name="Dane wyjściowe 2 12 31" xfId="13268"/>
    <cellStyle name="Dane wyjściowe 2 12 31 2" xfId="13269"/>
    <cellStyle name="Dane wyjściowe 2 12 31 3" xfId="13270"/>
    <cellStyle name="Dane wyjściowe 2 12 32" xfId="13271"/>
    <cellStyle name="Dane wyjściowe 2 12 32 2" xfId="13272"/>
    <cellStyle name="Dane wyjściowe 2 12 32 3" xfId="13273"/>
    <cellStyle name="Dane wyjściowe 2 12 33" xfId="13274"/>
    <cellStyle name="Dane wyjściowe 2 12 33 2" xfId="13275"/>
    <cellStyle name="Dane wyjściowe 2 12 33 3" xfId="13276"/>
    <cellStyle name="Dane wyjściowe 2 12 34" xfId="13277"/>
    <cellStyle name="Dane wyjściowe 2 12 34 2" xfId="13278"/>
    <cellStyle name="Dane wyjściowe 2 12 34 3" xfId="13279"/>
    <cellStyle name="Dane wyjściowe 2 12 35" xfId="13280"/>
    <cellStyle name="Dane wyjściowe 2 12 35 2" xfId="13281"/>
    <cellStyle name="Dane wyjściowe 2 12 35 3" xfId="13282"/>
    <cellStyle name="Dane wyjściowe 2 12 36" xfId="13283"/>
    <cellStyle name="Dane wyjściowe 2 12 36 2" xfId="13284"/>
    <cellStyle name="Dane wyjściowe 2 12 36 3" xfId="13285"/>
    <cellStyle name="Dane wyjściowe 2 12 37" xfId="13286"/>
    <cellStyle name="Dane wyjściowe 2 12 37 2" xfId="13287"/>
    <cellStyle name="Dane wyjściowe 2 12 37 3" xfId="13288"/>
    <cellStyle name="Dane wyjściowe 2 12 38" xfId="13289"/>
    <cellStyle name="Dane wyjściowe 2 12 38 2" xfId="13290"/>
    <cellStyle name="Dane wyjściowe 2 12 38 3" xfId="13291"/>
    <cellStyle name="Dane wyjściowe 2 12 39" xfId="13292"/>
    <cellStyle name="Dane wyjściowe 2 12 39 2" xfId="13293"/>
    <cellStyle name="Dane wyjściowe 2 12 39 3" xfId="13294"/>
    <cellStyle name="Dane wyjściowe 2 12 4" xfId="13295"/>
    <cellStyle name="Dane wyjściowe 2 12 4 2" xfId="13296"/>
    <cellStyle name="Dane wyjściowe 2 12 4 3" xfId="13297"/>
    <cellStyle name="Dane wyjściowe 2 12 4 4" xfId="13298"/>
    <cellStyle name="Dane wyjściowe 2 12 40" xfId="13299"/>
    <cellStyle name="Dane wyjściowe 2 12 40 2" xfId="13300"/>
    <cellStyle name="Dane wyjściowe 2 12 40 3" xfId="13301"/>
    <cellStyle name="Dane wyjściowe 2 12 41" xfId="13302"/>
    <cellStyle name="Dane wyjściowe 2 12 41 2" xfId="13303"/>
    <cellStyle name="Dane wyjściowe 2 12 41 3" xfId="13304"/>
    <cellStyle name="Dane wyjściowe 2 12 42" xfId="13305"/>
    <cellStyle name="Dane wyjściowe 2 12 42 2" xfId="13306"/>
    <cellStyle name="Dane wyjściowe 2 12 42 3" xfId="13307"/>
    <cellStyle name="Dane wyjściowe 2 12 43" xfId="13308"/>
    <cellStyle name="Dane wyjściowe 2 12 43 2" xfId="13309"/>
    <cellStyle name="Dane wyjściowe 2 12 43 3" xfId="13310"/>
    <cellStyle name="Dane wyjściowe 2 12 44" xfId="13311"/>
    <cellStyle name="Dane wyjściowe 2 12 44 2" xfId="13312"/>
    <cellStyle name="Dane wyjściowe 2 12 44 3" xfId="13313"/>
    <cellStyle name="Dane wyjściowe 2 12 45" xfId="13314"/>
    <cellStyle name="Dane wyjściowe 2 12 45 2" xfId="13315"/>
    <cellStyle name="Dane wyjściowe 2 12 45 3" xfId="13316"/>
    <cellStyle name="Dane wyjściowe 2 12 46" xfId="13317"/>
    <cellStyle name="Dane wyjściowe 2 12 46 2" xfId="13318"/>
    <cellStyle name="Dane wyjściowe 2 12 46 3" xfId="13319"/>
    <cellStyle name="Dane wyjściowe 2 12 47" xfId="13320"/>
    <cellStyle name="Dane wyjściowe 2 12 47 2" xfId="13321"/>
    <cellStyle name="Dane wyjściowe 2 12 47 3" xfId="13322"/>
    <cellStyle name="Dane wyjściowe 2 12 48" xfId="13323"/>
    <cellStyle name="Dane wyjściowe 2 12 48 2" xfId="13324"/>
    <cellStyle name="Dane wyjściowe 2 12 48 3" xfId="13325"/>
    <cellStyle name="Dane wyjściowe 2 12 49" xfId="13326"/>
    <cellStyle name="Dane wyjściowe 2 12 49 2" xfId="13327"/>
    <cellStyle name="Dane wyjściowe 2 12 49 3" xfId="13328"/>
    <cellStyle name="Dane wyjściowe 2 12 5" xfId="13329"/>
    <cellStyle name="Dane wyjściowe 2 12 5 2" xfId="13330"/>
    <cellStyle name="Dane wyjściowe 2 12 5 3" xfId="13331"/>
    <cellStyle name="Dane wyjściowe 2 12 5 4" xfId="13332"/>
    <cellStyle name="Dane wyjściowe 2 12 50" xfId="13333"/>
    <cellStyle name="Dane wyjściowe 2 12 50 2" xfId="13334"/>
    <cellStyle name="Dane wyjściowe 2 12 50 3" xfId="13335"/>
    <cellStyle name="Dane wyjściowe 2 12 51" xfId="13336"/>
    <cellStyle name="Dane wyjściowe 2 12 51 2" xfId="13337"/>
    <cellStyle name="Dane wyjściowe 2 12 51 3" xfId="13338"/>
    <cellStyle name="Dane wyjściowe 2 12 52" xfId="13339"/>
    <cellStyle name="Dane wyjściowe 2 12 52 2" xfId="13340"/>
    <cellStyle name="Dane wyjściowe 2 12 52 3" xfId="13341"/>
    <cellStyle name="Dane wyjściowe 2 12 53" xfId="13342"/>
    <cellStyle name="Dane wyjściowe 2 12 53 2" xfId="13343"/>
    <cellStyle name="Dane wyjściowe 2 12 53 3" xfId="13344"/>
    <cellStyle name="Dane wyjściowe 2 12 54" xfId="13345"/>
    <cellStyle name="Dane wyjściowe 2 12 54 2" xfId="13346"/>
    <cellStyle name="Dane wyjściowe 2 12 54 3" xfId="13347"/>
    <cellStyle name="Dane wyjściowe 2 12 55" xfId="13348"/>
    <cellStyle name="Dane wyjściowe 2 12 55 2" xfId="13349"/>
    <cellStyle name="Dane wyjściowe 2 12 55 3" xfId="13350"/>
    <cellStyle name="Dane wyjściowe 2 12 56" xfId="13351"/>
    <cellStyle name="Dane wyjściowe 2 12 56 2" xfId="13352"/>
    <cellStyle name="Dane wyjściowe 2 12 56 3" xfId="13353"/>
    <cellStyle name="Dane wyjściowe 2 12 57" xfId="13354"/>
    <cellStyle name="Dane wyjściowe 2 12 58" xfId="13355"/>
    <cellStyle name="Dane wyjściowe 2 12 6" xfId="13356"/>
    <cellStyle name="Dane wyjściowe 2 12 6 2" xfId="13357"/>
    <cellStyle name="Dane wyjściowe 2 12 6 3" xfId="13358"/>
    <cellStyle name="Dane wyjściowe 2 12 6 4" xfId="13359"/>
    <cellStyle name="Dane wyjściowe 2 12 7" xfId="13360"/>
    <cellStyle name="Dane wyjściowe 2 12 7 2" xfId="13361"/>
    <cellStyle name="Dane wyjściowe 2 12 7 3" xfId="13362"/>
    <cellStyle name="Dane wyjściowe 2 12 7 4" xfId="13363"/>
    <cellStyle name="Dane wyjściowe 2 12 8" xfId="13364"/>
    <cellStyle name="Dane wyjściowe 2 12 8 2" xfId="13365"/>
    <cellStyle name="Dane wyjściowe 2 12 8 3" xfId="13366"/>
    <cellStyle name="Dane wyjściowe 2 12 8 4" xfId="13367"/>
    <cellStyle name="Dane wyjściowe 2 12 9" xfId="13368"/>
    <cellStyle name="Dane wyjściowe 2 12 9 2" xfId="13369"/>
    <cellStyle name="Dane wyjściowe 2 12 9 3" xfId="13370"/>
    <cellStyle name="Dane wyjściowe 2 12 9 4" xfId="13371"/>
    <cellStyle name="Dane wyjściowe 2 13" xfId="13372"/>
    <cellStyle name="Dane wyjściowe 2 13 10" xfId="13373"/>
    <cellStyle name="Dane wyjściowe 2 13 10 2" xfId="13374"/>
    <cellStyle name="Dane wyjściowe 2 13 10 3" xfId="13375"/>
    <cellStyle name="Dane wyjściowe 2 13 10 4" xfId="13376"/>
    <cellStyle name="Dane wyjściowe 2 13 11" xfId="13377"/>
    <cellStyle name="Dane wyjściowe 2 13 11 2" xfId="13378"/>
    <cellStyle name="Dane wyjściowe 2 13 11 3" xfId="13379"/>
    <cellStyle name="Dane wyjściowe 2 13 11 4" xfId="13380"/>
    <cellStyle name="Dane wyjściowe 2 13 12" xfId="13381"/>
    <cellStyle name="Dane wyjściowe 2 13 12 2" xfId="13382"/>
    <cellStyle name="Dane wyjściowe 2 13 12 3" xfId="13383"/>
    <cellStyle name="Dane wyjściowe 2 13 12 4" xfId="13384"/>
    <cellStyle name="Dane wyjściowe 2 13 13" xfId="13385"/>
    <cellStyle name="Dane wyjściowe 2 13 13 2" xfId="13386"/>
    <cellStyle name="Dane wyjściowe 2 13 13 3" xfId="13387"/>
    <cellStyle name="Dane wyjściowe 2 13 13 4" xfId="13388"/>
    <cellStyle name="Dane wyjściowe 2 13 14" xfId="13389"/>
    <cellStyle name="Dane wyjściowe 2 13 14 2" xfId="13390"/>
    <cellStyle name="Dane wyjściowe 2 13 14 3" xfId="13391"/>
    <cellStyle name="Dane wyjściowe 2 13 14 4" xfId="13392"/>
    <cellStyle name="Dane wyjściowe 2 13 15" xfId="13393"/>
    <cellStyle name="Dane wyjściowe 2 13 15 2" xfId="13394"/>
    <cellStyle name="Dane wyjściowe 2 13 15 3" xfId="13395"/>
    <cellStyle name="Dane wyjściowe 2 13 15 4" xfId="13396"/>
    <cellStyle name="Dane wyjściowe 2 13 16" xfId="13397"/>
    <cellStyle name="Dane wyjściowe 2 13 16 2" xfId="13398"/>
    <cellStyle name="Dane wyjściowe 2 13 16 3" xfId="13399"/>
    <cellStyle name="Dane wyjściowe 2 13 16 4" xfId="13400"/>
    <cellStyle name="Dane wyjściowe 2 13 17" xfId="13401"/>
    <cellStyle name="Dane wyjściowe 2 13 17 2" xfId="13402"/>
    <cellStyle name="Dane wyjściowe 2 13 17 3" xfId="13403"/>
    <cellStyle name="Dane wyjściowe 2 13 17 4" xfId="13404"/>
    <cellStyle name="Dane wyjściowe 2 13 18" xfId="13405"/>
    <cellStyle name="Dane wyjściowe 2 13 18 2" xfId="13406"/>
    <cellStyle name="Dane wyjściowe 2 13 18 3" xfId="13407"/>
    <cellStyle name="Dane wyjściowe 2 13 18 4" xfId="13408"/>
    <cellStyle name="Dane wyjściowe 2 13 19" xfId="13409"/>
    <cellStyle name="Dane wyjściowe 2 13 19 2" xfId="13410"/>
    <cellStyle name="Dane wyjściowe 2 13 19 3" xfId="13411"/>
    <cellStyle name="Dane wyjściowe 2 13 19 4" xfId="13412"/>
    <cellStyle name="Dane wyjściowe 2 13 2" xfId="13413"/>
    <cellStyle name="Dane wyjściowe 2 13 2 2" xfId="13414"/>
    <cellStyle name="Dane wyjściowe 2 13 2 3" xfId="13415"/>
    <cellStyle name="Dane wyjściowe 2 13 2 4" xfId="13416"/>
    <cellStyle name="Dane wyjściowe 2 13 20" xfId="13417"/>
    <cellStyle name="Dane wyjściowe 2 13 20 2" xfId="13418"/>
    <cellStyle name="Dane wyjściowe 2 13 20 3" xfId="13419"/>
    <cellStyle name="Dane wyjściowe 2 13 20 4" xfId="13420"/>
    <cellStyle name="Dane wyjściowe 2 13 21" xfId="13421"/>
    <cellStyle name="Dane wyjściowe 2 13 21 2" xfId="13422"/>
    <cellStyle name="Dane wyjściowe 2 13 21 3" xfId="13423"/>
    <cellStyle name="Dane wyjściowe 2 13 22" xfId="13424"/>
    <cellStyle name="Dane wyjściowe 2 13 22 2" xfId="13425"/>
    <cellStyle name="Dane wyjściowe 2 13 22 3" xfId="13426"/>
    <cellStyle name="Dane wyjściowe 2 13 23" xfId="13427"/>
    <cellStyle name="Dane wyjściowe 2 13 23 2" xfId="13428"/>
    <cellStyle name="Dane wyjściowe 2 13 23 3" xfId="13429"/>
    <cellStyle name="Dane wyjściowe 2 13 24" xfId="13430"/>
    <cellStyle name="Dane wyjściowe 2 13 24 2" xfId="13431"/>
    <cellStyle name="Dane wyjściowe 2 13 24 3" xfId="13432"/>
    <cellStyle name="Dane wyjściowe 2 13 25" xfId="13433"/>
    <cellStyle name="Dane wyjściowe 2 13 25 2" xfId="13434"/>
    <cellStyle name="Dane wyjściowe 2 13 25 3" xfId="13435"/>
    <cellStyle name="Dane wyjściowe 2 13 26" xfId="13436"/>
    <cellStyle name="Dane wyjściowe 2 13 26 2" xfId="13437"/>
    <cellStyle name="Dane wyjściowe 2 13 26 3" xfId="13438"/>
    <cellStyle name="Dane wyjściowe 2 13 27" xfId="13439"/>
    <cellStyle name="Dane wyjściowe 2 13 27 2" xfId="13440"/>
    <cellStyle name="Dane wyjściowe 2 13 27 3" xfId="13441"/>
    <cellStyle name="Dane wyjściowe 2 13 28" xfId="13442"/>
    <cellStyle name="Dane wyjściowe 2 13 28 2" xfId="13443"/>
    <cellStyle name="Dane wyjściowe 2 13 28 3" xfId="13444"/>
    <cellStyle name="Dane wyjściowe 2 13 29" xfId="13445"/>
    <cellStyle name="Dane wyjściowe 2 13 29 2" xfId="13446"/>
    <cellStyle name="Dane wyjściowe 2 13 29 3" xfId="13447"/>
    <cellStyle name="Dane wyjściowe 2 13 3" xfId="13448"/>
    <cellStyle name="Dane wyjściowe 2 13 3 2" xfId="13449"/>
    <cellStyle name="Dane wyjściowe 2 13 3 3" xfId="13450"/>
    <cellStyle name="Dane wyjściowe 2 13 3 4" xfId="13451"/>
    <cellStyle name="Dane wyjściowe 2 13 30" xfId="13452"/>
    <cellStyle name="Dane wyjściowe 2 13 30 2" xfId="13453"/>
    <cellStyle name="Dane wyjściowe 2 13 30 3" xfId="13454"/>
    <cellStyle name="Dane wyjściowe 2 13 31" xfId="13455"/>
    <cellStyle name="Dane wyjściowe 2 13 31 2" xfId="13456"/>
    <cellStyle name="Dane wyjściowe 2 13 31 3" xfId="13457"/>
    <cellStyle name="Dane wyjściowe 2 13 32" xfId="13458"/>
    <cellStyle name="Dane wyjściowe 2 13 32 2" xfId="13459"/>
    <cellStyle name="Dane wyjściowe 2 13 32 3" xfId="13460"/>
    <cellStyle name="Dane wyjściowe 2 13 33" xfId="13461"/>
    <cellStyle name="Dane wyjściowe 2 13 33 2" xfId="13462"/>
    <cellStyle name="Dane wyjściowe 2 13 33 3" xfId="13463"/>
    <cellStyle name="Dane wyjściowe 2 13 34" xfId="13464"/>
    <cellStyle name="Dane wyjściowe 2 13 34 2" xfId="13465"/>
    <cellStyle name="Dane wyjściowe 2 13 34 3" xfId="13466"/>
    <cellStyle name="Dane wyjściowe 2 13 35" xfId="13467"/>
    <cellStyle name="Dane wyjściowe 2 13 35 2" xfId="13468"/>
    <cellStyle name="Dane wyjściowe 2 13 35 3" xfId="13469"/>
    <cellStyle name="Dane wyjściowe 2 13 36" xfId="13470"/>
    <cellStyle name="Dane wyjściowe 2 13 36 2" xfId="13471"/>
    <cellStyle name="Dane wyjściowe 2 13 36 3" xfId="13472"/>
    <cellStyle name="Dane wyjściowe 2 13 37" xfId="13473"/>
    <cellStyle name="Dane wyjściowe 2 13 37 2" xfId="13474"/>
    <cellStyle name="Dane wyjściowe 2 13 37 3" xfId="13475"/>
    <cellStyle name="Dane wyjściowe 2 13 38" xfId="13476"/>
    <cellStyle name="Dane wyjściowe 2 13 38 2" xfId="13477"/>
    <cellStyle name="Dane wyjściowe 2 13 38 3" xfId="13478"/>
    <cellStyle name="Dane wyjściowe 2 13 39" xfId="13479"/>
    <cellStyle name="Dane wyjściowe 2 13 39 2" xfId="13480"/>
    <cellStyle name="Dane wyjściowe 2 13 39 3" xfId="13481"/>
    <cellStyle name="Dane wyjściowe 2 13 4" xfId="13482"/>
    <cellStyle name="Dane wyjściowe 2 13 4 2" xfId="13483"/>
    <cellStyle name="Dane wyjściowe 2 13 4 3" xfId="13484"/>
    <cellStyle name="Dane wyjściowe 2 13 4 4" xfId="13485"/>
    <cellStyle name="Dane wyjściowe 2 13 40" xfId="13486"/>
    <cellStyle name="Dane wyjściowe 2 13 40 2" xfId="13487"/>
    <cellStyle name="Dane wyjściowe 2 13 40 3" xfId="13488"/>
    <cellStyle name="Dane wyjściowe 2 13 41" xfId="13489"/>
    <cellStyle name="Dane wyjściowe 2 13 41 2" xfId="13490"/>
    <cellStyle name="Dane wyjściowe 2 13 41 3" xfId="13491"/>
    <cellStyle name="Dane wyjściowe 2 13 42" xfId="13492"/>
    <cellStyle name="Dane wyjściowe 2 13 42 2" xfId="13493"/>
    <cellStyle name="Dane wyjściowe 2 13 42 3" xfId="13494"/>
    <cellStyle name="Dane wyjściowe 2 13 43" xfId="13495"/>
    <cellStyle name="Dane wyjściowe 2 13 43 2" xfId="13496"/>
    <cellStyle name="Dane wyjściowe 2 13 43 3" xfId="13497"/>
    <cellStyle name="Dane wyjściowe 2 13 44" xfId="13498"/>
    <cellStyle name="Dane wyjściowe 2 13 44 2" xfId="13499"/>
    <cellStyle name="Dane wyjściowe 2 13 44 3" xfId="13500"/>
    <cellStyle name="Dane wyjściowe 2 13 45" xfId="13501"/>
    <cellStyle name="Dane wyjściowe 2 13 45 2" xfId="13502"/>
    <cellStyle name="Dane wyjściowe 2 13 45 3" xfId="13503"/>
    <cellStyle name="Dane wyjściowe 2 13 46" xfId="13504"/>
    <cellStyle name="Dane wyjściowe 2 13 46 2" xfId="13505"/>
    <cellStyle name="Dane wyjściowe 2 13 46 3" xfId="13506"/>
    <cellStyle name="Dane wyjściowe 2 13 47" xfId="13507"/>
    <cellStyle name="Dane wyjściowe 2 13 47 2" xfId="13508"/>
    <cellStyle name="Dane wyjściowe 2 13 47 3" xfId="13509"/>
    <cellStyle name="Dane wyjściowe 2 13 48" xfId="13510"/>
    <cellStyle name="Dane wyjściowe 2 13 48 2" xfId="13511"/>
    <cellStyle name="Dane wyjściowe 2 13 48 3" xfId="13512"/>
    <cellStyle name="Dane wyjściowe 2 13 49" xfId="13513"/>
    <cellStyle name="Dane wyjściowe 2 13 49 2" xfId="13514"/>
    <cellStyle name="Dane wyjściowe 2 13 49 3" xfId="13515"/>
    <cellStyle name="Dane wyjściowe 2 13 5" xfId="13516"/>
    <cellStyle name="Dane wyjściowe 2 13 5 2" xfId="13517"/>
    <cellStyle name="Dane wyjściowe 2 13 5 3" xfId="13518"/>
    <cellStyle name="Dane wyjściowe 2 13 5 4" xfId="13519"/>
    <cellStyle name="Dane wyjściowe 2 13 50" xfId="13520"/>
    <cellStyle name="Dane wyjściowe 2 13 50 2" xfId="13521"/>
    <cellStyle name="Dane wyjściowe 2 13 50 3" xfId="13522"/>
    <cellStyle name="Dane wyjściowe 2 13 51" xfId="13523"/>
    <cellStyle name="Dane wyjściowe 2 13 51 2" xfId="13524"/>
    <cellStyle name="Dane wyjściowe 2 13 51 3" xfId="13525"/>
    <cellStyle name="Dane wyjściowe 2 13 52" xfId="13526"/>
    <cellStyle name="Dane wyjściowe 2 13 52 2" xfId="13527"/>
    <cellStyle name="Dane wyjściowe 2 13 52 3" xfId="13528"/>
    <cellStyle name="Dane wyjściowe 2 13 53" xfId="13529"/>
    <cellStyle name="Dane wyjściowe 2 13 53 2" xfId="13530"/>
    <cellStyle name="Dane wyjściowe 2 13 53 3" xfId="13531"/>
    <cellStyle name="Dane wyjściowe 2 13 54" xfId="13532"/>
    <cellStyle name="Dane wyjściowe 2 13 54 2" xfId="13533"/>
    <cellStyle name="Dane wyjściowe 2 13 54 3" xfId="13534"/>
    <cellStyle name="Dane wyjściowe 2 13 55" xfId="13535"/>
    <cellStyle name="Dane wyjściowe 2 13 55 2" xfId="13536"/>
    <cellStyle name="Dane wyjściowe 2 13 55 3" xfId="13537"/>
    <cellStyle name="Dane wyjściowe 2 13 56" xfId="13538"/>
    <cellStyle name="Dane wyjściowe 2 13 56 2" xfId="13539"/>
    <cellStyle name="Dane wyjściowe 2 13 56 3" xfId="13540"/>
    <cellStyle name="Dane wyjściowe 2 13 57" xfId="13541"/>
    <cellStyle name="Dane wyjściowe 2 13 58" xfId="13542"/>
    <cellStyle name="Dane wyjściowe 2 13 6" xfId="13543"/>
    <cellStyle name="Dane wyjściowe 2 13 6 2" xfId="13544"/>
    <cellStyle name="Dane wyjściowe 2 13 6 3" xfId="13545"/>
    <cellStyle name="Dane wyjściowe 2 13 6 4" xfId="13546"/>
    <cellStyle name="Dane wyjściowe 2 13 7" xfId="13547"/>
    <cellStyle name="Dane wyjściowe 2 13 7 2" xfId="13548"/>
    <cellStyle name="Dane wyjściowe 2 13 7 3" xfId="13549"/>
    <cellStyle name="Dane wyjściowe 2 13 7 4" xfId="13550"/>
    <cellStyle name="Dane wyjściowe 2 13 8" xfId="13551"/>
    <cellStyle name="Dane wyjściowe 2 13 8 2" xfId="13552"/>
    <cellStyle name="Dane wyjściowe 2 13 8 3" xfId="13553"/>
    <cellStyle name="Dane wyjściowe 2 13 8 4" xfId="13554"/>
    <cellStyle name="Dane wyjściowe 2 13 9" xfId="13555"/>
    <cellStyle name="Dane wyjściowe 2 13 9 2" xfId="13556"/>
    <cellStyle name="Dane wyjściowe 2 13 9 3" xfId="13557"/>
    <cellStyle name="Dane wyjściowe 2 13 9 4" xfId="13558"/>
    <cellStyle name="Dane wyjściowe 2 14" xfId="13559"/>
    <cellStyle name="Dane wyjściowe 2 14 10" xfId="13560"/>
    <cellStyle name="Dane wyjściowe 2 14 10 2" xfId="13561"/>
    <cellStyle name="Dane wyjściowe 2 14 10 3" xfId="13562"/>
    <cellStyle name="Dane wyjściowe 2 14 10 4" xfId="13563"/>
    <cellStyle name="Dane wyjściowe 2 14 11" xfId="13564"/>
    <cellStyle name="Dane wyjściowe 2 14 11 2" xfId="13565"/>
    <cellStyle name="Dane wyjściowe 2 14 11 3" xfId="13566"/>
    <cellStyle name="Dane wyjściowe 2 14 11 4" xfId="13567"/>
    <cellStyle name="Dane wyjściowe 2 14 12" xfId="13568"/>
    <cellStyle name="Dane wyjściowe 2 14 12 2" xfId="13569"/>
    <cellStyle name="Dane wyjściowe 2 14 12 3" xfId="13570"/>
    <cellStyle name="Dane wyjściowe 2 14 12 4" xfId="13571"/>
    <cellStyle name="Dane wyjściowe 2 14 13" xfId="13572"/>
    <cellStyle name="Dane wyjściowe 2 14 13 2" xfId="13573"/>
    <cellStyle name="Dane wyjściowe 2 14 13 3" xfId="13574"/>
    <cellStyle name="Dane wyjściowe 2 14 13 4" xfId="13575"/>
    <cellStyle name="Dane wyjściowe 2 14 14" xfId="13576"/>
    <cellStyle name="Dane wyjściowe 2 14 14 2" xfId="13577"/>
    <cellStyle name="Dane wyjściowe 2 14 14 3" xfId="13578"/>
    <cellStyle name="Dane wyjściowe 2 14 14 4" xfId="13579"/>
    <cellStyle name="Dane wyjściowe 2 14 15" xfId="13580"/>
    <cellStyle name="Dane wyjściowe 2 14 15 2" xfId="13581"/>
    <cellStyle name="Dane wyjściowe 2 14 15 3" xfId="13582"/>
    <cellStyle name="Dane wyjściowe 2 14 15 4" xfId="13583"/>
    <cellStyle name="Dane wyjściowe 2 14 16" xfId="13584"/>
    <cellStyle name="Dane wyjściowe 2 14 16 2" xfId="13585"/>
    <cellStyle name="Dane wyjściowe 2 14 16 3" xfId="13586"/>
    <cellStyle name="Dane wyjściowe 2 14 16 4" xfId="13587"/>
    <cellStyle name="Dane wyjściowe 2 14 17" xfId="13588"/>
    <cellStyle name="Dane wyjściowe 2 14 17 2" xfId="13589"/>
    <cellStyle name="Dane wyjściowe 2 14 17 3" xfId="13590"/>
    <cellStyle name="Dane wyjściowe 2 14 17 4" xfId="13591"/>
    <cellStyle name="Dane wyjściowe 2 14 18" xfId="13592"/>
    <cellStyle name="Dane wyjściowe 2 14 18 2" xfId="13593"/>
    <cellStyle name="Dane wyjściowe 2 14 18 3" xfId="13594"/>
    <cellStyle name="Dane wyjściowe 2 14 18 4" xfId="13595"/>
    <cellStyle name="Dane wyjściowe 2 14 19" xfId="13596"/>
    <cellStyle name="Dane wyjściowe 2 14 19 2" xfId="13597"/>
    <cellStyle name="Dane wyjściowe 2 14 19 3" xfId="13598"/>
    <cellStyle name="Dane wyjściowe 2 14 19 4" xfId="13599"/>
    <cellStyle name="Dane wyjściowe 2 14 2" xfId="13600"/>
    <cellStyle name="Dane wyjściowe 2 14 2 2" xfId="13601"/>
    <cellStyle name="Dane wyjściowe 2 14 2 3" xfId="13602"/>
    <cellStyle name="Dane wyjściowe 2 14 2 4" xfId="13603"/>
    <cellStyle name="Dane wyjściowe 2 14 20" xfId="13604"/>
    <cellStyle name="Dane wyjściowe 2 14 20 2" xfId="13605"/>
    <cellStyle name="Dane wyjściowe 2 14 20 3" xfId="13606"/>
    <cellStyle name="Dane wyjściowe 2 14 20 4" xfId="13607"/>
    <cellStyle name="Dane wyjściowe 2 14 21" xfId="13608"/>
    <cellStyle name="Dane wyjściowe 2 14 21 2" xfId="13609"/>
    <cellStyle name="Dane wyjściowe 2 14 21 3" xfId="13610"/>
    <cellStyle name="Dane wyjściowe 2 14 22" xfId="13611"/>
    <cellStyle name="Dane wyjściowe 2 14 22 2" xfId="13612"/>
    <cellStyle name="Dane wyjściowe 2 14 22 3" xfId="13613"/>
    <cellStyle name="Dane wyjściowe 2 14 23" xfId="13614"/>
    <cellStyle name="Dane wyjściowe 2 14 23 2" xfId="13615"/>
    <cellStyle name="Dane wyjściowe 2 14 23 3" xfId="13616"/>
    <cellStyle name="Dane wyjściowe 2 14 24" xfId="13617"/>
    <cellStyle name="Dane wyjściowe 2 14 24 2" xfId="13618"/>
    <cellStyle name="Dane wyjściowe 2 14 24 3" xfId="13619"/>
    <cellStyle name="Dane wyjściowe 2 14 25" xfId="13620"/>
    <cellStyle name="Dane wyjściowe 2 14 25 2" xfId="13621"/>
    <cellStyle name="Dane wyjściowe 2 14 25 3" xfId="13622"/>
    <cellStyle name="Dane wyjściowe 2 14 26" xfId="13623"/>
    <cellStyle name="Dane wyjściowe 2 14 26 2" xfId="13624"/>
    <cellStyle name="Dane wyjściowe 2 14 26 3" xfId="13625"/>
    <cellStyle name="Dane wyjściowe 2 14 27" xfId="13626"/>
    <cellStyle name="Dane wyjściowe 2 14 27 2" xfId="13627"/>
    <cellStyle name="Dane wyjściowe 2 14 27 3" xfId="13628"/>
    <cellStyle name="Dane wyjściowe 2 14 28" xfId="13629"/>
    <cellStyle name="Dane wyjściowe 2 14 28 2" xfId="13630"/>
    <cellStyle name="Dane wyjściowe 2 14 28 3" xfId="13631"/>
    <cellStyle name="Dane wyjściowe 2 14 29" xfId="13632"/>
    <cellStyle name="Dane wyjściowe 2 14 29 2" xfId="13633"/>
    <cellStyle name="Dane wyjściowe 2 14 29 3" xfId="13634"/>
    <cellStyle name="Dane wyjściowe 2 14 3" xfId="13635"/>
    <cellStyle name="Dane wyjściowe 2 14 3 2" xfId="13636"/>
    <cellStyle name="Dane wyjściowe 2 14 3 3" xfId="13637"/>
    <cellStyle name="Dane wyjściowe 2 14 3 4" xfId="13638"/>
    <cellStyle name="Dane wyjściowe 2 14 30" xfId="13639"/>
    <cellStyle name="Dane wyjściowe 2 14 30 2" xfId="13640"/>
    <cellStyle name="Dane wyjściowe 2 14 30 3" xfId="13641"/>
    <cellStyle name="Dane wyjściowe 2 14 31" xfId="13642"/>
    <cellStyle name="Dane wyjściowe 2 14 31 2" xfId="13643"/>
    <cellStyle name="Dane wyjściowe 2 14 31 3" xfId="13644"/>
    <cellStyle name="Dane wyjściowe 2 14 32" xfId="13645"/>
    <cellStyle name="Dane wyjściowe 2 14 32 2" xfId="13646"/>
    <cellStyle name="Dane wyjściowe 2 14 32 3" xfId="13647"/>
    <cellStyle name="Dane wyjściowe 2 14 33" xfId="13648"/>
    <cellStyle name="Dane wyjściowe 2 14 33 2" xfId="13649"/>
    <cellStyle name="Dane wyjściowe 2 14 33 3" xfId="13650"/>
    <cellStyle name="Dane wyjściowe 2 14 34" xfId="13651"/>
    <cellStyle name="Dane wyjściowe 2 14 34 2" xfId="13652"/>
    <cellStyle name="Dane wyjściowe 2 14 34 3" xfId="13653"/>
    <cellStyle name="Dane wyjściowe 2 14 35" xfId="13654"/>
    <cellStyle name="Dane wyjściowe 2 14 35 2" xfId="13655"/>
    <cellStyle name="Dane wyjściowe 2 14 35 3" xfId="13656"/>
    <cellStyle name="Dane wyjściowe 2 14 36" xfId="13657"/>
    <cellStyle name="Dane wyjściowe 2 14 36 2" xfId="13658"/>
    <cellStyle name="Dane wyjściowe 2 14 36 3" xfId="13659"/>
    <cellStyle name="Dane wyjściowe 2 14 37" xfId="13660"/>
    <cellStyle name="Dane wyjściowe 2 14 37 2" xfId="13661"/>
    <cellStyle name="Dane wyjściowe 2 14 37 3" xfId="13662"/>
    <cellStyle name="Dane wyjściowe 2 14 38" xfId="13663"/>
    <cellStyle name="Dane wyjściowe 2 14 38 2" xfId="13664"/>
    <cellStyle name="Dane wyjściowe 2 14 38 3" xfId="13665"/>
    <cellStyle name="Dane wyjściowe 2 14 39" xfId="13666"/>
    <cellStyle name="Dane wyjściowe 2 14 39 2" xfId="13667"/>
    <cellStyle name="Dane wyjściowe 2 14 39 3" xfId="13668"/>
    <cellStyle name="Dane wyjściowe 2 14 4" xfId="13669"/>
    <cellStyle name="Dane wyjściowe 2 14 4 2" xfId="13670"/>
    <cellStyle name="Dane wyjściowe 2 14 4 3" xfId="13671"/>
    <cellStyle name="Dane wyjściowe 2 14 4 4" xfId="13672"/>
    <cellStyle name="Dane wyjściowe 2 14 40" xfId="13673"/>
    <cellStyle name="Dane wyjściowe 2 14 40 2" xfId="13674"/>
    <cellStyle name="Dane wyjściowe 2 14 40 3" xfId="13675"/>
    <cellStyle name="Dane wyjściowe 2 14 41" xfId="13676"/>
    <cellStyle name="Dane wyjściowe 2 14 41 2" xfId="13677"/>
    <cellStyle name="Dane wyjściowe 2 14 41 3" xfId="13678"/>
    <cellStyle name="Dane wyjściowe 2 14 42" xfId="13679"/>
    <cellStyle name="Dane wyjściowe 2 14 42 2" xfId="13680"/>
    <cellStyle name="Dane wyjściowe 2 14 42 3" xfId="13681"/>
    <cellStyle name="Dane wyjściowe 2 14 43" xfId="13682"/>
    <cellStyle name="Dane wyjściowe 2 14 43 2" xfId="13683"/>
    <cellStyle name="Dane wyjściowe 2 14 43 3" xfId="13684"/>
    <cellStyle name="Dane wyjściowe 2 14 44" xfId="13685"/>
    <cellStyle name="Dane wyjściowe 2 14 44 2" xfId="13686"/>
    <cellStyle name="Dane wyjściowe 2 14 44 3" xfId="13687"/>
    <cellStyle name="Dane wyjściowe 2 14 45" xfId="13688"/>
    <cellStyle name="Dane wyjściowe 2 14 45 2" xfId="13689"/>
    <cellStyle name="Dane wyjściowe 2 14 45 3" xfId="13690"/>
    <cellStyle name="Dane wyjściowe 2 14 46" xfId="13691"/>
    <cellStyle name="Dane wyjściowe 2 14 46 2" xfId="13692"/>
    <cellStyle name="Dane wyjściowe 2 14 46 3" xfId="13693"/>
    <cellStyle name="Dane wyjściowe 2 14 47" xfId="13694"/>
    <cellStyle name="Dane wyjściowe 2 14 47 2" xfId="13695"/>
    <cellStyle name="Dane wyjściowe 2 14 47 3" xfId="13696"/>
    <cellStyle name="Dane wyjściowe 2 14 48" xfId="13697"/>
    <cellStyle name="Dane wyjściowe 2 14 48 2" xfId="13698"/>
    <cellStyle name="Dane wyjściowe 2 14 48 3" xfId="13699"/>
    <cellStyle name="Dane wyjściowe 2 14 49" xfId="13700"/>
    <cellStyle name="Dane wyjściowe 2 14 49 2" xfId="13701"/>
    <cellStyle name="Dane wyjściowe 2 14 49 3" xfId="13702"/>
    <cellStyle name="Dane wyjściowe 2 14 5" xfId="13703"/>
    <cellStyle name="Dane wyjściowe 2 14 5 2" xfId="13704"/>
    <cellStyle name="Dane wyjściowe 2 14 5 3" xfId="13705"/>
    <cellStyle name="Dane wyjściowe 2 14 5 4" xfId="13706"/>
    <cellStyle name="Dane wyjściowe 2 14 50" xfId="13707"/>
    <cellStyle name="Dane wyjściowe 2 14 50 2" xfId="13708"/>
    <cellStyle name="Dane wyjściowe 2 14 50 3" xfId="13709"/>
    <cellStyle name="Dane wyjściowe 2 14 51" xfId="13710"/>
    <cellStyle name="Dane wyjściowe 2 14 51 2" xfId="13711"/>
    <cellStyle name="Dane wyjściowe 2 14 51 3" xfId="13712"/>
    <cellStyle name="Dane wyjściowe 2 14 52" xfId="13713"/>
    <cellStyle name="Dane wyjściowe 2 14 52 2" xfId="13714"/>
    <cellStyle name="Dane wyjściowe 2 14 52 3" xfId="13715"/>
    <cellStyle name="Dane wyjściowe 2 14 53" xfId="13716"/>
    <cellStyle name="Dane wyjściowe 2 14 53 2" xfId="13717"/>
    <cellStyle name="Dane wyjściowe 2 14 53 3" xfId="13718"/>
    <cellStyle name="Dane wyjściowe 2 14 54" xfId="13719"/>
    <cellStyle name="Dane wyjściowe 2 14 54 2" xfId="13720"/>
    <cellStyle name="Dane wyjściowe 2 14 54 3" xfId="13721"/>
    <cellStyle name="Dane wyjściowe 2 14 55" xfId="13722"/>
    <cellStyle name="Dane wyjściowe 2 14 55 2" xfId="13723"/>
    <cellStyle name="Dane wyjściowe 2 14 55 3" xfId="13724"/>
    <cellStyle name="Dane wyjściowe 2 14 56" xfId="13725"/>
    <cellStyle name="Dane wyjściowe 2 14 56 2" xfId="13726"/>
    <cellStyle name="Dane wyjściowe 2 14 56 3" xfId="13727"/>
    <cellStyle name="Dane wyjściowe 2 14 57" xfId="13728"/>
    <cellStyle name="Dane wyjściowe 2 14 58" xfId="13729"/>
    <cellStyle name="Dane wyjściowe 2 14 6" xfId="13730"/>
    <cellStyle name="Dane wyjściowe 2 14 6 2" xfId="13731"/>
    <cellStyle name="Dane wyjściowe 2 14 6 3" xfId="13732"/>
    <cellStyle name="Dane wyjściowe 2 14 6 4" xfId="13733"/>
    <cellStyle name="Dane wyjściowe 2 14 7" xfId="13734"/>
    <cellStyle name="Dane wyjściowe 2 14 7 2" xfId="13735"/>
    <cellStyle name="Dane wyjściowe 2 14 7 3" xfId="13736"/>
    <cellStyle name="Dane wyjściowe 2 14 7 4" xfId="13737"/>
    <cellStyle name="Dane wyjściowe 2 14 8" xfId="13738"/>
    <cellStyle name="Dane wyjściowe 2 14 8 2" xfId="13739"/>
    <cellStyle name="Dane wyjściowe 2 14 8 3" xfId="13740"/>
    <cellStyle name="Dane wyjściowe 2 14 8 4" xfId="13741"/>
    <cellStyle name="Dane wyjściowe 2 14 9" xfId="13742"/>
    <cellStyle name="Dane wyjściowe 2 14 9 2" xfId="13743"/>
    <cellStyle name="Dane wyjściowe 2 14 9 3" xfId="13744"/>
    <cellStyle name="Dane wyjściowe 2 14 9 4" xfId="13745"/>
    <cellStyle name="Dane wyjściowe 2 15" xfId="13746"/>
    <cellStyle name="Dane wyjściowe 2 15 10" xfId="13747"/>
    <cellStyle name="Dane wyjściowe 2 15 10 2" xfId="13748"/>
    <cellStyle name="Dane wyjściowe 2 15 10 3" xfId="13749"/>
    <cellStyle name="Dane wyjściowe 2 15 10 4" xfId="13750"/>
    <cellStyle name="Dane wyjściowe 2 15 11" xfId="13751"/>
    <cellStyle name="Dane wyjściowe 2 15 11 2" xfId="13752"/>
    <cellStyle name="Dane wyjściowe 2 15 11 3" xfId="13753"/>
    <cellStyle name="Dane wyjściowe 2 15 11 4" xfId="13754"/>
    <cellStyle name="Dane wyjściowe 2 15 12" xfId="13755"/>
    <cellStyle name="Dane wyjściowe 2 15 12 2" xfId="13756"/>
    <cellStyle name="Dane wyjściowe 2 15 12 3" xfId="13757"/>
    <cellStyle name="Dane wyjściowe 2 15 12 4" xfId="13758"/>
    <cellStyle name="Dane wyjściowe 2 15 13" xfId="13759"/>
    <cellStyle name="Dane wyjściowe 2 15 13 2" xfId="13760"/>
    <cellStyle name="Dane wyjściowe 2 15 13 3" xfId="13761"/>
    <cellStyle name="Dane wyjściowe 2 15 13 4" xfId="13762"/>
    <cellStyle name="Dane wyjściowe 2 15 14" xfId="13763"/>
    <cellStyle name="Dane wyjściowe 2 15 14 2" xfId="13764"/>
    <cellStyle name="Dane wyjściowe 2 15 14 3" xfId="13765"/>
    <cellStyle name="Dane wyjściowe 2 15 14 4" xfId="13766"/>
    <cellStyle name="Dane wyjściowe 2 15 15" xfId="13767"/>
    <cellStyle name="Dane wyjściowe 2 15 15 2" xfId="13768"/>
    <cellStyle name="Dane wyjściowe 2 15 15 3" xfId="13769"/>
    <cellStyle name="Dane wyjściowe 2 15 15 4" xfId="13770"/>
    <cellStyle name="Dane wyjściowe 2 15 16" xfId="13771"/>
    <cellStyle name="Dane wyjściowe 2 15 16 2" xfId="13772"/>
    <cellStyle name="Dane wyjściowe 2 15 16 3" xfId="13773"/>
    <cellStyle name="Dane wyjściowe 2 15 16 4" xfId="13774"/>
    <cellStyle name="Dane wyjściowe 2 15 17" xfId="13775"/>
    <cellStyle name="Dane wyjściowe 2 15 17 2" xfId="13776"/>
    <cellStyle name="Dane wyjściowe 2 15 17 3" xfId="13777"/>
    <cellStyle name="Dane wyjściowe 2 15 17 4" xfId="13778"/>
    <cellStyle name="Dane wyjściowe 2 15 18" xfId="13779"/>
    <cellStyle name="Dane wyjściowe 2 15 18 2" xfId="13780"/>
    <cellStyle name="Dane wyjściowe 2 15 18 3" xfId="13781"/>
    <cellStyle name="Dane wyjściowe 2 15 18 4" xfId="13782"/>
    <cellStyle name="Dane wyjściowe 2 15 19" xfId="13783"/>
    <cellStyle name="Dane wyjściowe 2 15 19 2" xfId="13784"/>
    <cellStyle name="Dane wyjściowe 2 15 19 3" xfId="13785"/>
    <cellStyle name="Dane wyjściowe 2 15 19 4" xfId="13786"/>
    <cellStyle name="Dane wyjściowe 2 15 2" xfId="13787"/>
    <cellStyle name="Dane wyjściowe 2 15 2 2" xfId="13788"/>
    <cellStyle name="Dane wyjściowe 2 15 2 3" xfId="13789"/>
    <cellStyle name="Dane wyjściowe 2 15 2 4" xfId="13790"/>
    <cellStyle name="Dane wyjściowe 2 15 20" xfId="13791"/>
    <cellStyle name="Dane wyjściowe 2 15 20 2" xfId="13792"/>
    <cellStyle name="Dane wyjściowe 2 15 20 3" xfId="13793"/>
    <cellStyle name="Dane wyjściowe 2 15 20 4" xfId="13794"/>
    <cellStyle name="Dane wyjściowe 2 15 21" xfId="13795"/>
    <cellStyle name="Dane wyjściowe 2 15 21 2" xfId="13796"/>
    <cellStyle name="Dane wyjściowe 2 15 21 3" xfId="13797"/>
    <cellStyle name="Dane wyjściowe 2 15 22" xfId="13798"/>
    <cellStyle name="Dane wyjściowe 2 15 22 2" xfId="13799"/>
    <cellStyle name="Dane wyjściowe 2 15 22 3" xfId="13800"/>
    <cellStyle name="Dane wyjściowe 2 15 23" xfId="13801"/>
    <cellStyle name="Dane wyjściowe 2 15 23 2" xfId="13802"/>
    <cellStyle name="Dane wyjściowe 2 15 23 3" xfId="13803"/>
    <cellStyle name="Dane wyjściowe 2 15 24" xfId="13804"/>
    <cellStyle name="Dane wyjściowe 2 15 24 2" xfId="13805"/>
    <cellStyle name="Dane wyjściowe 2 15 24 3" xfId="13806"/>
    <cellStyle name="Dane wyjściowe 2 15 25" xfId="13807"/>
    <cellStyle name="Dane wyjściowe 2 15 25 2" xfId="13808"/>
    <cellStyle name="Dane wyjściowe 2 15 25 3" xfId="13809"/>
    <cellStyle name="Dane wyjściowe 2 15 26" xfId="13810"/>
    <cellStyle name="Dane wyjściowe 2 15 26 2" xfId="13811"/>
    <cellStyle name="Dane wyjściowe 2 15 26 3" xfId="13812"/>
    <cellStyle name="Dane wyjściowe 2 15 27" xfId="13813"/>
    <cellStyle name="Dane wyjściowe 2 15 27 2" xfId="13814"/>
    <cellStyle name="Dane wyjściowe 2 15 27 3" xfId="13815"/>
    <cellStyle name="Dane wyjściowe 2 15 28" xfId="13816"/>
    <cellStyle name="Dane wyjściowe 2 15 28 2" xfId="13817"/>
    <cellStyle name="Dane wyjściowe 2 15 28 3" xfId="13818"/>
    <cellStyle name="Dane wyjściowe 2 15 29" xfId="13819"/>
    <cellStyle name="Dane wyjściowe 2 15 29 2" xfId="13820"/>
    <cellStyle name="Dane wyjściowe 2 15 29 3" xfId="13821"/>
    <cellStyle name="Dane wyjściowe 2 15 3" xfId="13822"/>
    <cellStyle name="Dane wyjściowe 2 15 3 2" xfId="13823"/>
    <cellStyle name="Dane wyjściowe 2 15 3 3" xfId="13824"/>
    <cellStyle name="Dane wyjściowe 2 15 3 4" xfId="13825"/>
    <cellStyle name="Dane wyjściowe 2 15 30" xfId="13826"/>
    <cellStyle name="Dane wyjściowe 2 15 30 2" xfId="13827"/>
    <cellStyle name="Dane wyjściowe 2 15 30 3" xfId="13828"/>
    <cellStyle name="Dane wyjściowe 2 15 31" xfId="13829"/>
    <cellStyle name="Dane wyjściowe 2 15 31 2" xfId="13830"/>
    <cellStyle name="Dane wyjściowe 2 15 31 3" xfId="13831"/>
    <cellStyle name="Dane wyjściowe 2 15 32" xfId="13832"/>
    <cellStyle name="Dane wyjściowe 2 15 32 2" xfId="13833"/>
    <cellStyle name="Dane wyjściowe 2 15 32 3" xfId="13834"/>
    <cellStyle name="Dane wyjściowe 2 15 33" xfId="13835"/>
    <cellStyle name="Dane wyjściowe 2 15 33 2" xfId="13836"/>
    <cellStyle name="Dane wyjściowe 2 15 33 3" xfId="13837"/>
    <cellStyle name="Dane wyjściowe 2 15 34" xfId="13838"/>
    <cellStyle name="Dane wyjściowe 2 15 34 2" xfId="13839"/>
    <cellStyle name="Dane wyjściowe 2 15 34 3" xfId="13840"/>
    <cellStyle name="Dane wyjściowe 2 15 35" xfId="13841"/>
    <cellStyle name="Dane wyjściowe 2 15 35 2" xfId="13842"/>
    <cellStyle name="Dane wyjściowe 2 15 35 3" xfId="13843"/>
    <cellStyle name="Dane wyjściowe 2 15 36" xfId="13844"/>
    <cellStyle name="Dane wyjściowe 2 15 36 2" xfId="13845"/>
    <cellStyle name="Dane wyjściowe 2 15 36 3" xfId="13846"/>
    <cellStyle name="Dane wyjściowe 2 15 37" xfId="13847"/>
    <cellStyle name="Dane wyjściowe 2 15 37 2" xfId="13848"/>
    <cellStyle name="Dane wyjściowe 2 15 37 3" xfId="13849"/>
    <cellStyle name="Dane wyjściowe 2 15 38" xfId="13850"/>
    <cellStyle name="Dane wyjściowe 2 15 38 2" xfId="13851"/>
    <cellStyle name="Dane wyjściowe 2 15 38 3" xfId="13852"/>
    <cellStyle name="Dane wyjściowe 2 15 39" xfId="13853"/>
    <cellStyle name="Dane wyjściowe 2 15 39 2" xfId="13854"/>
    <cellStyle name="Dane wyjściowe 2 15 39 3" xfId="13855"/>
    <cellStyle name="Dane wyjściowe 2 15 4" xfId="13856"/>
    <cellStyle name="Dane wyjściowe 2 15 4 2" xfId="13857"/>
    <cellStyle name="Dane wyjściowe 2 15 4 3" xfId="13858"/>
    <cellStyle name="Dane wyjściowe 2 15 4 4" xfId="13859"/>
    <cellStyle name="Dane wyjściowe 2 15 40" xfId="13860"/>
    <cellStyle name="Dane wyjściowe 2 15 40 2" xfId="13861"/>
    <cellStyle name="Dane wyjściowe 2 15 40 3" xfId="13862"/>
    <cellStyle name="Dane wyjściowe 2 15 41" xfId="13863"/>
    <cellStyle name="Dane wyjściowe 2 15 41 2" xfId="13864"/>
    <cellStyle name="Dane wyjściowe 2 15 41 3" xfId="13865"/>
    <cellStyle name="Dane wyjściowe 2 15 42" xfId="13866"/>
    <cellStyle name="Dane wyjściowe 2 15 42 2" xfId="13867"/>
    <cellStyle name="Dane wyjściowe 2 15 42 3" xfId="13868"/>
    <cellStyle name="Dane wyjściowe 2 15 43" xfId="13869"/>
    <cellStyle name="Dane wyjściowe 2 15 43 2" xfId="13870"/>
    <cellStyle name="Dane wyjściowe 2 15 43 3" xfId="13871"/>
    <cellStyle name="Dane wyjściowe 2 15 44" xfId="13872"/>
    <cellStyle name="Dane wyjściowe 2 15 44 2" xfId="13873"/>
    <cellStyle name="Dane wyjściowe 2 15 44 3" xfId="13874"/>
    <cellStyle name="Dane wyjściowe 2 15 45" xfId="13875"/>
    <cellStyle name="Dane wyjściowe 2 15 45 2" xfId="13876"/>
    <cellStyle name="Dane wyjściowe 2 15 45 3" xfId="13877"/>
    <cellStyle name="Dane wyjściowe 2 15 46" xfId="13878"/>
    <cellStyle name="Dane wyjściowe 2 15 46 2" xfId="13879"/>
    <cellStyle name="Dane wyjściowe 2 15 46 3" xfId="13880"/>
    <cellStyle name="Dane wyjściowe 2 15 47" xfId="13881"/>
    <cellStyle name="Dane wyjściowe 2 15 47 2" xfId="13882"/>
    <cellStyle name="Dane wyjściowe 2 15 47 3" xfId="13883"/>
    <cellStyle name="Dane wyjściowe 2 15 48" xfId="13884"/>
    <cellStyle name="Dane wyjściowe 2 15 48 2" xfId="13885"/>
    <cellStyle name="Dane wyjściowe 2 15 48 3" xfId="13886"/>
    <cellStyle name="Dane wyjściowe 2 15 49" xfId="13887"/>
    <cellStyle name="Dane wyjściowe 2 15 49 2" xfId="13888"/>
    <cellStyle name="Dane wyjściowe 2 15 49 3" xfId="13889"/>
    <cellStyle name="Dane wyjściowe 2 15 5" xfId="13890"/>
    <cellStyle name="Dane wyjściowe 2 15 5 2" xfId="13891"/>
    <cellStyle name="Dane wyjściowe 2 15 5 3" xfId="13892"/>
    <cellStyle name="Dane wyjściowe 2 15 5 4" xfId="13893"/>
    <cellStyle name="Dane wyjściowe 2 15 50" xfId="13894"/>
    <cellStyle name="Dane wyjściowe 2 15 50 2" xfId="13895"/>
    <cellStyle name="Dane wyjściowe 2 15 50 3" xfId="13896"/>
    <cellStyle name="Dane wyjściowe 2 15 51" xfId="13897"/>
    <cellStyle name="Dane wyjściowe 2 15 51 2" xfId="13898"/>
    <cellStyle name="Dane wyjściowe 2 15 51 3" xfId="13899"/>
    <cellStyle name="Dane wyjściowe 2 15 52" xfId="13900"/>
    <cellStyle name="Dane wyjściowe 2 15 52 2" xfId="13901"/>
    <cellStyle name="Dane wyjściowe 2 15 52 3" xfId="13902"/>
    <cellStyle name="Dane wyjściowe 2 15 53" xfId="13903"/>
    <cellStyle name="Dane wyjściowe 2 15 53 2" xfId="13904"/>
    <cellStyle name="Dane wyjściowe 2 15 53 3" xfId="13905"/>
    <cellStyle name="Dane wyjściowe 2 15 54" xfId="13906"/>
    <cellStyle name="Dane wyjściowe 2 15 54 2" xfId="13907"/>
    <cellStyle name="Dane wyjściowe 2 15 54 3" xfId="13908"/>
    <cellStyle name="Dane wyjściowe 2 15 55" xfId="13909"/>
    <cellStyle name="Dane wyjściowe 2 15 55 2" xfId="13910"/>
    <cellStyle name="Dane wyjściowe 2 15 55 3" xfId="13911"/>
    <cellStyle name="Dane wyjściowe 2 15 56" xfId="13912"/>
    <cellStyle name="Dane wyjściowe 2 15 56 2" xfId="13913"/>
    <cellStyle name="Dane wyjściowe 2 15 56 3" xfId="13914"/>
    <cellStyle name="Dane wyjściowe 2 15 57" xfId="13915"/>
    <cellStyle name="Dane wyjściowe 2 15 58" xfId="13916"/>
    <cellStyle name="Dane wyjściowe 2 15 6" xfId="13917"/>
    <cellStyle name="Dane wyjściowe 2 15 6 2" xfId="13918"/>
    <cellStyle name="Dane wyjściowe 2 15 6 3" xfId="13919"/>
    <cellStyle name="Dane wyjściowe 2 15 6 4" xfId="13920"/>
    <cellStyle name="Dane wyjściowe 2 15 7" xfId="13921"/>
    <cellStyle name="Dane wyjściowe 2 15 7 2" xfId="13922"/>
    <cellStyle name="Dane wyjściowe 2 15 7 3" xfId="13923"/>
    <cellStyle name="Dane wyjściowe 2 15 7 4" xfId="13924"/>
    <cellStyle name="Dane wyjściowe 2 15 8" xfId="13925"/>
    <cellStyle name="Dane wyjściowe 2 15 8 2" xfId="13926"/>
    <cellStyle name="Dane wyjściowe 2 15 8 3" xfId="13927"/>
    <cellStyle name="Dane wyjściowe 2 15 8 4" xfId="13928"/>
    <cellStyle name="Dane wyjściowe 2 15 9" xfId="13929"/>
    <cellStyle name="Dane wyjściowe 2 15 9 2" xfId="13930"/>
    <cellStyle name="Dane wyjściowe 2 15 9 3" xfId="13931"/>
    <cellStyle name="Dane wyjściowe 2 15 9 4" xfId="13932"/>
    <cellStyle name="Dane wyjściowe 2 16" xfId="13933"/>
    <cellStyle name="Dane wyjściowe 2 16 10" xfId="13934"/>
    <cellStyle name="Dane wyjściowe 2 16 10 2" xfId="13935"/>
    <cellStyle name="Dane wyjściowe 2 16 10 3" xfId="13936"/>
    <cellStyle name="Dane wyjściowe 2 16 10 4" xfId="13937"/>
    <cellStyle name="Dane wyjściowe 2 16 11" xfId="13938"/>
    <cellStyle name="Dane wyjściowe 2 16 11 2" xfId="13939"/>
    <cellStyle name="Dane wyjściowe 2 16 11 3" xfId="13940"/>
    <cellStyle name="Dane wyjściowe 2 16 11 4" xfId="13941"/>
    <cellStyle name="Dane wyjściowe 2 16 12" xfId="13942"/>
    <cellStyle name="Dane wyjściowe 2 16 12 2" xfId="13943"/>
    <cellStyle name="Dane wyjściowe 2 16 12 3" xfId="13944"/>
    <cellStyle name="Dane wyjściowe 2 16 12 4" xfId="13945"/>
    <cellStyle name="Dane wyjściowe 2 16 13" xfId="13946"/>
    <cellStyle name="Dane wyjściowe 2 16 13 2" xfId="13947"/>
    <cellStyle name="Dane wyjściowe 2 16 13 3" xfId="13948"/>
    <cellStyle name="Dane wyjściowe 2 16 13 4" xfId="13949"/>
    <cellStyle name="Dane wyjściowe 2 16 14" xfId="13950"/>
    <cellStyle name="Dane wyjściowe 2 16 14 2" xfId="13951"/>
    <cellStyle name="Dane wyjściowe 2 16 14 3" xfId="13952"/>
    <cellStyle name="Dane wyjściowe 2 16 14 4" xfId="13953"/>
    <cellStyle name="Dane wyjściowe 2 16 15" xfId="13954"/>
    <cellStyle name="Dane wyjściowe 2 16 15 2" xfId="13955"/>
    <cellStyle name="Dane wyjściowe 2 16 15 3" xfId="13956"/>
    <cellStyle name="Dane wyjściowe 2 16 15 4" xfId="13957"/>
    <cellStyle name="Dane wyjściowe 2 16 16" xfId="13958"/>
    <cellStyle name="Dane wyjściowe 2 16 16 2" xfId="13959"/>
    <cellStyle name="Dane wyjściowe 2 16 16 3" xfId="13960"/>
    <cellStyle name="Dane wyjściowe 2 16 16 4" xfId="13961"/>
    <cellStyle name="Dane wyjściowe 2 16 17" xfId="13962"/>
    <cellStyle name="Dane wyjściowe 2 16 17 2" xfId="13963"/>
    <cellStyle name="Dane wyjściowe 2 16 17 3" xfId="13964"/>
    <cellStyle name="Dane wyjściowe 2 16 17 4" xfId="13965"/>
    <cellStyle name="Dane wyjściowe 2 16 18" xfId="13966"/>
    <cellStyle name="Dane wyjściowe 2 16 18 2" xfId="13967"/>
    <cellStyle name="Dane wyjściowe 2 16 18 3" xfId="13968"/>
    <cellStyle name="Dane wyjściowe 2 16 18 4" xfId="13969"/>
    <cellStyle name="Dane wyjściowe 2 16 19" xfId="13970"/>
    <cellStyle name="Dane wyjściowe 2 16 19 2" xfId="13971"/>
    <cellStyle name="Dane wyjściowe 2 16 19 3" xfId="13972"/>
    <cellStyle name="Dane wyjściowe 2 16 19 4" xfId="13973"/>
    <cellStyle name="Dane wyjściowe 2 16 2" xfId="13974"/>
    <cellStyle name="Dane wyjściowe 2 16 2 2" xfId="13975"/>
    <cellStyle name="Dane wyjściowe 2 16 2 3" xfId="13976"/>
    <cellStyle name="Dane wyjściowe 2 16 2 4" xfId="13977"/>
    <cellStyle name="Dane wyjściowe 2 16 20" xfId="13978"/>
    <cellStyle name="Dane wyjściowe 2 16 20 2" xfId="13979"/>
    <cellStyle name="Dane wyjściowe 2 16 20 3" xfId="13980"/>
    <cellStyle name="Dane wyjściowe 2 16 20 4" xfId="13981"/>
    <cellStyle name="Dane wyjściowe 2 16 21" xfId="13982"/>
    <cellStyle name="Dane wyjściowe 2 16 21 2" xfId="13983"/>
    <cellStyle name="Dane wyjściowe 2 16 21 3" xfId="13984"/>
    <cellStyle name="Dane wyjściowe 2 16 22" xfId="13985"/>
    <cellStyle name="Dane wyjściowe 2 16 22 2" xfId="13986"/>
    <cellStyle name="Dane wyjściowe 2 16 22 3" xfId="13987"/>
    <cellStyle name="Dane wyjściowe 2 16 23" xfId="13988"/>
    <cellStyle name="Dane wyjściowe 2 16 23 2" xfId="13989"/>
    <cellStyle name="Dane wyjściowe 2 16 23 3" xfId="13990"/>
    <cellStyle name="Dane wyjściowe 2 16 24" xfId="13991"/>
    <cellStyle name="Dane wyjściowe 2 16 24 2" xfId="13992"/>
    <cellStyle name="Dane wyjściowe 2 16 24 3" xfId="13993"/>
    <cellStyle name="Dane wyjściowe 2 16 25" xfId="13994"/>
    <cellStyle name="Dane wyjściowe 2 16 25 2" xfId="13995"/>
    <cellStyle name="Dane wyjściowe 2 16 25 3" xfId="13996"/>
    <cellStyle name="Dane wyjściowe 2 16 26" xfId="13997"/>
    <cellStyle name="Dane wyjściowe 2 16 26 2" xfId="13998"/>
    <cellStyle name="Dane wyjściowe 2 16 26 3" xfId="13999"/>
    <cellStyle name="Dane wyjściowe 2 16 27" xfId="14000"/>
    <cellStyle name="Dane wyjściowe 2 16 27 2" xfId="14001"/>
    <cellStyle name="Dane wyjściowe 2 16 27 3" xfId="14002"/>
    <cellStyle name="Dane wyjściowe 2 16 28" xfId="14003"/>
    <cellStyle name="Dane wyjściowe 2 16 28 2" xfId="14004"/>
    <cellStyle name="Dane wyjściowe 2 16 28 3" xfId="14005"/>
    <cellStyle name="Dane wyjściowe 2 16 29" xfId="14006"/>
    <cellStyle name="Dane wyjściowe 2 16 29 2" xfId="14007"/>
    <cellStyle name="Dane wyjściowe 2 16 29 3" xfId="14008"/>
    <cellStyle name="Dane wyjściowe 2 16 3" xfId="14009"/>
    <cellStyle name="Dane wyjściowe 2 16 3 2" xfId="14010"/>
    <cellStyle name="Dane wyjściowe 2 16 3 3" xfId="14011"/>
    <cellStyle name="Dane wyjściowe 2 16 3 4" xfId="14012"/>
    <cellStyle name="Dane wyjściowe 2 16 30" xfId="14013"/>
    <cellStyle name="Dane wyjściowe 2 16 30 2" xfId="14014"/>
    <cellStyle name="Dane wyjściowe 2 16 30 3" xfId="14015"/>
    <cellStyle name="Dane wyjściowe 2 16 31" xfId="14016"/>
    <cellStyle name="Dane wyjściowe 2 16 31 2" xfId="14017"/>
    <cellStyle name="Dane wyjściowe 2 16 31 3" xfId="14018"/>
    <cellStyle name="Dane wyjściowe 2 16 32" xfId="14019"/>
    <cellStyle name="Dane wyjściowe 2 16 32 2" xfId="14020"/>
    <cellStyle name="Dane wyjściowe 2 16 32 3" xfId="14021"/>
    <cellStyle name="Dane wyjściowe 2 16 33" xfId="14022"/>
    <cellStyle name="Dane wyjściowe 2 16 33 2" xfId="14023"/>
    <cellStyle name="Dane wyjściowe 2 16 33 3" xfId="14024"/>
    <cellStyle name="Dane wyjściowe 2 16 34" xfId="14025"/>
    <cellStyle name="Dane wyjściowe 2 16 34 2" xfId="14026"/>
    <cellStyle name="Dane wyjściowe 2 16 34 3" xfId="14027"/>
    <cellStyle name="Dane wyjściowe 2 16 35" xfId="14028"/>
    <cellStyle name="Dane wyjściowe 2 16 35 2" xfId="14029"/>
    <cellStyle name="Dane wyjściowe 2 16 35 3" xfId="14030"/>
    <cellStyle name="Dane wyjściowe 2 16 36" xfId="14031"/>
    <cellStyle name="Dane wyjściowe 2 16 36 2" xfId="14032"/>
    <cellStyle name="Dane wyjściowe 2 16 36 3" xfId="14033"/>
    <cellStyle name="Dane wyjściowe 2 16 37" xfId="14034"/>
    <cellStyle name="Dane wyjściowe 2 16 37 2" xfId="14035"/>
    <cellStyle name="Dane wyjściowe 2 16 37 3" xfId="14036"/>
    <cellStyle name="Dane wyjściowe 2 16 38" xfId="14037"/>
    <cellStyle name="Dane wyjściowe 2 16 38 2" xfId="14038"/>
    <cellStyle name="Dane wyjściowe 2 16 38 3" xfId="14039"/>
    <cellStyle name="Dane wyjściowe 2 16 39" xfId="14040"/>
    <cellStyle name="Dane wyjściowe 2 16 39 2" xfId="14041"/>
    <cellStyle name="Dane wyjściowe 2 16 39 3" xfId="14042"/>
    <cellStyle name="Dane wyjściowe 2 16 4" xfId="14043"/>
    <cellStyle name="Dane wyjściowe 2 16 4 2" xfId="14044"/>
    <cellStyle name="Dane wyjściowe 2 16 4 3" xfId="14045"/>
    <cellStyle name="Dane wyjściowe 2 16 4 4" xfId="14046"/>
    <cellStyle name="Dane wyjściowe 2 16 40" xfId="14047"/>
    <cellStyle name="Dane wyjściowe 2 16 40 2" xfId="14048"/>
    <cellStyle name="Dane wyjściowe 2 16 40 3" xfId="14049"/>
    <cellStyle name="Dane wyjściowe 2 16 41" xfId="14050"/>
    <cellStyle name="Dane wyjściowe 2 16 41 2" xfId="14051"/>
    <cellStyle name="Dane wyjściowe 2 16 41 3" xfId="14052"/>
    <cellStyle name="Dane wyjściowe 2 16 42" xfId="14053"/>
    <cellStyle name="Dane wyjściowe 2 16 42 2" xfId="14054"/>
    <cellStyle name="Dane wyjściowe 2 16 42 3" xfId="14055"/>
    <cellStyle name="Dane wyjściowe 2 16 43" xfId="14056"/>
    <cellStyle name="Dane wyjściowe 2 16 43 2" xfId="14057"/>
    <cellStyle name="Dane wyjściowe 2 16 43 3" xfId="14058"/>
    <cellStyle name="Dane wyjściowe 2 16 44" xfId="14059"/>
    <cellStyle name="Dane wyjściowe 2 16 44 2" xfId="14060"/>
    <cellStyle name="Dane wyjściowe 2 16 44 3" xfId="14061"/>
    <cellStyle name="Dane wyjściowe 2 16 45" xfId="14062"/>
    <cellStyle name="Dane wyjściowe 2 16 45 2" xfId="14063"/>
    <cellStyle name="Dane wyjściowe 2 16 45 3" xfId="14064"/>
    <cellStyle name="Dane wyjściowe 2 16 46" xfId="14065"/>
    <cellStyle name="Dane wyjściowe 2 16 46 2" xfId="14066"/>
    <cellStyle name="Dane wyjściowe 2 16 46 3" xfId="14067"/>
    <cellStyle name="Dane wyjściowe 2 16 47" xfId="14068"/>
    <cellStyle name="Dane wyjściowe 2 16 47 2" xfId="14069"/>
    <cellStyle name="Dane wyjściowe 2 16 47 3" xfId="14070"/>
    <cellStyle name="Dane wyjściowe 2 16 48" xfId="14071"/>
    <cellStyle name="Dane wyjściowe 2 16 48 2" xfId="14072"/>
    <cellStyle name="Dane wyjściowe 2 16 48 3" xfId="14073"/>
    <cellStyle name="Dane wyjściowe 2 16 49" xfId="14074"/>
    <cellStyle name="Dane wyjściowe 2 16 49 2" xfId="14075"/>
    <cellStyle name="Dane wyjściowe 2 16 49 3" xfId="14076"/>
    <cellStyle name="Dane wyjściowe 2 16 5" xfId="14077"/>
    <cellStyle name="Dane wyjściowe 2 16 5 2" xfId="14078"/>
    <cellStyle name="Dane wyjściowe 2 16 5 3" xfId="14079"/>
    <cellStyle name="Dane wyjściowe 2 16 5 4" xfId="14080"/>
    <cellStyle name="Dane wyjściowe 2 16 50" xfId="14081"/>
    <cellStyle name="Dane wyjściowe 2 16 50 2" xfId="14082"/>
    <cellStyle name="Dane wyjściowe 2 16 50 3" xfId="14083"/>
    <cellStyle name="Dane wyjściowe 2 16 51" xfId="14084"/>
    <cellStyle name="Dane wyjściowe 2 16 51 2" xfId="14085"/>
    <cellStyle name="Dane wyjściowe 2 16 51 3" xfId="14086"/>
    <cellStyle name="Dane wyjściowe 2 16 52" xfId="14087"/>
    <cellStyle name="Dane wyjściowe 2 16 52 2" xfId="14088"/>
    <cellStyle name="Dane wyjściowe 2 16 52 3" xfId="14089"/>
    <cellStyle name="Dane wyjściowe 2 16 53" xfId="14090"/>
    <cellStyle name="Dane wyjściowe 2 16 53 2" xfId="14091"/>
    <cellStyle name="Dane wyjściowe 2 16 53 3" xfId="14092"/>
    <cellStyle name="Dane wyjściowe 2 16 54" xfId="14093"/>
    <cellStyle name="Dane wyjściowe 2 16 54 2" xfId="14094"/>
    <cellStyle name="Dane wyjściowe 2 16 54 3" xfId="14095"/>
    <cellStyle name="Dane wyjściowe 2 16 55" xfId="14096"/>
    <cellStyle name="Dane wyjściowe 2 16 55 2" xfId="14097"/>
    <cellStyle name="Dane wyjściowe 2 16 55 3" xfId="14098"/>
    <cellStyle name="Dane wyjściowe 2 16 56" xfId="14099"/>
    <cellStyle name="Dane wyjściowe 2 16 56 2" xfId="14100"/>
    <cellStyle name="Dane wyjściowe 2 16 56 3" xfId="14101"/>
    <cellStyle name="Dane wyjściowe 2 16 57" xfId="14102"/>
    <cellStyle name="Dane wyjściowe 2 16 58" xfId="14103"/>
    <cellStyle name="Dane wyjściowe 2 16 6" xfId="14104"/>
    <cellStyle name="Dane wyjściowe 2 16 6 2" xfId="14105"/>
    <cellStyle name="Dane wyjściowe 2 16 6 3" xfId="14106"/>
    <cellStyle name="Dane wyjściowe 2 16 6 4" xfId="14107"/>
    <cellStyle name="Dane wyjściowe 2 16 7" xfId="14108"/>
    <cellStyle name="Dane wyjściowe 2 16 7 2" xfId="14109"/>
    <cellStyle name="Dane wyjściowe 2 16 7 3" xfId="14110"/>
    <cellStyle name="Dane wyjściowe 2 16 7 4" xfId="14111"/>
    <cellStyle name="Dane wyjściowe 2 16 8" xfId="14112"/>
    <cellStyle name="Dane wyjściowe 2 16 8 2" xfId="14113"/>
    <cellStyle name="Dane wyjściowe 2 16 8 3" xfId="14114"/>
    <cellStyle name="Dane wyjściowe 2 16 8 4" xfId="14115"/>
    <cellStyle name="Dane wyjściowe 2 16 9" xfId="14116"/>
    <cellStyle name="Dane wyjściowe 2 16 9 2" xfId="14117"/>
    <cellStyle name="Dane wyjściowe 2 16 9 3" xfId="14118"/>
    <cellStyle name="Dane wyjściowe 2 16 9 4" xfId="14119"/>
    <cellStyle name="Dane wyjściowe 2 17" xfId="14120"/>
    <cellStyle name="Dane wyjściowe 2 17 10" xfId="14121"/>
    <cellStyle name="Dane wyjściowe 2 17 10 2" xfId="14122"/>
    <cellStyle name="Dane wyjściowe 2 17 10 3" xfId="14123"/>
    <cellStyle name="Dane wyjściowe 2 17 10 4" xfId="14124"/>
    <cellStyle name="Dane wyjściowe 2 17 11" xfId="14125"/>
    <cellStyle name="Dane wyjściowe 2 17 11 2" xfId="14126"/>
    <cellStyle name="Dane wyjściowe 2 17 11 3" xfId="14127"/>
    <cellStyle name="Dane wyjściowe 2 17 11 4" xfId="14128"/>
    <cellStyle name="Dane wyjściowe 2 17 12" xfId="14129"/>
    <cellStyle name="Dane wyjściowe 2 17 12 2" xfId="14130"/>
    <cellStyle name="Dane wyjściowe 2 17 12 3" xfId="14131"/>
    <cellStyle name="Dane wyjściowe 2 17 12 4" xfId="14132"/>
    <cellStyle name="Dane wyjściowe 2 17 13" xfId="14133"/>
    <cellStyle name="Dane wyjściowe 2 17 13 2" xfId="14134"/>
    <cellStyle name="Dane wyjściowe 2 17 13 3" xfId="14135"/>
    <cellStyle name="Dane wyjściowe 2 17 13 4" xfId="14136"/>
    <cellStyle name="Dane wyjściowe 2 17 14" xfId="14137"/>
    <cellStyle name="Dane wyjściowe 2 17 14 2" xfId="14138"/>
    <cellStyle name="Dane wyjściowe 2 17 14 3" xfId="14139"/>
    <cellStyle name="Dane wyjściowe 2 17 14 4" xfId="14140"/>
    <cellStyle name="Dane wyjściowe 2 17 15" xfId="14141"/>
    <cellStyle name="Dane wyjściowe 2 17 15 2" xfId="14142"/>
    <cellStyle name="Dane wyjściowe 2 17 15 3" xfId="14143"/>
    <cellStyle name="Dane wyjściowe 2 17 15 4" xfId="14144"/>
    <cellStyle name="Dane wyjściowe 2 17 16" xfId="14145"/>
    <cellStyle name="Dane wyjściowe 2 17 16 2" xfId="14146"/>
    <cellStyle name="Dane wyjściowe 2 17 16 3" xfId="14147"/>
    <cellStyle name="Dane wyjściowe 2 17 16 4" xfId="14148"/>
    <cellStyle name="Dane wyjściowe 2 17 17" xfId="14149"/>
    <cellStyle name="Dane wyjściowe 2 17 17 2" xfId="14150"/>
    <cellStyle name="Dane wyjściowe 2 17 17 3" xfId="14151"/>
    <cellStyle name="Dane wyjściowe 2 17 17 4" xfId="14152"/>
    <cellStyle name="Dane wyjściowe 2 17 18" xfId="14153"/>
    <cellStyle name="Dane wyjściowe 2 17 18 2" xfId="14154"/>
    <cellStyle name="Dane wyjściowe 2 17 18 3" xfId="14155"/>
    <cellStyle name="Dane wyjściowe 2 17 18 4" xfId="14156"/>
    <cellStyle name="Dane wyjściowe 2 17 19" xfId="14157"/>
    <cellStyle name="Dane wyjściowe 2 17 19 2" xfId="14158"/>
    <cellStyle name="Dane wyjściowe 2 17 19 3" xfId="14159"/>
    <cellStyle name="Dane wyjściowe 2 17 19 4" xfId="14160"/>
    <cellStyle name="Dane wyjściowe 2 17 2" xfId="14161"/>
    <cellStyle name="Dane wyjściowe 2 17 2 2" xfId="14162"/>
    <cellStyle name="Dane wyjściowe 2 17 2 3" xfId="14163"/>
    <cellStyle name="Dane wyjściowe 2 17 2 4" xfId="14164"/>
    <cellStyle name="Dane wyjściowe 2 17 20" xfId="14165"/>
    <cellStyle name="Dane wyjściowe 2 17 20 2" xfId="14166"/>
    <cellStyle name="Dane wyjściowe 2 17 20 3" xfId="14167"/>
    <cellStyle name="Dane wyjściowe 2 17 20 4" xfId="14168"/>
    <cellStyle name="Dane wyjściowe 2 17 21" xfId="14169"/>
    <cellStyle name="Dane wyjściowe 2 17 21 2" xfId="14170"/>
    <cellStyle name="Dane wyjściowe 2 17 21 3" xfId="14171"/>
    <cellStyle name="Dane wyjściowe 2 17 22" xfId="14172"/>
    <cellStyle name="Dane wyjściowe 2 17 22 2" xfId="14173"/>
    <cellStyle name="Dane wyjściowe 2 17 22 3" xfId="14174"/>
    <cellStyle name="Dane wyjściowe 2 17 23" xfId="14175"/>
    <cellStyle name="Dane wyjściowe 2 17 23 2" xfId="14176"/>
    <cellStyle name="Dane wyjściowe 2 17 23 3" xfId="14177"/>
    <cellStyle name="Dane wyjściowe 2 17 24" xfId="14178"/>
    <cellStyle name="Dane wyjściowe 2 17 24 2" xfId="14179"/>
    <cellStyle name="Dane wyjściowe 2 17 24 3" xfId="14180"/>
    <cellStyle name="Dane wyjściowe 2 17 25" xfId="14181"/>
    <cellStyle name="Dane wyjściowe 2 17 25 2" xfId="14182"/>
    <cellStyle name="Dane wyjściowe 2 17 25 3" xfId="14183"/>
    <cellStyle name="Dane wyjściowe 2 17 26" xfId="14184"/>
    <cellStyle name="Dane wyjściowe 2 17 26 2" xfId="14185"/>
    <cellStyle name="Dane wyjściowe 2 17 26 3" xfId="14186"/>
    <cellStyle name="Dane wyjściowe 2 17 27" xfId="14187"/>
    <cellStyle name="Dane wyjściowe 2 17 27 2" xfId="14188"/>
    <cellStyle name="Dane wyjściowe 2 17 27 3" xfId="14189"/>
    <cellStyle name="Dane wyjściowe 2 17 28" xfId="14190"/>
    <cellStyle name="Dane wyjściowe 2 17 28 2" xfId="14191"/>
    <cellStyle name="Dane wyjściowe 2 17 28 3" xfId="14192"/>
    <cellStyle name="Dane wyjściowe 2 17 29" xfId="14193"/>
    <cellStyle name="Dane wyjściowe 2 17 29 2" xfId="14194"/>
    <cellStyle name="Dane wyjściowe 2 17 29 3" xfId="14195"/>
    <cellStyle name="Dane wyjściowe 2 17 3" xfId="14196"/>
    <cellStyle name="Dane wyjściowe 2 17 3 2" xfId="14197"/>
    <cellStyle name="Dane wyjściowe 2 17 3 3" xfId="14198"/>
    <cellStyle name="Dane wyjściowe 2 17 3 4" xfId="14199"/>
    <cellStyle name="Dane wyjściowe 2 17 30" xfId="14200"/>
    <cellStyle name="Dane wyjściowe 2 17 30 2" xfId="14201"/>
    <cellStyle name="Dane wyjściowe 2 17 30 3" xfId="14202"/>
    <cellStyle name="Dane wyjściowe 2 17 31" xfId="14203"/>
    <cellStyle name="Dane wyjściowe 2 17 31 2" xfId="14204"/>
    <cellStyle name="Dane wyjściowe 2 17 31 3" xfId="14205"/>
    <cellStyle name="Dane wyjściowe 2 17 32" xfId="14206"/>
    <cellStyle name="Dane wyjściowe 2 17 32 2" xfId="14207"/>
    <cellStyle name="Dane wyjściowe 2 17 32 3" xfId="14208"/>
    <cellStyle name="Dane wyjściowe 2 17 33" xfId="14209"/>
    <cellStyle name="Dane wyjściowe 2 17 33 2" xfId="14210"/>
    <cellStyle name="Dane wyjściowe 2 17 33 3" xfId="14211"/>
    <cellStyle name="Dane wyjściowe 2 17 34" xfId="14212"/>
    <cellStyle name="Dane wyjściowe 2 17 34 2" xfId="14213"/>
    <cellStyle name="Dane wyjściowe 2 17 34 3" xfId="14214"/>
    <cellStyle name="Dane wyjściowe 2 17 35" xfId="14215"/>
    <cellStyle name="Dane wyjściowe 2 17 35 2" xfId="14216"/>
    <cellStyle name="Dane wyjściowe 2 17 35 3" xfId="14217"/>
    <cellStyle name="Dane wyjściowe 2 17 36" xfId="14218"/>
    <cellStyle name="Dane wyjściowe 2 17 36 2" xfId="14219"/>
    <cellStyle name="Dane wyjściowe 2 17 36 3" xfId="14220"/>
    <cellStyle name="Dane wyjściowe 2 17 37" xfId="14221"/>
    <cellStyle name="Dane wyjściowe 2 17 37 2" xfId="14222"/>
    <cellStyle name="Dane wyjściowe 2 17 37 3" xfId="14223"/>
    <cellStyle name="Dane wyjściowe 2 17 38" xfId="14224"/>
    <cellStyle name="Dane wyjściowe 2 17 38 2" xfId="14225"/>
    <cellStyle name="Dane wyjściowe 2 17 38 3" xfId="14226"/>
    <cellStyle name="Dane wyjściowe 2 17 39" xfId="14227"/>
    <cellStyle name="Dane wyjściowe 2 17 39 2" xfId="14228"/>
    <cellStyle name="Dane wyjściowe 2 17 39 3" xfId="14229"/>
    <cellStyle name="Dane wyjściowe 2 17 4" xfId="14230"/>
    <cellStyle name="Dane wyjściowe 2 17 4 2" xfId="14231"/>
    <cellStyle name="Dane wyjściowe 2 17 4 3" xfId="14232"/>
    <cellStyle name="Dane wyjściowe 2 17 4 4" xfId="14233"/>
    <cellStyle name="Dane wyjściowe 2 17 40" xfId="14234"/>
    <cellStyle name="Dane wyjściowe 2 17 40 2" xfId="14235"/>
    <cellStyle name="Dane wyjściowe 2 17 40 3" xfId="14236"/>
    <cellStyle name="Dane wyjściowe 2 17 41" xfId="14237"/>
    <cellStyle name="Dane wyjściowe 2 17 41 2" xfId="14238"/>
    <cellStyle name="Dane wyjściowe 2 17 41 3" xfId="14239"/>
    <cellStyle name="Dane wyjściowe 2 17 42" xfId="14240"/>
    <cellStyle name="Dane wyjściowe 2 17 42 2" xfId="14241"/>
    <cellStyle name="Dane wyjściowe 2 17 42 3" xfId="14242"/>
    <cellStyle name="Dane wyjściowe 2 17 43" xfId="14243"/>
    <cellStyle name="Dane wyjściowe 2 17 43 2" xfId="14244"/>
    <cellStyle name="Dane wyjściowe 2 17 43 3" xfId="14245"/>
    <cellStyle name="Dane wyjściowe 2 17 44" xfId="14246"/>
    <cellStyle name="Dane wyjściowe 2 17 44 2" xfId="14247"/>
    <cellStyle name="Dane wyjściowe 2 17 44 3" xfId="14248"/>
    <cellStyle name="Dane wyjściowe 2 17 45" xfId="14249"/>
    <cellStyle name="Dane wyjściowe 2 17 45 2" xfId="14250"/>
    <cellStyle name="Dane wyjściowe 2 17 45 3" xfId="14251"/>
    <cellStyle name="Dane wyjściowe 2 17 46" xfId="14252"/>
    <cellStyle name="Dane wyjściowe 2 17 46 2" xfId="14253"/>
    <cellStyle name="Dane wyjściowe 2 17 46 3" xfId="14254"/>
    <cellStyle name="Dane wyjściowe 2 17 47" xfId="14255"/>
    <cellStyle name="Dane wyjściowe 2 17 47 2" xfId="14256"/>
    <cellStyle name="Dane wyjściowe 2 17 47 3" xfId="14257"/>
    <cellStyle name="Dane wyjściowe 2 17 48" xfId="14258"/>
    <cellStyle name="Dane wyjściowe 2 17 48 2" xfId="14259"/>
    <cellStyle name="Dane wyjściowe 2 17 48 3" xfId="14260"/>
    <cellStyle name="Dane wyjściowe 2 17 49" xfId="14261"/>
    <cellStyle name="Dane wyjściowe 2 17 49 2" xfId="14262"/>
    <cellStyle name="Dane wyjściowe 2 17 49 3" xfId="14263"/>
    <cellStyle name="Dane wyjściowe 2 17 5" xfId="14264"/>
    <cellStyle name="Dane wyjściowe 2 17 5 2" xfId="14265"/>
    <cellStyle name="Dane wyjściowe 2 17 5 3" xfId="14266"/>
    <cellStyle name="Dane wyjściowe 2 17 5 4" xfId="14267"/>
    <cellStyle name="Dane wyjściowe 2 17 50" xfId="14268"/>
    <cellStyle name="Dane wyjściowe 2 17 50 2" xfId="14269"/>
    <cellStyle name="Dane wyjściowe 2 17 50 3" xfId="14270"/>
    <cellStyle name="Dane wyjściowe 2 17 51" xfId="14271"/>
    <cellStyle name="Dane wyjściowe 2 17 51 2" xfId="14272"/>
    <cellStyle name="Dane wyjściowe 2 17 51 3" xfId="14273"/>
    <cellStyle name="Dane wyjściowe 2 17 52" xfId="14274"/>
    <cellStyle name="Dane wyjściowe 2 17 52 2" xfId="14275"/>
    <cellStyle name="Dane wyjściowe 2 17 52 3" xfId="14276"/>
    <cellStyle name="Dane wyjściowe 2 17 53" xfId="14277"/>
    <cellStyle name="Dane wyjściowe 2 17 53 2" xfId="14278"/>
    <cellStyle name="Dane wyjściowe 2 17 53 3" xfId="14279"/>
    <cellStyle name="Dane wyjściowe 2 17 54" xfId="14280"/>
    <cellStyle name="Dane wyjściowe 2 17 54 2" xfId="14281"/>
    <cellStyle name="Dane wyjściowe 2 17 54 3" xfId="14282"/>
    <cellStyle name="Dane wyjściowe 2 17 55" xfId="14283"/>
    <cellStyle name="Dane wyjściowe 2 17 55 2" xfId="14284"/>
    <cellStyle name="Dane wyjściowe 2 17 55 3" xfId="14285"/>
    <cellStyle name="Dane wyjściowe 2 17 56" xfId="14286"/>
    <cellStyle name="Dane wyjściowe 2 17 56 2" xfId="14287"/>
    <cellStyle name="Dane wyjściowe 2 17 56 3" xfId="14288"/>
    <cellStyle name="Dane wyjściowe 2 17 57" xfId="14289"/>
    <cellStyle name="Dane wyjściowe 2 17 58" xfId="14290"/>
    <cellStyle name="Dane wyjściowe 2 17 6" xfId="14291"/>
    <cellStyle name="Dane wyjściowe 2 17 6 2" xfId="14292"/>
    <cellStyle name="Dane wyjściowe 2 17 6 3" xfId="14293"/>
    <cellStyle name="Dane wyjściowe 2 17 6 4" xfId="14294"/>
    <cellStyle name="Dane wyjściowe 2 17 7" xfId="14295"/>
    <cellStyle name="Dane wyjściowe 2 17 7 2" xfId="14296"/>
    <cellStyle name="Dane wyjściowe 2 17 7 3" xfId="14297"/>
    <cellStyle name="Dane wyjściowe 2 17 7 4" xfId="14298"/>
    <cellStyle name="Dane wyjściowe 2 17 8" xfId="14299"/>
    <cellStyle name="Dane wyjściowe 2 17 8 2" xfId="14300"/>
    <cellStyle name="Dane wyjściowe 2 17 8 3" xfId="14301"/>
    <cellStyle name="Dane wyjściowe 2 17 8 4" xfId="14302"/>
    <cellStyle name="Dane wyjściowe 2 17 9" xfId="14303"/>
    <cellStyle name="Dane wyjściowe 2 17 9 2" xfId="14304"/>
    <cellStyle name="Dane wyjściowe 2 17 9 3" xfId="14305"/>
    <cellStyle name="Dane wyjściowe 2 17 9 4" xfId="14306"/>
    <cellStyle name="Dane wyjściowe 2 18" xfId="14307"/>
    <cellStyle name="Dane wyjściowe 2 18 10" xfId="14308"/>
    <cellStyle name="Dane wyjściowe 2 18 10 2" xfId="14309"/>
    <cellStyle name="Dane wyjściowe 2 18 10 3" xfId="14310"/>
    <cellStyle name="Dane wyjściowe 2 18 10 4" xfId="14311"/>
    <cellStyle name="Dane wyjściowe 2 18 11" xfId="14312"/>
    <cellStyle name="Dane wyjściowe 2 18 11 2" xfId="14313"/>
    <cellStyle name="Dane wyjściowe 2 18 11 3" xfId="14314"/>
    <cellStyle name="Dane wyjściowe 2 18 11 4" xfId="14315"/>
    <cellStyle name="Dane wyjściowe 2 18 12" xfId="14316"/>
    <cellStyle name="Dane wyjściowe 2 18 12 2" xfId="14317"/>
    <cellStyle name="Dane wyjściowe 2 18 12 3" xfId="14318"/>
    <cellStyle name="Dane wyjściowe 2 18 12 4" xfId="14319"/>
    <cellStyle name="Dane wyjściowe 2 18 13" xfId="14320"/>
    <cellStyle name="Dane wyjściowe 2 18 13 2" xfId="14321"/>
    <cellStyle name="Dane wyjściowe 2 18 13 3" xfId="14322"/>
    <cellStyle name="Dane wyjściowe 2 18 13 4" xfId="14323"/>
    <cellStyle name="Dane wyjściowe 2 18 14" xfId="14324"/>
    <cellStyle name="Dane wyjściowe 2 18 14 2" xfId="14325"/>
    <cellStyle name="Dane wyjściowe 2 18 14 3" xfId="14326"/>
    <cellStyle name="Dane wyjściowe 2 18 14 4" xfId="14327"/>
    <cellStyle name="Dane wyjściowe 2 18 15" xfId="14328"/>
    <cellStyle name="Dane wyjściowe 2 18 15 2" xfId="14329"/>
    <cellStyle name="Dane wyjściowe 2 18 15 3" xfId="14330"/>
    <cellStyle name="Dane wyjściowe 2 18 15 4" xfId="14331"/>
    <cellStyle name="Dane wyjściowe 2 18 16" xfId="14332"/>
    <cellStyle name="Dane wyjściowe 2 18 16 2" xfId="14333"/>
    <cellStyle name="Dane wyjściowe 2 18 16 3" xfId="14334"/>
    <cellStyle name="Dane wyjściowe 2 18 16 4" xfId="14335"/>
    <cellStyle name="Dane wyjściowe 2 18 17" xfId="14336"/>
    <cellStyle name="Dane wyjściowe 2 18 17 2" xfId="14337"/>
    <cellStyle name="Dane wyjściowe 2 18 17 3" xfId="14338"/>
    <cellStyle name="Dane wyjściowe 2 18 17 4" xfId="14339"/>
    <cellStyle name="Dane wyjściowe 2 18 18" xfId="14340"/>
    <cellStyle name="Dane wyjściowe 2 18 18 2" xfId="14341"/>
    <cellStyle name="Dane wyjściowe 2 18 18 3" xfId="14342"/>
    <cellStyle name="Dane wyjściowe 2 18 18 4" xfId="14343"/>
    <cellStyle name="Dane wyjściowe 2 18 19" xfId="14344"/>
    <cellStyle name="Dane wyjściowe 2 18 19 2" xfId="14345"/>
    <cellStyle name="Dane wyjściowe 2 18 19 3" xfId="14346"/>
    <cellStyle name="Dane wyjściowe 2 18 19 4" xfId="14347"/>
    <cellStyle name="Dane wyjściowe 2 18 2" xfId="14348"/>
    <cellStyle name="Dane wyjściowe 2 18 2 2" xfId="14349"/>
    <cellStyle name="Dane wyjściowe 2 18 2 3" xfId="14350"/>
    <cellStyle name="Dane wyjściowe 2 18 2 4" xfId="14351"/>
    <cellStyle name="Dane wyjściowe 2 18 20" xfId="14352"/>
    <cellStyle name="Dane wyjściowe 2 18 20 2" xfId="14353"/>
    <cellStyle name="Dane wyjściowe 2 18 20 3" xfId="14354"/>
    <cellStyle name="Dane wyjściowe 2 18 20 4" xfId="14355"/>
    <cellStyle name="Dane wyjściowe 2 18 21" xfId="14356"/>
    <cellStyle name="Dane wyjściowe 2 18 21 2" xfId="14357"/>
    <cellStyle name="Dane wyjściowe 2 18 21 3" xfId="14358"/>
    <cellStyle name="Dane wyjściowe 2 18 22" xfId="14359"/>
    <cellStyle name="Dane wyjściowe 2 18 22 2" xfId="14360"/>
    <cellStyle name="Dane wyjściowe 2 18 22 3" xfId="14361"/>
    <cellStyle name="Dane wyjściowe 2 18 23" xfId="14362"/>
    <cellStyle name="Dane wyjściowe 2 18 23 2" xfId="14363"/>
    <cellStyle name="Dane wyjściowe 2 18 23 3" xfId="14364"/>
    <cellStyle name="Dane wyjściowe 2 18 24" xfId="14365"/>
    <cellStyle name="Dane wyjściowe 2 18 24 2" xfId="14366"/>
    <cellStyle name="Dane wyjściowe 2 18 24 3" xfId="14367"/>
    <cellStyle name="Dane wyjściowe 2 18 25" xfId="14368"/>
    <cellStyle name="Dane wyjściowe 2 18 25 2" xfId="14369"/>
    <cellStyle name="Dane wyjściowe 2 18 25 3" xfId="14370"/>
    <cellStyle name="Dane wyjściowe 2 18 26" xfId="14371"/>
    <cellStyle name="Dane wyjściowe 2 18 26 2" xfId="14372"/>
    <cellStyle name="Dane wyjściowe 2 18 26 3" xfId="14373"/>
    <cellStyle name="Dane wyjściowe 2 18 27" xfId="14374"/>
    <cellStyle name="Dane wyjściowe 2 18 27 2" xfId="14375"/>
    <cellStyle name="Dane wyjściowe 2 18 27 3" xfId="14376"/>
    <cellStyle name="Dane wyjściowe 2 18 28" xfId="14377"/>
    <cellStyle name="Dane wyjściowe 2 18 28 2" xfId="14378"/>
    <cellStyle name="Dane wyjściowe 2 18 28 3" xfId="14379"/>
    <cellStyle name="Dane wyjściowe 2 18 29" xfId="14380"/>
    <cellStyle name="Dane wyjściowe 2 18 29 2" xfId="14381"/>
    <cellStyle name="Dane wyjściowe 2 18 29 3" xfId="14382"/>
    <cellStyle name="Dane wyjściowe 2 18 3" xfId="14383"/>
    <cellStyle name="Dane wyjściowe 2 18 3 2" xfId="14384"/>
    <cellStyle name="Dane wyjściowe 2 18 3 3" xfId="14385"/>
    <cellStyle name="Dane wyjściowe 2 18 3 4" xfId="14386"/>
    <cellStyle name="Dane wyjściowe 2 18 30" xfId="14387"/>
    <cellStyle name="Dane wyjściowe 2 18 30 2" xfId="14388"/>
    <cellStyle name="Dane wyjściowe 2 18 30 3" xfId="14389"/>
    <cellStyle name="Dane wyjściowe 2 18 31" xfId="14390"/>
    <cellStyle name="Dane wyjściowe 2 18 31 2" xfId="14391"/>
    <cellStyle name="Dane wyjściowe 2 18 31 3" xfId="14392"/>
    <cellStyle name="Dane wyjściowe 2 18 32" xfId="14393"/>
    <cellStyle name="Dane wyjściowe 2 18 32 2" xfId="14394"/>
    <cellStyle name="Dane wyjściowe 2 18 32 3" xfId="14395"/>
    <cellStyle name="Dane wyjściowe 2 18 33" xfId="14396"/>
    <cellStyle name="Dane wyjściowe 2 18 33 2" xfId="14397"/>
    <cellStyle name="Dane wyjściowe 2 18 33 3" xfId="14398"/>
    <cellStyle name="Dane wyjściowe 2 18 34" xfId="14399"/>
    <cellStyle name="Dane wyjściowe 2 18 34 2" xfId="14400"/>
    <cellStyle name="Dane wyjściowe 2 18 34 3" xfId="14401"/>
    <cellStyle name="Dane wyjściowe 2 18 35" xfId="14402"/>
    <cellStyle name="Dane wyjściowe 2 18 35 2" xfId="14403"/>
    <cellStyle name="Dane wyjściowe 2 18 35 3" xfId="14404"/>
    <cellStyle name="Dane wyjściowe 2 18 36" xfId="14405"/>
    <cellStyle name="Dane wyjściowe 2 18 36 2" xfId="14406"/>
    <cellStyle name="Dane wyjściowe 2 18 36 3" xfId="14407"/>
    <cellStyle name="Dane wyjściowe 2 18 37" xfId="14408"/>
    <cellStyle name="Dane wyjściowe 2 18 37 2" xfId="14409"/>
    <cellStyle name="Dane wyjściowe 2 18 37 3" xfId="14410"/>
    <cellStyle name="Dane wyjściowe 2 18 38" xfId="14411"/>
    <cellStyle name="Dane wyjściowe 2 18 38 2" xfId="14412"/>
    <cellStyle name="Dane wyjściowe 2 18 38 3" xfId="14413"/>
    <cellStyle name="Dane wyjściowe 2 18 39" xfId="14414"/>
    <cellStyle name="Dane wyjściowe 2 18 39 2" xfId="14415"/>
    <cellStyle name="Dane wyjściowe 2 18 39 3" xfId="14416"/>
    <cellStyle name="Dane wyjściowe 2 18 4" xfId="14417"/>
    <cellStyle name="Dane wyjściowe 2 18 4 2" xfId="14418"/>
    <cellStyle name="Dane wyjściowe 2 18 4 3" xfId="14419"/>
    <cellStyle name="Dane wyjściowe 2 18 4 4" xfId="14420"/>
    <cellStyle name="Dane wyjściowe 2 18 40" xfId="14421"/>
    <cellStyle name="Dane wyjściowe 2 18 40 2" xfId="14422"/>
    <cellStyle name="Dane wyjściowe 2 18 40 3" xfId="14423"/>
    <cellStyle name="Dane wyjściowe 2 18 41" xfId="14424"/>
    <cellStyle name="Dane wyjściowe 2 18 41 2" xfId="14425"/>
    <cellStyle name="Dane wyjściowe 2 18 41 3" xfId="14426"/>
    <cellStyle name="Dane wyjściowe 2 18 42" xfId="14427"/>
    <cellStyle name="Dane wyjściowe 2 18 42 2" xfId="14428"/>
    <cellStyle name="Dane wyjściowe 2 18 42 3" xfId="14429"/>
    <cellStyle name="Dane wyjściowe 2 18 43" xfId="14430"/>
    <cellStyle name="Dane wyjściowe 2 18 43 2" xfId="14431"/>
    <cellStyle name="Dane wyjściowe 2 18 43 3" xfId="14432"/>
    <cellStyle name="Dane wyjściowe 2 18 44" xfId="14433"/>
    <cellStyle name="Dane wyjściowe 2 18 44 2" xfId="14434"/>
    <cellStyle name="Dane wyjściowe 2 18 44 3" xfId="14435"/>
    <cellStyle name="Dane wyjściowe 2 18 45" xfId="14436"/>
    <cellStyle name="Dane wyjściowe 2 18 45 2" xfId="14437"/>
    <cellStyle name="Dane wyjściowe 2 18 45 3" xfId="14438"/>
    <cellStyle name="Dane wyjściowe 2 18 46" xfId="14439"/>
    <cellStyle name="Dane wyjściowe 2 18 46 2" xfId="14440"/>
    <cellStyle name="Dane wyjściowe 2 18 46 3" xfId="14441"/>
    <cellStyle name="Dane wyjściowe 2 18 47" xfId="14442"/>
    <cellStyle name="Dane wyjściowe 2 18 47 2" xfId="14443"/>
    <cellStyle name="Dane wyjściowe 2 18 47 3" xfId="14444"/>
    <cellStyle name="Dane wyjściowe 2 18 48" xfId="14445"/>
    <cellStyle name="Dane wyjściowe 2 18 48 2" xfId="14446"/>
    <cellStyle name="Dane wyjściowe 2 18 48 3" xfId="14447"/>
    <cellStyle name="Dane wyjściowe 2 18 49" xfId="14448"/>
    <cellStyle name="Dane wyjściowe 2 18 49 2" xfId="14449"/>
    <cellStyle name="Dane wyjściowe 2 18 49 3" xfId="14450"/>
    <cellStyle name="Dane wyjściowe 2 18 5" xfId="14451"/>
    <cellStyle name="Dane wyjściowe 2 18 5 2" xfId="14452"/>
    <cellStyle name="Dane wyjściowe 2 18 5 3" xfId="14453"/>
    <cellStyle name="Dane wyjściowe 2 18 5 4" xfId="14454"/>
    <cellStyle name="Dane wyjściowe 2 18 50" xfId="14455"/>
    <cellStyle name="Dane wyjściowe 2 18 50 2" xfId="14456"/>
    <cellStyle name="Dane wyjściowe 2 18 50 3" xfId="14457"/>
    <cellStyle name="Dane wyjściowe 2 18 51" xfId="14458"/>
    <cellStyle name="Dane wyjściowe 2 18 51 2" xfId="14459"/>
    <cellStyle name="Dane wyjściowe 2 18 51 3" xfId="14460"/>
    <cellStyle name="Dane wyjściowe 2 18 52" xfId="14461"/>
    <cellStyle name="Dane wyjściowe 2 18 52 2" xfId="14462"/>
    <cellStyle name="Dane wyjściowe 2 18 52 3" xfId="14463"/>
    <cellStyle name="Dane wyjściowe 2 18 53" xfId="14464"/>
    <cellStyle name="Dane wyjściowe 2 18 53 2" xfId="14465"/>
    <cellStyle name="Dane wyjściowe 2 18 53 3" xfId="14466"/>
    <cellStyle name="Dane wyjściowe 2 18 54" xfId="14467"/>
    <cellStyle name="Dane wyjściowe 2 18 54 2" xfId="14468"/>
    <cellStyle name="Dane wyjściowe 2 18 54 3" xfId="14469"/>
    <cellStyle name="Dane wyjściowe 2 18 55" xfId="14470"/>
    <cellStyle name="Dane wyjściowe 2 18 55 2" xfId="14471"/>
    <cellStyle name="Dane wyjściowe 2 18 55 3" xfId="14472"/>
    <cellStyle name="Dane wyjściowe 2 18 56" xfId="14473"/>
    <cellStyle name="Dane wyjściowe 2 18 56 2" xfId="14474"/>
    <cellStyle name="Dane wyjściowe 2 18 56 3" xfId="14475"/>
    <cellStyle name="Dane wyjściowe 2 18 57" xfId="14476"/>
    <cellStyle name="Dane wyjściowe 2 18 58" xfId="14477"/>
    <cellStyle name="Dane wyjściowe 2 18 6" xfId="14478"/>
    <cellStyle name="Dane wyjściowe 2 18 6 2" xfId="14479"/>
    <cellStyle name="Dane wyjściowe 2 18 6 3" xfId="14480"/>
    <cellStyle name="Dane wyjściowe 2 18 6 4" xfId="14481"/>
    <cellStyle name="Dane wyjściowe 2 18 7" xfId="14482"/>
    <cellStyle name="Dane wyjściowe 2 18 7 2" xfId="14483"/>
    <cellStyle name="Dane wyjściowe 2 18 7 3" xfId="14484"/>
    <cellStyle name="Dane wyjściowe 2 18 7 4" xfId="14485"/>
    <cellStyle name="Dane wyjściowe 2 18 8" xfId="14486"/>
    <cellStyle name="Dane wyjściowe 2 18 8 2" xfId="14487"/>
    <cellStyle name="Dane wyjściowe 2 18 8 3" xfId="14488"/>
    <cellStyle name="Dane wyjściowe 2 18 8 4" xfId="14489"/>
    <cellStyle name="Dane wyjściowe 2 18 9" xfId="14490"/>
    <cellStyle name="Dane wyjściowe 2 18 9 2" xfId="14491"/>
    <cellStyle name="Dane wyjściowe 2 18 9 3" xfId="14492"/>
    <cellStyle name="Dane wyjściowe 2 18 9 4" xfId="14493"/>
    <cellStyle name="Dane wyjściowe 2 19" xfId="14494"/>
    <cellStyle name="Dane wyjściowe 2 19 10" xfId="14495"/>
    <cellStyle name="Dane wyjściowe 2 19 10 2" xfId="14496"/>
    <cellStyle name="Dane wyjściowe 2 19 10 3" xfId="14497"/>
    <cellStyle name="Dane wyjściowe 2 19 10 4" xfId="14498"/>
    <cellStyle name="Dane wyjściowe 2 19 11" xfId="14499"/>
    <cellStyle name="Dane wyjściowe 2 19 11 2" xfId="14500"/>
    <cellStyle name="Dane wyjściowe 2 19 11 3" xfId="14501"/>
    <cellStyle name="Dane wyjściowe 2 19 11 4" xfId="14502"/>
    <cellStyle name="Dane wyjściowe 2 19 12" xfId="14503"/>
    <cellStyle name="Dane wyjściowe 2 19 12 2" xfId="14504"/>
    <cellStyle name="Dane wyjściowe 2 19 12 3" xfId="14505"/>
    <cellStyle name="Dane wyjściowe 2 19 12 4" xfId="14506"/>
    <cellStyle name="Dane wyjściowe 2 19 13" xfId="14507"/>
    <cellStyle name="Dane wyjściowe 2 19 13 2" xfId="14508"/>
    <cellStyle name="Dane wyjściowe 2 19 13 3" xfId="14509"/>
    <cellStyle name="Dane wyjściowe 2 19 13 4" xfId="14510"/>
    <cellStyle name="Dane wyjściowe 2 19 14" xfId="14511"/>
    <cellStyle name="Dane wyjściowe 2 19 14 2" xfId="14512"/>
    <cellStyle name="Dane wyjściowe 2 19 14 3" xfId="14513"/>
    <cellStyle name="Dane wyjściowe 2 19 14 4" xfId="14514"/>
    <cellStyle name="Dane wyjściowe 2 19 15" xfId="14515"/>
    <cellStyle name="Dane wyjściowe 2 19 15 2" xfId="14516"/>
    <cellStyle name="Dane wyjściowe 2 19 15 3" xfId="14517"/>
    <cellStyle name="Dane wyjściowe 2 19 15 4" xfId="14518"/>
    <cellStyle name="Dane wyjściowe 2 19 16" xfId="14519"/>
    <cellStyle name="Dane wyjściowe 2 19 16 2" xfId="14520"/>
    <cellStyle name="Dane wyjściowe 2 19 16 3" xfId="14521"/>
    <cellStyle name="Dane wyjściowe 2 19 16 4" xfId="14522"/>
    <cellStyle name="Dane wyjściowe 2 19 17" xfId="14523"/>
    <cellStyle name="Dane wyjściowe 2 19 17 2" xfId="14524"/>
    <cellStyle name="Dane wyjściowe 2 19 17 3" xfId="14525"/>
    <cellStyle name="Dane wyjściowe 2 19 17 4" xfId="14526"/>
    <cellStyle name="Dane wyjściowe 2 19 18" xfId="14527"/>
    <cellStyle name="Dane wyjściowe 2 19 18 2" xfId="14528"/>
    <cellStyle name="Dane wyjściowe 2 19 18 3" xfId="14529"/>
    <cellStyle name="Dane wyjściowe 2 19 18 4" xfId="14530"/>
    <cellStyle name="Dane wyjściowe 2 19 19" xfId="14531"/>
    <cellStyle name="Dane wyjściowe 2 19 19 2" xfId="14532"/>
    <cellStyle name="Dane wyjściowe 2 19 19 3" xfId="14533"/>
    <cellStyle name="Dane wyjściowe 2 19 19 4" xfId="14534"/>
    <cellStyle name="Dane wyjściowe 2 19 2" xfId="14535"/>
    <cellStyle name="Dane wyjściowe 2 19 2 2" xfId="14536"/>
    <cellStyle name="Dane wyjściowe 2 19 2 3" xfId="14537"/>
    <cellStyle name="Dane wyjściowe 2 19 2 4" xfId="14538"/>
    <cellStyle name="Dane wyjściowe 2 19 20" xfId="14539"/>
    <cellStyle name="Dane wyjściowe 2 19 20 2" xfId="14540"/>
    <cellStyle name="Dane wyjściowe 2 19 20 3" xfId="14541"/>
    <cellStyle name="Dane wyjściowe 2 19 20 4" xfId="14542"/>
    <cellStyle name="Dane wyjściowe 2 19 21" xfId="14543"/>
    <cellStyle name="Dane wyjściowe 2 19 21 2" xfId="14544"/>
    <cellStyle name="Dane wyjściowe 2 19 21 3" xfId="14545"/>
    <cellStyle name="Dane wyjściowe 2 19 22" xfId="14546"/>
    <cellStyle name="Dane wyjściowe 2 19 22 2" xfId="14547"/>
    <cellStyle name="Dane wyjściowe 2 19 22 3" xfId="14548"/>
    <cellStyle name="Dane wyjściowe 2 19 23" xfId="14549"/>
    <cellStyle name="Dane wyjściowe 2 19 23 2" xfId="14550"/>
    <cellStyle name="Dane wyjściowe 2 19 23 3" xfId="14551"/>
    <cellStyle name="Dane wyjściowe 2 19 24" xfId="14552"/>
    <cellStyle name="Dane wyjściowe 2 19 24 2" xfId="14553"/>
    <cellStyle name="Dane wyjściowe 2 19 24 3" xfId="14554"/>
    <cellStyle name="Dane wyjściowe 2 19 25" xfId="14555"/>
    <cellStyle name="Dane wyjściowe 2 19 25 2" xfId="14556"/>
    <cellStyle name="Dane wyjściowe 2 19 25 3" xfId="14557"/>
    <cellStyle name="Dane wyjściowe 2 19 26" xfId="14558"/>
    <cellStyle name="Dane wyjściowe 2 19 26 2" xfId="14559"/>
    <cellStyle name="Dane wyjściowe 2 19 26 3" xfId="14560"/>
    <cellStyle name="Dane wyjściowe 2 19 27" xfId="14561"/>
    <cellStyle name="Dane wyjściowe 2 19 27 2" xfId="14562"/>
    <cellStyle name="Dane wyjściowe 2 19 27 3" xfId="14563"/>
    <cellStyle name="Dane wyjściowe 2 19 28" xfId="14564"/>
    <cellStyle name="Dane wyjściowe 2 19 28 2" xfId="14565"/>
    <cellStyle name="Dane wyjściowe 2 19 28 3" xfId="14566"/>
    <cellStyle name="Dane wyjściowe 2 19 29" xfId="14567"/>
    <cellStyle name="Dane wyjściowe 2 19 29 2" xfId="14568"/>
    <cellStyle name="Dane wyjściowe 2 19 29 3" xfId="14569"/>
    <cellStyle name="Dane wyjściowe 2 19 3" xfId="14570"/>
    <cellStyle name="Dane wyjściowe 2 19 3 2" xfId="14571"/>
    <cellStyle name="Dane wyjściowe 2 19 3 3" xfId="14572"/>
    <cellStyle name="Dane wyjściowe 2 19 3 4" xfId="14573"/>
    <cellStyle name="Dane wyjściowe 2 19 30" xfId="14574"/>
    <cellStyle name="Dane wyjściowe 2 19 30 2" xfId="14575"/>
    <cellStyle name="Dane wyjściowe 2 19 30 3" xfId="14576"/>
    <cellStyle name="Dane wyjściowe 2 19 31" xfId="14577"/>
    <cellStyle name="Dane wyjściowe 2 19 31 2" xfId="14578"/>
    <cellStyle name="Dane wyjściowe 2 19 31 3" xfId="14579"/>
    <cellStyle name="Dane wyjściowe 2 19 32" xfId="14580"/>
    <cellStyle name="Dane wyjściowe 2 19 32 2" xfId="14581"/>
    <cellStyle name="Dane wyjściowe 2 19 32 3" xfId="14582"/>
    <cellStyle name="Dane wyjściowe 2 19 33" xfId="14583"/>
    <cellStyle name="Dane wyjściowe 2 19 33 2" xfId="14584"/>
    <cellStyle name="Dane wyjściowe 2 19 33 3" xfId="14585"/>
    <cellStyle name="Dane wyjściowe 2 19 34" xfId="14586"/>
    <cellStyle name="Dane wyjściowe 2 19 34 2" xfId="14587"/>
    <cellStyle name="Dane wyjściowe 2 19 34 3" xfId="14588"/>
    <cellStyle name="Dane wyjściowe 2 19 35" xfId="14589"/>
    <cellStyle name="Dane wyjściowe 2 19 35 2" xfId="14590"/>
    <cellStyle name="Dane wyjściowe 2 19 35 3" xfId="14591"/>
    <cellStyle name="Dane wyjściowe 2 19 36" xfId="14592"/>
    <cellStyle name="Dane wyjściowe 2 19 36 2" xfId="14593"/>
    <cellStyle name="Dane wyjściowe 2 19 36 3" xfId="14594"/>
    <cellStyle name="Dane wyjściowe 2 19 37" xfId="14595"/>
    <cellStyle name="Dane wyjściowe 2 19 37 2" xfId="14596"/>
    <cellStyle name="Dane wyjściowe 2 19 37 3" xfId="14597"/>
    <cellStyle name="Dane wyjściowe 2 19 38" xfId="14598"/>
    <cellStyle name="Dane wyjściowe 2 19 38 2" xfId="14599"/>
    <cellStyle name="Dane wyjściowe 2 19 38 3" xfId="14600"/>
    <cellStyle name="Dane wyjściowe 2 19 39" xfId="14601"/>
    <cellStyle name="Dane wyjściowe 2 19 39 2" xfId="14602"/>
    <cellStyle name="Dane wyjściowe 2 19 39 3" xfId="14603"/>
    <cellStyle name="Dane wyjściowe 2 19 4" xfId="14604"/>
    <cellStyle name="Dane wyjściowe 2 19 4 2" xfId="14605"/>
    <cellStyle name="Dane wyjściowe 2 19 4 3" xfId="14606"/>
    <cellStyle name="Dane wyjściowe 2 19 4 4" xfId="14607"/>
    <cellStyle name="Dane wyjściowe 2 19 40" xfId="14608"/>
    <cellStyle name="Dane wyjściowe 2 19 40 2" xfId="14609"/>
    <cellStyle name="Dane wyjściowe 2 19 40 3" xfId="14610"/>
    <cellStyle name="Dane wyjściowe 2 19 41" xfId="14611"/>
    <cellStyle name="Dane wyjściowe 2 19 41 2" xfId="14612"/>
    <cellStyle name="Dane wyjściowe 2 19 41 3" xfId="14613"/>
    <cellStyle name="Dane wyjściowe 2 19 42" xfId="14614"/>
    <cellStyle name="Dane wyjściowe 2 19 42 2" xfId="14615"/>
    <cellStyle name="Dane wyjściowe 2 19 42 3" xfId="14616"/>
    <cellStyle name="Dane wyjściowe 2 19 43" xfId="14617"/>
    <cellStyle name="Dane wyjściowe 2 19 43 2" xfId="14618"/>
    <cellStyle name="Dane wyjściowe 2 19 43 3" xfId="14619"/>
    <cellStyle name="Dane wyjściowe 2 19 44" xfId="14620"/>
    <cellStyle name="Dane wyjściowe 2 19 44 2" xfId="14621"/>
    <cellStyle name="Dane wyjściowe 2 19 44 3" xfId="14622"/>
    <cellStyle name="Dane wyjściowe 2 19 45" xfId="14623"/>
    <cellStyle name="Dane wyjściowe 2 19 45 2" xfId="14624"/>
    <cellStyle name="Dane wyjściowe 2 19 45 3" xfId="14625"/>
    <cellStyle name="Dane wyjściowe 2 19 46" xfId="14626"/>
    <cellStyle name="Dane wyjściowe 2 19 46 2" xfId="14627"/>
    <cellStyle name="Dane wyjściowe 2 19 46 3" xfId="14628"/>
    <cellStyle name="Dane wyjściowe 2 19 47" xfId="14629"/>
    <cellStyle name="Dane wyjściowe 2 19 47 2" xfId="14630"/>
    <cellStyle name="Dane wyjściowe 2 19 47 3" xfId="14631"/>
    <cellStyle name="Dane wyjściowe 2 19 48" xfId="14632"/>
    <cellStyle name="Dane wyjściowe 2 19 48 2" xfId="14633"/>
    <cellStyle name="Dane wyjściowe 2 19 48 3" xfId="14634"/>
    <cellStyle name="Dane wyjściowe 2 19 49" xfId="14635"/>
    <cellStyle name="Dane wyjściowe 2 19 49 2" xfId="14636"/>
    <cellStyle name="Dane wyjściowe 2 19 49 3" xfId="14637"/>
    <cellStyle name="Dane wyjściowe 2 19 5" xfId="14638"/>
    <cellStyle name="Dane wyjściowe 2 19 5 2" xfId="14639"/>
    <cellStyle name="Dane wyjściowe 2 19 5 3" xfId="14640"/>
    <cellStyle name="Dane wyjściowe 2 19 5 4" xfId="14641"/>
    <cellStyle name="Dane wyjściowe 2 19 50" xfId="14642"/>
    <cellStyle name="Dane wyjściowe 2 19 50 2" xfId="14643"/>
    <cellStyle name="Dane wyjściowe 2 19 50 3" xfId="14644"/>
    <cellStyle name="Dane wyjściowe 2 19 51" xfId="14645"/>
    <cellStyle name="Dane wyjściowe 2 19 51 2" xfId="14646"/>
    <cellStyle name="Dane wyjściowe 2 19 51 3" xfId="14647"/>
    <cellStyle name="Dane wyjściowe 2 19 52" xfId="14648"/>
    <cellStyle name="Dane wyjściowe 2 19 52 2" xfId="14649"/>
    <cellStyle name="Dane wyjściowe 2 19 52 3" xfId="14650"/>
    <cellStyle name="Dane wyjściowe 2 19 53" xfId="14651"/>
    <cellStyle name="Dane wyjściowe 2 19 53 2" xfId="14652"/>
    <cellStyle name="Dane wyjściowe 2 19 53 3" xfId="14653"/>
    <cellStyle name="Dane wyjściowe 2 19 54" xfId="14654"/>
    <cellStyle name="Dane wyjściowe 2 19 54 2" xfId="14655"/>
    <cellStyle name="Dane wyjściowe 2 19 54 3" xfId="14656"/>
    <cellStyle name="Dane wyjściowe 2 19 55" xfId="14657"/>
    <cellStyle name="Dane wyjściowe 2 19 55 2" xfId="14658"/>
    <cellStyle name="Dane wyjściowe 2 19 55 3" xfId="14659"/>
    <cellStyle name="Dane wyjściowe 2 19 56" xfId="14660"/>
    <cellStyle name="Dane wyjściowe 2 19 56 2" xfId="14661"/>
    <cellStyle name="Dane wyjściowe 2 19 56 3" xfId="14662"/>
    <cellStyle name="Dane wyjściowe 2 19 57" xfId="14663"/>
    <cellStyle name="Dane wyjściowe 2 19 58" xfId="14664"/>
    <cellStyle name="Dane wyjściowe 2 19 6" xfId="14665"/>
    <cellStyle name="Dane wyjściowe 2 19 6 2" xfId="14666"/>
    <cellStyle name="Dane wyjściowe 2 19 6 3" xfId="14667"/>
    <cellStyle name="Dane wyjściowe 2 19 6 4" xfId="14668"/>
    <cellStyle name="Dane wyjściowe 2 19 7" xfId="14669"/>
    <cellStyle name="Dane wyjściowe 2 19 7 2" xfId="14670"/>
    <cellStyle name="Dane wyjściowe 2 19 7 3" xfId="14671"/>
    <cellStyle name="Dane wyjściowe 2 19 7 4" xfId="14672"/>
    <cellStyle name="Dane wyjściowe 2 19 8" xfId="14673"/>
    <cellStyle name="Dane wyjściowe 2 19 8 2" xfId="14674"/>
    <cellStyle name="Dane wyjściowe 2 19 8 3" xfId="14675"/>
    <cellStyle name="Dane wyjściowe 2 19 8 4" xfId="14676"/>
    <cellStyle name="Dane wyjściowe 2 19 9" xfId="14677"/>
    <cellStyle name="Dane wyjściowe 2 19 9 2" xfId="14678"/>
    <cellStyle name="Dane wyjściowe 2 19 9 3" xfId="14679"/>
    <cellStyle name="Dane wyjściowe 2 19 9 4" xfId="14680"/>
    <cellStyle name="Dane wyjściowe 2 2" xfId="14681"/>
    <cellStyle name="Dane wyjściowe 2 2 10" xfId="14682"/>
    <cellStyle name="Dane wyjściowe 2 2 10 2" xfId="14683"/>
    <cellStyle name="Dane wyjściowe 2 2 10 3" xfId="14684"/>
    <cellStyle name="Dane wyjściowe 2 2 10 4" xfId="14685"/>
    <cellStyle name="Dane wyjściowe 2 2 11" xfId="14686"/>
    <cellStyle name="Dane wyjściowe 2 2 11 2" xfId="14687"/>
    <cellStyle name="Dane wyjściowe 2 2 11 3" xfId="14688"/>
    <cellStyle name="Dane wyjściowe 2 2 11 4" xfId="14689"/>
    <cellStyle name="Dane wyjściowe 2 2 12" xfId="14690"/>
    <cellStyle name="Dane wyjściowe 2 2 12 2" xfId="14691"/>
    <cellStyle name="Dane wyjściowe 2 2 12 3" xfId="14692"/>
    <cellStyle name="Dane wyjściowe 2 2 12 4" xfId="14693"/>
    <cellStyle name="Dane wyjściowe 2 2 13" xfId="14694"/>
    <cellStyle name="Dane wyjściowe 2 2 13 2" xfId="14695"/>
    <cellStyle name="Dane wyjściowe 2 2 13 3" xfId="14696"/>
    <cellStyle name="Dane wyjściowe 2 2 13 4" xfId="14697"/>
    <cellStyle name="Dane wyjściowe 2 2 14" xfId="14698"/>
    <cellStyle name="Dane wyjściowe 2 2 14 2" xfId="14699"/>
    <cellStyle name="Dane wyjściowe 2 2 14 3" xfId="14700"/>
    <cellStyle name="Dane wyjściowe 2 2 14 4" xfId="14701"/>
    <cellStyle name="Dane wyjściowe 2 2 15" xfId="14702"/>
    <cellStyle name="Dane wyjściowe 2 2 15 2" xfId="14703"/>
    <cellStyle name="Dane wyjściowe 2 2 15 3" xfId="14704"/>
    <cellStyle name="Dane wyjściowe 2 2 15 4" xfId="14705"/>
    <cellStyle name="Dane wyjściowe 2 2 16" xfId="14706"/>
    <cellStyle name="Dane wyjściowe 2 2 16 2" xfId="14707"/>
    <cellStyle name="Dane wyjściowe 2 2 16 3" xfId="14708"/>
    <cellStyle name="Dane wyjściowe 2 2 16 4" xfId="14709"/>
    <cellStyle name="Dane wyjściowe 2 2 17" xfId="14710"/>
    <cellStyle name="Dane wyjściowe 2 2 17 2" xfId="14711"/>
    <cellStyle name="Dane wyjściowe 2 2 17 3" xfId="14712"/>
    <cellStyle name="Dane wyjściowe 2 2 17 4" xfId="14713"/>
    <cellStyle name="Dane wyjściowe 2 2 18" xfId="14714"/>
    <cellStyle name="Dane wyjściowe 2 2 18 2" xfId="14715"/>
    <cellStyle name="Dane wyjściowe 2 2 18 3" xfId="14716"/>
    <cellStyle name="Dane wyjściowe 2 2 18 4" xfId="14717"/>
    <cellStyle name="Dane wyjściowe 2 2 19" xfId="14718"/>
    <cellStyle name="Dane wyjściowe 2 2 19 2" xfId="14719"/>
    <cellStyle name="Dane wyjściowe 2 2 19 3" xfId="14720"/>
    <cellStyle name="Dane wyjściowe 2 2 19 4" xfId="14721"/>
    <cellStyle name="Dane wyjściowe 2 2 2" xfId="14722"/>
    <cellStyle name="Dane wyjściowe 2 2 2 2" xfId="14723"/>
    <cellStyle name="Dane wyjściowe 2 2 2 3" xfId="14724"/>
    <cellStyle name="Dane wyjściowe 2 2 2 4" xfId="14725"/>
    <cellStyle name="Dane wyjściowe 2 2 20" xfId="14726"/>
    <cellStyle name="Dane wyjściowe 2 2 20 2" xfId="14727"/>
    <cellStyle name="Dane wyjściowe 2 2 20 3" xfId="14728"/>
    <cellStyle name="Dane wyjściowe 2 2 20 4" xfId="14729"/>
    <cellStyle name="Dane wyjściowe 2 2 21" xfId="14730"/>
    <cellStyle name="Dane wyjściowe 2 2 21 2" xfId="14731"/>
    <cellStyle name="Dane wyjściowe 2 2 21 3" xfId="14732"/>
    <cellStyle name="Dane wyjściowe 2 2 22" xfId="14733"/>
    <cellStyle name="Dane wyjściowe 2 2 22 2" xfId="14734"/>
    <cellStyle name="Dane wyjściowe 2 2 22 3" xfId="14735"/>
    <cellStyle name="Dane wyjściowe 2 2 23" xfId="14736"/>
    <cellStyle name="Dane wyjściowe 2 2 23 2" xfId="14737"/>
    <cellStyle name="Dane wyjściowe 2 2 23 3" xfId="14738"/>
    <cellStyle name="Dane wyjściowe 2 2 24" xfId="14739"/>
    <cellStyle name="Dane wyjściowe 2 2 24 2" xfId="14740"/>
    <cellStyle name="Dane wyjściowe 2 2 24 3" xfId="14741"/>
    <cellStyle name="Dane wyjściowe 2 2 25" xfId="14742"/>
    <cellStyle name="Dane wyjściowe 2 2 25 2" xfId="14743"/>
    <cellStyle name="Dane wyjściowe 2 2 25 3" xfId="14744"/>
    <cellStyle name="Dane wyjściowe 2 2 26" xfId="14745"/>
    <cellStyle name="Dane wyjściowe 2 2 26 2" xfId="14746"/>
    <cellStyle name="Dane wyjściowe 2 2 26 3" xfId="14747"/>
    <cellStyle name="Dane wyjściowe 2 2 27" xfId="14748"/>
    <cellStyle name="Dane wyjściowe 2 2 27 2" xfId="14749"/>
    <cellStyle name="Dane wyjściowe 2 2 27 3" xfId="14750"/>
    <cellStyle name="Dane wyjściowe 2 2 28" xfId="14751"/>
    <cellStyle name="Dane wyjściowe 2 2 28 2" xfId="14752"/>
    <cellStyle name="Dane wyjściowe 2 2 28 3" xfId="14753"/>
    <cellStyle name="Dane wyjściowe 2 2 29" xfId="14754"/>
    <cellStyle name="Dane wyjściowe 2 2 29 2" xfId="14755"/>
    <cellStyle name="Dane wyjściowe 2 2 29 3" xfId="14756"/>
    <cellStyle name="Dane wyjściowe 2 2 3" xfId="14757"/>
    <cellStyle name="Dane wyjściowe 2 2 3 2" xfId="14758"/>
    <cellStyle name="Dane wyjściowe 2 2 3 3" xfId="14759"/>
    <cellStyle name="Dane wyjściowe 2 2 3 4" xfId="14760"/>
    <cellStyle name="Dane wyjściowe 2 2 30" xfId="14761"/>
    <cellStyle name="Dane wyjściowe 2 2 30 2" xfId="14762"/>
    <cellStyle name="Dane wyjściowe 2 2 30 3" xfId="14763"/>
    <cellStyle name="Dane wyjściowe 2 2 31" xfId="14764"/>
    <cellStyle name="Dane wyjściowe 2 2 31 2" xfId="14765"/>
    <cellStyle name="Dane wyjściowe 2 2 31 3" xfId="14766"/>
    <cellStyle name="Dane wyjściowe 2 2 32" xfId="14767"/>
    <cellStyle name="Dane wyjściowe 2 2 32 2" xfId="14768"/>
    <cellStyle name="Dane wyjściowe 2 2 32 3" xfId="14769"/>
    <cellStyle name="Dane wyjściowe 2 2 33" xfId="14770"/>
    <cellStyle name="Dane wyjściowe 2 2 33 2" xfId="14771"/>
    <cellStyle name="Dane wyjściowe 2 2 33 3" xfId="14772"/>
    <cellStyle name="Dane wyjściowe 2 2 34" xfId="14773"/>
    <cellStyle name="Dane wyjściowe 2 2 34 2" xfId="14774"/>
    <cellStyle name="Dane wyjściowe 2 2 34 3" xfId="14775"/>
    <cellStyle name="Dane wyjściowe 2 2 35" xfId="14776"/>
    <cellStyle name="Dane wyjściowe 2 2 35 2" xfId="14777"/>
    <cellStyle name="Dane wyjściowe 2 2 35 3" xfId="14778"/>
    <cellStyle name="Dane wyjściowe 2 2 36" xfId="14779"/>
    <cellStyle name="Dane wyjściowe 2 2 36 2" xfId="14780"/>
    <cellStyle name="Dane wyjściowe 2 2 36 3" xfId="14781"/>
    <cellStyle name="Dane wyjściowe 2 2 37" xfId="14782"/>
    <cellStyle name="Dane wyjściowe 2 2 37 2" xfId="14783"/>
    <cellStyle name="Dane wyjściowe 2 2 37 3" xfId="14784"/>
    <cellStyle name="Dane wyjściowe 2 2 38" xfId="14785"/>
    <cellStyle name="Dane wyjściowe 2 2 38 2" xfId="14786"/>
    <cellStyle name="Dane wyjściowe 2 2 38 3" xfId="14787"/>
    <cellStyle name="Dane wyjściowe 2 2 39" xfId="14788"/>
    <cellStyle name="Dane wyjściowe 2 2 39 2" xfId="14789"/>
    <cellStyle name="Dane wyjściowe 2 2 39 3" xfId="14790"/>
    <cellStyle name="Dane wyjściowe 2 2 4" xfId="14791"/>
    <cellStyle name="Dane wyjściowe 2 2 4 2" xfId="14792"/>
    <cellStyle name="Dane wyjściowe 2 2 4 3" xfId="14793"/>
    <cellStyle name="Dane wyjściowe 2 2 4 4" xfId="14794"/>
    <cellStyle name="Dane wyjściowe 2 2 40" xfId="14795"/>
    <cellStyle name="Dane wyjściowe 2 2 40 2" xfId="14796"/>
    <cellStyle name="Dane wyjściowe 2 2 40 3" xfId="14797"/>
    <cellStyle name="Dane wyjściowe 2 2 41" xfId="14798"/>
    <cellStyle name="Dane wyjściowe 2 2 41 2" xfId="14799"/>
    <cellStyle name="Dane wyjściowe 2 2 41 3" xfId="14800"/>
    <cellStyle name="Dane wyjściowe 2 2 42" xfId="14801"/>
    <cellStyle name="Dane wyjściowe 2 2 42 2" xfId="14802"/>
    <cellStyle name="Dane wyjściowe 2 2 42 3" xfId="14803"/>
    <cellStyle name="Dane wyjściowe 2 2 43" xfId="14804"/>
    <cellStyle name="Dane wyjściowe 2 2 43 2" xfId="14805"/>
    <cellStyle name="Dane wyjściowe 2 2 43 3" xfId="14806"/>
    <cellStyle name="Dane wyjściowe 2 2 44" xfId="14807"/>
    <cellStyle name="Dane wyjściowe 2 2 44 2" xfId="14808"/>
    <cellStyle name="Dane wyjściowe 2 2 44 3" xfId="14809"/>
    <cellStyle name="Dane wyjściowe 2 2 45" xfId="14810"/>
    <cellStyle name="Dane wyjściowe 2 2 45 2" xfId="14811"/>
    <cellStyle name="Dane wyjściowe 2 2 45 3" xfId="14812"/>
    <cellStyle name="Dane wyjściowe 2 2 46" xfId="14813"/>
    <cellStyle name="Dane wyjściowe 2 2 46 2" xfId="14814"/>
    <cellStyle name="Dane wyjściowe 2 2 46 3" xfId="14815"/>
    <cellStyle name="Dane wyjściowe 2 2 47" xfId="14816"/>
    <cellStyle name="Dane wyjściowe 2 2 47 2" xfId="14817"/>
    <cellStyle name="Dane wyjściowe 2 2 47 3" xfId="14818"/>
    <cellStyle name="Dane wyjściowe 2 2 48" xfId="14819"/>
    <cellStyle name="Dane wyjściowe 2 2 48 2" xfId="14820"/>
    <cellStyle name="Dane wyjściowe 2 2 48 3" xfId="14821"/>
    <cellStyle name="Dane wyjściowe 2 2 49" xfId="14822"/>
    <cellStyle name="Dane wyjściowe 2 2 49 2" xfId="14823"/>
    <cellStyle name="Dane wyjściowe 2 2 49 3" xfId="14824"/>
    <cellStyle name="Dane wyjściowe 2 2 5" xfId="14825"/>
    <cellStyle name="Dane wyjściowe 2 2 5 2" xfId="14826"/>
    <cellStyle name="Dane wyjściowe 2 2 5 3" xfId="14827"/>
    <cellStyle name="Dane wyjściowe 2 2 5 4" xfId="14828"/>
    <cellStyle name="Dane wyjściowe 2 2 50" xfId="14829"/>
    <cellStyle name="Dane wyjściowe 2 2 50 2" xfId="14830"/>
    <cellStyle name="Dane wyjściowe 2 2 50 3" xfId="14831"/>
    <cellStyle name="Dane wyjściowe 2 2 51" xfId="14832"/>
    <cellStyle name="Dane wyjściowe 2 2 51 2" xfId="14833"/>
    <cellStyle name="Dane wyjściowe 2 2 51 3" xfId="14834"/>
    <cellStyle name="Dane wyjściowe 2 2 52" xfId="14835"/>
    <cellStyle name="Dane wyjściowe 2 2 52 2" xfId="14836"/>
    <cellStyle name="Dane wyjściowe 2 2 52 3" xfId="14837"/>
    <cellStyle name="Dane wyjściowe 2 2 53" xfId="14838"/>
    <cellStyle name="Dane wyjściowe 2 2 53 2" xfId="14839"/>
    <cellStyle name="Dane wyjściowe 2 2 53 3" xfId="14840"/>
    <cellStyle name="Dane wyjściowe 2 2 54" xfId="14841"/>
    <cellStyle name="Dane wyjściowe 2 2 54 2" xfId="14842"/>
    <cellStyle name="Dane wyjściowe 2 2 54 3" xfId="14843"/>
    <cellStyle name="Dane wyjściowe 2 2 55" xfId="14844"/>
    <cellStyle name="Dane wyjściowe 2 2 55 2" xfId="14845"/>
    <cellStyle name="Dane wyjściowe 2 2 55 3" xfId="14846"/>
    <cellStyle name="Dane wyjściowe 2 2 56" xfId="14847"/>
    <cellStyle name="Dane wyjściowe 2 2 56 2" xfId="14848"/>
    <cellStyle name="Dane wyjściowe 2 2 56 3" xfId="14849"/>
    <cellStyle name="Dane wyjściowe 2 2 57" xfId="14850"/>
    <cellStyle name="Dane wyjściowe 2 2 58" xfId="14851"/>
    <cellStyle name="Dane wyjściowe 2 2 59" xfId="14852"/>
    <cellStyle name="Dane wyjściowe 2 2 6" xfId="14853"/>
    <cellStyle name="Dane wyjściowe 2 2 6 2" xfId="14854"/>
    <cellStyle name="Dane wyjściowe 2 2 6 3" xfId="14855"/>
    <cellStyle name="Dane wyjściowe 2 2 6 4" xfId="14856"/>
    <cellStyle name="Dane wyjściowe 2 2 7" xfId="14857"/>
    <cellStyle name="Dane wyjściowe 2 2 7 2" xfId="14858"/>
    <cellStyle name="Dane wyjściowe 2 2 7 3" xfId="14859"/>
    <cellStyle name="Dane wyjściowe 2 2 7 4" xfId="14860"/>
    <cellStyle name="Dane wyjściowe 2 2 8" xfId="14861"/>
    <cellStyle name="Dane wyjściowe 2 2 8 2" xfId="14862"/>
    <cellStyle name="Dane wyjściowe 2 2 8 3" xfId="14863"/>
    <cellStyle name="Dane wyjściowe 2 2 8 4" xfId="14864"/>
    <cellStyle name="Dane wyjściowe 2 2 9" xfId="14865"/>
    <cellStyle name="Dane wyjściowe 2 2 9 2" xfId="14866"/>
    <cellStyle name="Dane wyjściowe 2 2 9 3" xfId="14867"/>
    <cellStyle name="Dane wyjściowe 2 2 9 4" xfId="14868"/>
    <cellStyle name="Dane wyjściowe 2 20" xfId="14869"/>
    <cellStyle name="Dane wyjściowe 2 20 10" xfId="14870"/>
    <cellStyle name="Dane wyjściowe 2 20 10 2" xfId="14871"/>
    <cellStyle name="Dane wyjściowe 2 20 10 3" xfId="14872"/>
    <cellStyle name="Dane wyjściowe 2 20 10 4" xfId="14873"/>
    <cellStyle name="Dane wyjściowe 2 20 11" xfId="14874"/>
    <cellStyle name="Dane wyjściowe 2 20 11 2" xfId="14875"/>
    <cellStyle name="Dane wyjściowe 2 20 11 3" xfId="14876"/>
    <cellStyle name="Dane wyjściowe 2 20 11 4" xfId="14877"/>
    <cellStyle name="Dane wyjściowe 2 20 12" xfId="14878"/>
    <cellStyle name="Dane wyjściowe 2 20 12 2" xfId="14879"/>
    <cellStyle name="Dane wyjściowe 2 20 12 3" xfId="14880"/>
    <cellStyle name="Dane wyjściowe 2 20 12 4" xfId="14881"/>
    <cellStyle name="Dane wyjściowe 2 20 13" xfId="14882"/>
    <cellStyle name="Dane wyjściowe 2 20 13 2" xfId="14883"/>
    <cellStyle name="Dane wyjściowe 2 20 13 3" xfId="14884"/>
    <cellStyle name="Dane wyjściowe 2 20 13 4" xfId="14885"/>
    <cellStyle name="Dane wyjściowe 2 20 14" xfId="14886"/>
    <cellStyle name="Dane wyjściowe 2 20 14 2" xfId="14887"/>
    <cellStyle name="Dane wyjściowe 2 20 14 3" xfId="14888"/>
    <cellStyle name="Dane wyjściowe 2 20 14 4" xfId="14889"/>
    <cellStyle name="Dane wyjściowe 2 20 15" xfId="14890"/>
    <cellStyle name="Dane wyjściowe 2 20 15 2" xfId="14891"/>
    <cellStyle name="Dane wyjściowe 2 20 15 3" xfId="14892"/>
    <cellStyle name="Dane wyjściowe 2 20 15 4" xfId="14893"/>
    <cellStyle name="Dane wyjściowe 2 20 16" xfId="14894"/>
    <cellStyle name="Dane wyjściowe 2 20 16 2" xfId="14895"/>
    <cellStyle name="Dane wyjściowe 2 20 16 3" xfId="14896"/>
    <cellStyle name="Dane wyjściowe 2 20 16 4" xfId="14897"/>
    <cellStyle name="Dane wyjściowe 2 20 17" xfId="14898"/>
    <cellStyle name="Dane wyjściowe 2 20 17 2" xfId="14899"/>
    <cellStyle name="Dane wyjściowe 2 20 17 3" xfId="14900"/>
    <cellStyle name="Dane wyjściowe 2 20 17 4" xfId="14901"/>
    <cellStyle name="Dane wyjściowe 2 20 18" xfId="14902"/>
    <cellStyle name="Dane wyjściowe 2 20 18 2" xfId="14903"/>
    <cellStyle name="Dane wyjściowe 2 20 18 3" xfId="14904"/>
    <cellStyle name="Dane wyjściowe 2 20 18 4" xfId="14905"/>
    <cellStyle name="Dane wyjściowe 2 20 19" xfId="14906"/>
    <cellStyle name="Dane wyjściowe 2 20 19 2" xfId="14907"/>
    <cellStyle name="Dane wyjściowe 2 20 19 3" xfId="14908"/>
    <cellStyle name="Dane wyjściowe 2 20 19 4" xfId="14909"/>
    <cellStyle name="Dane wyjściowe 2 20 2" xfId="14910"/>
    <cellStyle name="Dane wyjściowe 2 20 2 2" xfId="14911"/>
    <cellStyle name="Dane wyjściowe 2 20 2 3" xfId="14912"/>
    <cellStyle name="Dane wyjściowe 2 20 2 4" xfId="14913"/>
    <cellStyle name="Dane wyjściowe 2 20 20" xfId="14914"/>
    <cellStyle name="Dane wyjściowe 2 20 20 2" xfId="14915"/>
    <cellStyle name="Dane wyjściowe 2 20 20 3" xfId="14916"/>
    <cellStyle name="Dane wyjściowe 2 20 20 4" xfId="14917"/>
    <cellStyle name="Dane wyjściowe 2 20 21" xfId="14918"/>
    <cellStyle name="Dane wyjściowe 2 20 21 2" xfId="14919"/>
    <cellStyle name="Dane wyjściowe 2 20 21 3" xfId="14920"/>
    <cellStyle name="Dane wyjściowe 2 20 22" xfId="14921"/>
    <cellStyle name="Dane wyjściowe 2 20 22 2" xfId="14922"/>
    <cellStyle name="Dane wyjściowe 2 20 22 3" xfId="14923"/>
    <cellStyle name="Dane wyjściowe 2 20 23" xfId="14924"/>
    <cellStyle name="Dane wyjściowe 2 20 23 2" xfId="14925"/>
    <cellStyle name="Dane wyjściowe 2 20 23 3" xfId="14926"/>
    <cellStyle name="Dane wyjściowe 2 20 24" xfId="14927"/>
    <cellStyle name="Dane wyjściowe 2 20 24 2" xfId="14928"/>
    <cellStyle name="Dane wyjściowe 2 20 24 3" xfId="14929"/>
    <cellStyle name="Dane wyjściowe 2 20 25" xfId="14930"/>
    <cellStyle name="Dane wyjściowe 2 20 25 2" xfId="14931"/>
    <cellStyle name="Dane wyjściowe 2 20 25 3" xfId="14932"/>
    <cellStyle name="Dane wyjściowe 2 20 26" xfId="14933"/>
    <cellStyle name="Dane wyjściowe 2 20 26 2" xfId="14934"/>
    <cellStyle name="Dane wyjściowe 2 20 26 3" xfId="14935"/>
    <cellStyle name="Dane wyjściowe 2 20 27" xfId="14936"/>
    <cellStyle name="Dane wyjściowe 2 20 27 2" xfId="14937"/>
    <cellStyle name="Dane wyjściowe 2 20 27 3" xfId="14938"/>
    <cellStyle name="Dane wyjściowe 2 20 28" xfId="14939"/>
    <cellStyle name="Dane wyjściowe 2 20 28 2" xfId="14940"/>
    <cellStyle name="Dane wyjściowe 2 20 28 3" xfId="14941"/>
    <cellStyle name="Dane wyjściowe 2 20 29" xfId="14942"/>
    <cellStyle name="Dane wyjściowe 2 20 29 2" xfId="14943"/>
    <cellStyle name="Dane wyjściowe 2 20 29 3" xfId="14944"/>
    <cellStyle name="Dane wyjściowe 2 20 3" xfId="14945"/>
    <cellStyle name="Dane wyjściowe 2 20 3 2" xfId="14946"/>
    <cellStyle name="Dane wyjściowe 2 20 3 3" xfId="14947"/>
    <cellStyle name="Dane wyjściowe 2 20 3 4" xfId="14948"/>
    <cellStyle name="Dane wyjściowe 2 20 30" xfId="14949"/>
    <cellStyle name="Dane wyjściowe 2 20 30 2" xfId="14950"/>
    <cellStyle name="Dane wyjściowe 2 20 30 3" xfId="14951"/>
    <cellStyle name="Dane wyjściowe 2 20 31" xfId="14952"/>
    <cellStyle name="Dane wyjściowe 2 20 31 2" xfId="14953"/>
    <cellStyle name="Dane wyjściowe 2 20 31 3" xfId="14954"/>
    <cellStyle name="Dane wyjściowe 2 20 32" xfId="14955"/>
    <cellStyle name="Dane wyjściowe 2 20 32 2" xfId="14956"/>
    <cellStyle name="Dane wyjściowe 2 20 32 3" xfId="14957"/>
    <cellStyle name="Dane wyjściowe 2 20 33" xfId="14958"/>
    <cellStyle name="Dane wyjściowe 2 20 33 2" xfId="14959"/>
    <cellStyle name="Dane wyjściowe 2 20 33 3" xfId="14960"/>
    <cellStyle name="Dane wyjściowe 2 20 34" xfId="14961"/>
    <cellStyle name="Dane wyjściowe 2 20 34 2" xfId="14962"/>
    <cellStyle name="Dane wyjściowe 2 20 34 3" xfId="14963"/>
    <cellStyle name="Dane wyjściowe 2 20 35" xfId="14964"/>
    <cellStyle name="Dane wyjściowe 2 20 35 2" xfId="14965"/>
    <cellStyle name="Dane wyjściowe 2 20 35 3" xfId="14966"/>
    <cellStyle name="Dane wyjściowe 2 20 36" xfId="14967"/>
    <cellStyle name="Dane wyjściowe 2 20 36 2" xfId="14968"/>
    <cellStyle name="Dane wyjściowe 2 20 36 3" xfId="14969"/>
    <cellStyle name="Dane wyjściowe 2 20 37" xfId="14970"/>
    <cellStyle name="Dane wyjściowe 2 20 37 2" xfId="14971"/>
    <cellStyle name="Dane wyjściowe 2 20 37 3" xfId="14972"/>
    <cellStyle name="Dane wyjściowe 2 20 38" xfId="14973"/>
    <cellStyle name="Dane wyjściowe 2 20 38 2" xfId="14974"/>
    <cellStyle name="Dane wyjściowe 2 20 38 3" xfId="14975"/>
    <cellStyle name="Dane wyjściowe 2 20 39" xfId="14976"/>
    <cellStyle name="Dane wyjściowe 2 20 39 2" xfId="14977"/>
    <cellStyle name="Dane wyjściowe 2 20 39 3" xfId="14978"/>
    <cellStyle name="Dane wyjściowe 2 20 4" xfId="14979"/>
    <cellStyle name="Dane wyjściowe 2 20 4 2" xfId="14980"/>
    <cellStyle name="Dane wyjściowe 2 20 4 3" xfId="14981"/>
    <cellStyle name="Dane wyjściowe 2 20 4 4" xfId="14982"/>
    <cellStyle name="Dane wyjściowe 2 20 40" xfId="14983"/>
    <cellStyle name="Dane wyjściowe 2 20 40 2" xfId="14984"/>
    <cellStyle name="Dane wyjściowe 2 20 40 3" xfId="14985"/>
    <cellStyle name="Dane wyjściowe 2 20 41" xfId="14986"/>
    <cellStyle name="Dane wyjściowe 2 20 41 2" xfId="14987"/>
    <cellStyle name="Dane wyjściowe 2 20 41 3" xfId="14988"/>
    <cellStyle name="Dane wyjściowe 2 20 42" xfId="14989"/>
    <cellStyle name="Dane wyjściowe 2 20 42 2" xfId="14990"/>
    <cellStyle name="Dane wyjściowe 2 20 42 3" xfId="14991"/>
    <cellStyle name="Dane wyjściowe 2 20 43" xfId="14992"/>
    <cellStyle name="Dane wyjściowe 2 20 43 2" xfId="14993"/>
    <cellStyle name="Dane wyjściowe 2 20 43 3" xfId="14994"/>
    <cellStyle name="Dane wyjściowe 2 20 44" xfId="14995"/>
    <cellStyle name="Dane wyjściowe 2 20 44 2" xfId="14996"/>
    <cellStyle name="Dane wyjściowe 2 20 44 3" xfId="14997"/>
    <cellStyle name="Dane wyjściowe 2 20 45" xfId="14998"/>
    <cellStyle name="Dane wyjściowe 2 20 45 2" xfId="14999"/>
    <cellStyle name="Dane wyjściowe 2 20 45 3" xfId="15000"/>
    <cellStyle name="Dane wyjściowe 2 20 46" xfId="15001"/>
    <cellStyle name="Dane wyjściowe 2 20 46 2" xfId="15002"/>
    <cellStyle name="Dane wyjściowe 2 20 46 3" xfId="15003"/>
    <cellStyle name="Dane wyjściowe 2 20 47" xfId="15004"/>
    <cellStyle name="Dane wyjściowe 2 20 47 2" xfId="15005"/>
    <cellStyle name="Dane wyjściowe 2 20 47 3" xfId="15006"/>
    <cellStyle name="Dane wyjściowe 2 20 48" xfId="15007"/>
    <cellStyle name="Dane wyjściowe 2 20 48 2" xfId="15008"/>
    <cellStyle name="Dane wyjściowe 2 20 48 3" xfId="15009"/>
    <cellStyle name="Dane wyjściowe 2 20 49" xfId="15010"/>
    <cellStyle name="Dane wyjściowe 2 20 49 2" xfId="15011"/>
    <cellStyle name="Dane wyjściowe 2 20 49 3" xfId="15012"/>
    <cellStyle name="Dane wyjściowe 2 20 5" xfId="15013"/>
    <cellStyle name="Dane wyjściowe 2 20 5 2" xfId="15014"/>
    <cellStyle name="Dane wyjściowe 2 20 5 3" xfId="15015"/>
    <cellStyle name="Dane wyjściowe 2 20 5 4" xfId="15016"/>
    <cellStyle name="Dane wyjściowe 2 20 50" xfId="15017"/>
    <cellStyle name="Dane wyjściowe 2 20 50 2" xfId="15018"/>
    <cellStyle name="Dane wyjściowe 2 20 50 3" xfId="15019"/>
    <cellStyle name="Dane wyjściowe 2 20 51" xfId="15020"/>
    <cellStyle name="Dane wyjściowe 2 20 51 2" xfId="15021"/>
    <cellStyle name="Dane wyjściowe 2 20 51 3" xfId="15022"/>
    <cellStyle name="Dane wyjściowe 2 20 52" xfId="15023"/>
    <cellStyle name="Dane wyjściowe 2 20 52 2" xfId="15024"/>
    <cellStyle name="Dane wyjściowe 2 20 52 3" xfId="15025"/>
    <cellStyle name="Dane wyjściowe 2 20 53" xfId="15026"/>
    <cellStyle name="Dane wyjściowe 2 20 53 2" xfId="15027"/>
    <cellStyle name="Dane wyjściowe 2 20 53 3" xfId="15028"/>
    <cellStyle name="Dane wyjściowe 2 20 54" xfId="15029"/>
    <cellStyle name="Dane wyjściowe 2 20 54 2" xfId="15030"/>
    <cellStyle name="Dane wyjściowe 2 20 54 3" xfId="15031"/>
    <cellStyle name="Dane wyjściowe 2 20 55" xfId="15032"/>
    <cellStyle name="Dane wyjściowe 2 20 55 2" xfId="15033"/>
    <cellStyle name="Dane wyjściowe 2 20 55 3" xfId="15034"/>
    <cellStyle name="Dane wyjściowe 2 20 56" xfId="15035"/>
    <cellStyle name="Dane wyjściowe 2 20 56 2" xfId="15036"/>
    <cellStyle name="Dane wyjściowe 2 20 56 3" xfId="15037"/>
    <cellStyle name="Dane wyjściowe 2 20 57" xfId="15038"/>
    <cellStyle name="Dane wyjściowe 2 20 58" xfId="15039"/>
    <cellStyle name="Dane wyjściowe 2 20 6" xfId="15040"/>
    <cellStyle name="Dane wyjściowe 2 20 6 2" xfId="15041"/>
    <cellStyle name="Dane wyjściowe 2 20 6 3" xfId="15042"/>
    <cellStyle name="Dane wyjściowe 2 20 6 4" xfId="15043"/>
    <cellStyle name="Dane wyjściowe 2 20 7" xfId="15044"/>
    <cellStyle name="Dane wyjściowe 2 20 7 2" xfId="15045"/>
    <cellStyle name="Dane wyjściowe 2 20 7 3" xfId="15046"/>
    <cellStyle name="Dane wyjściowe 2 20 7 4" xfId="15047"/>
    <cellStyle name="Dane wyjściowe 2 20 8" xfId="15048"/>
    <cellStyle name="Dane wyjściowe 2 20 8 2" xfId="15049"/>
    <cellStyle name="Dane wyjściowe 2 20 8 3" xfId="15050"/>
    <cellStyle name="Dane wyjściowe 2 20 8 4" xfId="15051"/>
    <cellStyle name="Dane wyjściowe 2 20 9" xfId="15052"/>
    <cellStyle name="Dane wyjściowe 2 20 9 2" xfId="15053"/>
    <cellStyle name="Dane wyjściowe 2 20 9 3" xfId="15054"/>
    <cellStyle name="Dane wyjściowe 2 20 9 4" xfId="15055"/>
    <cellStyle name="Dane wyjściowe 2 21" xfId="15056"/>
    <cellStyle name="Dane wyjściowe 2 21 10" xfId="15057"/>
    <cellStyle name="Dane wyjściowe 2 21 10 2" xfId="15058"/>
    <cellStyle name="Dane wyjściowe 2 21 10 3" xfId="15059"/>
    <cellStyle name="Dane wyjściowe 2 21 10 4" xfId="15060"/>
    <cellStyle name="Dane wyjściowe 2 21 11" xfId="15061"/>
    <cellStyle name="Dane wyjściowe 2 21 11 2" xfId="15062"/>
    <cellStyle name="Dane wyjściowe 2 21 11 3" xfId="15063"/>
    <cellStyle name="Dane wyjściowe 2 21 11 4" xfId="15064"/>
    <cellStyle name="Dane wyjściowe 2 21 12" xfId="15065"/>
    <cellStyle name="Dane wyjściowe 2 21 12 2" xfId="15066"/>
    <cellStyle name="Dane wyjściowe 2 21 12 3" xfId="15067"/>
    <cellStyle name="Dane wyjściowe 2 21 12 4" xfId="15068"/>
    <cellStyle name="Dane wyjściowe 2 21 13" xfId="15069"/>
    <cellStyle name="Dane wyjściowe 2 21 13 2" xfId="15070"/>
    <cellStyle name="Dane wyjściowe 2 21 13 3" xfId="15071"/>
    <cellStyle name="Dane wyjściowe 2 21 13 4" xfId="15072"/>
    <cellStyle name="Dane wyjściowe 2 21 14" xfId="15073"/>
    <cellStyle name="Dane wyjściowe 2 21 14 2" xfId="15074"/>
    <cellStyle name="Dane wyjściowe 2 21 14 3" xfId="15075"/>
    <cellStyle name="Dane wyjściowe 2 21 14 4" xfId="15076"/>
    <cellStyle name="Dane wyjściowe 2 21 15" xfId="15077"/>
    <cellStyle name="Dane wyjściowe 2 21 15 2" xfId="15078"/>
    <cellStyle name="Dane wyjściowe 2 21 15 3" xfId="15079"/>
    <cellStyle name="Dane wyjściowe 2 21 15 4" xfId="15080"/>
    <cellStyle name="Dane wyjściowe 2 21 16" xfId="15081"/>
    <cellStyle name="Dane wyjściowe 2 21 16 2" xfId="15082"/>
    <cellStyle name="Dane wyjściowe 2 21 16 3" xfId="15083"/>
    <cellStyle name="Dane wyjściowe 2 21 16 4" xfId="15084"/>
    <cellStyle name="Dane wyjściowe 2 21 17" xfId="15085"/>
    <cellStyle name="Dane wyjściowe 2 21 17 2" xfId="15086"/>
    <cellStyle name="Dane wyjściowe 2 21 17 3" xfId="15087"/>
    <cellStyle name="Dane wyjściowe 2 21 17 4" xfId="15088"/>
    <cellStyle name="Dane wyjściowe 2 21 18" xfId="15089"/>
    <cellStyle name="Dane wyjściowe 2 21 18 2" xfId="15090"/>
    <cellStyle name="Dane wyjściowe 2 21 18 3" xfId="15091"/>
    <cellStyle name="Dane wyjściowe 2 21 18 4" xfId="15092"/>
    <cellStyle name="Dane wyjściowe 2 21 19" xfId="15093"/>
    <cellStyle name="Dane wyjściowe 2 21 19 2" xfId="15094"/>
    <cellStyle name="Dane wyjściowe 2 21 19 3" xfId="15095"/>
    <cellStyle name="Dane wyjściowe 2 21 19 4" xfId="15096"/>
    <cellStyle name="Dane wyjściowe 2 21 2" xfId="15097"/>
    <cellStyle name="Dane wyjściowe 2 21 2 2" xfId="15098"/>
    <cellStyle name="Dane wyjściowe 2 21 2 3" xfId="15099"/>
    <cellStyle name="Dane wyjściowe 2 21 2 4" xfId="15100"/>
    <cellStyle name="Dane wyjściowe 2 21 20" xfId="15101"/>
    <cellStyle name="Dane wyjściowe 2 21 20 2" xfId="15102"/>
    <cellStyle name="Dane wyjściowe 2 21 20 3" xfId="15103"/>
    <cellStyle name="Dane wyjściowe 2 21 20 4" xfId="15104"/>
    <cellStyle name="Dane wyjściowe 2 21 21" xfId="15105"/>
    <cellStyle name="Dane wyjściowe 2 21 21 2" xfId="15106"/>
    <cellStyle name="Dane wyjściowe 2 21 21 3" xfId="15107"/>
    <cellStyle name="Dane wyjściowe 2 21 22" xfId="15108"/>
    <cellStyle name="Dane wyjściowe 2 21 22 2" xfId="15109"/>
    <cellStyle name="Dane wyjściowe 2 21 22 3" xfId="15110"/>
    <cellStyle name="Dane wyjściowe 2 21 23" xfId="15111"/>
    <cellStyle name="Dane wyjściowe 2 21 23 2" xfId="15112"/>
    <cellStyle name="Dane wyjściowe 2 21 23 3" xfId="15113"/>
    <cellStyle name="Dane wyjściowe 2 21 24" xfId="15114"/>
    <cellStyle name="Dane wyjściowe 2 21 24 2" xfId="15115"/>
    <cellStyle name="Dane wyjściowe 2 21 24 3" xfId="15116"/>
    <cellStyle name="Dane wyjściowe 2 21 25" xfId="15117"/>
    <cellStyle name="Dane wyjściowe 2 21 25 2" xfId="15118"/>
    <cellStyle name="Dane wyjściowe 2 21 25 3" xfId="15119"/>
    <cellStyle name="Dane wyjściowe 2 21 26" xfId="15120"/>
    <cellStyle name="Dane wyjściowe 2 21 26 2" xfId="15121"/>
    <cellStyle name="Dane wyjściowe 2 21 26 3" xfId="15122"/>
    <cellStyle name="Dane wyjściowe 2 21 27" xfId="15123"/>
    <cellStyle name="Dane wyjściowe 2 21 27 2" xfId="15124"/>
    <cellStyle name="Dane wyjściowe 2 21 27 3" xfId="15125"/>
    <cellStyle name="Dane wyjściowe 2 21 28" xfId="15126"/>
    <cellStyle name="Dane wyjściowe 2 21 28 2" xfId="15127"/>
    <cellStyle name="Dane wyjściowe 2 21 28 3" xfId="15128"/>
    <cellStyle name="Dane wyjściowe 2 21 29" xfId="15129"/>
    <cellStyle name="Dane wyjściowe 2 21 29 2" xfId="15130"/>
    <cellStyle name="Dane wyjściowe 2 21 29 3" xfId="15131"/>
    <cellStyle name="Dane wyjściowe 2 21 3" xfId="15132"/>
    <cellStyle name="Dane wyjściowe 2 21 3 2" xfId="15133"/>
    <cellStyle name="Dane wyjściowe 2 21 3 3" xfId="15134"/>
    <cellStyle name="Dane wyjściowe 2 21 3 4" xfId="15135"/>
    <cellStyle name="Dane wyjściowe 2 21 30" xfId="15136"/>
    <cellStyle name="Dane wyjściowe 2 21 30 2" xfId="15137"/>
    <cellStyle name="Dane wyjściowe 2 21 30 3" xfId="15138"/>
    <cellStyle name="Dane wyjściowe 2 21 31" xfId="15139"/>
    <cellStyle name="Dane wyjściowe 2 21 31 2" xfId="15140"/>
    <cellStyle name="Dane wyjściowe 2 21 31 3" xfId="15141"/>
    <cellStyle name="Dane wyjściowe 2 21 32" xfId="15142"/>
    <cellStyle name="Dane wyjściowe 2 21 32 2" xfId="15143"/>
    <cellStyle name="Dane wyjściowe 2 21 32 3" xfId="15144"/>
    <cellStyle name="Dane wyjściowe 2 21 33" xfId="15145"/>
    <cellStyle name="Dane wyjściowe 2 21 33 2" xfId="15146"/>
    <cellStyle name="Dane wyjściowe 2 21 33 3" xfId="15147"/>
    <cellStyle name="Dane wyjściowe 2 21 34" xfId="15148"/>
    <cellStyle name="Dane wyjściowe 2 21 34 2" xfId="15149"/>
    <cellStyle name="Dane wyjściowe 2 21 34 3" xfId="15150"/>
    <cellStyle name="Dane wyjściowe 2 21 35" xfId="15151"/>
    <cellStyle name="Dane wyjściowe 2 21 35 2" xfId="15152"/>
    <cellStyle name="Dane wyjściowe 2 21 35 3" xfId="15153"/>
    <cellStyle name="Dane wyjściowe 2 21 36" xfId="15154"/>
    <cellStyle name="Dane wyjściowe 2 21 36 2" xfId="15155"/>
    <cellStyle name="Dane wyjściowe 2 21 36 3" xfId="15156"/>
    <cellStyle name="Dane wyjściowe 2 21 37" xfId="15157"/>
    <cellStyle name="Dane wyjściowe 2 21 37 2" xfId="15158"/>
    <cellStyle name="Dane wyjściowe 2 21 37 3" xfId="15159"/>
    <cellStyle name="Dane wyjściowe 2 21 38" xfId="15160"/>
    <cellStyle name="Dane wyjściowe 2 21 38 2" xfId="15161"/>
    <cellStyle name="Dane wyjściowe 2 21 38 3" xfId="15162"/>
    <cellStyle name="Dane wyjściowe 2 21 39" xfId="15163"/>
    <cellStyle name="Dane wyjściowe 2 21 39 2" xfId="15164"/>
    <cellStyle name="Dane wyjściowe 2 21 39 3" xfId="15165"/>
    <cellStyle name="Dane wyjściowe 2 21 4" xfId="15166"/>
    <cellStyle name="Dane wyjściowe 2 21 4 2" xfId="15167"/>
    <cellStyle name="Dane wyjściowe 2 21 4 3" xfId="15168"/>
    <cellStyle name="Dane wyjściowe 2 21 4 4" xfId="15169"/>
    <cellStyle name="Dane wyjściowe 2 21 40" xfId="15170"/>
    <cellStyle name="Dane wyjściowe 2 21 40 2" xfId="15171"/>
    <cellStyle name="Dane wyjściowe 2 21 40 3" xfId="15172"/>
    <cellStyle name="Dane wyjściowe 2 21 41" xfId="15173"/>
    <cellStyle name="Dane wyjściowe 2 21 41 2" xfId="15174"/>
    <cellStyle name="Dane wyjściowe 2 21 41 3" xfId="15175"/>
    <cellStyle name="Dane wyjściowe 2 21 42" xfId="15176"/>
    <cellStyle name="Dane wyjściowe 2 21 42 2" xfId="15177"/>
    <cellStyle name="Dane wyjściowe 2 21 42 3" xfId="15178"/>
    <cellStyle name="Dane wyjściowe 2 21 43" xfId="15179"/>
    <cellStyle name="Dane wyjściowe 2 21 43 2" xfId="15180"/>
    <cellStyle name="Dane wyjściowe 2 21 43 3" xfId="15181"/>
    <cellStyle name="Dane wyjściowe 2 21 44" xfId="15182"/>
    <cellStyle name="Dane wyjściowe 2 21 44 2" xfId="15183"/>
    <cellStyle name="Dane wyjściowe 2 21 44 3" xfId="15184"/>
    <cellStyle name="Dane wyjściowe 2 21 45" xfId="15185"/>
    <cellStyle name="Dane wyjściowe 2 21 45 2" xfId="15186"/>
    <cellStyle name="Dane wyjściowe 2 21 45 3" xfId="15187"/>
    <cellStyle name="Dane wyjściowe 2 21 46" xfId="15188"/>
    <cellStyle name="Dane wyjściowe 2 21 46 2" xfId="15189"/>
    <cellStyle name="Dane wyjściowe 2 21 46 3" xfId="15190"/>
    <cellStyle name="Dane wyjściowe 2 21 47" xfId="15191"/>
    <cellStyle name="Dane wyjściowe 2 21 47 2" xfId="15192"/>
    <cellStyle name="Dane wyjściowe 2 21 47 3" xfId="15193"/>
    <cellStyle name="Dane wyjściowe 2 21 48" xfId="15194"/>
    <cellStyle name="Dane wyjściowe 2 21 48 2" xfId="15195"/>
    <cellStyle name="Dane wyjściowe 2 21 48 3" xfId="15196"/>
    <cellStyle name="Dane wyjściowe 2 21 49" xfId="15197"/>
    <cellStyle name="Dane wyjściowe 2 21 49 2" xfId="15198"/>
    <cellStyle name="Dane wyjściowe 2 21 49 3" xfId="15199"/>
    <cellStyle name="Dane wyjściowe 2 21 5" xfId="15200"/>
    <cellStyle name="Dane wyjściowe 2 21 5 2" xfId="15201"/>
    <cellStyle name="Dane wyjściowe 2 21 5 3" xfId="15202"/>
    <cellStyle name="Dane wyjściowe 2 21 5 4" xfId="15203"/>
    <cellStyle name="Dane wyjściowe 2 21 50" xfId="15204"/>
    <cellStyle name="Dane wyjściowe 2 21 50 2" xfId="15205"/>
    <cellStyle name="Dane wyjściowe 2 21 50 3" xfId="15206"/>
    <cellStyle name="Dane wyjściowe 2 21 51" xfId="15207"/>
    <cellStyle name="Dane wyjściowe 2 21 51 2" xfId="15208"/>
    <cellStyle name="Dane wyjściowe 2 21 51 3" xfId="15209"/>
    <cellStyle name="Dane wyjściowe 2 21 52" xfId="15210"/>
    <cellStyle name="Dane wyjściowe 2 21 52 2" xfId="15211"/>
    <cellStyle name="Dane wyjściowe 2 21 52 3" xfId="15212"/>
    <cellStyle name="Dane wyjściowe 2 21 53" xfId="15213"/>
    <cellStyle name="Dane wyjściowe 2 21 53 2" xfId="15214"/>
    <cellStyle name="Dane wyjściowe 2 21 53 3" xfId="15215"/>
    <cellStyle name="Dane wyjściowe 2 21 54" xfId="15216"/>
    <cellStyle name="Dane wyjściowe 2 21 54 2" xfId="15217"/>
    <cellStyle name="Dane wyjściowe 2 21 54 3" xfId="15218"/>
    <cellStyle name="Dane wyjściowe 2 21 55" xfId="15219"/>
    <cellStyle name="Dane wyjściowe 2 21 55 2" xfId="15220"/>
    <cellStyle name="Dane wyjściowe 2 21 55 3" xfId="15221"/>
    <cellStyle name="Dane wyjściowe 2 21 56" xfId="15222"/>
    <cellStyle name="Dane wyjściowe 2 21 56 2" xfId="15223"/>
    <cellStyle name="Dane wyjściowe 2 21 56 3" xfId="15224"/>
    <cellStyle name="Dane wyjściowe 2 21 57" xfId="15225"/>
    <cellStyle name="Dane wyjściowe 2 21 58" xfId="15226"/>
    <cellStyle name="Dane wyjściowe 2 21 6" xfId="15227"/>
    <cellStyle name="Dane wyjściowe 2 21 6 2" xfId="15228"/>
    <cellStyle name="Dane wyjściowe 2 21 6 3" xfId="15229"/>
    <cellStyle name="Dane wyjściowe 2 21 6 4" xfId="15230"/>
    <cellStyle name="Dane wyjściowe 2 21 7" xfId="15231"/>
    <cellStyle name="Dane wyjściowe 2 21 7 2" xfId="15232"/>
    <cellStyle name="Dane wyjściowe 2 21 7 3" xfId="15233"/>
    <cellStyle name="Dane wyjściowe 2 21 7 4" xfId="15234"/>
    <cellStyle name="Dane wyjściowe 2 21 8" xfId="15235"/>
    <cellStyle name="Dane wyjściowe 2 21 8 2" xfId="15236"/>
    <cellStyle name="Dane wyjściowe 2 21 8 3" xfId="15237"/>
    <cellStyle name="Dane wyjściowe 2 21 8 4" xfId="15238"/>
    <cellStyle name="Dane wyjściowe 2 21 9" xfId="15239"/>
    <cellStyle name="Dane wyjściowe 2 21 9 2" xfId="15240"/>
    <cellStyle name="Dane wyjściowe 2 21 9 3" xfId="15241"/>
    <cellStyle name="Dane wyjściowe 2 21 9 4" xfId="15242"/>
    <cellStyle name="Dane wyjściowe 2 22" xfId="15243"/>
    <cellStyle name="Dane wyjściowe 2 22 10" xfId="15244"/>
    <cellStyle name="Dane wyjściowe 2 22 10 2" xfId="15245"/>
    <cellStyle name="Dane wyjściowe 2 22 10 3" xfId="15246"/>
    <cellStyle name="Dane wyjściowe 2 22 10 4" xfId="15247"/>
    <cellStyle name="Dane wyjściowe 2 22 11" xfId="15248"/>
    <cellStyle name="Dane wyjściowe 2 22 11 2" xfId="15249"/>
    <cellStyle name="Dane wyjściowe 2 22 11 3" xfId="15250"/>
    <cellStyle name="Dane wyjściowe 2 22 11 4" xfId="15251"/>
    <cellStyle name="Dane wyjściowe 2 22 12" xfId="15252"/>
    <cellStyle name="Dane wyjściowe 2 22 12 2" xfId="15253"/>
    <cellStyle name="Dane wyjściowe 2 22 12 3" xfId="15254"/>
    <cellStyle name="Dane wyjściowe 2 22 12 4" xfId="15255"/>
    <cellStyle name="Dane wyjściowe 2 22 13" xfId="15256"/>
    <cellStyle name="Dane wyjściowe 2 22 13 2" xfId="15257"/>
    <cellStyle name="Dane wyjściowe 2 22 13 3" xfId="15258"/>
    <cellStyle name="Dane wyjściowe 2 22 13 4" xfId="15259"/>
    <cellStyle name="Dane wyjściowe 2 22 14" xfId="15260"/>
    <cellStyle name="Dane wyjściowe 2 22 14 2" xfId="15261"/>
    <cellStyle name="Dane wyjściowe 2 22 14 3" xfId="15262"/>
    <cellStyle name="Dane wyjściowe 2 22 14 4" xfId="15263"/>
    <cellStyle name="Dane wyjściowe 2 22 15" xfId="15264"/>
    <cellStyle name="Dane wyjściowe 2 22 15 2" xfId="15265"/>
    <cellStyle name="Dane wyjściowe 2 22 15 3" xfId="15266"/>
    <cellStyle name="Dane wyjściowe 2 22 15 4" xfId="15267"/>
    <cellStyle name="Dane wyjściowe 2 22 16" xfId="15268"/>
    <cellStyle name="Dane wyjściowe 2 22 16 2" xfId="15269"/>
    <cellStyle name="Dane wyjściowe 2 22 16 3" xfId="15270"/>
    <cellStyle name="Dane wyjściowe 2 22 16 4" xfId="15271"/>
    <cellStyle name="Dane wyjściowe 2 22 17" xfId="15272"/>
    <cellStyle name="Dane wyjściowe 2 22 17 2" xfId="15273"/>
    <cellStyle name="Dane wyjściowe 2 22 17 3" xfId="15274"/>
    <cellStyle name="Dane wyjściowe 2 22 17 4" xfId="15275"/>
    <cellStyle name="Dane wyjściowe 2 22 18" xfId="15276"/>
    <cellStyle name="Dane wyjściowe 2 22 18 2" xfId="15277"/>
    <cellStyle name="Dane wyjściowe 2 22 18 3" xfId="15278"/>
    <cellStyle name="Dane wyjściowe 2 22 18 4" xfId="15279"/>
    <cellStyle name="Dane wyjściowe 2 22 19" xfId="15280"/>
    <cellStyle name="Dane wyjściowe 2 22 19 2" xfId="15281"/>
    <cellStyle name="Dane wyjściowe 2 22 19 3" xfId="15282"/>
    <cellStyle name="Dane wyjściowe 2 22 19 4" xfId="15283"/>
    <cellStyle name="Dane wyjściowe 2 22 2" xfId="15284"/>
    <cellStyle name="Dane wyjściowe 2 22 2 2" xfId="15285"/>
    <cellStyle name="Dane wyjściowe 2 22 2 3" xfId="15286"/>
    <cellStyle name="Dane wyjściowe 2 22 2 4" xfId="15287"/>
    <cellStyle name="Dane wyjściowe 2 22 20" xfId="15288"/>
    <cellStyle name="Dane wyjściowe 2 22 20 2" xfId="15289"/>
    <cellStyle name="Dane wyjściowe 2 22 20 3" xfId="15290"/>
    <cellStyle name="Dane wyjściowe 2 22 20 4" xfId="15291"/>
    <cellStyle name="Dane wyjściowe 2 22 21" xfId="15292"/>
    <cellStyle name="Dane wyjściowe 2 22 21 2" xfId="15293"/>
    <cellStyle name="Dane wyjściowe 2 22 21 3" xfId="15294"/>
    <cellStyle name="Dane wyjściowe 2 22 22" xfId="15295"/>
    <cellStyle name="Dane wyjściowe 2 22 22 2" xfId="15296"/>
    <cellStyle name="Dane wyjściowe 2 22 22 3" xfId="15297"/>
    <cellStyle name="Dane wyjściowe 2 22 23" xfId="15298"/>
    <cellStyle name="Dane wyjściowe 2 22 23 2" xfId="15299"/>
    <cellStyle name="Dane wyjściowe 2 22 23 3" xfId="15300"/>
    <cellStyle name="Dane wyjściowe 2 22 24" xfId="15301"/>
    <cellStyle name="Dane wyjściowe 2 22 24 2" xfId="15302"/>
    <cellStyle name="Dane wyjściowe 2 22 24 3" xfId="15303"/>
    <cellStyle name="Dane wyjściowe 2 22 25" xfId="15304"/>
    <cellStyle name="Dane wyjściowe 2 22 25 2" xfId="15305"/>
    <cellStyle name="Dane wyjściowe 2 22 25 3" xfId="15306"/>
    <cellStyle name="Dane wyjściowe 2 22 26" xfId="15307"/>
    <cellStyle name="Dane wyjściowe 2 22 26 2" xfId="15308"/>
    <cellStyle name="Dane wyjściowe 2 22 26 3" xfId="15309"/>
    <cellStyle name="Dane wyjściowe 2 22 27" xfId="15310"/>
    <cellStyle name="Dane wyjściowe 2 22 27 2" xfId="15311"/>
    <cellStyle name="Dane wyjściowe 2 22 27 3" xfId="15312"/>
    <cellStyle name="Dane wyjściowe 2 22 28" xfId="15313"/>
    <cellStyle name="Dane wyjściowe 2 22 28 2" xfId="15314"/>
    <cellStyle name="Dane wyjściowe 2 22 28 3" xfId="15315"/>
    <cellStyle name="Dane wyjściowe 2 22 29" xfId="15316"/>
    <cellStyle name="Dane wyjściowe 2 22 29 2" xfId="15317"/>
    <cellStyle name="Dane wyjściowe 2 22 29 3" xfId="15318"/>
    <cellStyle name="Dane wyjściowe 2 22 3" xfId="15319"/>
    <cellStyle name="Dane wyjściowe 2 22 3 2" xfId="15320"/>
    <cellStyle name="Dane wyjściowe 2 22 3 3" xfId="15321"/>
    <cellStyle name="Dane wyjściowe 2 22 3 4" xfId="15322"/>
    <cellStyle name="Dane wyjściowe 2 22 30" xfId="15323"/>
    <cellStyle name="Dane wyjściowe 2 22 30 2" xfId="15324"/>
    <cellStyle name="Dane wyjściowe 2 22 30 3" xfId="15325"/>
    <cellStyle name="Dane wyjściowe 2 22 31" xfId="15326"/>
    <cellStyle name="Dane wyjściowe 2 22 31 2" xfId="15327"/>
    <cellStyle name="Dane wyjściowe 2 22 31 3" xfId="15328"/>
    <cellStyle name="Dane wyjściowe 2 22 32" xfId="15329"/>
    <cellStyle name="Dane wyjściowe 2 22 32 2" xfId="15330"/>
    <cellStyle name="Dane wyjściowe 2 22 32 3" xfId="15331"/>
    <cellStyle name="Dane wyjściowe 2 22 33" xfId="15332"/>
    <cellStyle name="Dane wyjściowe 2 22 33 2" xfId="15333"/>
    <cellStyle name="Dane wyjściowe 2 22 33 3" xfId="15334"/>
    <cellStyle name="Dane wyjściowe 2 22 34" xfId="15335"/>
    <cellStyle name="Dane wyjściowe 2 22 34 2" xfId="15336"/>
    <cellStyle name="Dane wyjściowe 2 22 34 3" xfId="15337"/>
    <cellStyle name="Dane wyjściowe 2 22 35" xfId="15338"/>
    <cellStyle name="Dane wyjściowe 2 22 35 2" xfId="15339"/>
    <cellStyle name="Dane wyjściowe 2 22 35 3" xfId="15340"/>
    <cellStyle name="Dane wyjściowe 2 22 36" xfId="15341"/>
    <cellStyle name="Dane wyjściowe 2 22 36 2" xfId="15342"/>
    <cellStyle name="Dane wyjściowe 2 22 36 3" xfId="15343"/>
    <cellStyle name="Dane wyjściowe 2 22 37" xfId="15344"/>
    <cellStyle name="Dane wyjściowe 2 22 37 2" xfId="15345"/>
    <cellStyle name="Dane wyjściowe 2 22 37 3" xfId="15346"/>
    <cellStyle name="Dane wyjściowe 2 22 38" xfId="15347"/>
    <cellStyle name="Dane wyjściowe 2 22 38 2" xfId="15348"/>
    <cellStyle name="Dane wyjściowe 2 22 38 3" xfId="15349"/>
    <cellStyle name="Dane wyjściowe 2 22 39" xfId="15350"/>
    <cellStyle name="Dane wyjściowe 2 22 39 2" xfId="15351"/>
    <cellStyle name="Dane wyjściowe 2 22 39 3" xfId="15352"/>
    <cellStyle name="Dane wyjściowe 2 22 4" xfId="15353"/>
    <cellStyle name="Dane wyjściowe 2 22 4 2" xfId="15354"/>
    <cellStyle name="Dane wyjściowe 2 22 4 3" xfId="15355"/>
    <cellStyle name="Dane wyjściowe 2 22 4 4" xfId="15356"/>
    <cellStyle name="Dane wyjściowe 2 22 40" xfId="15357"/>
    <cellStyle name="Dane wyjściowe 2 22 40 2" xfId="15358"/>
    <cellStyle name="Dane wyjściowe 2 22 40 3" xfId="15359"/>
    <cellStyle name="Dane wyjściowe 2 22 41" xfId="15360"/>
    <cellStyle name="Dane wyjściowe 2 22 41 2" xfId="15361"/>
    <cellStyle name="Dane wyjściowe 2 22 41 3" xfId="15362"/>
    <cellStyle name="Dane wyjściowe 2 22 42" xfId="15363"/>
    <cellStyle name="Dane wyjściowe 2 22 42 2" xfId="15364"/>
    <cellStyle name="Dane wyjściowe 2 22 42 3" xfId="15365"/>
    <cellStyle name="Dane wyjściowe 2 22 43" xfId="15366"/>
    <cellStyle name="Dane wyjściowe 2 22 43 2" xfId="15367"/>
    <cellStyle name="Dane wyjściowe 2 22 43 3" xfId="15368"/>
    <cellStyle name="Dane wyjściowe 2 22 44" xfId="15369"/>
    <cellStyle name="Dane wyjściowe 2 22 44 2" xfId="15370"/>
    <cellStyle name="Dane wyjściowe 2 22 44 3" xfId="15371"/>
    <cellStyle name="Dane wyjściowe 2 22 45" xfId="15372"/>
    <cellStyle name="Dane wyjściowe 2 22 45 2" xfId="15373"/>
    <cellStyle name="Dane wyjściowe 2 22 45 3" xfId="15374"/>
    <cellStyle name="Dane wyjściowe 2 22 46" xfId="15375"/>
    <cellStyle name="Dane wyjściowe 2 22 46 2" xfId="15376"/>
    <cellStyle name="Dane wyjściowe 2 22 46 3" xfId="15377"/>
    <cellStyle name="Dane wyjściowe 2 22 47" xfId="15378"/>
    <cellStyle name="Dane wyjściowe 2 22 47 2" xfId="15379"/>
    <cellStyle name="Dane wyjściowe 2 22 47 3" xfId="15380"/>
    <cellStyle name="Dane wyjściowe 2 22 48" xfId="15381"/>
    <cellStyle name="Dane wyjściowe 2 22 48 2" xfId="15382"/>
    <cellStyle name="Dane wyjściowe 2 22 48 3" xfId="15383"/>
    <cellStyle name="Dane wyjściowe 2 22 49" xfId="15384"/>
    <cellStyle name="Dane wyjściowe 2 22 49 2" xfId="15385"/>
    <cellStyle name="Dane wyjściowe 2 22 49 3" xfId="15386"/>
    <cellStyle name="Dane wyjściowe 2 22 5" xfId="15387"/>
    <cellStyle name="Dane wyjściowe 2 22 5 2" xfId="15388"/>
    <cellStyle name="Dane wyjściowe 2 22 5 3" xfId="15389"/>
    <cellStyle name="Dane wyjściowe 2 22 5 4" xfId="15390"/>
    <cellStyle name="Dane wyjściowe 2 22 50" xfId="15391"/>
    <cellStyle name="Dane wyjściowe 2 22 50 2" xfId="15392"/>
    <cellStyle name="Dane wyjściowe 2 22 50 3" xfId="15393"/>
    <cellStyle name="Dane wyjściowe 2 22 51" xfId="15394"/>
    <cellStyle name="Dane wyjściowe 2 22 51 2" xfId="15395"/>
    <cellStyle name="Dane wyjściowe 2 22 51 3" xfId="15396"/>
    <cellStyle name="Dane wyjściowe 2 22 52" xfId="15397"/>
    <cellStyle name="Dane wyjściowe 2 22 52 2" xfId="15398"/>
    <cellStyle name="Dane wyjściowe 2 22 52 3" xfId="15399"/>
    <cellStyle name="Dane wyjściowe 2 22 53" xfId="15400"/>
    <cellStyle name="Dane wyjściowe 2 22 53 2" xfId="15401"/>
    <cellStyle name="Dane wyjściowe 2 22 53 3" xfId="15402"/>
    <cellStyle name="Dane wyjściowe 2 22 54" xfId="15403"/>
    <cellStyle name="Dane wyjściowe 2 22 54 2" xfId="15404"/>
    <cellStyle name="Dane wyjściowe 2 22 54 3" xfId="15405"/>
    <cellStyle name="Dane wyjściowe 2 22 55" xfId="15406"/>
    <cellStyle name="Dane wyjściowe 2 22 55 2" xfId="15407"/>
    <cellStyle name="Dane wyjściowe 2 22 55 3" xfId="15408"/>
    <cellStyle name="Dane wyjściowe 2 22 56" xfId="15409"/>
    <cellStyle name="Dane wyjściowe 2 22 56 2" xfId="15410"/>
    <cellStyle name="Dane wyjściowe 2 22 56 3" xfId="15411"/>
    <cellStyle name="Dane wyjściowe 2 22 57" xfId="15412"/>
    <cellStyle name="Dane wyjściowe 2 22 58" xfId="15413"/>
    <cellStyle name="Dane wyjściowe 2 22 6" xfId="15414"/>
    <cellStyle name="Dane wyjściowe 2 22 6 2" xfId="15415"/>
    <cellStyle name="Dane wyjściowe 2 22 6 3" xfId="15416"/>
    <cellStyle name="Dane wyjściowe 2 22 6 4" xfId="15417"/>
    <cellStyle name="Dane wyjściowe 2 22 7" xfId="15418"/>
    <cellStyle name="Dane wyjściowe 2 22 7 2" xfId="15419"/>
    <cellStyle name="Dane wyjściowe 2 22 7 3" xfId="15420"/>
    <cellStyle name="Dane wyjściowe 2 22 7 4" xfId="15421"/>
    <cellStyle name="Dane wyjściowe 2 22 8" xfId="15422"/>
    <cellStyle name="Dane wyjściowe 2 22 8 2" xfId="15423"/>
    <cellStyle name="Dane wyjściowe 2 22 8 3" xfId="15424"/>
    <cellStyle name="Dane wyjściowe 2 22 8 4" xfId="15425"/>
    <cellStyle name="Dane wyjściowe 2 22 9" xfId="15426"/>
    <cellStyle name="Dane wyjściowe 2 22 9 2" xfId="15427"/>
    <cellStyle name="Dane wyjściowe 2 22 9 3" xfId="15428"/>
    <cellStyle name="Dane wyjściowe 2 22 9 4" xfId="15429"/>
    <cellStyle name="Dane wyjściowe 2 23" xfId="15430"/>
    <cellStyle name="Dane wyjściowe 2 23 10" xfId="15431"/>
    <cellStyle name="Dane wyjściowe 2 23 10 2" xfId="15432"/>
    <cellStyle name="Dane wyjściowe 2 23 10 3" xfId="15433"/>
    <cellStyle name="Dane wyjściowe 2 23 10 4" xfId="15434"/>
    <cellStyle name="Dane wyjściowe 2 23 11" xfId="15435"/>
    <cellStyle name="Dane wyjściowe 2 23 11 2" xfId="15436"/>
    <cellStyle name="Dane wyjściowe 2 23 11 3" xfId="15437"/>
    <cellStyle name="Dane wyjściowe 2 23 11 4" xfId="15438"/>
    <cellStyle name="Dane wyjściowe 2 23 12" xfId="15439"/>
    <cellStyle name="Dane wyjściowe 2 23 12 2" xfId="15440"/>
    <cellStyle name="Dane wyjściowe 2 23 12 3" xfId="15441"/>
    <cellStyle name="Dane wyjściowe 2 23 12 4" xfId="15442"/>
    <cellStyle name="Dane wyjściowe 2 23 13" xfId="15443"/>
    <cellStyle name="Dane wyjściowe 2 23 13 2" xfId="15444"/>
    <cellStyle name="Dane wyjściowe 2 23 13 3" xfId="15445"/>
    <cellStyle name="Dane wyjściowe 2 23 13 4" xfId="15446"/>
    <cellStyle name="Dane wyjściowe 2 23 14" xfId="15447"/>
    <cellStyle name="Dane wyjściowe 2 23 14 2" xfId="15448"/>
    <cellStyle name="Dane wyjściowe 2 23 14 3" xfId="15449"/>
    <cellStyle name="Dane wyjściowe 2 23 14 4" xfId="15450"/>
    <cellStyle name="Dane wyjściowe 2 23 15" xfId="15451"/>
    <cellStyle name="Dane wyjściowe 2 23 15 2" xfId="15452"/>
    <cellStyle name="Dane wyjściowe 2 23 15 3" xfId="15453"/>
    <cellStyle name="Dane wyjściowe 2 23 15 4" xfId="15454"/>
    <cellStyle name="Dane wyjściowe 2 23 16" xfId="15455"/>
    <cellStyle name="Dane wyjściowe 2 23 16 2" xfId="15456"/>
    <cellStyle name="Dane wyjściowe 2 23 16 3" xfId="15457"/>
    <cellStyle name="Dane wyjściowe 2 23 16 4" xfId="15458"/>
    <cellStyle name="Dane wyjściowe 2 23 17" xfId="15459"/>
    <cellStyle name="Dane wyjściowe 2 23 17 2" xfId="15460"/>
    <cellStyle name="Dane wyjściowe 2 23 17 3" xfId="15461"/>
    <cellStyle name="Dane wyjściowe 2 23 17 4" xfId="15462"/>
    <cellStyle name="Dane wyjściowe 2 23 18" xfId="15463"/>
    <cellStyle name="Dane wyjściowe 2 23 18 2" xfId="15464"/>
    <cellStyle name="Dane wyjściowe 2 23 18 3" xfId="15465"/>
    <cellStyle name="Dane wyjściowe 2 23 18 4" xfId="15466"/>
    <cellStyle name="Dane wyjściowe 2 23 19" xfId="15467"/>
    <cellStyle name="Dane wyjściowe 2 23 19 2" xfId="15468"/>
    <cellStyle name="Dane wyjściowe 2 23 19 3" xfId="15469"/>
    <cellStyle name="Dane wyjściowe 2 23 19 4" xfId="15470"/>
    <cellStyle name="Dane wyjściowe 2 23 2" xfId="15471"/>
    <cellStyle name="Dane wyjściowe 2 23 2 2" xfId="15472"/>
    <cellStyle name="Dane wyjściowe 2 23 2 3" xfId="15473"/>
    <cellStyle name="Dane wyjściowe 2 23 2 4" xfId="15474"/>
    <cellStyle name="Dane wyjściowe 2 23 20" xfId="15475"/>
    <cellStyle name="Dane wyjściowe 2 23 20 2" xfId="15476"/>
    <cellStyle name="Dane wyjściowe 2 23 20 3" xfId="15477"/>
    <cellStyle name="Dane wyjściowe 2 23 20 4" xfId="15478"/>
    <cellStyle name="Dane wyjściowe 2 23 21" xfId="15479"/>
    <cellStyle name="Dane wyjściowe 2 23 21 2" xfId="15480"/>
    <cellStyle name="Dane wyjściowe 2 23 21 3" xfId="15481"/>
    <cellStyle name="Dane wyjściowe 2 23 22" xfId="15482"/>
    <cellStyle name="Dane wyjściowe 2 23 22 2" xfId="15483"/>
    <cellStyle name="Dane wyjściowe 2 23 22 3" xfId="15484"/>
    <cellStyle name="Dane wyjściowe 2 23 23" xfId="15485"/>
    <cellStyle name="Dane wyjściowe 2 23 23 2" xfId="15486"/>
    <cellStyle name="Dane wyjściowe 2 23 23 3" xfId="15487"/>
    <cellStyle name="Dane wyjściowe 2 23 24" xfId="15488"/>
    <cellStyle name="Dane wyjściowe 2 23 24 2" xfId="15489"/>
    <cellStyle name="Dane wyjściowe 2 23 24 3" xfId="15490"/>
    <cellStyle name="Dane wyjściowe 2 23 25" xfId="15491"/>
    <cellStyle name="Dane wyjściowe 2 23 25 2" xfId="15492"/>
    <cellStyle name="Dane wyjściowe 2 23 25 3" xfId="15493"/>
    <cellStyle name="Dane wyjściowe 2 23 26" xfId="15494"/>
    <cellStyle name="Dane wyjściowe 2 23 26 2" xfId="15495"/>
    <cellStyle name="Dane wyjściowe 2 23 26 3" xfId="15496"/>
    <cellStyle name="Dane wyjściowe 2 23 27" xfId="15497"/>
    <cellStyle name="Dane wyjściowe 2 23 27 2" xfId="15498"/>
    <cellStyle name="Dane wyjściowe 2 23 27 3" xfId="15499"/>
    <cellStyle name="Dane wyjściowe 2 23 28" xfId="15500"/>
    <cellStyle name="Dane wyjściowe 2 23 28 2" xfId="15501"/>
    <cellStyle name="Dane wyjściowe 2 23 28 3" xfId="15502"/>
    <cellStyle name="Dane wyjściowe 2 23 29" xfId="15503"/>
    <cellStyle name="Dane wyjściowe 2 23 29 2" xfId="15504"/>
    <cellStyle name="Dane wyjściowe 2 23 29 3" xfId="15505"/>
    <cellStyle name="Dane wyjściowe 2 23 3" xfId="15506"/>
    <cellStyle name="Dane wyjściowe 2 23 3 2" xfId="15507"/>
    <cellStyle name="Dane wyjściowe 2 23 3 3" xfId="15508"/>
    <cellStyle name="Dane wyjściowe 2 23 3 4" xfId="15509"/>
    <cellStyle name="Dane wyjściowe 2 23 30" xfId="15510"/>
    <cellStyle name="Dane wyjściowe 2 23 30 2" xfId="15511"/>
    <cellStyle name="Dane wyjściowe 2 23 30 3" xfId="15512"/>
    <cellStyle name="Dane wyjściowe 2 23 31" xfId="15513"/>
    <cellStyle name="Dane wyjściowe 2 23 31 2" xfId="15514"/>
    <cellStyle name="Dane wyjściowe 2 23 31 3" xfId="15515"/>
    <cellStyle name="Dane wyjściowe 2 23 32" xfId="15516"/>
    <cellStyle name="Dane wyjściowe 2 23 32 2" xfId="15517"/>
    <cellStyle name="Dane wyjściowe 2 23 32 3" xfId="15518"/>
    <cellStyle name="Dane wyjściowe 2 23 33" xfId="15519"/>
    <cellStyle name="Dane wyjściowe 2 23 33 2" xfId="15520"/>
    <cellStyle name="Dane wyjściowe 2 23 33 3" xfId="15521"/>
    <cellStyle name="Dane wyjściowe 2 23 34" xfId="15522"/>
    <cellStyle name="Dane wyjściowe 2 23 34 2" xfId="15523"/>
    <cellStyle name="Dane wyjściowe 2 23 34 3" xfId="15524"/>
    <cellStyle name="Dane wyjściowe 2 23 35" xfId="15525"/>
    <cellStyle name="Dane wyjściowe 2 23 35 2" xfId="15526"/>
    <cellStyle name="Dane wyjściowe 2 23 35 3" xfId="15527"/>
    <cellStyle name="Dane wyjściowe 2 23 36" xfId="15528"/>
    <cellStyle name="Dane wyjściowe 2 23 36 2" xfId="15529"/>
    <cellStyle name="Dane wyjściowe 2 23 36 3" xfId="15530"/>
    <cellStyle name="Dane wyjściowe 2 23 37" xfId="15531"/>
    <cellStyle name="Dane wyjściowe 2 23 37 2" xfId="15532"/>
    <cellStyle name="Dane wyjściowe 2 23 37 3" xfId="15533"/>
    <cellStyle name="Dane wyjściowe 2 23 38" xfId="15534"/>
    <cellStyle name="Dane wyjściowe 2 23 38 2" xfId="15535"/>
    <cellStyle name="Dane wyjściowe 2 23 38 3" xfId="15536"/>
    <cellStyle name="Dane wyjściowe 2 23 39" xfId="15537"/>
    <cellStyle name="Dane wyjściowe 2 23 39 2" xfId="15538"/>
    <cellStyle name="Dane wyjściowe 2 23 39 3" xfId="15539"/>
    <cellStyle name="Dane wyjściowe 2 23 4" xfId="15540"/>
    <cellStyle name="Dane wyjściowe 2 23 4 2" xfId="15541"/>
    <cellStyle name="Dane wyjściowe 2 23 4 3" xfId="15542"/>
    <cellStyle name="Dane wyjściowe 2 23 4 4" xfId="15543"/>
    <cellStyle name="Dane wyjściowe 2 23 40" xfId="15544"/>
    <cellStyle name="Dane wyjściowe 2 23 40 2" xfId="15545"/>
    <cellStyle name="Dane wyjściowe 2 23 40 3" xfId="15546"/>
    <cellStyle name="Dane wyjściowe 2 23 41" xfId="15547"/>
    <cellStyle name="Dane wyjściowe 2 23 41 2" xfId="15548"/>
    <cellStyle name="Dane wyjściowe 2 23 41 3" xfId="15549"/>
    <cellStyle name="Dane wyjściowe 2 23 42" xfId="15550"/>
    <cellStyle name="Dane wyjściowe 2 23 42 2" xfId="15551"/>
    <cellStyle name="Dane wyjściowe 2 23 42 3" xfId="15552"/>
    <cellStyle name="Dane wyjściowe 2 23 43" xfId="15553"/>
    <cellStyle name="Dane wyjściowe 2 23 43 2" xfId="15554"/>
    <cellStyle name="Dane wyjściowe 2 23 43 3" xfId="15555"/>
    <cellStyle name="Dane wyjściowe 2 23 44" xfId="15556"/>
    <cellStyle name="Dane wyjściowe 2 23 44 2" xfId="15557"/>
    <cellStyle name="Dane wyjściowe 2 23 44 3" xfId="15558"/>
    <cellStyle name="Dane wyjściowe 2 23 45" xfId="15559"/>
    <cellStyle name="Dane wyjściowe 2 23 45 2" xfId="15560"/>
    <cellStyle name="Dane wyjściowe 2 23 45 3" xfId="15561"/>
    <cellStyle name="Dane wyjściowe 2 23 46" xfId="15562"/>
    <cellStyle name="Dane wyjściowe 2 23 46 2" xfId="15563"/>
    <cellStyle name="Dane wyjściowe 2 23 46 3" xfId="15564"/>
    <cellStyle name="Dane wyjściowe 2 23 47" xfId="15565"/>
    <cellStyle name="Dane wyjściowe 2 23 47 2" xfId="15566"/>
    <cellStyle name="Dane wyjściowe 2 23 47 3" xfId="15567"/>
    <cellStyle name="Dane wyjściowe 2 23 48" xfId="15568"/>
    <cellStyle name="Dane wyjściowe 2 23 48 2" xfId="15569"/>
    <cellStyle name="Dane wyjściowe 2 23 48 3" xfId="15570"/>
    <cellStyle name="Dane wyjściowe 2 23 49" xfId="15571"/>
    <cellStyle name="Dane wyjściowe 2 23 49 2" xfId="15572"/>
    <cellStyle name="Dane wyjściowe 2 23 49 3" xfId="15573"/>
    <cellStyle name="Dane wyjściowe 2 23 5" xfId="15574"/>
    <cellStyle name="Dane wyjściowe 2 23 5 2" xfId="15575"/>
    <cellStyle name="Dane wyjściowe 2 23 5 3" xfId="15576"/>
    <cellStyle name="Dane wyjściowe 2 23 5 4" xfId="15577"/>
    <cellStyle name="Dane wyjściowe 2 23 50" xfId="15578"/>
    <cellStyle name="Dane wyjściowe 2 23 50 2" xfId="15579"/>
    <cellStyle name="Dane wyjściowe 2 23 50 3" xfId="15580"/>
    <cellStyle name="Dane wyjściowe 2 23 51" xfId="15581"/>
    <cellStyle name="Dane wyjściowe 2 23 51 2" xfId="15582"/>
    <cellStyle name="Dane wyjściowe 2 23 51 3" xfId="15583"/>
    <cellStyle name="Dane wyjściowe 2 23 52" xfId="15584"/>
    <cellStyle name="Dane wyjściowe 2 23 52 2" xfId="15585"/>
    <cellStyle name="Dane wyjściowe 2 23 52 3" xfId="15586"/>
    <cellStyle name="Dane wyjściowe 2 23 53" xfId="15587"/>
    <cellStyle name="Dane wyjściowe 2 23 53 2" xfId="15588"/>
    <cellStyle name="Dane wyjściowe 2 23 53 3" xfId="15589"/>
    <cellStyle name="Dane wyjściowe 2 23 54" xfId="15590"/>
    <cellStyle name="Dane wyjściowe 2 23 54 2" xfId="15591"/>
    <cellStyle name="Dane wyjściowe 2 23 54 3" xfId="15592"/>
    <cellStyle name="Dane wyjściowe 2 23 55" xfId="15593"/>
    <cellStyle name="Dane wyjściowe 2 23 55 2" xfId="15594"/>
    <cellStyle name="Dane wyjściowe 2 23 55 3" xfId="15595"/>
    <cellStyle name="Dane wyjściowe 2 23 56" xfId="15596"/>
    <cellStyle name="Dane wyjściowe 2 23 56 2" xfId="15597"/>
    <cellStyle name="Dane wyjściowe 2 23 56 3" xfId="15598"/>
    <cellStyle name="Dane wyjściowe 2 23 57" xfId="15599"/>
    <cellStyle name="Dane wyjściowe 2 23 58" xfId="15600"/>
    <cellStyle name="Dane wyjściowe 2 23 6" xfId="15601"/>
    <cellStyle name="Dane wyjściowe 2 23 6 2" xfId="15602"/>
    <cellStyle name="Dane wyjściowe 2 23 6 3" xfId="15603"/>
    <cellStyle name="Dane wyjściowe 2 23 6 4" xfId="15604"/>
    <cellStyle name="Dane wyjściowe 2 23 7" xfId="15605"/>
    <cellStyle name="Dane wyjściowe 2 23 7 2" xfId="15606"/>
    <cellStyle name="Dane wyjściowe 2 23 7 3" xfId="15607"/>
    <cellStyle name="Dane wyjściowe 2 23 7 4" xfId="15608"/>
    <cellStyle name="Dane wyjściowe 2 23 8" xfId="15609"/>
    <cellStyle name="Dane wyjściowe 2 23 8 2" xfId="15610"/>
    <cellStyle name="Dane wyjściowe 2 23 8 3" xfId="15611"/>
    <cellStyle name="Dane wyjściowe 2 23 8 4" xfId="15612"/>
    <cellStyle name="Dane wyjściowe 2 23 9" xfId="15613"/>
    <cellStyle name="Dane wyjściowe 2 23 9 2" xfId="15614"/>
    <cellStyle name="Dane wyjściowe 2 23 9 3" xfId="15615"/>
    <cellStyle name="Dane wyjściowe 2 23 9 4" xfId="15616"/>
    <cellStyle name="Dane wyjściowe 2 24" xfId="15617"/>
    <cellStyle name="Dane wyjściowe 2 24 10" xfId="15618"/>
    <cellStyle name="Dane wyjściowe 2 24 10 2" xfId="15619"/>
    <cellStyle name="Dane wyjściowe 2 24 10 3" xfId="15620"/>
    <cellStyle name="Dane wyjściowe 2 24 10 4" xfId="15621"/>
    <cellStyle name="Dane wyjściowe 2 24 11" xfId="15622"/>
    <cellStyle name="Dane wyjściowe 2 24 11 2" xfId="15623"/>
    <cellStyle name="Dane wyjściowe 2 24 11 3" xfId="15624"/>
    <cellStyle name="Dane wyjściowe 2 24 11 4" xfId="15625"/>
    <cellStyle name="Dane wyjściowe 2 24 12" xfId="15626"/>
    <cellStyle name="Dane wyjściowe 2 24 12 2" xfId="15627"/>
    <cellStyle name="Dane wyjściowe 2 24 12 3" xfId="15628"/>
    <cellStyle name="Dane wyjściowe 2 24 12 4" xfId="15629"/>
    <cellStyle name="Dane wyjściowe 2 24 13" xfId="15630"/>
    <cellStyle name="Dane wyjściowe 2 24 13 2" xfId="15631"/>
    <cellStyle name="Dane wyjściowe 2 24 13 3" xfId="15632"/>
    <cellStyle name="Dane wyjściowe 2 24 13 4" xfId="15633"/>
    <cellStyle name="Dane wyjściowe 2 24 14" xfId="15634"/>
    <cellStyle name="Dane wyjściowe 2 24 14 2" xfId="15635"/>
    <cellStyle name="Dane wyjściowe 2 24 14 3" xfId="15636"/>
    <cellStyle name="Dane wyjściowe 2 24 14 4" xfId="15637"/>
    <cellStyle name="Dane wyjściowe 2 24 15" xfId="15638"/>
    <cellStyle name="Dane wyjściowe 2 24 15 2" xfId="15639"/>
    <cellStyle name="Dane wyjściowe 2 24 15 3" xfId="15640"/>
    <cellStyle name="Dane wyjściowe 2 24 15 4" xfId="15641"/>
    <cellStyle name="Dane wyjściowe 2 24 16" xfId="15642"/>
    <cellStyle name="Dane wyjściowe 2 24 16 2" xfId="15643"/>
    <cellStyle name="Dane wyjściowe 2 24 16 3" xfId="15644"/>
    <cellStyle name="Dane wyjściowe 2 24 16 4" xfId="15645"/>
    <cellStyle name="Dane wyjściowe 2 24 17" xfId="15646"/>
    <cellStyle name="Dane wyjściowe 2 24 17 2" xfId="15647"/>
    <cellStyle name="Dane wyjściowe 2 24 17 3" xfId="15648"/>
    <cellStyle name="Dane wyjściowe 2 24 17 4" xfId="15649"/>
    <cellStyle name="Dane wyjściowe 2 24 18" xfId="15650"/>
    <cellStyle name="Dane wyjściowe 2 24 18 2" xfId="15651"/>
    <cellStyle name="Dane wyjściowe 2 24 18 3" xfId="15652"/>
    <cellStyle name="Dane wyjściowe 2 24 18 4" xfId="15653"/>
    <cellStyle name="Dane wyjściowe 2 24 19" xfId="15654"/>
    <cellStyle name="Dane wyjściowe 2 24 19 2" xfId="15655"/>
    <cellStyle name="Dane wyjściowe 2 24 19 3" xfId="15656"/>
    <cellStyle name="Dane wyjściowe 2 24 19 4" xfId="15657"/>
    <cellStyle name="Dane wyjściowe 2 24 2" xfId="15658"/>
    <cellStyle name="Dane wyjściowe 2 24 2 2" xfId="15659"/>
    <cellStyle name="Dane wyjściowe 2 24 2 3" xfId="15660"/>
    <cellStyle name="Dane wyjściowe 2 24 2 4" xfId="15661"/>
    <cellStyle name="Dane wyjściowe 2 24 20" xfId="15662"/>
    <cellStyle name="Dane wyjściowe 2 24 20 2" xfId="15663"/>
    <cellStyle name="Dane wyjściowe 2 24 20 3" xfId="15664"/>
    <cellStyle name="Dane wyjściowe 2 24 20 4" xfId="15665"/>
    <cellStyle name="Dane wyjściowe 2 24 21" xfId="15666"/>
    <cellStyle name="Dane wyjściowe 2 24 21 2" xfId="15667"/>
    <cellStyle name="Dane wyjściowe 2 24 21 3" xfId="15668"/>
    <cellStyle name="Dane wyjściowe 2 24 22" xfId="15669"/>
    <cellStyle name="Dane wyjściowe 2 24 22 2" xfId="15670"/>
    <cellStyle name="Dane wyjściowe 2 24 22 3" xfId="15671"/>
    <cellStyle name="Dane wyjściowe 2 24 23" xfId="15672"/>
    <cellStyle name="Dane wyjściowe 2 24 23 2" xfId="15673"/>
    <cellStyle name="Dane wyjściowe 2 24 23 3" xfId="15674"/>
    <cellStyle name="Dane wyjściowe 2 24 24" xfId="15675"/>
    <cellStyle name="Dane wyjściowe 2 24 24 2" xfId="15676"/>
    <cellStyle name="Dane wyjściowe 2 24 24 3" xfId="15677"/>
    <cellStyle name="Dane wyjściowe 2 24 25" xfId="15678"/>
    <cellStyle name="Dane wyjściowe 2 24 25 2" xfId="15679"/>
    <cellStyle name="Dane wyjściowe 2 24 25 3" xfId="15680"/>
    <cellStyle name="Dane wyjściowe 2 24 26" xfId="15681"/>
    <cellStyle name="Dane wyjściowe 2 24 26 2" xfId="15682"/>
    <cellStyle name="Dane wyjściowe 2 24 26 3" xfId="15683"/>
    <cellStyle name="Dane wyjściowe 2 24 27" xfId="15684"/>
    <cellStyle name="Dane wyjściowe 2 24 27 2" xfId="15685"/>
    <cellStyle name="Dane wyjściowe 2 24 27 3" xfId="15686"/>
    <cellStyle name="Dane wyjściowe 2 24 28" xfId="15687"/>
    <cellStyle name="Dane wyjściowe 2 24 28 2" xfId="15688"/>
    <cellStyle name="Dane wyjściowe 2 24 28 3" xfId="15689"/>
    <cellStyle name="Dane wyjściowe 2 24 29" xfId="15690"/>
    <cellStyle name="Dane wyjściowe 2 24 29 2" xfId="15691"/>
    <cellStyle name="Dane wyjściowe 2 24 29 3" xfId="15692"/>
    <cellStyle name="Dane wyjściowe 2 24 3" xfId="15693"/>
    <cellStyle name="Dane wyjściowe 2 24 3 2" xfId="15694"/>
    <cellStyle name="Dane wyjściowe 2 24 3 3" xfId="15695"/>
    <cellStyle name="Dane wyjściowe 2 24 3 4" xfId="15696"/>
    <cellStyle name="Dane wyjściowe 2 24 30" xfId="15697"/>
    <cellStyle name="Dane wyjściowe 2 24 30 2" xfId="15698"/>
    <cellStyle name="Dane wyjściowe 2 24 30 3" xfId="15699"/>
    <cellStyle name="Dane wyjściowe 2 24 31" xfId="15700"/>
    <cellStyle name="Dane wyjściowe 2 24 31 2" xfId="15701"/>
    <cellStyle name="Dane wyjściowe 2 24 31 3" xfId="15702"/>
    <cellStyle name="Dane wyjściowe 2 24 32" xfId="15703"/>
    <cellStyle name="Dane wyjściowe 2 24 32 2" xfId="15704"/>
    <cellStyle name="Dane wyjściowe 2 24 32 3" xfId="15705"/>
    <cellStyle name="Dane wyjściowe 2 24 33" xfId="15706"/>
    <cellStyle name="Dane wyjściowe 2 24 33 2" xfId="15707"/>
    <cellStyle name="Dane wyjściowe 2 24 33 3" xfId="15708"/>
    <cellStyle name="Dane wyjściowe 2 24 34" xfId="15709"/>
    <cellStyle name="Dane wyjściowe 2 24 34 2" xfId="15710"/>
    <cellStyle name="Dane wyjściowe 2 24 34 3" xfId="15711"/>
    <cellStyle name="Dane wyjściowe 2 24 35" xfId="15712"/>
    <cellStyle name="Dane wyjściowe 2 24 35 2" xfId="15713"/>
    <cellStyle name="Dane wyjściowe 2 24 35 3" xfId="15714"/>
    <cellStyle name="Dane wyjściowe 2 24 36" xfId="15715"/>
    <cellStyle name="Dane wyjściowe 2 24 36 2" xfId="15716"/>
    <cellStyle name="Dane wyjściowe 2 24 36 3" xfId="15717"/>
    <cellStyle name="Dane wyjściowe 2 24 37" xfId="15718"/>
    <cellStyle name="Dane wyjściowe 2 24 37 2" xfId="15719"/>
    <cellStyle name="Dane wyjściowe 2 24 37 3" xfId="15720"/>
    <cellStyle name="Dane wyjściowe 2 24 38" xfId="15721"/>
    <cellStyle name="Dane wyjściowe 2 24 38 2" xfId="15722"/>
    <cellStyle name="Dane wyjściowe 2 24 38 3" xfId="15723"/>
    <cellStyle name="Dane wyjściowe 2 24 39" xfId="15724"/>
    <cellStyle name="Dane wyjściowe 2 24 39 2" xfId="15725"/>
    <cellStyle name="Dane wyjściowe 2 24 39 3" xfId="15726"/>
    <cellStyle name="Dane wyjściowe 2 24 4" xfId="15727"/>
    <cellStyle name="Dane wyjściowe 2 24 4 2" xfId="15728"/>
    <cellStyle name="Dane wyjściowe 2 24 4 3" xfId="15729"/>
    <cellStyle name="Dane wyjściowe 2 24 4 4" xfId="15730"/>
    <cellStyle name="Dane wyjściowe 2 24 40" xfId="15731"/>
    <cellStyle name="Dane wyjściowe 2 24 40 2" xfId="15732"/>
    <cellStyle name="Dane wyjściowe 2 24 40 3" xfId="15733"/>
    <cellStyle name="Dane wyjściowe 2 24 41" xfId="15734"/>
    <cellStyle name="Dane wyjściowe 2 24 41 2" xfId="15735"/>
    <cellStyle name="Dane wyjściowe 2 24 41 3" xfId="15736"/>
    <cellStyle name="Dane wyjściowe 2 24 42" xfId="15737"/>
    <cellStyle name="Dane wyjściowe 2 24 42 2" xfId="15738"/>
    <cellStyle name="Dane wyjściowe 2 24 42 3" xfId="15739"/>
    <cellStyle name="Dane wyjściowe 2 24 43" xfId="15740"/>
    <cellStyle name="Dane wyjściowe 2 24 43 2" xfId="15741"/>
    <cellStyle name="Dane wyjściowe 2 24 43 3" xfId="15742"/>
    <cellStyle name="Dane wyjściowe 2 24 44" xfId="15743"/>
    <cellStyle name="Dane wyjściowe 2 24 44 2" xfId="15744"/>
    <cellStyle name="Dane wyjściowe 2 24 44 3" xfId="15745"/>
    <cellStyle name="Dane wyjściowe 2 24 45" xfId="15746"/>
    <cellStyle name="Dane wyjściowe 2 24 45 2" xfId="15747"/>
    <cellStyle name="Dane wyjściowe 2 24 45 3" xfId="15748"/>
    <cellStyle name="Dane wyjściowe 2 24 46" xfId="15749"/>
    <cellStyle name="Dane wyjściowe 2 24 46 2" xfId="15750"/>
    <cellStyle name="Dane wyjściowe 2 24 46 3" xfId="15751"/>
    <cellStyle name="Dane wyjściowe 2 24 47" xfId="15752"/>
    <cellStyle name="Dane wyjściowe 2 24 47 2" xfId="15753"/>
    <cellStyle name="Dane wyjściowe 2 24 47 3" xfId="15754"/>
    <cellStyle name="Dane wyjściowe 2 24 48" xfId="15755"/>
    <cellStyle name="Dane wyjściowe 2 24 48 2" xfId="15756"/>
    <cellStyle name="Dane wyjściowe 2 24 48 3" xfId="15757"/>
    <cellStyle name="Dane wyjściowe 2 24 49" xfId="15758"/>
    <cellStyle name="Dane wyjściowe 2 24 49 2" xfId="15759"/>
    <cellStyle name="Dane wyjściowe 2 24 49 3" xfId="15760"/>
    <cellStyle name="Dane wyjściowe 2 24 5" xfId="15761"/>
    <cellStyle name="Dane wyjściowe 2 24 5 2" xfId="15762"/>
    <cellStyle name="Dane wyjściowe 2 24 5 3" xfId="15763"/>
    <cellStyle name="Dane wyjściowe 2 24 5 4" xfId="15764"/>
    <cellStyle name="Dane wyjściowe 2 24 50" xfId="15765"/>
    <cellStyle name="Dane wyjściowe 2 24 50 2" xfId="15766"/>
    <cellStyle name="Dane wyjściowe 2 24 50 3" xfId="15767"/>
    <cellStyle name="Dane wyjściowe 2 24 51" xfId="15768"/>
    <cellStyle name="Dane wyjściowe 2 24 51 2" xfId="15769"/>
    <cellStyle name="Dane wyjściowe 2 24 51 3" xfId="15770"/>
    <cellStyle name="Dane wyjściowe 2 24 52" xfId="15771"/>
    <cellStyle name="Dane wyjściowe 2 24 52 2" xfId="15772"/>
    <cellStyle name="Dane wyjściowe 2 24 52 3" xfId="15773"/>
    <cellStyle name="Dane wyjściowe 2 24 53" xfId="15774"/>
    <cellStyle name="Dane wyjściowe 2 24 53 2" xfId="15775"/>
    <cellStyle name="Dane wyjściowe 2 24 53 3" xfId="15776"/>
    <cellStyle name="Dane wyjściowe 2 24 54" xfId="15777"/>
    <cellStyle name="Dane wyjściowe 2 24 54 2" xfId="15778"/>
    <cellStyle name="Dane wyjściowe 2 24 54 3" xfId="15779"/>
    <cellStyle name="Dane wyjściowe 2 24 55" xfId="15780"/>
    <cellStyle name="Dane wyjściowe 2 24 55 2" xfId="15781"/>
    <cellStyle name="Dane wyjściowe 2 24 55 3" xfId="15782"/>
    <cellStyle name="Dane wyjściowe 2 24 56" xfId="15783"/>
    <cellStyle name="Dane wyjściowe 2 24 56 2" xfId="15784"/>
    <cellStyle name="Dane wyjściowe 2 24 56 3" xfId="15785"/>
    <cellStyle name="Dane wyjściowe 2 24 57" xfId="15786"/>
    <cellStyle name="Dane wyjściowe 2 24 58" xfId="15787"/>
    <cellStyle name="Dane wyjściowe 2 24 6" xfId="15788"/>
    <cellStyle name="Dane wyjściowe 2 24 6 2" xfId="15789"/>
    <cellStyle name="Dane wyjściowe 2 24 6 3" xfId="15790"/>
    <cellStyle name="Dane wyjściowe 2 24 6 4" xfId="15791"/>
    <cellStyle name="Dane wyjściowe 2 24 7" xfId="15792"/>
    <cellStyle name="Dane wyjściowe 2 24 7 2" xfId="15793"/>
    <cellStyle name="Dane wyjściowe 2 24 7 3" xfId="15794"/>
    <cellStyle name="Dane wyjściowe 2 24 7 4" xfId="15795"/>
    <cellStyle name="Dane wyjściowe 2 24 8" xfId="15796"/>
    <cellStyle name="Dane wyjściowe 2 24 8 2" xfId="15797"/>
    <cellStyle name="Dane wyjściowe 2 24 8 3" xfId="15798"/>
    <cellStyle name="Dane wyjściowe 2 24 8 4" xfId="15799"/>
    <cellStyle name="Dane wyjściowe 2 24 9" xfId="15800"/>
    <cellStyle name="Dane wyjściowe 2 24 9 2" xfId="15801"/>
    <cellStyle name="Dane wyjściowe 2 24 9 3" xfId="15802"/>
    <cellStyle name="Dane wyjściowe 2 24 9 4" xfId="15803"/>
    <cellStyle name="Dane wyjściowe 2 25" xfId="15804"/>
    <cellStyle name="Dane wyjściowe 2 25 10" xfId="15805"/>
    <cellStyle name="Dane wyjściowe 2 25 10 2" xfId="15806"/>
    <cellStyle name="Dane wyjściowe 2 25 10 3" xfId="15807"/>
    <cellStyle name="Dane wyjściowe 2 25 10 4" xfId="15808"/>
    <cellStyle name="Dane wyjściowe 2 25 11" xfId="15809"/>
    <cellStyle name="Dane wyjściowe 2 25 11 2" xfId="15810"/>
    <cellStyle name="Dane wyjściowe 2 25 11 3" xfId="15811"/>
    <cellStyle name="Dane wyjściowe 2 25 11 4" xfId="15812"/>
    <cellStyle name="Dane wyjściowe 2 25 12" xfId="15813"/>
    <cellStyle name="Dane wyjściowe 2 25 12 2" xfId="15814"/>
    <cellStyle name="Dane wyjściowe 2 25 12 3" xfId="15815"/>
    <cellStyle name="Dane wyjściowe 2 25 12 4" xfId="15816"/>
    <cellStyle name="Dane wyjściowe 2 25 13" xfId="15817"/>
    <cellStyle name="Dane wyjściowe 2 25 13 2" xfId="15818"/>
    <cellStyle name="Dane wyjściowe 2 25 13 3" xfId="15819"/>
    <cellStyle name="Dane wyjściowe 2 25 13 4" xfId="15820"/>
    <cellStyle name="Dane wyjściowe 2 25 14" xfId="15821"/>
    <cellStyle name="Dane wyjściowe 2 25 14 2" xfId="15822"/>
    <cellStyle name="Dane wyjściowe 2 25 14 3" xfId="15823"/>
    <cellStyle name="Dane wyjściowe 2 25 14 4" xfId="15824"/>
    <cellStyle name="Dane wyjściowe 2 25 15" xfId="15825"/>
    <cellStyle name="Dane wyjściowe 2 25 15 2" xfId="15826"/>
    <cellStyle name="Dane wyjściowe 2 25 15 3" xfId="15827"/>
    <cellStyle name="Dane wyjściowe 2 25 15 4" xfId="15828"/>
    <cellStyle name="Dane wyjściowe 2 25 16" xfId="15829"/>
    <cellStyle name="Dane wyjściowe 2 25 16 2" xfId="15830"/>
    <cellStyle name="Dane wyjściowe 2 25 16 3" xfId="15831"/>
    <cellStyle name="Dane wyjściowe 2 25 16 4" xfId="15832"/>
    <cellStyle name="Dane wyjściowe 2 25 17" xfId="15833"/>
    <cellStyle name="Dane wyjściowe 2 25 17 2" xfId="15834"/>
    <cellStyle name="Dane wyjściowe 2 25 17 3" xfId="15835"/>
    <cellStyle name="Dane wyjściowe 2 25 17 4" xfId="15836"/>
    <cellStyle name="Dane wyjściowe 2 25 18" xfId="15837"/>
    <cellStyle name="Dane wyjściowe 2 25 18 2" xfId="15838"/>
    <cellStyle name="Dane wyjściowe 2 25 18 3" xfId="15839"/>
    <cellStyle name="Dane wyjściowe 2 25 18 4" xfId="15840"/>
    <cellStyle name="Dane wyjściowe 2 25 19" xfId="15841"/>
    <cellStyle name="Dane wyjściowe 2 25 19 2" xfId="15842"/>
    <cellStyle name="Dane wyjściowe 2 25 19 3" xfId="15843"/>
    <cellStyle name="Dane wyjściowe 2 25 19 4" xfId="15844"/>
    <cellStyle name="Dane wyjściowe 2 25 2" xfId="15845"/>
    <cellStyle name="Dane wyjściowe 2 25 2 2" xfId="15846"/>
    <cellStyle name="Dane wyjściowe 2 25 2 3" xfId="15847"/>
    <cellStyle name="Dane wyjściowe 2 25 2 4" xfId="15848"/>
    <cellStyle name="Dane wyjściowe 2 25 20" xfId="15849"/>
    <cellStyle name="Dane wyjściowe 2 25 20 2" xfId="15850"/>
    <cellStyle name="Dane wyjściowe 2 25 20 3" xfId="15851"/>
    <cellStyle name="Dane wyjściowe 2 25 20 4" xfId="15852"/>
    <cellStyle name="Dane wyjściowe 2 25 21" xfId="15853"/>
    <cellStyle name="Dane wyjściowe 2 25 21 2" xfId="15854"/>
    <cellStyle name="Dane wyjściowe 2 25 21 3" xfId="15855"/>
    <cellStyle name="Dane wyjściowe 2 25 22" xfId="15856"/>
    <cellStyle name="Dane wyjściowe 2 25 22 2" xfId="15857"/>
    <cellStyle name="Dane wyjściowe 2 25 22 3" xfId="15858"/>
    <cellStyle name="Dane wyjściowe 2 25 23" xfId="15859"/>
    <cellStyle name="Dane wyjściowe 2 25 23 2" xfId="15860"/>
    <cellStyle name="Dane wyjściowe 2 25 23 3" xfId="15861"/>
    <cellStyle name="Dane wyjściowe 2 25 24" xfId="15862"/>
    <cellStyle name="Dane wyjściowe 2 25 24 2" xfId="15863"/>
    <cellStyle name="Dane wyjściowe 2 25 24 3" xfId="15864"/>
    <cellStyle name="Dane wyjściowe 2 25 25" xfId="15865"/>
    <cellStyle name="Dane wyjściowe 2 25 25 2" xfId="15866"/>
    <cellStyle name="Dane wyjściowe 2 25 25 3" xfId="15867"/>
    <cellStyle name="Dane wyjściowe 2 25 26" xfId="15868"/>
    <cellStyle name="Dane wyjściowe 2 25 26 2" xfId="15869"/>
    <cellStyle name="Dane wyjściowe 2 25 26 3" xfId="15870"/>
    <cellStyle name="Dane wyjściowe 2 25 27" xfId="15871"/>
    <cellStyle name="Dane wyjściowe 2 25 27 2" xfId="15872"/>
    <cellStyle name="Dane wyjściowe 2 25 27 3" xfId="15873"/>
    <cellStyle name="Dane wyjściowe 2 25 28" xfId="15874"/>
    <cellStyle name="Dane wyjściowe 2 25 28 2" xfId="15875"/>
    <cellStyle name="Dane wyjściowe 2 25 28 3" xfId="15876"/>
    <cellStyle name="Dane wyjściowe 2 25 29" xfId="15877"/>
    <cellStyle name="Dane wyjściowe 2 25 29 2" xfId="15878"/>
    <cellStyle name="Dane wyjściowe 2 25 29 3" xfId="15879"/>
    <cellStyle name="Dane wyjściowe 2 25 3" xfId="15880"/>
    <cellStyle name="Dane wyjściowe 2 25 3 2" xfId="15881"/>
    <cellStyle name="Dane wyjściowe 2 25 3 3" xfId="15882"/>
    <cellStyle name="Dane wyjściowe 2 25 3 4" xfId="15883"/>
    <cellStyle name="Dane wyjściowe 2 25 30" xfId="15884"/>
    <cellStyle name="Dane wyjściowe 2 25 30 2" xfId="15885"/>
    <cellStyle name="Dane wyjściowe 2 25 30 3" xfId="15886"/>
    <cellStyle name="Dane wyjściowe 2 25 31" xfId="15887"/>
    <cellStyle name="Dane wyjściowe 2 25 31 2" xfId="15888"/>
    <cellStyle name="Dane wyjściowe 2 25 31 3" xfId="15889"/>
    <cellStyle name="Dane wyjściowe 2 25 32" xfId="15890"/>
    <cellStyle name="Dane wyjściowe 2 25 32 2" xfId="15891"/>
    <cellStyle name="Dane wyjściowe 2 25 32 3" xfId="15892"/>
    <cellStyle name="Dane wyjściowe 2 25 33" xfId="15893"/>
    <cellStyle name="Dane wyjściowe 2 25 33 2" xfId="15894"/>
    <cellStyle name="Dane wyjściowe 2 25 33 3" xfId="15895"/>
    <cellStyle name="Dane wyjściowe 2 25 34" xfId="15896"/>
    <cellStyle name="Dane wyjściowe 2 25 34 2" xfId="15897"/>
    <cellStyle name="Dane wyjściowe 2 25 34 3" xfId="15898"/>
    <cellStyle name="Dane wyjściowe 2 25 35" xfId="15899"/>
    <cellStyle name="Dane wyjściowe 2 25 35 2" xfId="15900"/>
    <cellStyle name="Dane wyjściowe 2 25 35 3" xfId="15901"/>
    <cellStyle name="Dane wyjściowe 2 25 36" xfId="15902"/>
    <cellStyle name="Dane wyjściowe 2 25 36 2" xfId="15903"/>
    <cellStyle name="Dane wyjściowe 2 25 36 3" xfId="15904"/>
    <cellStyle name="Dane wyjściowe 2 25 37" xfId="15905"/>
    <cellStyle name="Dane wyjściowe 2 25 37 2" xfId="15906"/>
    <cellStyle name="Dane wyjściowe 2 25 37 3" xfId="15907"/>
    <cellStyle name="Dane wyjściowe 2 25 38" xfId="15908"/>
    <cellStyle name="Dane wyjściowe 2 25 38 2" xfId="15909"/>
    <cellStyle name="Dane wyjściowe 2 25 38 3" xfId="15910"/>
    <cellStyle name="Dane wyjściowe 2 25 39" xfId="15911"/>
    <cellStyle name="Dane wyjściowe 2 25 39 2" xfId="15912"/>
    <cellStyle name="Dane wyjściowe 2 25 39 3" xfId="15913"/>
    <cellStyle name="Dane wyjściowe 2 25 4" xfId="15914"/>
    <cellStyle name="Dane wyjściowe 2 25 4 2" xfId="15915"/>
    <cellStyle name="Dane wyjściowe 2 25 4 3" xfId="15916"/>
    <cellStyle name="Dane wyjściowe 2 25 4 4" xfId="15917"/>
    <cellStyle name="Dane wyjściowe 2 25 40" xfId="15918"/>
    <cellStyle name="Dane wyjściowe 2 25 40 2" xfId="15919"/>
    <cellStyle name="Dane wyjściowe 2 25 40 3" xfId="15920"/>
    <cellStyle name="Dane wyjściowe 2 25 41" xfId="15921"/>
    <cellStyle name="Dane wyjściowe 2 25 41 2" xfId="15922"/>
    <cellStyle name="Dane wyjściowe 2 25 41 3" xfId="15923"/>
    <cellStyle name="Dane wyjściowe 2 25 42" xfId="15924"/>
    <cellStyle name="Dane wyjściowe 2 25 42 2" xfId="15925"/>
    <cellStyle name="Dane wyjściowe 2 25 42 3" xfId="15926"/>
    <cellStyle name="Dane wyjściowe 2 25 43" xfId="15927"/>
    <cellStyle name="Dane wyjściowe 2 25 43 2" xfId="15928"/>
    <cellStyle name="Dane wyjściowe 2 25 43 3" xfId="15929"/>
    <cellStyle name="Dane wyjściowe 2 25 44" xfId="15930"/>
    <cellStyle name="Dane wyjściowe 2 25 44 2" xfId="15931"/>
    <cellStyle name="Dane wyjściowe 2 25 44 3" xfId="15932"/>
    <cellStyle name="Dane wyjściowe 2 25 45" xfId="15933"/>
    <cellStyle name="Dane wyjściowe 2 25 45 2" xfId="15934"/>
    <cellStyle name="Dane wyjściowe 2 25 45 3" xfId="15935"/>
    <cellStyle name="Dane wyjściowe 2 25 46" xfId="15936"/>
    <cellStyle name="Dane wyjściowe 2 25 46 2" xfId="15937"/>
    <cellStyle name="Dane wyjściowe 2 25 46 3" xfId="15938"/>
    <cellStyle name="Dane wyjściowe 2 25 47" xfId="15939"/>
    <cellStyle name="Dane wyjściowe 2 25 47 2" xfId="15940"/>
    <cellStyle name="Dane wyjściowe 2 25 47 3" xfId="15941"/>
    <cellStyle name="Dane wyjściowe 2 25 48" xfId="15942"/>
    <cellStyle name="Dane wyjściowe 2 25 48 2" xfId="15943"/>
    <cellStyle name="Dane wyjściowe 2 25 48 3" xfId="15944"/>
    <cellStyle name="Dane wyjściowe 2 25 49" xfId="15945"/>
    <cellStyle name="Dane wyjściowe 2 25 49 2" xfId="15946"/>
    <cellStyle name="Dane wyjściowe 2 25 49 3" xfId="15947"/>
    <cellStyle name="Dane wyjściowe 2 25 5" xfId="15948"/>
    <cellStyle name="Dane wyjściowe 2 25 5 2" xfId="15949"/>
    <cellStyle name="Dane wyjściowe 2 25 5 3" xfId="15950"/>
    <cellStyle name="Dane wyjściowe 2 25 5 4" xfId="15951"/>
    <cellStyle name="Dane wyjściowe 2 25 50" xfId="15952"/>
    <cellStyle name="Dane wyjściowe 2 25 50 2" xfId="15953"/>
    <cellStyle name="Dane wyjściowe 2 25 50 3" xfId="15954"/>
    <cellStyle name="Dane wyjściowe 2 25 51" xfId="15955"/>
    <cellStyle name="Dane wyjściowe 2 25 51 2" xfId="15956"/>
    <cellStyle name="Dane wyjściowe 2 25 51 3" xfId="15957"/>
    <cellStyle name="Dane wyjściowe 2 25 52" xfId="15958"/>
    <cellStyle name="Dane wyjściowe 2 25 52 2" xfId="15959"/>
    <cellStyle name="Dane wyjściowe 2 25 52 3" xfId="15960"/>
    <cellStyle name="Dane wyjściowe 2 25 53" xfId="15961"/>
    <cellStyle name="Dane wyjściowe 2 25 53 2" xfId="15962"/>
    <cellStyle name="Dane wyjściowe 2 25 53 3" xfId="15963"/>
    <cellStyle name="Dane wyjściowe 2 25 54" xfId="15964"/>
    <cellStyle name="Dane wyjściowe 2 25 54 2" xfId="15965"/>
    <cellStyle name="Dane wyjściowe 2 25 54 3" xfId="15966"/>
    <cellStyle name="Dane wyjściowe 2 25 55" xfId="15967"/>
    <cellStyle name="Dane wyjściowe 2 25 55 2" xfId="15968"/>
    <cellStyle name="Dane wyjściowe 2 25 55 3" xfId="15969"/>
    <cellStyle name="Dane wyjściowe 2 25 56" xfId="15970"/>
    <cellStyle name="Dane wyjściowe 2 25 56 2" xfId="15971"/>
    <cellStyle name="Dane wyjściowe 2 25 56 3" xfId="15972"/>
    <cellStyle name="Dane wyjściowe 2 25 57" xfId="15973"/>
    <cellStyle name="Dane wyjściowe 2 25 58" xfId="15974"/>
    <cellStyle name="Dane wyjściowe 2 25 6" xfId="15975"/>
    <cellStyle name="Dane wyjściowe 2 25 6 2" xfId="15976"/>
    <cellStyle name="Dane wyjściowe 2 25 6 3" xfId="15977"/>
    <cellStyle name="Dane wyjściowe 2 25 6 4" xfId="15978"/>
    <cellStyle name="Dane wyjściowe 2 25 7" xfId="15979"/>
    <cellStyle name="Dane wyjściowe 2 25 7 2" xfId="15980"/>
    <cellStyle name="Dane wyjściowe 2 25 7 3" xfId="15981"/>
    <cellStyle name="Dane wyjściowe 2 25 7 4" xfId="15982"/>
    <cellStyle name="Dane wyjściowe 2 25 8" xfId="15983"/>
    <cellStyle name="Dane wyjściowe 2 25 8 2" xfId="15984"/>
    <cellStyle name="Dane wyjściowe 2 25 8 3" xfId="15985"/>
    <cellStyle name="Dane wyjściowe 2 25 8 4" xfId="15986"/>
    <cellStyle name="Dane wyjściowe 2 25 9" xfId="15987"/>
    <cellStyle name="Dane wyjściowe 2 25 9 2" xfId="15988"/>
    <cellStyle name="Dane wyjściowe 2 25 9 3" xfId="15989"/>
    <cellStyle name="Dane wyjściowe 2 25 9 4" xfId="15990"/>
    <cellStyle name="Dane wyjściowe 2 26" xfId="15991"/>
    <cellStyle name="Dane wyjściowe 2 26 10" xfId="15992"/>
    <cellStyle name="Dane wyjściowe 2 26 10 2" xfId="15993"/>
    <cellStyle name="Dane wyjściowe 2 26 10 3" xfId="15994"/>
    <cellStyle name="Dane wyjściowe 2 26 10 4" xfId="15995"/>
    <cellStyle name="Dane wyjściowe 2 26 11" xfId="15996"/>
    <cellStyle name="Dane wyjściowe 2 26 11 2" xfId="15997"/>
    <cellStyle name="Dane wyjściowe 2 26 11 3" xfId="15998"/>
    <cellStyle name="Dane wyjściowe 2 26 11 4" xfId="15999"/>
    <cellStyle name="Dane wyjściowe 2 26 12" xfId="16000"/>
    <cellStyle name="Dane wyjściowe 2 26 12 2" xfId="16001"/>
    <cellStyle name="Dane wyjściowe 2 26 12 3" xfId="16002"/>
    <cellStyle name="Dane wyjściowe 2 26 12 4" xfId="16003"/>
    <cellStyle name="Dane wyjściowe 2 26 13" xfId="16004"/>
    <cellStyle name="Dane wyjściowe 2 26 13 2" xfId="16005"/>
    <cellStyle name="Dane wyjściowe 2 26 13 3" xfId="16006"/>
    <cellStyle name="Dane wyjściowe 2 26 13 4" xfId="16007"/>
    <cellStyle name="Dane wyjściowe 2 26 14" xfId="16008"/>
    <cellStyle name="Dane wyjściowe 2 26 14 2" xfId="16009"/>
    <cellStyle name="Dane wyjściowe 2 26 14 3" xfId="16010"/>
    <cellStyle name="Dane wyjściowe 2 26 14 4" xfId="16011"/>
    <cellStyle name="Dane wyjściowe 2 26 15" xfId="16012"/>
    <cellStyle name="Dane wyjściowe 2 26 15 2" xfId="16013"/>
    <cellStyle name="Dane wyjściowe 2 26 15 3" xfId="16014"/>
    <cellStyle name="Dane wyjściowe 2 26 15 4" xfId="16015"/>
    <cellStyle name="Dane wyjściowe 2 26 16" xfId="16016"/>
    <cellStyle name="Dane wyjściowe 2 26 16 2" xfId="16017"/>
    <cellStyle name="Dane wyjściowe 2 26 16 3" xfId="16018"/>
    <cellStyle name="Dane wyjściowe 2 26 16 4" xfId="16019"/>
    <cellStyle name="Dane wyjściowe 2 26 17" xfId="16020"/>
    <cellStyle name="Dane wyjściowe 2 26 17 2" xfId="16021"/>
    <cellStyle name="Dane wyjściowe 2 26 17 3" xfId="16022"/>
    <cellStyle name="Dane wyjściowe 2 26 17 4" xfId="16023"/>
    <cellStyle name="Dane wyjściowe 2 26 18" xfId="16024"/>
    <cellStyle name="Dane wyjściowe 2 26 18 2" xfId="16025"/>
    <cellStyle name="Dane wyjściowe 2 26 18 3" xfId="16026"/>
    <cellStyle name="Dane wyjściowe 2 26 18 4" xfId="16027"/>
    <cellStyle name="Dane wyjściowe 2 26 19" xfId="16028"/>
    <cellStyle name="Dane wyjściowe 2 26 19 2" xfId="16029"/>
    <cellStyle name="Dane wyjściowe 2 26 19 3" xfId="16030"/>
    <cellStyle name="Dane wyjściowe 2 26 19 4" xfId="16031"/>
    <cellStyle name="Dane wyjściowe 2 26 2" xfId="16032"/>
    <cellStyle name="Dane wyjściowe 2 26 2 2" xfId="16033"/>
    <cellStyle name="Dane wyjściowe 2 26 2 3" xfId="16034"/>
    <cellStyle name="Dane wyjściowe 2 26 2 4" xfId="16035"/>
    <cellStyle name="Dane wyjściowe 2 26 20" xfId="16036"/>
    <cellStyle name="Dane wyjściowe 2 26 20 2" xfId="16037"/>
    <cellStyle name="Dane wyjściowe 2 26 20 3" xfId="16038"/>
    <cellStyle name="Dane wyjściowe 2 26 20 4" xfId="16039"/>
    <cellStyle name="Dane wyjściowe 2 26 21" xfId="16040"/>
    <cellStyle name="Dane wyjściowe 2 26 21 2" xfId="16041"/>
    <cellStyle name="Dane wyjściowe 2 26 21 3" xfId="16042"/>
    <cellStyle name="Dane wyjściowe 2 26 22" xfId="16043"/>
    <cellStyle name="Dane wyjściowe 2 26 22 2" xfId="16044"/>
    <cellStyle name="Dane wyjściowe 2 26 22 3" xfId="16045"/>
    <cellStyle name="Dane wyjściowe 2 26 23" xfId="16046"/>
    <cellStyle name="Dane wyjściowe 2 26 23 2" xfId="16047"/>
    <cellStyle name="Dane wyjściowe 2 26 23 3" xfId="16048"/>
    <cellStyle name="Dane wyjściowe 2 26 24" xfId="16049"/>
    <cellStyle name="Dane wyjściowe 2 26 24 2" xfId="16050"/>
    <cellStyle name="Dane wyjściowe 2 26 24 3" xfId="16051"/>
    <cellStyle name="Dane wyjściowe 2 26 25" xfId="16052"/>
    <cellStyle name="Dane wyjściowe 2 26 25 2" xfId="16053"/>
    <cellStyle name="Dane wyjściowe 2 26 25 3" xfId="16054"/>
    <cellStyle name="Dane wyjściowe 2 26 26" xfId="16055"/>
    <cellStyle name="Dane wyjściowe 2 26 26 2" xfId="16056"/>
    <cellStyle name="Dane wyjściowe 2 26 26 3" xfId="16057"/>
    <cellStyle name="Dane wyjściowe 2 26 27" xfId="16058"/>
    <cellStyle name="Dane wyjściowe 2 26 27 2" xfId="16059"/>
    <cellStyle name="Dane wyjściowe 2 26 27 3" xfId="16060"/>
    <cellStyle name="Dane wyjściowe 2 26 28" xfId="16061"/>
    <cellStyle name="Dane wyjściowe 2 26 28 2" xfId="16062"/>
    <cellStyle name="Dane wyjściowe 2 26 28 3" xfId="16063"/>
    <cellStyle name="Dane wyjściowe 2 26 29" xfId="16064"/>
    <cellStyle name="Dane wyjściowe 2 26 29 2" xfId="16065"/>
    <cellStyle name="Dane wyjściowe 2 26 29 3" xfId="16066"/>
    <cellStyle name="Dane wyjściowe 2 26 3" xfId="16067"/>
    <cellStyle name="Dane wyjściowe 2 26 3 2" xfId="16068"/>
    <cellStyle name="Dane wyjściowe 2 26 3 3" xfId="16069"/>
    <cellStyle name="Dane wyjściowe 2 26 3 4" xfId="16070"/>
    <cellStyle name="Dane wyjściowe 2 26 30" xfId="16071"/>
    <cellStyle name="Dane wyjściowe 2 26 30 2" xfId="16072"/>
    <cellStyle name="Dane wyjściowe 2 26 30 3" xfId="16073"/>
    <cellStyle name="Dane wyjściowe 2 26 31" xfId="16074"/>
    <cellStyle name="Dane wyjściowe 2 26 31 2" xfId="16075"/>
    <cellStyle name="Dane wyjściowe 2 26 31 3" xfId="16076"/>
    <cellStyle name="Dane wyjściowe 2 26 32" xfId="16077"/>
    <cellStyle name="Dane wyjściowe 2 26 32 2" xfId="16078"/>
    <cellStyle name="Dane wyjściowe 2 26 32 3" xfId="16079"/>
    <cellStyle name="Dane wyjściowe 2 26 33" xfId="16080"/>
    <cellStyle name="Dane wyjściowe 2 26 33 2" xfId="16081"/>
    <cellStyle name="Dane wyjściowe 2 26 33 3" xfId="16082"/>
    <cellStyle name="Dane wyjściowe 2 26 34" xfId="16083"/>
    <cellStyle name="Dane wyjściowe 2 26 34 2" xfId="16084"/>
    <cellStyle name="Dane wyjściowe 2 26 34 3" xfId="16085"/>
    <cellStyle name="Dane wyjściowe 2 26 35" xfId="16086"/>
    <cellStyle name="Dane wyjściowe 2 26 35 2" xfId="16087"/>
    <cellStyle name="Dane wyjściowe 2 26 35 3" xfId="16088"/>
    <cellStyle name="Dane wyjściowe 2 26 36" xfId="16089"/>
    <cellStyle name="Dane wyjściowe 2 26 36 2" xfId="16090"/>
    <cellStyle name="Dane wyjściowe 2 26 36 3" xfId="16091"/>
    <cellStyle name="Dane wyjściowe 2 26 37" xfId="16092"/>
    <cellStyle name="Dane wyjściowe 2 26 37 2" xfId="16093"/>
    <cellStyle name="Dane wyjściowe 2 26 37 3" xfId="16094"/>
    <cellStyle name="Dane wyjściowe 2 26 38" xfId="16095"/>
    <cellStyle name="Dane wyjściowe 2 26 38 2" xfId="16096"/>
    <cellStyle name="Dane wyjściowe 2 26 38 3" xfId="16097"/>
    <cellStyle name="Dane wyjściowe 2 26 39" xfId="16098"/>
    <cellStyle name="Dane wyjściowe 2 26 39 2" xfId="16099"/>
    <cellStyle name="Dane wyjściowe 2 26 39 3" xfId="16100"/>
    <cellStyle name="Dane wyjściowe 2 26 4" xfId="16101"/>
    <cellStyle name="Dane wyjściowe 2 26 4 2" xfId="16102"/>
    <cellStyle name="Dane wyjściowe 2 26 4 3" xfId="16103"/>
    <cellStyle name="Dane wyjściowe 2 26 4 4" xfId="16104"/>
    <cellStyle name="Dane wyjściowe 2 26 40" xfId="16105"/>
    <cellStyle name="Dane wyjściowe 2 26 40 2" xfId="16106"/>
    <cellStyle name="Dane wyjściowe 2 26 40 3" xfId="16107"/>
    <cellStyle name="Dane wyjściowe 2 26 41" xfId="16108"/>
    <cellStyle name="Dane wyjściowe 2 26 41 2" xfId="16109"/>
    <cellStyle name="Dane wyjściowe 2 26 41 3" xfId="16110"/>
    <cellStyle name="Dane wyjściowe 2 26 42" xfId="16111"/>
    <cellStyle name="Dane wyjściowe 2 26 42 2" xfId="16112"/>
    <cellStyle name="Dane wyjściowe 2 26 42 3" xfId="16113"/>
    <cellStyle name="Dane wyjściowe 2 26 43" xfId="16114"/>
    <cellStyle name="Dane wyjściowe 2 26 43 2" xfId="16115"/>
    <cellStyle name="Dane wyjściowe 2 26 43 3" xfId="16116"/>
    <cellStyle name="Dane wyjściowe 2 26 44" xfId="16117"/>
    <cellStyle name="Dane wyjściowe 2 26 44 2" xfId="16118"/>
    <cellStyle name="Dane wyjściowe 2 26 44 3" xfId="16119"/>
    <cellStyle name="Dane wyjściowe 2 26 45" xfId="16120"/>
    <cellStyle name="Dane wyjściowe 2 26 45 2" xfId="16121"/>
    <cellStyle name="Dane wyjściowe 2 26 45 3" xfId="16122"/>
    <cellStyle name="Dane wyjściowe 2 26 46" xfId="16123"/>
    <cellStyle name="Dane wyjściowe 2 26 46 2" xfId="16124"/>
    <cellStyle name="Dane wyjściowe 2 26 46 3" xfId="16125"/>
    <cellStyle name="Dane wyjściowe 2 26 47" xfId="16126"/>
    <cellStyle name="Dane wyjściowe 2 26 47 2" xfId="16127"/>
    <cellStyle name="Dane wyjściowe 2 26 47 3" xfId="16128"/>
    <cellStyle name="Dane wyjściowe 2 26 48" xfId="16129"/>
    <cellStyle name="Dane wyjściowe 2 26 48 2" xfId="16130"/>
    <cellStyle name="Dane wyjściowe 2 26 48 3" xfId="16131"/>
    <cellStyle name="Dane wyjściowe 2 26 49" xfId="16132"/>
    <cellStyle name="Dane wyjściowe 2 26 49 2" xfId="16133"/>
    <cellStyle name="Dane wyjściowe 2 26 49 3" xfId="16134"/>
    <cellStyle name="Dane wyjściowe 2 26 5" xfId="16135"/>
    <cellStyle name="Dane wyjściowe 2 26 5 2" xfId="16136"/>
    <cellStyle name="Dane wyjściowe 2 26 5 3" xfId="16137"/>
    <cellStyle name="Dane wyjściowe 2 26 5 4" xfId="16138"/>
    <cellStyle name="Dane wyjściowe 2 26 50" xfId="16139"/>
    <cellStyle name="Dane wyjściowe 2 26 50 2" xfId="16140"/>
    <cellStyle name="Dane wyjściowe 2 26 50 3" xfId="16141"/>
    <cellStyle name="Dane wyjściowe 2 26 51" xfId="16142"/>
    <cellStyle name="Dane wyjściowe 2 26 51 2" xfId="16143"/>
    <cellStyle name="Dane wyjściowe 2 26 51 3" xfId="16144"/>
    <cellStyle name="Dane wyjściowe 2 26 52" xfId="16145"/>
    <cellStyle name="Dane wyjściowe 2 26 52 2" xfId="16146"/>
    <cellStyle name="Dane wyjściowe 2 26 52 3" xfId="16147"/>
    <cellStyle name="Dane wyjściowe 2 26 53" xfId="16148"/>
    <cellStyle name="Dane wyjściowe 2 26 53 2" xfId="16149"/>
    <cellStyle name="Dane wyjściowe 2 26 53 3" xfId="16150"/>
    <cellStyle name="Dane wyjściowe 2 26 54" xfId="16151"/>
    <cellStyle name="Dane wyjściowe 2 26 54 2" xfId="16152"/>
    <cellStyle name="Dane wyjściowe 2 26 54 3" xfId="16153"/>
    <cellStyle name="Dane wyjściowe 2 26 55" xfId="16154"/>
    <cellStyle name="Dane wyjściowe 2 26 55 2" xfId="16155"/>
    <cellStyle name="Dane wyjściowe 2 26 55 3" xfId="16156"/>
    <cellStyle name="Dane wyjściowe 2 26 56" xfId="16157"/>
    <cellStyle name="Dane wyjściowe 2 26 56 2" xfId="16158"/>
    <cellStyle name="Dane wyjściowe 2 26 56 3" xfId="16159"/>
    <cellStyle name="Dane wyjściowe 2 26 57" xfId="16160"/>
    <cellStyle name="Dane wyjściowe 2 26 58" xfId="16161"/>
    <cellStyle name="Dane wyjściowe 2 26 6" xfId="16162"/>
    <cellStyle name="Dane wyjściowe 2 26 6 2" xfId="16163"/>
    <cellStyle name="Dane wyjściowe 2 26 6 3" xfId="16164"/>
    <cellStyle name="Dane wyjściowe 2 26 6 4" xfId="16165"/>
    <cellStyle name="Dane wyjściowe 2 26 7" xfId="16166"/>
    <cellStyle name="Dane wyjściowe 2 26 7 2" xfId="16167"/>
    <cellStyle name="Dane wyjściowe 2 26 7 3" xfId="16168"/>
    <cellStyle name="Dane wyjściowe 2 26 7 4" xfId="16169"/>
    <cellStyle name="Dane wyjściowe 2 26 8" xfId="16170"/>
    <cellStyle name="Dane wyjściowe 2 26 8 2" xfId="16171"/>
    <cellStyle name="Dane wyjściowe 2 26 8 3" xfId="16172"/>
    <cellStyle name="Dane wyjściowe 2 26 8 4" xfId="16173"/>
    <cellStyle name="Dane wyjściowe 2 26 9" xfId="16174"/>
    <cellStyle name="Dane wyjściowe 2 26 9 2" xfId="16175"/>
    <cellStyle name="Dane wyjściowe 2 26 9 3" xfId="16176"/>
    <cellStyle name="Dane wyjściowe 2 26 9 4" xfId="16177"/>
    <cellStyle name="Dane wyjściowe 2 27" xfId="16178"/>
    <cellStyle name="Dane wyjściowe 2 27 10" xfId="16179"/>
    <cellStyle name="Dane wyjściowe 2 27 10 2" xfId="16180"/>
    <cellStyle name="Dane wyjściowe 2 27 10 3" xfId="16181"/>
    <cellStyle name="Dane wyjściowe 2 27 10 4" xfId="16182"/>
    <cellStyle name="Dane wyjściowe 2 27 11" xfId="16183"/>
    <cellStyle name="Dane wyjściowe 2 27 11 2" xfId="16184"/>
    <cellStyle name="Dane wyjściowe 2 27 11 3" xfId="16185"/>
    <cellStyle name="Dane wyjściowe 2 27 11 4" xfId="16186"/>
    <cellStyle name="Dane wyjściowe 2 27 12" xfId="16187"/>
    <cellStyle name="Dane wyjściowe 2 27 12 2" xfId="16188"/>
    <cellStyle name="Dane wyjściowe 2 27 12 3" xfId="16189"/>
    <cellStyle name="Dane wyjściowe 2 27 12 4" xfId="16190"/>
    <cellStyle name="Dane wyjściowe 2 27 13" xfId="16191"/>
    <cellStyle name="Dane wyjściowe 2 27 13 2" xfId="16192"/>
    <cellStyle name="Dane wyjściowe 2 27 13 3" xfId="16193"/>
    <cellStyle name="Dane wyjściowe 2 27 13 4" xfId="16194"/>
    <cellStyle name="Dane wyjściowe 2 27 14" xfId="16195"/>
    <cellStyle name="Dane wyjściowe 2 27 14 2" xfId="16196"/>
    <cellStyle name="Dane wyjściowe 2 27 14 3" xfId="16197"/>
    <cellStyle name="Dane wyjściowe 2 27 14 4" xfId="16198"/>
    <cellStyle name="Dane wyjściowe 2 27 15" xfId="16199"/>
    <cellStyle name="Dane wyjściowe 2 27 15 2" xfId="16200"/>
    <cellStyle name="Dane wyjściowe 2 27 15 3" xfId="16201"/>
    <cellStyle name="Dane wyjściowe 2 27 15 4" xfId="16202"/>
    <cellStyle name="Dane wyjściowe 2 27 16" xfId="16203"/>
    <cellStyle name="Dane wyjściowe 2 27 16 2" xfId="16204"/>
    <cellStyle name="Dane wyjściowe 2 27 16 3" xfId="16205"/>
    <cellStyle name="Dane wyjściowe 2 27 16 4" xfId="16206"/>
    <cellStyle name="Dane wyjściowe 2 27 17" xfId="16207"/>
    <cellStyle name="Dane wyjściowe 2 27 17 2" xfId="16208"/>
    <cellStyle name="Dane wyjściowe 2 27 17 3" xfId="16209"/>
    <cellStyle name="Dane wyjściowe 2 27 17 4" xfId="16210"/>
    <cellStyle name="Dane wyjściowe 2 27 18" xfId="16211"/>
    <cellStyle name="Dane wyjściowe 2 27 18 2" xfId="16212"/>
    <cellStyle name="Dane wyjściowe 2 27 18 3" xfId="16213"/>
    <cellStyle name="Dane wyjściowe 2 27 18 4" xfId="16214"/>
    <cellStyle name="Dane wyjściowe 2 27 19" xfId="16215"/>
    <cellStyle name="Dane wyjściowe 2 27 19 2" xfId="16216"/>
    <cellStyle name="Dane wyjściowe 2 27 19 3" xfId="16217"/>
    <cellStyle name="Dane wyjściowe 2 27 19 4" xfId="16218"/>
    <cellStyle name="Dane wyjściowe 2 27 2" xfId="16219"/>
    <cellStyle name="Dane wyjściowe 2 27 2 2" xfId="16220"/>
    <cellStyle name="Dane wyjściowe 2 27 2 3" xfId="16221"/>
    <cellStyle name="Dane wyjściowe 2 27 2 4" xfId="16222"/>
    <cellStyle name="Dane wyjściowe 2 27 20" xfId="16223"/>
    <cellStyle name="Dane wyjściowe 2 27 20 2" xfId="16224"/>
    <cellStyle name="Dane wyjściowe 2 27 20 3" xfId="16225"/>
    <cellStyle name="Dane wyjściowe 2 27 20 4" xfId="16226"/>
    <cellStyle name="Dane wyjściowe 2 27 21" xfId="16227"/>
    <cellStyle name="Dane wyjściowe 2 27 21 2" xfId="16228"/>
    <cellStyle name="Dane wyjściowe 2 27 21 3" xfId="16229"/>
    <cellStyle name="Dane wyjściowe 2 27 22" xfId="16230"/>
    <cellStyle name="Dane wyjściowe 2 27 22 2" xfId="16231"/>
    <cellStyle name="Dane wyjściowe 2 27 22 3" xfId="16232"/>
    <cellStyle name="Dane wyjściowe 2 27 23" xfId="16233"/>
    <cellStyle name="Dane wyjściowe 2 27 23 2" xfId="16234"/>
    <cellStyle name="Dane wyjściowe 2 27 23 3" xfId="16235"/>
    <cellStyle name="Dane wyjściowe 2 27 24" xfId="16236"/>
    <cellStyle name="Dane wyjściowe 2 27 24 2" xfId="16237"/>
    <cellStyle name="Dane wyjściowe 2 27 24 3" xfId="16238"/>
    <cellStyle name="Dane wyjściowe 2 27 25" xfId="16239"/>
    <cellStyle name="Dane wyjściowe 2 27 25 2" xfId="16240"/>
    <cellStyle name="Dane wyjściowe 2 27 25 3" xfId="16241"/>
    <cellStyle name="Dane wyjściowe 2 27 26" xfId="16242"/>
    <cellStyle name="Dane wyjściowe 2 27 26 2" xfId="16243"/>
    <cellStyle name="Dane wyjściowe 2 27 26 3" xfId="16244"/>
    <cellStyle name="Dane wyjściowe 2 27 27" xfId="16245"/>
    <cellStyle name="Dane wyjściowe 2 27 27 2" xfId="16246"/>
    <cellStyle name="Dane wyjściowe 2 27 27 3" xfId="16247"/>
    <cellStyle name="Dane wyjściowe 2 27 28" xfId="16248"/>
    <cellStyle name="Dane wyjściowe 2 27 28 2" xfId="16249"/>
    <cellStyle name="Dane wyjściowe 2 27 28 3" xfId="16250"/>
    <cellStyle name="Dane wyjściowe 2 27 29" xfId="16251"/>
    <cellStyle name="Dane wyjściowe 2 27 29 2" xfId="16252"/>
    <cellStyle name="Dane wyjściowe 2 27 29 3" xfId="16253"/>
    <cellStyle name="Dane wyjściowe 2 27 3" xfId="16254"/>
    <cellStyle name="Dane wyjściowe 2 27 3 2" xfId="16255"/>
    <cellStyle name="Dane wyjściowe 2 27 3 3" xfId="16256"/>
    <cellStyle name="Dane wyjściowe 2 27 3 4" xfId="16257"/>
    <cellStyle name="Dane wyjściowe 2 27 30" xfId="16258"/>
    <cellStyle name="Dane wyjściowe 2 27 30 2" xfId="16259"/>
    <cellStyle name="Dane wyjściowe 2 27 30 3" xfId="16260"/>
    <cellStyle name="Dane wyjściowe 2 27 31" xfId="16261"/>
    <cellStyle name="Dane wyjściowe 2 27 31 2" xfId="16262"/>
    <cellStyle name="Dane wyjściowe 2 27 31 3" xfId="16263"/>
    <cellStyle name="Dane wyjściowe 2 27 32" xfId="16264"/>
    <cellStyle name="Dane wyjściowe 2 27 32 2" xfId="16265"/>
    <cellStyle name="Dane wyjściowe 2 27 32 3" xfId="16266"/>
    <cellStyle name="Dane wyjściowe 2 27 33" xfId="16267"/>
    <cellStyle name="Dane wyjściowe 2 27 33 2" xfId="16268"/>
    <cellStyle name="Dane wyjściowe 2 27 33 3" xfId="16269"/>
    <cellStyle name="Dane wyjściowe 2 27 34" xfId="16270"/>
    <cellStyle name="Dane wyjściowe 2 27 34 2" xfId="16271"/>
    <cellStyle name="Dane wyjściowe 2 27 34 3" xfId="16272"/>
    <cellStyle name="Dane wyjściowe 2 27 35" xfId="16273"/>
    <cellStyle name="Dane wyjściowe 2 27 35 2" xfId="16274"/>
    <cellStyle name="Dane wyjściowe 2 27 35 3" xfId="16275"/>
    <cellStyle name="Dane wyjściowe 2 27 36" xfId="16276"/>
    <cellStyle name="Dane wyjściowe 2 27 36 2" xfId="16277"/>
    <cellStyle name="Dane wyjściowe 2 27 36 3" xfId="16278"/>
    <cellStyle name="Dane wyjściowe 2 27 37" xfId="16279"/>
    <cellStyle name="Dane wyjściowe 2 27 37 2" xfId="16280"/>
    <cellStyle name="Dane wyjściowe 2 27 37 3" xfId="16281"/>
    <cellStyle name="Dane wyjściowe 2 27 38" xfId="16282"/>
    <cellStyle name="Dane wyjściowe 2 27 38 2" xfId="16283"/>
    <cellStyle name="Dane wyjściowe 2 27 38 3" xfId="16284"/>
    <cellStyle name="Dane wyjściowe 2 27 39" xfId="16285"/>
    <cellStyle name="Dane wyjściowe 2 27 39 2" xfId="16286"/>
    <cellStyle name="Dane wyjściowe 2 27 39 3" xfId="16287"/>
    <cellStyle name="Dane wyjściowe 2 27 4" xfId="16288"/>
    <cellStyle name="Dane wyjściowe 2 27 4 2" xfId="16289"/>
    <cellStyle name="Dane wyjściowe 2 27 4 3" xfId="16290"/>
    <cellStyle name="Dane wyjściowe 2 27 4 4" xfId="16291"/>
    <cellStyle name="Dane wyjściowe 2 27 40" xfId="16292"/>
    <cellStyle name="Dane wyjściowe 2 27 40 2" xfId="16293"/>
    <cellStyle name="Dane wyjściowe 2 27 40 3" xfId="16294"/>
    <cellStyle name="Dane wyjściowe 2 27 41" xfId="16295"/>
    <cellStyle name="Dane wyjściowe 2 27 41 2" xfId="16296"/>
    <cellStyle name="Dane wyjściowe 2 27 41 3" xfId="16297"/>
    <cellStyle name="Dane wyjściowe 2 27 42" xfId="16298"/>
    <cellStyle name="Dane wyjściowe 2 27 42 2" xfId="16299"/>
    <cellStyle name="Dane wyjściowe 2 27 42 3" xfId="16300"/>
    <cellStyle name="Dane wyjściowe 2 27 43" xfId="16301"/>
    <cellStyle name="Dane wyjściowe 2 27 43 2" xfId="16302"/>
    <cellStyle name="Dane wyjściowe 2 27 43 3" xfId="16303"/>
    <cellStyle name="Dane wyjściowe 2 27 44" xfId="16304"/>
    <cellStyle name="Dane wyjściowe 2 27 44 2" xfId="16305"/>
    <cellStyle name="Dane wyjściowe 2 27 44 3" xfId="16306"/>
    <cellStyle name="Dane wyjściowe 2 27 45" xfId="16307"/>
    <cellStyle name="Dane wyjściowe 2 27 45 2" xfId="16308"/>
    <cellStyle name="Dane wyjściowe 2 27 45 3" xfId="16309"/>
    <cellStyle name="Dane wyjściowe 2 27 46" xfId="16310"/>
    <cellStyle name="Dane wyjściowe 2 27 46 2" xfId="16311"/>
    <cellStyle name="Dane wyjściowe 2 27 46 3" xfId="16312"/>
    <cellStyle name="Dane wyjściowe 2 27 47" xfId="16313"/>
    <cellStyle name="Dane wyjściowe 2 27 47 2" xfId="16314"/>
    <cellStyle name="Dane wyjściowe 2 27 47 3" xfId="16315"/>
    <cellStyle name="Dane wyjściowe 2 27 48" xfId="16316"/>
    <cellStyle name="Dane wyjściowe 2 27 48 2" xfId="16317"/>
    <cellStyle name="Dane wyjściowe 2 27 48 3" xfId="16318"/>
    <cellStyle name="Dane wyjściowe 2 27 49" xfId="16319"/>
    <cellStyle name="Dane wyjściowe 2 27 49 2" xfId="16320"/>
    <cellStyle name="Dane wyjściowe 2 27 49 3" xfId="16321"/>
    <cellStyle name="Dane wyjściowe 2 27 5" xfId="16322"/>
    <cellStyle name="Dane wyjściowe 2 27 5 2" xfId="16323"/>
    <cellStyle name="Dane wyjściowe 2 27 5 3" xfId="16324"/>
    <cellStyle name="Dane wyjściowe 2 27 5 4" xfId="16325"/>
    <cellStyle name="Dane wyjściowe 2 27 50" xfId="16326"/>
    <cellStyle name="Dane wyjściowe 2 27 50 2" xfId="16327"/>
    <cellStyle name="Dane wyjściowe 2 27 50 3" xfId="16328"/>
    <cellStyle name="Dane wyjściowe 2 27 51" xfId="16329"/>
    <cellStyle name="Dane wyjściowe 2 27 51 2" xfId="16330"/>
    <cellStyle name="Dane wyjściowe 2 27 51 3" xfId="16331"/>
    <cellStyle name="Dane wyjściowe 2 27 52" xfId="16332"/>
    <cellStyle name="Dane wyjściowe 2 27 52 2" xfId="16333"/>
    <cellStyle name="Dane wyjściowe 2 27 52 3" xfId="16334"/>
    <cellStyle name="Dane wyjściowe 2 27 53" xfId="16335"/>
    <cellStyle name="Dane wyjściowe 2 27 53 2" xfId="16336"/>
    <cellStyle name="Dane wyjściowe 2 27 53 3" xfId="16337"/>
    <cellStyle name="Dane wyjściowe 2 27 54" xfId="16338"/>
    <cellStyle name="Dane wyjściowe 2 27 54 2" xfId="16339"/>
    <cellStyle name="Dane wyjściowe 2 27 54 3" xfId="16340"/>
    <cellStyle name="Dane wyjściowe 2 27 55" xfId="16341"/>
    <cellStyle name="Dane wyjściowe 2 27 55 2" xfId="16342"/>
    <cellStyle name="Dane wyjściowe 2 27 55 3" xfId="16343"/>
    <cellStyle name="Dane wyjściowe 2 27 56" xfId="16344"/>
    <cellStyle name="Dane wyjściowe 2 27 56 2" xfId="16345"/>
    <cellStyle name="Dane wyjściowe 2 27 56 3" xfId="16346"/>
    <cellStyle name="Dane wyjściowe 2 27 57" xfId="16347"/>
    <cellStyle name="Dane wyjściowe 2 27 58" xfId="16348"/>
    <cellStyle name="Dane wyjściowe 2 27 6" xfId="16349"/>
    <cellStyle name="Dane wyjściowe 2 27 6 2" xfId="16350"/>
    <cellStyle name="Dane wyjściowe 2 27 6 3" xfId="16351"/>
    <cellStyle name="Dane wyjściowe 2 27 6 4" xfId="16352"/>
    <cellStyle name="Dane wyjściowe 2 27 7" xfId="16353"/>
    <cellStyle name="Dane wyjściowe 2 27 7 2" xfId="16354"/>
    <cellStyle name="Dane wyjściowe 2 27 7 3" xfId="16355"/>
    <cellStyle name="Dane wyjściowe 2 27 7 4" xfId="16356"/>
    <cellStyle name="Dane wyjściowe 2 27 8" xfId="16357"/>
    <cellStyle name="Dane wyjściowe 2 27 8 2" xfId="16358"/>
    <cellStyle name="Dane wyjściowe 2 27 8 3" xfId="16359"/>
    <cellStyle name="Dane wyjściowe 2 27 8 4" xfId="16360"/>
    <cellStyle name="Dane wyjściowe 2 27 9" xfId="16361"/>
    <cellStyle name="Dane wyjściowe 2 27 9 2" xfId="16362"/>
    <cellStyle name="Dane wyjściowe 2 27 9 3" xfId="16363"/>
    <cellStyle name="Dane wyjściowe 2 27 9 4" xfId="16364"/>
    <cellStyle name="Dane wyjściowe 2 28" xfId="16365"/>
    <cellStyle name="Dane wyjściowe 2 28 10" xfId="16366"/>
    <cellStyle name="Dane wyjściowe 2 28 10 2" xfId="16367"/>
    <cellStyle name="Dane wyjściowe 2 28 10 3" xfId="16368"/>
    <cellStyle name="Dane wyjściowe 2 28 10 4" xfId="16369"/>
    <cellStyle name="Dane wyjściowe 2 28 11" xfId="16370"/>
    <cellStyle name="Dane wyjściowe 2 28 11 2" xfId="16371"/>
    <cellStyle name="Dane wyjściowe 2 28 11 3" xfId="16372"/>
    <cellStyle name="Dane wyjściowe 2 28 11 4" xfId="16373"/>
    <cellStyle name="Dane wyjściowe 2 28 12" xfId="16374"/>
    <cellStyle name="Dane wyjściowe 2 28 12 2" xfId="16375"/>
    <cellStyle name="Dane wyjściowe 2 28 12 3" xfId="16376"/>
    <cellStyle name="Dane wyjściowe 2 28 12 4" xfId="16377"/>
    <cellStyle name="Dane wyjściowe 2 28 13" xfId="16378"/>
    <cellStyle name="Dane wyjściowe 2 28 13 2" xfId="16379"/>
    <cellStyle name="Dane wyjściowe 2 28 13 3" xfId="16380"/>
    <cellStyle name="Dane wyjściowe 2 28 13 4" xfId="16381"/>
    <cellStyle name="Dane wyjściowe 2 28 14" xfId="16382"/>
    <cellStyle name="Dane wyjściowe 2 28 14 2" xfId="16383"/>
    <cellStyle name="Dane wyjściowe 2 28 14 3" xfId="16384"/>
    <cellStyle name="Dane wyjściowe 2 28 14 4" xfId="16385"/>
    <cellStyle name="Dane wyjściowe 2 28 15" xfId="16386"/>
    <cellStyle name="Dane wyjściowe 2 28 15 2" xfId="16387"/>
    <cellStyle name="Dane wyjściowe 2 28 15 3" xfId="16388"/>
    <cellStyle name="Dane wyjściowe 2 28 15 4" xfId="16389"/>
    <cellStyle name="Dane wyjściowe 2 28 16" xfId="16390"/>
    <cellStyle name="Dane wyjściowe 2 28 16 2" xfId="16391"/>
    <cellStyle name="Dane wyjściowe 2 28 16 3" xfId="16392"/>
    <cellStyle name="Dane wyjściowe 2 28 16 4" xfId="16393"/>
    <cellStyle name="Dane wyjściowe 2 28 17" xfId="16394"/>
    <cellStyle name="Dane wyjściowe 2 28 17 2" xfId="16395"/>
    <cellStyle name="Dane wyjściowe 2 28 17 3" xfId="16396"/>
    <cellStyle name="Dane wyjściowe 2 28 17 4" xfId="16397"/>
    <cellStyle name="Dane wyjściowe 2 28 18" xfId="16398"/>
    <cellStyle name="Dane wyjściowe 2 28 18 2" xfId="16399"/>
    <cellStyle name="Dane wyjściowe 2 28 18 3" xfId="16400"/>
    <cellStyle name="Dane wyjściowe 2 28 18 4" xfId="16401"/>
    <cellStyle name="Dane wyjściowe 2 28 19" xfId="16402"/>
    <cellStyle name="Dane wyjściowe 2 28 19 2" xfId="16403"/>
    <cellStyle name="Dane wyjściowe 2 28 19 3" xfId="16404"/>
    <cellStyle name="Dane wyjściowe 2 28 19 4" xfId="16405"/>
    <cellStyle name="Dane wyjściowe 2 28 2" xfId="16406"/>
    <cellStyle name="Dane wyjściowe 2 28 2 2" xfId="16407"/>
    <cellStyle name="Dane wyjściowe 2 28 2 3" xfId="16408"/>
    <cellStyle name="Dane wyjściowe 2 28 2 4" xfId="16409"/>
    <cellStyle name="Dane wyjściowe 2 28 20" xfId="16410"/>
    <cellStyle name="Dane wyjściowe 2 28 20 2" xfId="16411"/>
    <cellStyle name="Dane wyjściowe 2 28 20 3" xfId="16412"/>
    <cellStyle name="Dane wyjściowe 2 28 20 4" xfId="16413"/>
    <cellStyle name="Dane wyjściowe 2 28 21" xfId="16414"/>
    <cellStyle name="Dane wyjściowe 2 28 21 2" xfId="16415"/>
    <cellStyle name="Dane wyjściowe 2 28 21 3" xfId="16416"/>
    <cellStyle name="Dane wyjściowe 2 28 22" xfId="16417"/>
    <cellStyle name="Dane wyjściowe 2 28 22 2" xfId="16418"/>
    <cellStyle name="Dane wyjściowe 2 28 22 3" xfId="16419"/>
    <cellStyle name="Dane wyjściowe 2 28 23" xfId="16420"/>
    <cellStyle name="Dane wyjściowe 2 28 23 2" xfId="16421"/>
    <cellStyle name="Dane wyjściowe 2 28 23 3" xfId="16422"/>
    <cellStyle name="Dane wyjściowe 2 28 24" xfId="16423"/>
    <cellStyle name="Dane wyjściowe 2 28 24 2" xfId="16424"/>
    <cellStyle name="Dane wyjściowe 2 28 24 3" xfId="16425"/>
    <cellStyle name="Dane wyjściowe 2 28 25" xfId="16426"/>
    <cellStyle name="Dane wyjściowe 2 28 25 2" xfId="16427"/>
    <cellStyle name="Dane wyjściowe 2 28 25 3" xfId="16428"/>
    <cellStyle name="Dane wyjściowe 2 28 26" xfId="16429"/>
    <cellStyle name="Dane wyjściowe 2 28 26 2" xfId="16430"/>
    <cellStyle name="Dane wyjściowe 2 28 26 3" xfId="16431"/>
    <cellStyle name="Dane wyjściowe 2 28 27" xfId="16432"/>
    <cellStyle name="Dane wyjściowe 2 28 27 2" xfId="16433"/>
    <cellStyle name="Dane wyjściowe 2 28 27 3" xfId="16434"/>
    <cellStyle name="Dane wyjściowe 2 28 28" xfId="16435"/>
    <cellStyle name="Dane wyjściowe 2 28 28 2" xfId="16436"/>
    <cellStyle name="Dane wyjściowe 2 28 28 3" xfId="16437"/>
    <cellStyle name="Dane wyjściowe 2 28 29" xfId="16438"/>
    <cellStyle name="Dane wyjściowe 2 28 29 2" xfId="16439"/>
    <cellStyle name="Dane wyjściowe 2 28 29 3" xfId="16440"/>
    <cellStyle name="Dane wyjściowe 2 28 3" xfId="16441"/>
    <cellStyle name="Dane wyjściowe 2 28 3 2" xfId="16442"/>
    <cellStyle name="Dane wyjściowe 2 28 3 3" xfId="16443"/>
    <cellStyle name="Dane wyjściowe 2 28 3 4" xfId="16444"/>
    <cellStyle name="Dane wyjściowe 2 28 30" xfId="16445"/>
    <cellStyle name="Dane wyjściowe 2 28 30 2" xfId="16446"/>
    <cellStyle name="Dane wyjściowe 2 28 30 3" xfId="16447"/>
    <cellStyle name="Dane wyjściowe 2 28 31" xfId="16448"/>
    <cellStyle name="Dane wyjściowe 2 28 31 2" xfId="16449"/>
    <cellStyle name="Dane wyjściowe 2 28 31 3" xfId="16450"/>
    <cellStyle name="Dane wyjściowe 2 28 32" xfId="16451"/>
    <cellStyle name="Dane wyjściowe 2 28 32 2" xfId="16452"/>
    <cellStyle name="Dane wyjściowe 2 28 32 3" xfId="16453"/>
    <cellStyle name="Dane wyjściowe 2 28 33" xfId="16454"/>
    <cellStyle name="Dane wyjściowe 2 28 33 2" xfId="16455"/>
    <cellStyle name="Dane wyjściowe 2 28 33 3" xfId="16456"/>
    <cellStyle name="Dane wyjściowe 2 28 34" xfId="16457"/>
    <cellStyle name="Dane wyjściowe 2 28 34 2" xfId="16458"/>
    <cellStyle name="Dane wyjściowe 2 28 34 3" xfId="16459"/>
    <cellStyle name="Dane wyjściowe 2 28 35" xfId="16460"/>
    <cellStyle name="Dane wyjściowe 2 28 35 2" xfId="16461"/>
    <cellStyle name="Dane wyjściowe 2 28 35 3" xfId="16462"/>
    <cellStyle name="Dane wyjściowe 2 28 36" xfId="16463"/>
    <cellStyle name="Dane wyjściowe 2 28 36 2" xfId="16464"/>
    <cellStyle name="Dane wyjściowe 2 28 36 3" xfId="16465"/>
    <cellStyle name="Dane wyjściowe 2 28 37" xfId="16466"/>
    <cellStyle name="Dane wyjściowe 2 28 37 2" xfId="16467"/>
    <cellStyle name="Dane wyjściowe 2 28 37 3" xfId="16468"/>
    <cellStyle name="Dane wyjściowe 2 28 38" xfId="16469"/>
    <cellStyle name="Dane wyjściowe 2 28 38 2" xfId="16470"/>
    <cellStyle name="Dane wyjściowe 2 28 38 3" xfId="16471"/>
    <cellStyle name="Dane wyjściowe 2 28 39" xfId="16472"/>
    <cellStyle name="Dane wyjściowe 2 28 39 2" xfId="16473"/>
    <cellStyle name="Dane wyjściowe 2 28 39 3" xfId="16474"/>
    <cellStyle name="Dane wyjściowe 2 28 4" xfId="16475"/>
    <cellStyle name="Dane wyjściowe 2 28 4 2" xfId="16476"/>
    <cellStyle name="Dane wyjściowe 2 28 4 3" xfId="16477"/>
    <cellStyle name="Dane wyjściowe 2 28 4 4" xfId="16478"/>
    <cellStyle name="Dane wyjściowe 2 28 40" xfId="16479"/>
    <cellStyle name="Dane wyjściowe 2 28 40 2" xfId="16480"/>
    <cellStyle name="Dane wyjściowe 2 28 40 3" xfId="16481"/>
    <cellStyle name="Dane wyjściowe 2 28 41" xfId="16482"/>
    <cellStyle name="Dane wyjściowe 2 28 41 2" xfId="16483"/>
    <cellStyle name="Dane wyjściowe 2 28 41 3" xfId="16484"/>
    <cellStyle name="Dane wyjściowe 2 28 42" xfId="16485"/>
    <cellStyle name="Dane wyjściowe 2 28 42 2" xfId="16486"/>
    <cellStyle name="Dane wyjściowe 2 28 42 3" xfId="16487"/>
    <cellStyle name="Dane wyjściowe 2 28 43" xfId="16488"/>
    <cellStyle name="Dane wyjściowe 2 28 43 2" xfId="16489"/>
    <cellStyle name="Dane wyjściowe 2 28 43 3" xfId="16490"/>
    <cellStyle name="Dane wyjściowe 2 28 44" xfId="16491"/>
    <cellStyle name="Dane wyjściowe 2 28 44 2" xfId="16492"/>
    <cellStyle name="Dane wyjściowe 2 28 44 3" xfId="16493"/>
    <cellStyle name="Dane wyjściowe 2 28 45" xfId="16494"/>
    <cellStyle name="Dane wyjściowe 2 28 45 2" xfId="16495"/>
    <cellStyle name="Dane wyjściowe 2 28 45 3" xfId="16496"/>
    <cellStyle name="Dane wyjściowe 2 28 46" xfId="16497"/>
    <cellStyle name="Dane wyjściowe 2 28 46 2" xfId="16498"/>
    <cellStyle name="Dane wyjściowe 2 28 46 3" xfId="16499"/>
    <cellStyle name="Dane wyjściowe 2 28 47" xfId="16500"/>
    <cellStyle name="Dane wyjściowe 2 28 47 2" xfId="16501"/>
    <cellStyle name="Dane wyjściowe 2 28 47 3" xfId="16502"/>
    <cellStyle name="Dane wyjściowe 2 28 48" xfId="16503"/>
    <cellStyle name="Dane wyjściowe 2 28 48 2" xfId="16504"/>
    <cellStyle name="Dane wyjściowe 2 28 48 3" xfId="16505"/>
    <cellStyle name="Dane wyjściowe 2 28 49" xfId="16506"/>
    <cellStyle name="Dane wyjściowe 2 28 49 2" xfId="16507"/>
    <cellStyle name="Dane wyjściowe 2 28 49 3" xfId="16508"/>
    <cellStyle name="Dane wyjściowe 2 28 5" xfId="16509"/>
    <cellStyle name="Dane wyjściowe 2 28 5 2" xfId="16510"/>
    <cellStyle name="Dane wyjściowe 2 28 5 3" xfId="16511"/>
    <cellStyle name="Dane wyjściowe 2 28 5 4" xfId="16512"/>
    <cellStyle name="Dane wyjściowe 2 28 50" xfId="16513"/>
    <cellStyle name="Dane wyjściowe 2 28 50 2" xfId="16514"/>
    <cellStyle name="Dane wyjściowe 2 28 50 3" xfId="16515"/>
    <cellStyle name="Dane wyjściowe 2 28 51" xfId="16516"/>
    <cellStyle name="Dane wyjściowe 2 28 51 2" xfId="16517"/>
    <cellStyle name="Dane wyjściowe 2 28 51 3" xfId="16518"/>
    <cellStyle name="Dane wyjściowe 2 28 52" xfId="16519"/>
    <cellStyle name="Dane wyjściowe 2 28 52 2" xfId="16520"/>
    <cellStyle name="Dane wyjściowe 2 28 52 3" xfId="16521"/>
    <cellStyle name="Dane wyjściowe 2 28 53" xfId="16522"/>
    <cellStyle name="Dane wyjściowe 2 28 53 2" xfId="16523"/>
    <cellStyle name="Dane wyjściowe 2 28 53 3" xfId="16524"/>
    <cellStyle name="Dane wyjściowe 2 28 54" xfId="16525"/>
    <cellStyle name="Dane wyjściowe 2 28 54 2" xfId="16526"/>
    <cellStyle name="Dane wyjściowe 2 28 54 3" xfId="16527"/>
    <cellStyle name="Dane wyjściowe 2 28 55" xfId="16528"/>
    <cellStyle name="Dane wyjściowe 2 28 55 2" xfId="16529"/>
    <cellStyle name="Dane wyjściowe 2 28 55 3" xfId="16530"/>
    <cellStyle name="Dane wyjściowe 2 28 56" xfId="16531"/>
    <cellStyle name="Dane wyjściowe 2 28 56 2" xfId="16532"/>
    <cellStyle name="Dane wyjściowe 2 28 56 3" xfId="16533"/>
    <cellStyle name="Dane wyjściowe 2 28 57" xfId="16534"/>
    <cellStyle name="Dane wyjściowe 2 28 58" xfId="16535"/>
    <cellStyle name="Dane wyjściowe 2 28 6" xfId="16536"/>
    <cellStyle name="Dane wyjściowe 2 28 6 2" xfId="16537"/>
    <cellStyle name="Dane wyjściowe 2 28 6 3" xfId="16538"/>
    <cellStyle name="Dane wyjściowe 2 28 6 4" xfId="16539"/>
    <cellStyle name="Dane wyjściowe 2 28 7" xfId="16540"/>
    <cellStyle name="Dane wyjściowe 2 28 7 2" xfId="16541"/>
    <cellStyle name="Dane wyjściowe 2 28 7 3" xfId="16542"/>
    <cellStyle name="Dane wyjściowe 2 28 7 4" xfId="16543"/>
    <cellStyle name="Dane wyjściowe 2 28 8" xfId="16544"/>
    <cellStyle name="Dane wyjściowe 2 28 8 2" xfId="16545"/>
    <cellStyle name="Dane wyjściowe 2 28 8 3" xfId="16546"/>
    <cellStyle name="Dane wyjściowe 2 28 8 4" xfId="16547"/>
    <cellStyle name="Dane wyjściowe 2 28 9" xfId="16548"/>
    <cellStyle name="Dane wyjściowe 2 28 9 2" xfId="16549"/>
    <cellStyle name="Dane wyjściowe 2 28 9 3" xfId="16550"/>
    <cellStyle name="Dane wyjściowe 2 28 9 4" xfId="16551"/>
    <cellStyle name="Dane wyjściowe 2 29" xfId="16552"/>
    <cellStyle name="Dane wyjściowe 2 29 2" xfId="16553"/>
    <cellStyle name="Dane wyjściowe 2 29 3" xfId="16554"/>
    <cellStyle name="Dane wyjściowe 2 29 4" xfId="16555"/>
    <cellStyle name="Dane wyjściowe 2 3" xfId="16556"/>
    <cellStyle name="Dane wyjściowe 2 3 10" xfId="16557"/>
    <cellStyle name="Dane wyjściowe 2 3 10 2" xfId="16558"/>
    <cellStyle name="Dane wyjściowe 2 3 10 3" xfId="16559"/>
    <cellStyle name="Dane wyjściowe 2 3 10 4" xfId="16560"/>
    <cellStyle name="Dane wyjściowe 2 3 11" xfId="16561"/>
    <cellStyle name="Dane wyjściowe 2 3 11 2" xfId="16562"/>
    <cellStyle name="Dane wyjściowe 2 3 11 3" xfId="16563"/>
    <cellStyle name="Dane wyjściowe 2 3 11 4" xfId="16564"/>
    <cellStyle name="Dane wyjściowe 2 3 12" xfId="16565"/>
    <cellStyle name="Dane wyjściowe 2 3 12 2" xfId="16566"/>
    <cellStyle name="Dane wyjściowe 2 3 12 3" xfId="16567"/>
    <cellStyle name="Dane wyjściowe 2 3 12 4" xfId="16568"/>
    <cellStyle name="Dane wyjściowe 2 3 13" xfId="16569"/>
    <cellStyle name="Dane wyjściowe 2 3 13 2" xfId="16570"/>
    <cellStyle name="Dane wyjściowe 2 3 13 3" xfId="16571"/>
    <cellStyle name="Dane wyjściowe 2 3 13 4" xfId="16572"/>
    <cellStyle name="Dane wyjściowe 2 3 14" xfId="16573"/>
    <cellStyle name="Dane wyjściowe 2 3 14 2" xfId="16574"/>
    <cellStyle name="Dane wyjściowe 2 3 14 3" xfId="16575"/>
    <cellStyle name="Dane wyjściowe 2 3 14 4" xfId="16576"/>
    <cellStyle name="Dane wyjściowe 2 3 15" xfId="16577"/>
    <cellStyle name="Dane wyjściowe 2 3 15 2" xfId="16578"/>
    <cellStyle name="Dane wyjściowe 2 3 15 3" xfId="16579"/>
    <cellStyle name="Dane wyjściowe 2 3 15 4" xfId="16580"/>
    <cellStyle name="Dane wyjściowe 2 3 16" xfId="16581"/>
    <cellStyle name="Dane wyjściowe 2 3 16 2" xfId="16582"/>
    <cellStyle name="Dane wyjściowe 2 3 16 3" xfId="16583"/>
    <cellStyle name="Dane wyjściowe 2 3 16 4" xfId="16584"/>
    <cellStyle name="Dane wyjściowe 2 3 17" xfId="16585"/>
    <cellStyle name="Dane wyjściowe 2 3 17 2" xfId="16586"/>
    <cellStyle name="Dane wyjściowe 2 3 17 3" xfId="16587"/>
    <cellStyle name="Dane wyjściowe 2 3 17 4" xfId="16588"/>
    <cellStyle name="Dane wyjściowe 2 3 18" xfId="16589"/>
    <cellStyle name="Dane wyjściowe 2 3 18 2" xfId="16590"/>
    <cellStyle name="Dane wyjściowe 2 3 18 3" xfId="16591"/>
    <cellStyle name="Dane wyjściowe 2 3 18 4" xfId="16592"/>
    <cellStyle name="Dane wyjściowe 2 3 19" xfId="16593"/>
    <cellStyle name="Dane wyjściowe 2 3 19 2" xfId="16594"/>
    <cellStyle name="Dane wyjściowe 2 3 19 3" xfId="16595"/>
    <cellStyle name="Dane wyjściowe 2 3 19 4" xfId="16596"/>
    <cellStyle name="Dane wyjściowe 2 3 2" xfId="16597"/>
    <cellStyle name="Dane wyjściowe 2 3 2 2" xfId="16598"/>
    <cellStyle name="Dane wyjściowe 2 3 2 3" xfId="16599"/>
    <cellStyle name="Dane wyjściowe 2 3 2 4" xfId="16600"/>
    <cellStyle name="Dane wyjściowe 2 3 20" xfId="16601"/>
    <cellStyle name="Dane wyjściowe 2 3 20 2" xfId="16602"/>
    <cellStyle name="Dane wyjściowe 2 3 20 3" xfId="16603"/>
    <cellStyle name="Dane wyjściowe 2 3 20 4" xfId="16604"/>
    <cellStyle name="Dane wyjściowe 2 3 21" xfId="16605"/>
    <cellStyle name="Dane wyjściowe 2 3 21 2" xfId="16606"/>
    <cellStyle name="Dane wyjściowe 2 3 21 3" xfId="16607"/>
    <cellStyle name="Dane wyjściowe 2 3 22" xfId="16608"/>
    <cellStyle name="Dane wyjściowe 2 3 22 2" xfId="16609"/>
    <cellStyle name="Dane wyjściowe 2 3 22 3" xfId="16610"/>
    <cellStyle name="Dane wyjściowe 2 3 23" xfId="16611"/>
    <cellStyle name="Dane wyjściowe 2 3 23 2" xfId="16612"/>
    <cellStyle name="Dane wyjściowe 2 3 23 3" xfId="16613"/>
    <cellStyle name="Dane wyjściowe 2 3 24" xfId="16614"/>
    <cellStyle name="Dane wyjściowe 2 3 24 2" xfId="16615"/>
    <cellStyle name="Dane wyjściowe 2 3 24 3" xfId="16616"/>
    <cellStyle name="Dane wyjściowe 2 3 25" xfId="16617"/>
    <cellStyle name="Dane wyjściowe 2 3 25 2" xfId="16618"/>
    <cellStyle name="Dane wyjściowe 2 3 25 3" xfId="16619"/>
    <cellStyle name="Dane wyjściowe 2 3 26" xfId="16620"/>
    <cellStyle name="Dane wyjściowe 2 3 26 2" xfId="16621"/>
    <cellStyle name="Dane wyjściowe 2 3 26 3" xfId="16622"/>
    <cellStyle name="Dane wyjściowe 2 3 27" xfId="16623"/>
    <cellStyle name="Dane wyjściowe 2 3 27 2" xfId="16624"/>
    <cellStyle name="Dane wyjściowe 2 3 27 3" xfId="16625"/>
    <cellStyle name="Dane wyjściowe 2 3 28" xfId="16626"/>
    <cellStyle name="Dane wyjściowe 2 3 28 2" xfId="16627"/>
    <cellStyle name="Dane wyjściowe 2 3 28 3" xfId="16628"/>
    <cellStyle name="Dane wyjściowe 2 3 29" xfId="16629"/>
    <cellStyle name="Dane wyjściowe 2 3 29 2" xfId="16630"/>
    <cellStyle name="Dane wyjściowe 2 3 29 3" xfId="16631"/>
    <cellStyle name="Dane wyjściowe 2 3 3" xfId="16632"/>
    <cellStyle name="Dane wyjściowe 2 3 3 2" xfId="16633"/>
    <cellStyle name="Dane wyjściowe 2 3 3 3" xfId="16634"/>
    <cellStyle name="Dane wyjściowe 2 3 3 4" xfId="16635"/>
    <cellStyle name="Dane wyjściowe 2 3 30" xfId="16636"/>
    <cellStyle name="Dane wyjściowe 2 3 30 2" xfId="16637"/>
    <cellStyle name="Dane wyjściowe 2 3 30 3" xfId="16638"/>
    <cellStyle name="Dane wyjściowe 2 3 31" xfId="16639"/>
    <cellStyle name="Dane wyjściowe 2 3 31 2" xfId="16640"/>
    <cellStyle name="Dane wyjściowe 2 3 31 3" xfId="16641"/>
    <cellStyle name="Dane wyjściowe 2 3 32" xfId="16642"/>
    <cellStyle name="Dane wyjściowe 2 3 32 2" xfId="16643"/>
    <cellStyle name="Dane wyjściowe 2 3 32 3" xfId="16644"/>
    <cellStyle name="Dane wyjściowe 2 3 33" xfId="16645"/>
    <cellStyle name="Dane wyjściowe 2 3 33 2" xfId="16646"/>
    <cellStyle name="Dane wyjściowe 2 3 33 3" xfId="16647"/>
    <cellStyle name="Dane wyjściowe 2 3 34" xfId="16648"/>
    <cellStyle name="Dane wyjściowe 2 3 34 2" xfId="16649"/>
    <cellStyle name="Dane wyjściowe 2 3 34 3" xfId="16650"/>
    <cellStyle name="Dane wyjściowe 2 3 35" xfId="16651"/>
    <cellStyle name="Dane wyjściowe 2 3 35 2" xfId="16652"/>
    <cellStyle name="Dane wyjściowe 2 3 35 3" xfId="16653"/>
    <cellStyle name="Dane wyjściowe 2 3 36" xfId="16654"/>
    <cellStyle name="Dane wyjściowe 2 3 36 2" xfId="16655"/>
    <cellStyle name="Dane wyjściowe 2 3 36 3" xfId="16656"/>
    <cellStyle name="Dane wyjściowe 2 3 37" xfId="16657"/>
    <cellStyle name="Dane wyjściowe 2 3 37 2" xfId="16658"/>
    <cellStyle name="Dane wyjściowe 2 3 37 3" xfId="16659"/>
    <cellStyle name="Dane wyjściowe 2 3 38" xfId="16660"/>
    <cellStyle name="Dane wyjściowe 2 3 38 2" xfId="16661"/>
    <cellStyle name="Dane wyjściowe 2 3 38 3" xfId="16662"/>
    <cellStyle name="Dane wyjściowe 2 3 39" xfId="16663"/>
    <cellStyle name="Dane wyjściowe 2 3 39 2" xfId="16664"/>
    <cellStyle name="Dane wyjściowe 2 3 39 3" xfId="16665"/>
    <cellStyle name="Dane wyjściowe 2 3 4" xfId="16666"/>
    <cellStyle name="Dane wyjściowe 2 3 4 2" xfId="16667"/>
    <cellStyle name="Dane wyjściowe 2 3 4 3" xfId="16668"/>
    <cellStyle name="Dane wyjściowe 2 3 4 4" xfId="16669"/>
    <cellStyle name="Dane wyjściowe 2 3 40" xfId="16670"/>
    <cellStyle name="Dane wyjściowe 2 3 40 2" xfId="16671"/>
    <cellStyle name="Dane wyjściowe 2 3 40 3" xfId="16672"/>
    <cellStyle name="Dane wyjściowe 2 3 41" xfId="16673"/>
    <cellStyle name="Dane wyjściowe 2 3 41 2" xfId="16674"/>
    <cellStyle name="Dane wyjściowe 2 3 41 3" xfId="16675"/>
    <cellStyle name="Dane wyjściowe 2 3 42" xfId="16676"/>
    <cellStyle name="Dane wyjściowe 2 3 42 2" xfId="16677"/>
    <cellStyle name="Dane wyjściowe 2 3 42 3" xfId="16678"/>
    <cellStyle name="Dane wyjściowe 2 3 43" xfId="16679"/>
    <cellStyle name="Dane wyjściowe 2 3 43 2" xfId="16680"/>
    <cellStyle name="Dane wyjściowe 2 3 43 3" xfId="16681"/>
    <cellStyle name="Dane wyjściowe 2 3 44" xfId="16682"/>
    <cellStyle name="Dane wyjściowe 2 3 44 2" xfId="16683"/>
    <cellStyle name="Dane wyjściowe 2 3 44 3" xfId="16684"/>
    <cellStyle name="Dane wyjściowe 2 3 45" xfId="16685"/>
    <cellStyle name="Dane wyjściowe 2 3 45 2" xfId="16686"/>
    <cellStyle name="Dane wyjściowe 2 3 45 3" xfId="16687"/>
    <cellStyle name="Dane wyjściowe 2 3 46" xfId="16688"/>
    <cellStyle name="Dane wyjściowe 2 3 46 2" xfId="16689"/>
    <cellStyle name="Dane wyjściowe 2 3 46 3" xfId="16690"/>
    <cellStyle name="Dane wyjściowe 2 3 47" xfId="16691"/>
    <cellStyle name="Dane wyjściowe 2 3 47 2" xfId="16692"/>
    <cellStyle name="Dane wyjściowe 2 3 47 3" xfId="16693"/>
    <cellStyle name="Dane wyjściowe 2 3 48" xfId="16694"/>
    <cellStyle name="Dane wyjściowe 2 3 48 2" xfId="16695"/>
    <cellStyle name="Dane wyjściowe 2 3 48 3" xfId="16696"/>
    <cellStyle name="Dane wyjściowe 2 3 49" xfId="16697"/>
    <cellStyle name="Dane wyjściowe 2 3 49 2" xfId="16698"/>
    <cellStyle name="Dane wyjściowe 2 3 49 3" xfId="16699"/>
    <cellStyle name="Dane wyjściowe 2 3 5" xfId="16700"/>
    <cellStyle name="Dane wyjściowe 2 3 5 2" xfId="16701"/>
    <cellStyle name="Dane wyjściowe 2 3 5 3" xfId="16702"/>
    <cellStyle name="Dane wyjściowe 2 3 5 4" xfId="16703"/>
    <cellStyle name="Dane wyjściowe 2 3 50" xfId="16704"/>
    <cellStyle name="Dane wyjściowe 2 3 50 2" xfId="16705"/>
    <cellStyle name="Dane wyjściowe 2 3 50 3" xfId="16706"/>
    <cellStyle name="Dane wyjściowe 2 3 51" xfId="16707"/>
    <cellStyle name="Dane wyjściowe 2 3 51 2" xfId="16708"/>
    <cellStyle name="Dane wyjściowe 2 3 51 3" xfId="16709"/>
    <cellStyle name="Dane wyjściowe 2 3 52" xfId="16710"/>
    <cellStyle name="Dane wyjściowe 2 3 52 2" xfId="16711"/>
    <cellStyle name="Dane wyjściowe 2 3 52 3" xfId="16712"/>
    <cellStyle name="Dane wyjściowe 2 3 53" xfId="16713"/>
    <cellStyle name="Dane wyjściowe 2 3 53 2" xfId="16714"/>
    <cellStyle name="Dane wyjściowe 2 3 53 3" xfId="16715"/>
    <cellStyle name="Dane wyjściowe 2 3 54" xfId="16716"/>
    <cellStyle name="Dane wyjściowe 2 3 54 2" xfId="16717"/>
    <cellStyle name="Dane wyjściowe 2 3 54 3" xfId="16718"/>
    <cellStyle name="Dane wyjściowe 2 3 55" xfId="16719"/>
    <cellStyle name="Dane wyjściowe 2 3 55 2" xfId="16720"/>
    <cellStyle name="Dane wyjściowe 2 3 55 3" xfId="16721"/>
    <cellStyle name="Dane wyjściowe 2 3 56" xfId="16722"/>
    <cellStyle name="Dane wyjściowe 2 3 56 2" xfId="16723"/>
    <cellStyle name="Dane wyjściowe 2 3 56 3" xfId="16724"/>
    <cellStyle name="Dane wyjściowe 2 3 57" xfId="16725"/>
    <cellStyle name="Dane wyjściowe 2 3 58" xfId="16726"/>
    <cellStyle name="Dane wyjściowe 2 3 6" xfId="16727"/>
    <cellStyle name="Dane wyjściowe 2 3 6 2" xfId="16728"/>
    <cellStyle name="Dane wyjściowe 2 3 6 3" xfId="16729"/>
    <cellStyle name="Dane wyjściowe 2 3 6 4" xfId="16730"/>
    <cellStyle name="Dane wyjściowe 2 3 7" xfId="16731"/>
    <cellStyle name="Dane wyjściowe 2 3 7 2" xfId="16732"/>
    <cellStyle name="Dane wyjściowe 2 3 7 3" xfId="16733"/>
    <cellStyle name="Dane wyjściowe 2 3 7 4" xfId="16734"/>
    <cellStyle name="Dane wyjściowe 2 3 8" xfId="16735"/>
    <cellStyle name="Dane wyjściowe 2 3 8 2" xfId="16736"/>
    <cellStyle name="Dane wyjściowe 2 3 8 3" xfId="16737"/>
    <cellStyle name="Dane wyjściowe 2 3 8 4" xfId="16738"/>
    <cellStyle name="Dane wyjściowe 2 3 9" xfId="16739"/>
    <cellStyle name="Dane wyjściowe 2 3 9 2" xfId="16740"/>
    <cellStyle name="Dane wyjściowe 2 3 9 3" xfId="16741"/>
    <cellStyle name="Dane wyjściowe 2 3 9 4" xfId="16742"/>
    <cellStyle name="Dane wyjściowe 2 30" xfId="16743"/>
    <cellStyle name="Dane wyjściowe 2 30 2" xfId="16744"/>
    <cellStyle name="Dane wyjściowe 2 30 3" xfId="16745"/>
    <cellStyle name="Dane wyjściowe 2 30 4" xfId="16746"/>
    <cellStyle name="Dane wyjściowe 2 31" xfId="16747"/>
    <cellStyle name="Dane wyjściowe 2 31 2" xfId="16748"/>
    <cellStyle name="Dane wyjściowe 2 31 3" xfId="16749"/>
    <cellStyle name="Dane wyjściowe 2 31 4" xfId="16750"/>
    <cellStyle name="Dane wyjściowe 2 32" xfId="16751"/>
    <cellStyle name="Dane wyjściowe 2 32 2" xfId="16752"/>
    <cellStyle name="Dane wyjściowe 2 32 3" xfId="16753"/>
    <cellStyle name="Dane wyjściowe 2 32 4" xfId="16754"/>
    <cellStyle name="Dane wyjściowe 2 33" xfId="16755"/>
    <cellStyle name="Dane wyjściowe 2 33 2" xfId="16756"/>
    <cellStyle name="Dane wyjściowe 2 33 3" xfId="16757"/>
    <cellStyle name="Dane wyjściowe 2 33 4" xfId="16758"/>
    <cellStyle name="Dane wyjściowe 2 34" xfId="16759"/>
    <cellStyle name="Dane wyjściowe 2 34 2" xfId="16760"/>
    <cellStyle name="Dane wyjściowe 2 34 3" xfId="16761"/>
    <cellStyle name="Dane wyjściowe 2 34 4" xfId="16762"/>
    <cellStyle name="Dane wyjściowe 2 35" xfId="16763"/>
    <cellStyle name="Dane wyjściowe 2 35 2" xfId="16764"/>
    <cellStyle name="Dane wyjściowe 2 35 3" xfId="16765"/>
    <cellStyle name="Dane wyjściowe 2 35 4" xfId="16766"/>
    <cellStyle name="Dane wyjściowe 2 36" xfId="16767"/>
    <cellStyle name="Dane wyjściowe 2 36 2" xfId="16768"/>
    <cellStyle name="Dane wyjściowe 2 36 3" xfId="16769"/>
    <cellStyle name="Dane wyjściowe 2 36 4" xfId="16770"/>
    <cellStyle name="Dane wyjściowe 2 37" xfId="16771"/>
    <cellStyle name="Dane wyjściowe 2 37 2" xfId="16772"/>
    <cellStyle name="Dane wyjściowe 2 37 3" xfId="16773"/>
    <cellStyle name="Dane wyjściowe 2 37 4" xfId="16774"/>
    <cellStyle name="Dane wyjściowe 2 38" xfId="16775"/>
    <cellStyle name="Dane wyjściowe 2 38 2" xfId="16776"/>
    <cellStyle name="Dane wyjściowe 2 38 3" xfId="16777"/>
    <cellStyle name="Dane wyjściowe 2 38 4" xfId="16778"/>
    <cellStyle name="Dane wyjściowe 2 39" xfId="16779"/>
    <cellStyle name="Dane wyjściowe 2 39 2" xfId="16780"/>
    <cellStyle name="Dane wyjściowe 2 39 3" xfId="16781"/>
    <cellStyle name="Dane wyjściowe 2 39 4" xfId="16782"/>
    <cellStyle name="Dane wyjściowe 2 4" xfId="16783"/>
    <cellStyle name="Dane wyjściowe 2 4 10" xfId="16784"/>
    <cellStyle name="Dane wyjściowe 2 4 10 2" xfId="16785"/>
    <cellStyle name="Dane wyjściowe 2 4 10 3" xfId="16786"/>
    <cellStyle name="Dane wyjściowe 2 4 10 4" xfId="16787"/>
    <cellStyle name="Dane wyjściowe 2 4 11" xfId="16788"/>
    <cellStyle name="Dane wyjściowe 2 4 11 2" xfId="16789"/>
    <cellStyle name="Dane wyjściowe 2 4 11 3" xfId="16790"/>
    <cellStyle name="Dane wyjściowe 2 4 11 4" xfId="16791"/>
    <cellStyle name="Dane wyjściowe 2 4 12" xfId="16792"/>
    <cellStyle name="Dane wyjściowe 2 4 12 2" xfId="16793"/>
    <cellStyle name="Dane wyjściowe 2 4 12 3" xfId="16794"/>
    <cellStyle name="Dane wyjściowe 2 4 12 4" xfId="16795"/>
    <cellStyle name="Dane wyjściowe 2 4 13" xfId="16796"/>
    <cellStyle name="Dane wyjściowe 2 4 13 2" xfId="16797"/>
    <cellStyle name="Dane wyjściowe 2 4 13 3" xfId="16798"/>
    <cellStyle name="Dane wyjściowe 2 4 13 4" xfId="16799"/>
    <cellStyle name="Dane wyjściowe 2 4 14" xfId="16800"/>
    <cellStyle name="Dane wyjściowe 2 4 14 2" xfId="16801"/>
    <cellStyle name="Dane wyjściowe 2 4 14 3" xfId="16802"/>
    <cellStyle name="Dane wyjściowe 2 4 14 4" xfId="16803"/>
    <cellStyle name="Dane wyjściowe 2 4 15" xfId="16804"/>
    <cellStyle name="Dane wyjściowe 2 4 15 2" xfId="16805"/>
    <cellStyle name="Dane wyjściowe 2 4 15 3" xfId="16806"/>
    <cellStyle name="Dane wyjściowe 2 4 15 4" xfId="16807"/>
    <cellStyle name="Dane wyjściowe 2 4 16" xfId="16808"/>
    <cellStyle name="Dane wyjściowe 2 4 16 2" xfId="16809"/>
    <cellStyle name="Dane wyjściowe 2 4 16 3" xfId="16810"/>
    <cellStyle name="Dane wyjściowe 2 4 16 4" xfId="16811"/>
    <cellStyle name="Dane wyjściowe 2 4 17" xfId="16812"/>
    <cellStyle name="Dane wyjściowe 2 4 17 2" xfId="16813"/>
    <cellStyle name="Dane wyjściowe 2 4 17 3" xfId="16814"/>
    <cellStyle name="Dane wyjściowe 2 4 17 4" xfId="16815"/>
    <cellStyle name="Dane wyjściowe 2 4 18" xfId="16816"/>
    <cellStyle name="Dane wyjściowe 2 4 18 2" xfId="16817"/>
    <cellStyle name="Dane wyjściowe 2 4 18 3" xfId="16818"/>
    <cellStyle name="Dane wyjściowe 2 4 18 4" xfId="16819"/>
    <cellStyle name="Dane wyjściowe 2 4 19" xfId="16820"/>
    <cellStyle name="Dane wyjściowe 2 4 19 2" xfId="16821"/>
    <cellStyle name="Dane wyjściowe 2 4 19 3" xfId="16822"/>
    <cellStyle name="Dane wyjściowe 2 4 19 4" xfId="16823"/>
    <cellStyle name="Dane wyjściowe 2 4 2" xfId="16824"/>
    <cellStyle name="Dane wyjściowe 2 4 2 2" xfId="16825"/>
    <cellStyle name="Dane wyjściowe 2 4 2 3" xfId="16826"/>
    <cellStyle name="Dane wyjściowe 2 4 2 4" xfId="16827"/>
    <cellStyle name="Dane wyjściowe 2 4 20" xfId="16828"/>
    <cellStyle name="Dane wyjściowe 2 4 20 2" xfId="16829"/>
    <cellStyle name="Dane wyjściowe 2 4 20 3" xfId="16830"/>
    <cellStyle name="Dane wyjściowe 2 4 20 4" xfId="16831"/>
    <cellStyle name="Dane wyjściowe 2 4 21" xfId="16832"/>
    <cellStyle name="Dane wyjściowe 2 4 21 2" xfId="16833"/>
    <cellStyle name="Dane wyjściowe 2 4 21 3" xfId="16834"/>
    <cellStyle name="Dane wyjściowe 2 4 22" xfId="16835"/>
    <cellStyle name="Dane wyjściowe 2 4 22 2" xfId="16836"/>
    <cellStyle name="Dane wyjściowe 2 4 22 3" xfId="16837"/>
    <cellStyle name="Dane wyjściowe 2 4 23" xfId="16838"/>
    <cellStyle name="Dane wyjściowe 2 4 23 2" xfId="16839"/>
    <cellStyle name="Dane wyjściowe 2 4 23 3" xfId="16840"/>
    <cellStyle name="Dane wyjściowe 2 4 24" xfId="16841"/>
    <cellStyle name="Dane wyjściowe 2 4 24 2" xfId="16842"/>
    <cellStyle name="Dane wyjściowe 2 4 24 3" xfId="16843"/>
    <cellStyle name="Dane wyjściowe 2 4 25" xfId="16844"/>
    <cellStyle name="Dane wyjściowe 2 4 25 2" xfId="16845"/>
    <cellStyle name="Dane wyjściowe 2 4 25 3" xfId="16846"/>
    <cellStyle name="Dane wyjściowe 2 4 26" xfId="16847"/>
    <cellStyle name="Dane wyjściowe 2 4 26 2" xfId="16848"/>
    <cellStyle name="Dane wyjściowe 2 4 26 3" xfId="16849"/>
    <cellStyle name="Dane wyjściowe 2 4 27" xfId="16850"/>
    <cellStyle name="Dane wyjściowe 2 4 27 2" xfId="16851"/>
    <cellStyle name="Dane wyjściowe 2 4 27 3" xfId="16852"/>
    <cellStyle name="Dane wyjściowe 2 4 28" xfId="16853"/>
    <cellStyle name="Dane wyjściowe 2 4 28 2" xfId="16854"/>
    <cellStyle name="Dane wyjściowe 2 4 28 3" xfId="16855"/>
    <cellStyle name="Dane wyjściowe 2 4 29" xfId="16856"/>
    <cellStyle name="Dane wyjściowe 2 4 29 2" xfId="16857"/>
    <cellStyle name="Dane wyjściowe 2 4 29 3" xfId="16858"/>
    <cellStyle name="Dane wyjściowe 2 4 3" xfId="16859"/>
    <cellStyle name="Dane wyjściowe 2 4 3 2" xfId="16860"/>
    <cellStyle name="Dane wyjściowe 2 4 3 3" xfId="16861"/>
    <cellStyle name="Dane wyjściowe 2 4 3 4" xfId="16862"/>
    <cellStyle name="Dane wyjściowe 2 4 30" xfId="16863"/>
    <cellStyle name="Dane wyjściowe 2 4 30 2" xfId="16864"/>
    <cellStyle name="Dane wyjściowe 2 4 30 3" xfId="16865"/>
    <cellStyle name="Dane wyjściowe 2 4 31" xfId="16866"/>
    <cellStyle name="Dane wyjściowe 2 4 31 2" xfId="16867"/>
    <cellStyle name="Dane wyjściowe 2 4 31 3" xfId="16868"/>
    <cellStyle name="Dane wyjściowe 2 4 32" xfId="16869"/>
    <cellStyle name="Dane wyjściowe 2 4 32 2" xfId="16870"/>
    <cellStyle name="Dane wyjściowe 2 4 32 3" xfId="16871"/>
    <cellStyle name="Dane wyjściowe 2 4 33" xfId="16872"/>
    <cellStyle name="Dane wyjściowe 2 4 33 2" xfId="16873"/>
    <cellStyle name="Dane wyjściowe 2 4 33 3" xfId="16874"/>
    <cellStyle name="Dane wyjściowe 2 4 34" xfId="16875"/>
    <cellStyle name="Dane wyjściowe 2 4 34 2" xfId="16876"/>
    <cellStyle name="Dane wyjściowe 2 4 34 3" xfId="16877"/>
    <cellStyle name="Dane wyjściowe 2 4 35" xfId="16878"/>
    <cellStyle name="Dane wyjściowe 2 4 35 2" xfId="16879"/>
    <cellStyle name="Dane wyjściowe 2 4 35 3" xfId="16880"/>
    <cellStyle name="Dane wyjściowe 2 4 36" xfId="16881"/>
    <cellStyle name="Dane wyjściowe 2 4 36 2" xfId="16882"/>
    <cellStyle name="Dane wyjściowe 2 4 36 3" xfId="16883"/>
    <cellStyle name="Dane wyjściowe 2 4 37" xfId="16884"/>
    <cellStyle name="Dane wyjściowe 2 4 37 2" xfId="16885"/>
    <cellStyle name="Dane wyjściowe 2 4 37 3" xfId="16886"/>
    <cellStyle name="Dane wyjściowe 2 4 38" xfId="16887"/>
    <cellStyle name="Dane wyjściowe 2 4 38 2" xfId="16888"/>
    <cellStyle name="Dane wyjściowe 2 4 38 3" xfId="16889"/>
    <cellStyle name="Dane wyjściowe 2 4 39" xfId="16890"/>
    <cellStyle name="Dane wyjściowe 2 4 39 2" xfId="16891"/>
    <cellStyle name="Dane wyjściowe 2 4 39 3" xfId="16892"/>
    <cellStyle name="Dane wyjściowe 2 4 4" xfId="16893"/>
    <cellStyle name="Dane wyjściowe 2 4 4 2" xfId="16894"/>
    <cellStyle name="Dane wyjściowe 2 4 4 3" xfId="16895"/>
    <cellStyle name="Dane wyjściowe 2 4 4 4" xfId="16896"/>
    <cellStyle name="Dane wyjściowe 2 4 40" xfId="16897"/>
    <cellStyle name="Dane wyjściowe 2 4 40 2" xfId="16898"/>
    <cellStyle name="Dane wyjściowe 2 4 40 3" xfId="16899"/>
    <cellStyle name="Dane wyjściowe 2 4 41" xfId="16900"/>
    <cellStyle name="Dane wyjściowe 2 4 41 2" xfId="16901"/>
    <cellStyle name="Dane wyjściowe 2 4 41 3" xfId="16902"/>
    <cellStyle name="Dane wyjściowe 2 4 42" xfId="16903"/>
    <cellStyle name="Dane wyjściowe 2 4 42 2" xfId="16904"/>
    <cellStyle name="Dane wyjściowe 2 4 42 3" xfId="16905"/>
    <cellStyle name="Dane wyjściowe 2 4 43" xfId="16906"/>
    <cellStyle name="Dane wyjściowe 2 4 43 2" xfId="16907"/>
    <cellStyle name="Dane wyjściowe 2 4 43 3" xfId="16908"/>
    <cellStyle name="Dane wyjściowe 2 4 44" xfId="16909"/>
    <cellStyle name="Dane wyjściowe 2 4 44 2" xfId="16910"/>
    <cellStyle name="Dane wyjściowe 2 4 44 3" xfId="16911"/>
    <cellStyle name="Dane wyjściowe 2 4 45" xfId="16912"/>
    <cellStyle name="Dane wyjściowe 2 4 45 2" xfId="16913"/>
    <cellStyle name="Dane wyjściowe 2 4 45 3" xfId="16914"/>
    <cellStyle name="Dane wyjściowe 2 4 46" xfId="16915"/>
    <cellStyle name="Dane wyjściowe 2 4 46 2" xfId="16916"/>
    <cellStyle name="Dane wyjściowe 2 4 46 3" xfId="16917"/>
    <cellStyle name="Dane wyjściowe 2 4 47" xfId="16918"/>
    <cellStyle name="Dane wyjściowe 2 4 47 2" xfId="16919"/>
    <cellStyle name="Dane wyjściowe 2 4 47 3" xfId="16920"/>
    <cellStyle name="Dane wyjściowe 2 4 48" xfId="16921"/>
    <cellStyle name="Dane wyjściowe 2 4 48 2" xfId="16922"/>
    <cellStyle name="Dane wyjściowe 2 4 48 3" xfId="16923"/>
    <cellStyle name="Dane wyjściowe 2 4 49" xfId="16924"/>
    <cellStyle name="Dane wyjściowe 2 4 49 2" xfId="16925"/>
    <cellStyle name="Dane wyjściowe 2 4 49 3" xfId="16926"/>
    <cellStyle name="Dane wyjściowe 2 4 5" xfId="16927"/>
    <cellStyle name="Dane wyjściowe 2 4 5 2" xfId="16928"/>
    <cellStyle name="Dane wyjściowe 2 4 5 3" xfId="16929"/>
    <cellStyle name="Dane wyjściowe 2 4 5 4" xfId="16930"/>
    <cellStyle name="Dane wyjściowe 2 4 50" xfId="16931"/>
    <cellStyle name="Dane wyjściowe 2 4 50 2" xfId="16932"/>
    <cellStyle name="Dane wyjściowe 2 4 50 3" xfId="16933"/>
    <cellStyle name="Dane wyjściowe 2 4 51" xfId="16934"/>
    <cellStyle name="Dane wyjściowe 2 4 51 2" xfId="16935"/>
    <cellStyle name="Dane wyjściowe 2 4 51 3" xfId="16936"/>
    <cellStyle name="Dane wyjściowe 2 4 52" xfId="16937"/>
    <cellStyle name="Dane wyjściowe 2 4 52 2" xfId="16938"/>
    <cellStyle name="Dane wyjściowe 2 4 52 3" xfId="16939"/>
    <cellStyle name="Dane wyjściowe 2 4 53" xfId="16940"/>
    <cellStyle name="Dane wyjściowe 2 4 53 2" xfId="16941"/>
    <cellStyle name="Dane wyjściowe 2 4 53 3" xfId="16942"/>
    <cellStyle name="Dane wyjściowe 2 4 54" xfId="16943"/>
    <cellStyle name="Dane wyjściowe 2 4 54 2" xfId="16944"/>
    <cellStyle name="Dane wyjściowe 2 4 54 3" xfId="16945"/>
    <cellStyle name="Dane wyjściowe 2 4 55" xfId="16946"/>
    <cellStyle name="Dane wyjściowe 2 4 55 2" xfId="16947"/>
    <cellStyle name="Dane wyjściowe 2 4 55 3" xfId="16948"/>
    <cellStyle name="Dane wyjściowe 2 4 56" xfId="16949"/>
    <cellStyle name="Dane wyjściowe 2 4 56 2" xfId="16950"/>
    <cellStyle name="Dane wyjściowe 2 4 56 3" xfId="16951"/>
    <cellStyle name="Dane wyjściowe 2 4 57" xfId="16952"/>
    <cellStyle name="Dane wyjściowe 2 4 58" xfId="16953"/>
    <cellStyle name="Dane wyjściowe 2 4 6" xfId="16954"/>
    <cellStyle name="Dane wyjściowe 2 4 6 2" xfId="16955"/>
    <cellStyle name="Dane wyjściowe 2 4 6 3" xfId="16956"/>
    <cellStyle name="Dane wyjściowe 2 4 6 4" xfId="16957"/>
    <cellStyle name="Dane wyjściowe 2 4 7" xfId="16958"/>
    <cellStyle name="Dane wyjściowe 2 4 7 2" xfId="16959"/>
    <cellStyle name="Dane wyjściowe 2 4 7 3" xfId="16960"/>
    <cellStyle name="Dane wyjściowe 2 4 7 4" xfId="16961"/>
    <cellStyle name="Dane wyjściowe 2 4 8" xfId="16962"/>
    <cellStyle name="Dane wyjściowe 2 4 8 2" xfId="16963"/>
    <cellStyle name="Dane wyjściowe 2 4 8 3" xfId="16964"/>
    <cellStyle name="Dane wyjściowe 2 4 8 4" xfId="16965"/>
    <cellStyle name="Dane wyjściowe 2 4 9" xfId="16966"/>
    <cellStyle name="Dane wyjściowe 2 4 9 2" xfId="16967"/>
    <cellStyle name="Dane wyjściowe 2 4 9 3" xfId="16968"/>
    <cellStyle name="Dane wyjściowe 2 4 9 4" xfId="16969"/>
    <cellStyle name="Dane wyjściowe 2 40" xfId="16970"/>
    <cellStyle name="Dane wyjściowe 2 40 2" xfId="16971"/>
    <cellStyle name="Dane wyjściowe 2 40 3" xfId="16972"/>
    <cellStyle name="Dane wyjściowe 2 40 4" xfId="16973"/>
    <cellStyle name="Dane wyjściowe 2 41" xfId="16974"/>
    <cellStyle name="Dane wyjściowe 2 41 2" xfId="16975"/>
    <cellStyle name="Dane wyjściowe 2 41 3" xfId="16976"/>
    <cellStyle name="Dane wyjściowe 2 41 4" xfId="16977"/>
    <cellStyle name="Dane wyjściowe 2 42" xfId="16978"/>
    <cellStyle name="Dane wyjściowe 2 42 2" xfId="16979"/>
    <cellStyle name="Dane wyjściowe 2 42 3" xfId="16980"/>
    <cellStyle name="Dane wyjściowe 2 42 4" xfId="16981"/>
    <cellStyle name="Dane wyjściowe 2 43" xfId="16982"/>
    <cellStyle name="Dane wyjściowe 2 43 2" xfId="16983"/>
    <cellStyle name="Dane wyjściowe 2 43 3" xfId="16984"/>
    <cellStyle name="Dane wyjściowe 2 43 4" xfId="16985"/>
    <cellStyle name="Dane wyjściowe 2 44" xfId="16986"/>
    <cellStyle name="Dane wyjściowe 2 44 2" xfId="16987"/>
    <cellStyle name="Dane wyjściowe 2 44 3" xfId="16988"/>
    <cellStyle name="Dane wyjściowe 2 44 4" xfId="16989"/>
    <cellStyle name="Dane wyjściowe 2 45" xfId="16990"/>
    <cellStyle name="Dane wyjściowe 2 45 2" xfId="16991"/>
    <cellStyle name="Dane wyjściowe 2 45 3" xfId="16992"/>
    <cellStyle name="Dane wyjściowe 2 45 4" xfId="16993"/>
    <cellStyle name="Dane wyjściowe 2 46" xfId="16994"/>
    <cellStyle name="Dane wyjściowe 2 46 2" xfId="16995"/>
    <cellStyle name="Dane wyjściowe 2 46 3" xfId="16996"/>
    <cellStyle name="Dane wyjściowe 2 46 4" xfId="16997"/>
    <cellStyle name="Dane wyjściowe 2 47" xfId="16998"/>
    <cellStyle name="Dane wyjściowe 2 47 2" xfId="16999"/>
    <cellStyle name="Dane wyjściowe 2 47 3" xfId="17000"/>
    <cellStyle name="Dane wyjściowe 2 47 4" xfId="17001"/>
    <cellStyle name="Dane wyjściowe 2 48" xfId="17002"/>
    <cellStyle name="Dane wyjściowe 2 48 2" xfId="17003"/>
    <cellStyle name="Dane wyjściowe 2 48 3" xfId="17004"/>
    <cellStyle name="Dane wyjściowe 2 48 4" xfId="17005"/>
    <cellStyle name="Dane wyjściowe 2 49" xfId="17006"/>
    <cellStyle name="Dane wyjściowe 2 49 2" xfId="17007"/>
    <cellStyle name="Dane wyjściowe 2 49 3" xfId="17008"/>
    <cellStyle name="Dane wyjściowe 2 49 4" xfId="17009"/>
    <cellStyle name="Dane wyjściowe 2 5" xfId="17010"/>
    <cellStyle name="Dane wyjściowe 2 5 10" xfId="17011"/>
    <cellStyle name="Dane wyjściowe 2 5 10 2" xfId="17012"/>
    <cellStyle name="Dane wyjściowe 2 5 10 3" xfId="17013"/>
    <cellStyle name="Dane wyjściowe 2 5 10 4" xfId="17014"/>
    <cellStyle name="Dane wyjściowe 2 5 11" xfId="17015"/>
    <cellStyle name="Dane wyjściowe 2 5 11 2" xfId="17016"/>
    <cellStyle name="Dane wyjściowe 2 5 11 3" xfId="17017"/>
    <cellStyle name="Dane wyjściowe 2 5 11 4" xfId="17018"/>
    <cellStyle name="Dane wyjściowe 2 5 12" xfId="17019"/>
    <cellStyle name="Dane wyjściowe 2 5 12 2" xfId="17020"/>
    <cellStyle name="Dane wyjściowe 2 5 12 3" xfId="17021"/>
    <cellStyle name="Dane wyjściowe 2 5 12 4" xfId="17022"/>
    <cellStyle name="Dane wyjściowe 2 5 13" xfId="17023"/>
    <cellStyle name="Dane wyjściowe 2 5 13 2" xfId="17024"/>
    <cellStyle name="Dane wyjściowe 2 5 13 3" xfId="17025"/>
    <cellStyle name="Dane wyjściowe 2 5 13 4" xfId="17026"/>
    <cellStyle name="Dane wyjściowe 2 5 14" xfId="17027"/>
    <cellStyle name="Dane wyjściowe 2 5 14 2" xfId="17028"/>
    <cellStyle name="Dane wyjściowe 2 5 14 3" xfId="17029"/>
    <cellStyle name="Dane wyjściowe 2 5 14 4" xfId="17030"/>
    <cellStyle name="Dane wyjściowe 2 5 15" xfId="17031"/>
    <cellStyle name="Dane wyjściowe 2 5 15 2" xfId="17032"/>
    <cellStyle name="Dane wyjściowe 2 5 15 3" xfId="17033"/>
    <cellStyle name="Dane wyjściowe 2 5 15 4" xfId="17034"/>
    <cellStyle name="Dane wyjściowe 2 5 16" xfId="17035"/>
    <cellStyle name="Dane wyjściowe 2 5 16 2" xfId="17036"/>
    <cellStyle name="Dane wyjściowe 2 5 16 3" xfId="17037"/>
    <cellStyle name="Dane wyjściowe 2 5 16 4" xfId="17038"/>
    <cellStyle name="Dane wyjściowe 2 5 17" xfId="17039"/>
    <cellStyle name="Dane wyjściowe 2 5 17 2" xfId="17040"/>
    <cellStyle name="Dane wyjściowe 2 5 17 3" xfId="17041"/>
    <cellStyle name="Dane wyjściowe 2 5 17 4" xfId="17042"/>
    <cellStyle name="Dane wyjściowe 2 5 18" xfId="17043"/>
    <cellStyle name="Dane wyjściowe 2 5 18 2" xfId="17044"/>
    <cellStyle name="Dane wyjściowe 2 5 18 3" xfId="17045"/>
    <cellStyle name="Dane wyjściowe 2 5 18 4" xfId="17046"/>
    <cellStyle name="Dane wyjściowe 2 5 19" xfId="17047"/>
    <cellStyle name="Dane wyjściowe 2 5 19 2" xfId="17048"/>
    <cellStyle name="Dane wyjściowe 2 5 19 3" xfId="17049"/>
    <cellStyle name="Dane wyjściowe 2 5 19 4" xfId="17050"/>
    <cellStyle name="Dane wyjściowe 2 5 2" xfId="17051"/>
    <cellStyle name="Dane wyjściowe 2 5 2 2" xfId="17052"/>
    <cellStyle name="Dane wyjściowe 2 5 2 3" xfId="17053"/>
    <cellStyle name="Dane wyjściowe 2 5 2 4" xfId="17054"/>
    <cellStyle name="Dane wyjściowe 2 5 20" xfId="17055"/>
    <cellStyle name="Dane wyjściowe 2 5 20 2" xfId="17056"/>
    <cellStyle name="Dane wyjściowe 2 5 20 3" xfId="17057"/>
    <cellStyle name="Dane wyjściowe 2 5 20 4" xfId="17058"/>
    <cellStyle name="Dane wyjściowe 2 5 21" xfId="17059"/>
    <cellStyle name="Dane wyjściowe 2 5 21 2" xfId="17060"/>
    <cellStyle name="Dane wyjściowe 2 5 21 3" xfId="17061"/>
    <cellStyle name="Dane wyjściowe 2 5 22" xfId="17062"/>
    <cellStyle name="Dane wyjściowe 2 5 22 2" xfId="17063"/>
    <cellStyle name="Dane wyjściowe 2 5 22 3" xfId="17064"/>
    <cellStyle name="Dane wyjściowe 2 5 23" xfId="17065"/>
    <cellStyle name="Dane wyjściowe 2 5 23 2" xfId="17066"/>
    <cellStyle name="Dane wyjściowe 2 5 23 3" xfId="17067"/>
    <cellStyle name="Dane wyjściowe 2 5 24" xfId="17068"/>
    <cellStyle name="Dane wyjściowe 2 5 24 2" xfId="17069"/>
    <cellStyle name="Dane wyjściowe 2 5 24 3" xfId="17070"/>
    <cellStyle name="Dane wyjściowe 2 5 25" xfId="17071"/>
    <cellStyle name="Dane wyjściowe 2 5 25 2" xfId="17072"/>
    <cellStyle name="Dane wyjściowe 2 5 25 3" xfId="17073"/>
    <cellStyle name="Dane wyjściowe 2 5 26" xfId="17074"/>
    <cellStyle name="Dane wyjściowe 2 5 26 2" xfId="17075"/>
    <cellStyle name="Dane wyjściowe 2 5 26 3" xfId="17076"/>
    <cellStyle name="Dane wyjściowe 2 5 27" xfId="17077"/>
    <cellStyle name="Dane wyjściowe 2 5 27 2" xfId="17078"/>
    <cellStyle name="Dane wyjściowe 2 5 27 3" xfId="17079"/>
    <cellStyle name="Dane wyjściowe 2 5 28" xfId="17080"/>
    <cellStyle name="Dane wyjściowe 2 5 28 2" xfId="17081"/>
    <cellStyle name="Dane wyjściowe 2 5 28 3" xfId="17082"/>
    <cellStyle name="Dane wyjściowe 2 5 29" xfId="17083"/>
    <cellStyle name="Dane wyjściowe 2 5 29 2" xfId="17084"/>
    <cellStyle name="Dane wyjściowe 2 5 29 3" xfId="17085"/>
    <cellStyle name="Dane wyjściowe 2 5 3" xfId="17086"/>
    <cellStyle name="Dane wyjściowe 2 5 3 2" xfId="17087"/>
    <cellStyle name="Dane wyjściowe 2 5 3 3" xfId="17088"/>
    <cellStyle name="Dane wyjściowe 2 5 3 4" xfId="17089"/>
    <cellStyle name="Dane wyjściowe 2 5 30" xfId="17090"/>
    <cellStyle name="Dane wyjściowe 2 5 30 2" xfId="17091"/>
    <cellStyle name="Dane wyjściowe 2 5 30 3" xfId="17092"/>
    <cellStyle name="Dane wyjściowe 2 5 31" xfId="17093"/>
    <cellStyle name="Dane wyjściowe 2 5 31 2" xfId="17094"/>
    <cellStyle name="Dane wyjściowe 2 5 31 3" xfId="17095"/>
    <cellStyle name="Dane wyjściowe 2 5 32" xfId="17096"/>
    <cellStyle name="Dane wyjściowe 2 5 32 2" xfId="17097"/>
    <cellStyle name="Dane wyjściowe 2 5 32 3" xfId="17098"/>
    <cellStyle name="Dane wyjściowe 2 5 33" xfId="17099"/>
    <cellStyle name="Dane wyjściowe 2 5 33 2" xfId="17100"/>
    <cellStyle name="Dane wyjściowe 2 5 33 3" xfId="17101"/>
    <cellStyle name="Dane wyjściowe 2 5 34" xfId="17102"/>
    <cellStyle name="Dane wyjściowe 2 5 34 2" xfId="17103"/>
    <cellStyle name="Dane wyjściowe 2 5 34 3" xfId="17104"/>
    <cellStyle name="Dane wyjściowe 2 5 35" xfId="17105"/>
    <cellStyle name="Dane wyjściowe 2 5 35 2" xfId="17106"/>
    <cellStyle name="Dane wyjściowe 2 5 35 3" xfId="17107"/>
    <cellStyle name="Dane wyjściowe 2 5 36" xfId="17108"/>
    <cellStyle name="Dane wyjściowe 2 5 36 2" xfId="17109"/>
    <cellStyle name="Dane wyjściowe 2 5 36 3" xfId="17110"/>
    <cellStyle name="Dane wyjściowe 2 5 37" xfId="17111"/>
    <cellStyle name="Dane wyjściowe 2 5 37 2" xfId="17112"/>
    <cellStyle name="Dane wyjściowe 2 5 37 3" xfId="17113"/>
    <cellStyle name="Dane wyjściowe 2 5 38" xfId="17114"/>
    <cellStyle name="Dane wyjściowe 2 5 38 2" xfId="17115"/>
    <cellStyle name="Dane wyjściowe 2 5 38 3" xfId="17116"/>
    <cellStyle name="Dane wyjściowe 2 5 39" xfId="17117"/>
    <cellStyle name="Dane wyjściowe 2 5 39 2" xfId="17118"/>
    <cellStyle name="Dane wyjściowe 2 5 39 3" xfId="17119"/>
    <cellStyle name="Dane wyjściowe 2 5 4" xfId="17120"/>
    <cellStyle name="Dane wyjściowe 2 5 4 2" xfId="17121"/>
    <cellStyle name="Dane wyjściowe 2 5 4 3" xfId="17122"/>
    <cellStyle name="Dane wyjściowe 2 5 4 4" xfId="17123"/>
    <cellStyle name="Dane wyjściowe 2 5 40" xfId="17124"/>
    <cellStyle name="Dane wyjściowe 2 5 40 2" xfId="17125"/>
    <cellStyle name="Dane wyjściowe 2 5 40 3" xfId="17126"/>
    <cellStyle name="Dane wyjściowe 2 5 41" xfId="17127"/>
    <cellStyle name="Dane wyjściowe 2 5 41 2" xfId="17128"/>
    <cellStyle name="Dane wyjściowe 2 5 41 3" xfId="17129"/>
    <cellStyle name="Dane wyjściowe 2 5 42" xfId="17130"/>
    <cellStyle name="Dane wyjściowe 2 5 42 2" xfId="17131"/>
    <cellStyle name="Dane wyjściowe 2 5 42 3" xfId="17132"/>
    <cellStyle name="Dane wyjściowe 2 5 43" xfId="17133"/>
    <cellStyle name="Dane wyjściowe 2 5 43 2" xfId="17134"/>
    <cellStyle name="Dane wyjściowe 2 5 43 3" xfId="17135"/>
    <cellStyle name="Dane wyjściowe 2 5 44" xfId="17136"/>
    <cellStyle name="Dane wyjściowe 2 5 44 2" xfId="17137"/>
    <cellStyle name="Dane wyjściowe 2 5 44 3" xfId="17138"/>
    <cellStyle name="Dane wyjściowe 2 5 45" xfId="17139"/>
    <cellStyle name="Dane wyjściowe 2 5 45 2" xfId="17140"/>
    <cellStyle name="Dane wyjściowe 2 5 45 3" xfId="17141"/>
    <cellStyle name="Dane wyjściowe 2 5 46" xfId="17142"/>
    <cellStyle name="Dane wyjściowe 2 5 46 2" xfId="17143"/>
    <cellStyle name="Dane wyjściowe 2 5 46 3" xfId="17144"/>
    <cellStyle name="Dane wyjściowe 2 5 47" xfId="17145"/>
    <cellStyle name="Dane wyjściowe 2 5 47 2" xfId="17146"/>
    <cellStyle name="Dane wyjściowe 2 5 47 3" xfId="17147"/>
    <cellStyle name="Dane wyjściowe 2 5 48" xfId="17148"/>
    <cellStyle name="Dane wyjściowe 2 5 48 2" xfId="17149"/>
    <cellStyle name="Dane wyjściowe 2 5 48 3" xfId="17150"/>
    <cellStyle name="Dane wyjściowe 2 5 49" xfId="17151"/>
    <cellStyle name="Dane wyjściowe 2 5 49 2" xfId="17152"/>
    <cellStyle name="Dane wyjściowe 2 5 49 3" xfId="17153"/>
    <cellStyle name="Dane wyjściowe 2 5 5" xfId="17154"/>
    <cellStyle name="Dane wyjściowe 2 5 5 2" xfId="17155"/>
    <cellStyle name="Dane wyjściowe 2 5 5 3" xfId="17156"/>
    <cellStyle name="Dane wyjściowe 2 5 5 4" xfId="17157"/>
    <cellStyle name="Dane wyjściowe 2 5 50" xfId="17158"/>
    <cellStyle name="Dane wyjściowe 2 5 50 2" xfId="17159"/>
    <cellStyle name="Dane wyjściowe 2 5 50 3" xfId="17160"/>
    <cellStyle name="Dane wyjściowe 2 5 51" xfId="17161"/>
    <cellStyle name="Dane wyjściowe 2 5 51 2" xfId="17162"/>
    <cellStyle name="Dane wyjściowe 2 5 51 3" xfId="17163"/>
    <cellStyle name="Dane wyjściowe 2 5 52" xfId="17164"/>
    <cellStyle name="Dane wyjściowe 2 5 52 2" xfId="17165"/>
    <cellStyle name="Dane wyjściowe 2 5 52 3" xfId="17166"/>
    <cellStyle name="Dane wyjściowe 2 5 53" xfId="17167"/>
    <cellStyle name="Dane wyjściowe 2 5 53 2" xfId="17168"/>
    <cellStyle name="Dane wyjściowe 2 5 53 3" xfId="17169"/>
    <cellStyle name="Dane wyjściowe 2 5 54" xfId="17170"/>
    <cellStyle name="Dane wyjściowe 2 5 54 2" xfId="17171"/>
    <cellStyle name="Dane wyjściowe 2 5 54 3" xfId="17172"/>
    <cellStyle name="Dane wyjściowe 2 5 55" xfId="17173"/>
    <cellStyle name="Dane wyjściowe 2 5 55 2" xfId="17174"/>
    <cellStyle name="Dane wyjściowe 2 5 55 3" xfId="17175"/>
    <cellStyle name="Dane wyjściowe 2 5 56" xfId="17176"/>
    <cellStyle name="Dane wyjściowe 2 5 56 2" xfId="17177"/>
    <cellStyle name="Dane wyjściowe 2 5 56 3" xfId="17178"/>
    <cellStyle name="Dane wyjściowe 2 5 57" xfId="17179"/>
    <cellStyle name="Dane wyjściowe 2 5 58" xfId="17180"/>
    <cellStyle name="Dane wyjściowe 2 5 6" xfId="17181"/>
    <cellStyle name="Dane wyjściowe 2 5 6 2" xfId="17182"/>
    <cellStyle name="Dane wyjściowe 2 5 6 3" xfId="17183"/>
    <cellStyle name="Dane wyjściowe 2 5 6 4" xfId="17184"/>
    <cellStyle name="Dane wyjściowe 2 5 7" xfId="17185"/>
    <cellStyle name="Dane wyjściowe 2 5 7 2" xfId="17186"/>
    <cellStyle name="Dane wyjściowe 2 5 7 3" xfId="17187"/>
    <cellStyle name="Dane wyjściowe 2 5 7 4" xfId="17188"/>
    <cellStyle name="Dane wyjściowe 2 5 8" xfId="17189"/>
    <cellStyle name="Dane wyjściowe 2 5 8 2" xfId="17190"/>
    <cellStyle name="Dane wyjściowe 2 5 8 3" xfId="17191"/>
    <cellStyle name="Dane wyjściowe 2 5 8 4" xfId="17192"/>
    <cellStyle name="Dane wyjściowe 2 5 9" xfId="17193"/>
    <cellStyle name="Dane wyjściowe 2 5 9 2" xfId="17194"/>
    <cellStyle name="Dane wyjściowe 2 5 9 3" xfId="17195"/>
    <cellStyle name="Dane wyjściowe 2 5 9 4" xfId="17196"/>
    <cellStyle name="Dane wyjściowe 2 50" xfId="17197"/>
    <cellStyle name="Dane wyjściowe 2 50 2" xfId="17198"/>
    <cellStyle name="Dane wyjściowe 2 50 3" xfId="17199"/>
    <cellStyle name="Dane wyjściowe 2 50 4" xfId="17200"/>
    <cellStyle name="Dane wyjściowe 2 51" xfId="17201"/>
    <cellStyle name="Dane wyjściowe 2 51 2" xfId="17202"/>
    <cellStyle name="Dane wyjściowe 2 51 3" xfId="17203"/>
    <cellStyle name="Dane wyjściowe 2 51 4" xfId="17204"/>
    <cellStyle name="Dane wyjściowe 2 52" xfId="17205"/>
    <cellStyle name="Dane wyjściowe 2 52 2" xfId="17206"/>
    <cellStyle name="Dane wyjściowe 2 52 3" xfId="17207"/>
    <cellStyle name="Dane wyjściowe 2 52 4" xfId="17208"/>
    <cellStyle name="Dane wyjściowe 2 53" xfId="17209"/>
    <cellStyle name="Dane wyjściowe 2 53 2" xfId="17210"/>
    <cellStyle name="Dane wyjściowe 2 53 3" xfId="17211"/>
    <cellStyle name="Dane wyjściowe 2 53 4" xfId="17212"/>
    <cellStyle name="Dane wyjściowe 2 54" xfId="17213"/>
    <cellStyle name="Dane wyjściowe 2 54 2" xfId="17214"/>
    <cellStyle name="Dane wyjściowe 2 54 3" xfId="17215"/>
    <cellStyle name="Dane wyjściowe 2 54 4" xfId="17216"/>
    <cellStyle name="Dane wyjściowe 2 55" xfId="17217"/>
    <cellStyle name="Dane wyjściowe 2 55 2" xfId="17218"/>
    <cellStyle name="Dane wyjściowe 2 55 3" xfId="17219"/>
    <cellStyle name="Dane wyjściowe 2 55 4" xfId="17220"/>
    <cellStyle name="Dane wyjściowe 2 56" xfId="17221"/>
    <cellStyle name="Dane wyjściowe 2 56 2" xfId="17222"/>
    <cellStyle name="Dane wyjściowe 2 56 3" xfId="17223"/>
    <cellStyle name="Dane wyjściowe 2 56 4" xfId="17224"/>
    <cellStyle name="Dane wyjściowe 2 57" xfId="17225"/>
    <cellStyle name="Dane wyjściowe 2 57 2" xfId="17226"/>
    <cellStyle name="Dane wyjściowe 2 57 3" xfId="17227"/>
    <cellStyle name="Dane wyjściowe 2 57 4" xfId="17228"/>
    <cellStyle name="Dane wyjściowe 2 58" xfId="17229"/>
    <cellStyle name="Dane wyjściowe 2 58 2" xfId="17230"/>
    <cellStyle name="Dane wyjściowe 2 58 3" xfId="17231"/>
    <cellStyle name="Dane wyjściowe 2 58 4" xfId="17232"/>
    <cellStyle name="Dane wyjściowe 2 59" xfId="17233"/>
    <cellStyle name="Dane wyjściowe 2 59 2" xfId="17234"/>
    <cellStyle name="Dane wyjściowe 2 59 3" xfId="17235"/>
    <cellStyle name="Dane wyjściowe 2 59 4" xfId="17236"/>
    <cellStyle name="Dane wyjściowe 2 6" xfId="17237"/>
    <cellStyle name="Dane wyjściowe 2 6 10" xfId="17238"/>
    <cellStyle name="Dane wyjściowe 2 6 10 2" xfId="17239"/>
    <cellStyle name="Dane wyjściowe 2 6 10 3" xfId="17240"/>
    <cellStyle name="Dane wyjściowe 2 6 10 4" xfId="17241"/>
    <cellStyle name="Dane wyjściowe 2 6 11" xfId="17242"/>
    <cellStyle name="Dane wyjściowe 2 6 11 2" xfId="17243"/>
    <cellStyle name="Dane wyjściowe 2 6 11 3" xfId="17244"/>
    <cellStyle name="Dane wyjściowe 2 6 11 4" xfId="17245"/>
    <cellStyle name="Dane wyjściowe 2 6 12" xfId="17246"/>
    <cellStyle name="Dane wyjściowe 2 6 12 2" xfId="17247"/>
    <cellStyle name="Dane wyjściowe 2 6 12 3" xfId="17248"/>
    <cellStyle name="Dane wyjściowe 2 6 12 4" xfId="17249"/>
    <cellStyle name="Dane wyjściowe 2 6 13" xfId="17250"/>
    <cellStyle name="Dane wyjściowe 2 6 13 2" xfId="17251"/>
    <cellStyle name="Dane wyjściowe 2 6 13 3" xfId="17252"/>
    <cellStyle name="Dane wyjściowe 2 6 13 4" xfId="17253"/>
    <cellStyle name="Dane wyjściowe 2 6 14" xfId="17254"/>
    <cellStyle name="Dane wyjściowe 2 6 14 2" xfId="17255"/>
    <cellStyle name="Dane wyjściowe 2 6 14 3" xfId="17256"/>
    <cellStyle name="Dane wyjściowe 2 6 14 4" xfId="17257"/>
    <cellStyle name="Dane wyjściowe 2 6 15" xfId="17258"/>
    <cellStyle name="Dane wyjściowe 2 6 15 2" xfId="17259"/>
    <cellStyle name="Dane wyjściowe 2 6 15 3" xfId="17260"/>
    <cellStyle name="Dane wyjściowe 2 6 15 4" xfId="17261"/>
    <cellStyle name="Dane wyjściowe 2 6 16" xfId="17262"/>
    <cellStyle name="Dane wyjściowe 2 6 16 2" xfId="17263"/>
    <cellStyle name="Dane wyjściowe 2 6 16 3" xfId="17264"/>
    <cellStyle name="Dane wyjściowe 2 6 16 4" xfId="17265"/>
    <cellStyle name="Dane wyjściowe 2 6 17" xfId="17266"/>
    <cellStyle name="Dane wyjściowe 2 6 17 2" xfId="17267"/>
    <cellStyle name="Dane wyjściowe 2 6 17 3" xfId="17268"/>
    <cellStyle name="Dane wyjściowe 2 6 17 4" xfId="17269"/>
    <cellStyle name="Dane wyjściowe 2 6 18" xfId="17270"/>
    <cellStyle name="Dane wyjściowe 2 6 18 2" xfId="17271"/>
    <cellStyle name="Dane wyjściowe 2 6 18 3" xfId="17272"/>
    <cellStyle name="Dane wyjściowe 2 6 18 4" xfId="17273"/>
    <cellStyle name="Dane wyjściowe 2 6 19" xfId="17274"/>
    <cellStyle name="Dane wyjściowe 2 6 19 2" xfId="17275"/>
    <cellStyle name="Dane wyjściowe 2 6 19 3" xfId="17276"/>
    <cellStyle name="Dane wyjściowe 2 6 19 4" xfId="17277"/>
    <cellStyle name="Dane wyjściowe 2 6 2" xfId="17278"/>
    <cellStyle name="Dane wyjściowe 2 6 2 2" xfId="17279"/>
    <cellStyle name="Dane wyjściowe 2 6 2 3" xfId="17280"/>
    <cellStyle name="Dane wyjściowe 2 6 2 4" xfId="17281"/>
    <cellStyle name="Dane wyjściowe 2 6 20" xfId="17282"/>
    <cellStyle name="Dane wyjściowe 2 6 20 2" xfId="17283"/>
    <cellStyle name="Dane wyjściowe 2 6 20 3" xfId="17284"/>
    <cellStyle name="Dane wyjściowe 2 6 20 4" xfId="17285"/>
    <cellStyle name="Dane wyjściowe 2 6 21" xfId="17286"/>
    <cellStyle name="Dane wyjściowe 2 6 21 2" xfId="17287"/>
    <cellStyle name="Dane wyjściowe 2 6 21 3" xfId="17288"/>
    <cellStyle name="Dane wyjściowe 2 6 22" xfId="17289"/>
    <cellStyle name="Dane wyjściowe 2 6 22 2" xfId="17290"/>
    <cellStyle name="Dane wyjściowe 2 6 22 3" xfId="17291"/>
    <cellStyle name="Dane wyjściowe 2 6 23" xfId="17292"/>
    <cellStyle name="Dane wyjściowe 2 6 23 2" xfId="17293"/>
    <cellStyle name="Dane wyjściowe 2 6 23 3" xfId="17294"/>
    <cellStyle name="Dane wyjściowe 2 6 24" xfId="17295"/>
    <cellStyle name="Dane wyjściowe 2 6 24 2" xfId="17296"/>
    <cellStyle name="Dane wyjściowe 2 6 24 3" xfId="17297"/>
    <cellStyle name="Dane wyjściowe 2 6 25" xfId="17298"/>
    <cellStyle name="Dane wyjściowe 2 6 25 2" xfId="17299"/>
    <cellStyle name="Dane wyjściowe 2 6 25 3" xfId="17300"/>
    <cellStyle name="Dane wyjściowe 2 6 26" xfId="17301"/>
    <cellStyle name="Dane wyjściowe 2 6 26 2" xfId="17302"/>
    <cellStyle name="Dane wyjściowe 2 6 26 3" xfId="17303"/>
    <cellStyle name="Dane wyjściowe 2 6 27" xfId="17304"/>
    <cellStyle name="Dane wyjściowe 2 6 27 2" xfId="17305"/>
    <cellStyle name="Dane wyjściowe 2 6 27 3" xfId="17306"/>
    <cellStyle name="Dane wyjściowe 2 6 28" xfId="17307"/>
    <cellStyle name="Dane wyjściowe 2 6 28 2" xfId="17308"/>
    <cellStyle name="Dane wyjściowe 2 6 28 3" xfId="17309"/>
    <cellStyle name="Dane wyjściowe 2 6 29" xfId="17310"/>
    <cellStyle name="Dane wyjściowe 2 6 29 2" xfId="17311"/>
    <cellStyle name="Dane wyjściowe 2 6 29 3" xfId="17312"/>
    <cellStyle name="Dane wyjściowe 2 6 3" xfId="17313"/>
    <cellStyle name="Dane wyjściowe 2 6 3 2" xfId="17314"/>
    <cellStyle name="Dane wyjściowe 2 6 3 3" xfId="17315"/>
    <cellStyle name="Dane wyjściowe 2 6 3 4" xfId="17316"/>
    <cellStyle name="Dane wyjściowe 2 6 30" xfId="17317"/>
    <cellStyle name="Dane wyjściowe 2 6 30 2" xfId="17318"/>
    <cellStyle name="Dane wyjściowe 2 6 30 3" xfId="17319"/>
    <cellStyle name="Dane wyjściowe 2 6 31" xfId="17320"/>
    <cellStyle name="Dane wyjściowe 2 6 31 2" xfId="17321"/>
    <cellStyle name="Dane wyjściowe 2 6 31 3" xfId="17322"/>
    <cellStyle name="Dane wyjściowe 2 6 32" xfId="17323"/>
    <cellStyle name="Dane wyjściowe 2 6 32 2" xfId="17324"/>
    <cellStyle name="Dane wyjściowe 2 6 32 3" xfId="17325"/>
    <cellStyle name="Dane wyjściowe 2 6 33" xfId="17326"/>
    <cellStyle name="Dane wyjściowe 2 6 33 2" xfId="17327"/>
    <cellStyle name="Dane wyjściowe 2 6 33 3" xfId="17328"/>
    <cellStyle name="Dane wyjściowe 2 6 34" xfId="17329"/>
    <cellStyle name="Dane wyjściowe 2 6 34 2" xfId="17330"/>
    <cellStyle name="Dane wyjściowe 2 6 34 3" xfId="17331"/>
    <cellStyle name="Dane wyjściowe 2 6 35" xfId="17332"/>
    <cellStyle name="Dane wyjściowe 2 6 35 2" xfId="17333"/>
    <cellStyle name="Dane wyjściowe 2 6 35 3" xfId="17334"/>
    <cellStyle name="Dane wyjściowe 2 6 36" xfId="17335"/>
    <cellStyle name="Dane wyjściowe 2 6 36 2" xfId="17336"/>
    <cellStyle name="Dane wyjściowe 2 6 36 3" xfId="17337"/>
    <cellStyle name="Dane wyjściowe 2 6 37" xfId="17338"/>
    <cellStyle name="Dane wyjściowe 2 6 37 2" xfId="17339"/>
    <cellStyle name="Dane wyjściowe 2 6 37 3" xfId="17340"/>
    <cellStyle name="Dane wyjściowe 2 6 38" xfId="17341"/>
    <cellStyle name="Dane wyjściowe 2 6 38 2" xfId="17342"/>
    <cellStyle name="Dane wyjściowe 2 6 38 3" xfId="17343"/>
    <cellStyle name="Dane wyjściowe 2 6 39" xfId="17344"/>
    <cellStyle name="Dane wyjściowe 2 6 39 2" xfId="17345"/>
    <cellStyle name="Dane wyjściowe 2 6 39 3" xfId="17346"/>
    <cellStyle name="Dane wyjściowe 2 6 4" xfId="17347"/>
    <cellStyle name="Dane wyjściowe 2 6 4 2" xfId="17348"/>
    <cellStyle name="Dane wyjściowe 2 6 4 3" xfId="17349"/>
    <cellStyle name="Dane wyjściowe 2 6 4 4" xfId="17350"/>
    <cellStyle name="Dane wyjściowe 2 6 40" xfId="17351"/>
    <cellStyle name="Dane wyjściowe 2 6 40 2" xfId="17352"/>
    <cellStyle name="Dane wyjściowe 2 6 40 3" xfId="17353"/>
    <cellStyle name="Dane wyjściowe 2 6 41" xfId="17354"/>
    <cellStyle name="Dane wyjściowe 2 6 41 2" xfId="17355"/>
    <cellStyle name="Dane wyjściowe 2 6 41 3" xfId="17356"/>
    <cellStyle name="Dane wyjściowe 2 6 42" xfId="17357"/>
    <cellStyle name="Dane wyjściowe 2 6 42 2" xfId="17358"/>
    <cellStyle name="Dane wyjściowe 2 6 42 3" xfId="17359"/>
    <cellStyle name="Dane wyjściowe 2 6 43" xfId="17360"/>
    <cellStyle name="Dane wyjściowe 2 6 43 2" xfId="17361"/>
    <cellStyle name="Dane wyjściowe 2 6 43 3" xfId="17362"/>
    <cellStyle name="Dane wyjściowe 2 6 44" xfId="17363"/>
    <cellStyle name="Dane wyjściowe 2 6 44 2" xfId="17364"/>
    <cellStyle name="Dane wyjściowe 2 6 44 3" xfId="17365"/>
    <cellStyle name="Dane wyjściowe 2 6 45" xfId="17366"/>
    <cellStyle name="Dane wyjściowe 2 6 45 2" xfId="17367"/>
    <cellStyle name="Dane wyjściowe 2 6 45 3" xfId="17368"/>
    <cellStyle name="Dane wyjściowe 2 6 46" xfId="17369"/>
    <cellStyle name="Dane wyjściowe 2 6 46 2" xfId="17370"/>
    <cellStyle name="Dane wyjściowe 2 6 46 3" xfId="17371"/>
    <cellStyle name="Dane wyjściowe 2 6 47" xfId="17372"/>
    <cellStyle name="Dane wyjściowe 2 6 47 2" xfId="17373"/>
    <cellStyle name="Dane wyjściowe 2 6 47 3" xfId="17374"/>
    <cellStyle name="Dane wyjściowe 2 6 48" xfId="17375"/>
    <cellStyle name="Dane wyjściowe 2 6 48 2" xfId="17376"/>
    <cellStyle name="Dane wyjściowe 2 6 48 3" xfId="17377"/>
    <cellStyle name="Dane wyjściowe 2 6 49" xfId="17378"/>
    <cellStyle name="Dane wyjściowe 2 6 49 2" xfId="17379"/>
    <cellStyle name="Dane wyjściowe 2 6 49 3" xfId="17380"/>
    <cellStyle name="Dane wyjściowe 2 6 5" xfId="17381"/>
    <cellStyle name="Dane wyjściowe 2 6 5 2" xfId="17382"/>
    <cellStyle name="Dane wyjściowe 2 6 5 3" xfId="17383"/>
    <cellStyle name="Dane wyjściowe 2 6 5 4" xfId="17384"/>
    <cellStyle name="Dane wyjściowe 2 6 50" xfId="17385"/>
    <cellStyle name="Dane wyjściowe 2 6 50 2" xfId="17386"/>
    <cellStyle name="Dane wyjściowe 2 6 50 3" xfId="17387"/>
    <cellStyle name="Dane wyjściowe 2 6 51" xfId="17388"/>
    <cellStyle name="Dane wyjściowe 2 6 51 2" xfId="17389"/>
    <cellStyle name="Dane wyjściowe 2 6 51 3" xfId="17390"/>
    <cellStyle name="Dane wyjściowe 2 6 52" xfId="17391"/>
    <cellStyle name="Dane wyjściowe 2 6 52 2" xfId="17392"/>
    <cellStyle name="Dane wyjściowe 2 6 52 3" xfId="17393"/>
    <cellStyle name="Dane wyjściowe 2 6 53" xfId="17394"/>
    <cellStyle name="Dane wyjściowe 2 6 53 2" xfId="17395"/>
    <cellStyle name="Dane wyjściowe 2 6 53 3" xfId="17396"/>
    <cellStyle name="Dane wyjściowe 2 6 54" xfId="17397"/>
    <cellStyle name="Dane wyjściowe 2 6 54 2" xfId="17398"/>
    <cellStyle name="Dane wyjściowe 2 6 54 3" xfId="17399"/>
    <cellStyle name="Dane wyjściowe 2 6 55" xfId="17400"/>
    <cellStyle name="Dane wyjściowe 2 6 55 2" xfId="17401"/>
    <cellStyle name="Dane wyjściowe 2 6 55 3" xfId="17402"/>
    <cellStyle name="Dane wyjściowe 2 6 56" xfId="17403"/>
    <cellStyle name="Dane wyjściowe 2 6 56 2" xfId="17404"/>
    <cellStyle name="Dane wyjściowe 2 6 56 3" xfId="17405"/>
    <cellStyle name="Dane wyjściowe 2 6 57" xfId="17406"/>
    <cellStyle name="Dane wyjściowe 2 6 58" xfId="17407"/>
    <cellStyle name="Dane wyjściowe 2 6 6" xfId="17408"/>
    <cellStyle name="Dane wyjściowe 2 6 6 2" xfId="17409"/>
    <cellStyle name="Dane wyjściowe 2 6 6 3" xfId="17410"/>
    <cellStyle name="Dane wyjściowe 2 6 6 4" xfId="17411"/>
    <cellStyle name="Dane wyjściowe 2 6 7" xfId="17412"/>
    <cellStyle name="Dane wyjściowe 2 6 7 2" xfId="17413"/>
    <cellStyle name="Dane wyjściowe 2 6 7 3" xfId="17414"/>
    <cellStyle name="Dane wyjściowe 2 6 7 4" xfId="17415"/>
    <cellStyle name="Dane wyjściowe 2 6 8" xfId="17416"/>
    <cellStyle name="Dane wyjściowe 2 6 8 2" xfId="17417"/>
    <cellStyle name="Dane wyjściowe 2 6 8 3" xfId="17418"/>
    <cellStyle name="Dane wyjściowe 2 6 8 4" xfId="17419"/>
    <cellStyle name="Dane wyjściowe 2 6 9" xfId="17420"/>
    <cellStyle name="Dane wyjściowe 2 6 9 2" xfId="17421"/>
    <cellStyle name="Dane wyjściowe 2 6 9 3" xfId="17422"/>
    <cellStyle name="Dane wyjściowe 2 6 9 4" xfId="17423"/>
    <cellStyle name="Dane wyjściowe 2 60" xfId="17424"/>
    <cellStyle name="Dane wyjściowe 2 60 2" xfId="17425"/>
    <cellStyle name="Dane wyjściowe 2 60 3" xfId="17426"/>
    <cellStyle name="Dane wyjściowe 2 60 4" xfId="17427"/>
    <cellStyle name="Dane wyjściowe 2 61" xfId="17428"/>
    <cellStyle name="Dane wyjściowe 2 61 2" xfId="17429"/>
    <cellStyle name="Dane wyjściowe 2 61 3" xfId="17430"/>
    <cellStyle name="Dane wyjściowe 2 61 4" xfId="17431"/>
    <cellStyle name="Dane wyjściowe 2 62" xfId="17432"/>
    <cellStyle name="Dane wyjściowe 2 62 2" xfId="17433"/>
    <cellStyle name="Dane wyjściowe 2 62 3" xfId="17434"/>
    <cellStyle name="Dane wyjściowe 2 62 4" xfId="17435"/>
    <cellStyle name="Dane wyjściowe 2 63" xfId="17436"/>
    <cellStyle name="Dane wyjściowe 2 63 2" xfId="17437"/>
    <cellStyle name="Dane wyjściowe 2 63 3" xfId="17438"/>
    <cellStyle name="Dane wyjściowe 2 63 4" xfId="17439"/>
    <cellStyle name="Dane wyjściowe 2 64" xfId="17440"/>
    <cellStyle name="Dane wyjściowe 2 64 2" xfId="17441"/>
    <cellStyle name="Dane wyjściowe 2 64 3" xfId="17442"/>
    <cellStyle name="Dane wyjściowe 2 64 4" xfId="17443"/>
    <cellStyle name="Dane wyjściowe 2 65" xfId="17444"/>
    <cellStyle name="Dane wyjściowe 2 65 2" xfId="17445"/>
    <cellStyle name="Dane wyjściowe 2 65 3" xfId="17446"/>
    <cellStyle name="Dane wyjściowe 2 65 4" xfId="17447"/>
    <cellStyle name="Dane wyjściowe 2 66" xfId="17448"/>
    <cellStyle name="Dane wyjściowe 2 66 2" xfId="17449"/>
    <cellStyle name="Dane wyjściowe 2 66 3" xfId="17450"/>
    <cellStyle name="Dane wyjściowe 2 66 4" xfId="17451"/>
    <cellStyle name="Dane wyjściowe 2 67" xfId="17452"/>
    <cellStyle name="Dane wyjściowe 2 67 2" xfId="17453"/>
    <cellStyle name="Dane wyjściowe 2 67 3" xfId="17454"/>
    <cellStyle name="Dane wyjściowe 2 68" xfId="17455"/>
    <cellStyle name="Dane wyjściowe 2 68 2" xfId="17456"/>
    <cellStyle name="Dane wyjściowe 2 68 3" xfId="17457"/>
    <cellStyle name="Dane wyjściowe 2 69" xfId="17458"/>
    <cellStyle name="Dane wyjściowe 2 69 2" xfId="17459"/>
    <cellStyle name="Dane wyjściowe 2 69 3" xfId="17460"/>
    <cellStyle name="Dane wyjściowe 2 7" xfId="17461"/>
    <cellStyle name="Dane wyjściowe 2 7 10" xfId="17462"/>
    <cellStyle name="Dane wyjściowe 2 7 10 2" xfId="17463"/>
    <cellStyle name="Dane wyjściowe 2 7 10 3" xfId="17464"/>
    <cellStyle name="Dane wyjściowe 2 7 10 4" xfId="17465"/>
    <cellStyle name="Dane wyjściowe 2 7 11" xfId="17466"/>
    <cellStyle name="Dane wyjściowe 2 7 11 2" xfId="17467"/>
    <cellStyle name="Dane wyjściowe 2 7 11 3" xfId="17468"/>
    <cellStyle name="Dane wyjściowe 2 7 11 4" xfId="17469"/>
    <cellStyle name="Dane wyjściowe 2 7 12" xfId="17470"/>
    <cellStyle name="Dane wyjściowe 2 7 12 2" xfId="17471"/>
    <cellStyle name="Dane wyjściowe 2 7 12 3" xfId="17472"/>
    <cellStyle name="Dane wyjściowe 2 7 12 4" xfId="17473"/>
    <cellStyle name="Dane wyjściowe 2 7 13" xfId="17474"/>
    <cellStyle name="Dane wyjściowe 2 7 13 2" xfId="17475"/>
    <cellStyle name="Dane wyjściowe 2 7 13 3" xfId="17476"/>
    <cellStyle name="Dane wyjściowe 2 7 13 4" xfId="17477"/>
    <cellStyle name="Dane wyjściowe 2 7 14" xfId="17478"/>
    <cellStyle name="Dane wyjściowe 2 7 14 2" xfId="17479"/>
    <cellStyle name="Dane wyjściowe 2 7 14 3" xfId="17480"/>
    <cellStyle name="Dane wyjściowe 2 7 14 4" xfId="17481"/>
    <cellStyle name="Dane wyjściowe 2 7 15" xfId="17482"/>
    <cellStyle name="Dane wyjściowe 2 7 15 2" xfId="17483"/>
    <cellStyle name="Dane wyjściowe 2 7 15 3" xfId="17484"/>
    <cellStyle name="Dane wyjściowe 2 7 15 4" xfId="17485"/>
    <cellStyle name="Dane wyjściowe 2 7 16" xfId="17486"/>
    <cellStyle name="Dane wyjściowe 2 7 16 2" xfId="17487"/>
    <cellStyle name="Dane wyjściowe 2 7 16 3" xfId="17488"/>
    <cellStyle name="Dane wyjściowe 2 7 16 4" xfId="17489"/>
    <cellStyle name="Dane wyjściowe 2 7 17" xfId="17490"/>
    <cellStyle name="Dane wyjściowe 2 7 17 2" xfId="17491"/>
    <cellStyle name="Dane wyjściowe 2 7 17 3" xfId="17492"/>
    <cellStyle name="Dane wyjściowe 2 7 17 4" xfId="17493"/>
    <cellStyle name="Dane wyjściowe 2 7 18" xfId="17494"/>
    <cellStyle name="Dane wyjściowe 2 7 18 2" xfId="17495"/>
    <cellStyle name="Dane wyjściowe 2 7 18 3" xfId="17496"/>
    <cellStyle name="Dane wyjściowe 2 7 18 4" xfId="17497"/>
    <cellStyle name="Dane wyjściowe 2 7 19" xfId="17498"/>
    <cellStyle name="Dane wyjściowe 2 7 19 2" xfId="17499"/>
    <cellStyle name="Dane wyjściowe 2 7 19 3" xfId="17500"/>
    <cellStyle name="Dane wyjściowe 2 7 19 4" xfId="17501"/>
    <cellStyle name="Dane wyjściowe 2 7 2" xfId="17502"/>
    <cellStyle name="Dane wyjściowe 2 7 2 2" xfId="17503"/>
    <cellStyle name="Dane wyjściowe 2 7 2 3" xfId="17504"/>
    <cellStyle name="Dane wyjściowe 2 7 2 4" xfId="17505"/>
    <cellStyle name="Dane wyjściowe 2 7 20" xfId="17506"/>
    <cellStyle name="Dane wyjściowe 2 7 20 2" xfId="17507"/>
    <cellStyle name="Dane wyjściowe 2 7 20 3" xfId="17508"/>
    <cellStyle name="Dane wyjściowe 2 7 20 4" xfId="17509"/>
    <cellStyle name="Dane wyjściowe 2 7 21" xfId="17510"/>
    <cellStyle name="Dane wyjściowe 2 7 21 2" xfId="17511"/>
    <cellStyle name="Dane wyjściowe 2 7 21 3" xfId="17512"/>
    <cellStyle name="Dane wyjściowe 2 7 22" xfId="17513"/>
    <cellStyle name="Dane wyjściowe 2 7 22 2" xfId="17514"/>
    <cellStyle name="Dane wyjściowe 2 7 22 3" xfId="17515"/>
    <cellStyle name="Dane wyjściowe 2 7 23" xfId="17516"/>
    <cellStyle name="Dane wyjściowe 2 7 23 2" xfId="17517"/>
    <cellStyle name="Dane wyjściowe 2 7 23 3" xfId="17518"/>
    <cellStyle name="Dane wyjściowe 2 7 24" xfId="17519"/>
    <cellStyle name="Dane wyjściowe 2 7 24 2" xfId="17520"/>
    <cellStyle name="Dane wyjściowe 2 7 24 3" xfId="17521"/>
    <cellStyle name="Dane wyjściowe 2 7 25" xfId="17522"/>
    <cellStyle name="Dane wyjściowe 2 7 25 2" xfId="17523"/>
    <cellStyle name="Dane wyjściowe 2 7 25 3" xfId="17524"/>
    <cellStyle name="Dane wyjściowe 2 7 26" xfId="17525"/>
    <cellStyle name="Dane wyjściowe 2 7 26 2" xfId="17526"/>
    <cellStyle name="Dane wyjściowe 2 7 26 3" xfId="17527"/>
    <cellStyle name="Dane wyjściowe 2 7 27" xfId="17528"/>
    <cellStyle name="Dane wyjściowe 2 7 27 2" xfId="17529"/>
    <cellStyle name="Dane wyjściowe 2 7 27 3" xfId="17530"/>
    <cellStyle name="Dane wyjściowe 2 7 28" xfId="17531"/>
    <cellStyle name="Dane wyjściowe 2 7 28 2" xfId="17532"/>
    <cellStyle name="Dane wyjściowe 2 7 28 3" xfId="17533"/>
    <cellStyle name="Dane wyjściowe 2 7 29" xfId="17534"/>
    <cellStyle name="Dane wyjściowe 2 7 29 2" xfId="17535"/>
    <cellStyle name="Dane wyjściowe 2 7 29 3" xfId="17536"/>
    <cellStyle name="Dane wyjściowe 2 7 3" xfId="17537"/>
    <cellStyle name="Dane wyjściowe 2 7 3 2" xfId="17538"/>
    <cellStyle name="Dane wyjściowe 2 7 3 3" xfId="17539"/>
    <cellStyle name="Dane wyjściowe 2 7 3 4" xfId="17540"/>
    <cellStyle name="Dane wyjściowe 2 7 30" xfId="17541"/>
    <cellStyle name="Dane wyjściowe 2 7 30 2" xfId="17542"/>
    <cellStyle name="Dane wyjściowe 2 7 30 3" xfId="17543"/>
    <cellStyle name="Dane wyjściowe 2 7 31" xfId="17544"/>
    <cellStyle name="Dane wyjściowe 2 7 31 2" xfId="17545"/>
    <cellStyle name="Dane wyjściowe 2 7 31 3" xfId="17546"/>
    <cellStyle name="Dane wyjściowe 2 7 32" xfId="17547"/>
    <cellStyle name="Dane wyjściowe 2 7 32 2" xfId="17548"/>
    <cellStyle name="Dane wyjściowe 2 7 32 3" xfId="17549"/>
    <cellStyle name="Dane wyjściowe 2 7 33" xfId="17550"/>
    <cellStyle name="Dane wyjściowe 2 7 33 2" xfId="17551"/>
    <cellStyle name="Dane wyjściowe 2 7 33 3" xfId="17552"/>
    <cellStyle name="Dane wyjściowe 2 7 34" xfId="17553"/>
    <cellStyle name="Dane wyjściowe 2 7 34 2" xfId="17554"/>
    <cellStyle name="Dane wyjściowe 2 7 34 3" xfId="17555"/>
    <cellStyle name="Dane wyjściowe 2 7 35" xfId="17556"/>
    <cellStyle name="Dane wyjściowe 2 7 35 2" xfId="17557"/>
    <cellStyle name="Dane wyjściowe 2 7 35 3" xfId="17558"/>
    <cellStyle name="Dane wyjściowe 2 7 36" xfId="17559"/>
    <cellStyle name="Dane wyjściowe 2 7 36 2" xfId="17560"/>
    <cellStyle name="Dane wyjściowe 2 7 36 3" xfId="17561"/>
    <cellStyle name="Dane wyjściowe 2 7 37" xfId="17562"/>
    <cellStyle name="Dane wyjściowe 2 7 37 2" xfId="17563"/>
    <cellStyle name="Dane wyjściowe 2 7 37 3" xfId="17564"/>
    <cellStyle name="Dane wyjściowe 2 7 38" xfId="17565"/>
    <cellStyle name="Dane wyjściowe 2 7 38 2" xfId="17566"/>
    <cellStyle name="Dane wyjściowe 2 7 38 3" xfId="17567"/>
    <cellStyle name="Dane wyjściowe 2 7 39" xfId="17568"/>
    <cellStyle name="Dane wyjściowe 2 7 39 2" xfId="17569"/>
    <cellStyle name="Dane wyjściowe 2 7 39 3" xfId="17570"/>
    <cellStyle name="Dane wyjściowe 2 7 4" xfId="17571"/>
    <cellStyle name="Dane wyjściowe 2 7 4 2" xfId="17572"/>
    <cellStyle name="Dane wyjściowe 2 7 4 3" xfId="17573"/>
    <cellStyle name="Dane wyjściowe 2 7 4 4" xfId="17574"/>
    <cellStyle name="Dane wyjściowe 2 7 40" xfId="17575"/>
    <cellStyle name="Dane wyjściowe 2 7 40 2" xfId="17576"/>
    <cellStyle name="Dane wyjściowe 2 7 40 3" xfId="17577"/>
    <cellStyle name="Dane wyjściowe 2 7 41" xfId="17578"/>
    <cellStyle name="Dane wyjściowe 2 7 41 2" xfId="17579"/>
    <cellStyle name="Dane wyjściowe 2 7 41 3" xfId="17580"/>
    <cellStyle name="Dane wyjściowe 2 7 42" xfId="17581"/>
    <cellStyle name="Dane wyjściowe 2 7 42 2" xfId="17582"/>
    <cellStyle name="Dane wyjściowe 2 7 42 3" xfId="17583"/>
    <cellStyle name="Dane wyjściowe 2 7 43" xfId="17584"/>
    <cellStyle name="Dane wyjściowe 2 7 43 2" xfId="17585"/>
    <cellStyle name="Dane wyjściowe 2 7 43 3" xfId="17586"/>
    <cellStyle name="Dane wyjściowe 2 7 44" xfId="17587"/>
    <cellStyle name="Dane wyjściowe 2 7 44 2" xfId="17588"/>
    <cellStyle name="Dane wyjściowe 2 7 44 3" xfId="17589"/>
    <cellStyle name="Dane wyjściowe 2 7 45" xfId="17590"/>
    <cellStyle name="Dane wyjściowe 2 7 45 2" xfId="17591"/>
    <cellStyle name="Dane wyjściowe 2 7 45 3" xfId="17592"/>
    <cellStyle name="Dane wyjściowe 2 7 46" xfId="17593"/>
    <cellStyle name="Dane wyjściowe 2 7 46 2" xfId="17594"/>
    <cellStyle name="Dane wyjściowe 2 7 46 3" xfId="17595"/>
    <cellStyle name="Dane wyjściowe 2 7 47" xfId="17596"/>
    <cellStyle name="Dane wyjściowe 2 7 47 2" xfId="17597"/>
    <cellStyle name="Dane wyjściowe 2 7 47 3" xfId="17598"/>
    <cellStyle name="Dane wyjściowe 2 7 48" xfId="17599"/>
    <cellStyle name="Dane wyjściowe 2 7 48 2" xfId="17600"/>
    <cellStyle name="Dane wyjściowe 2 7 48 3" xfId="17601"/>
    <cellStyle name="Dane wyjściowe 2 7 49" xfId="17602"/>
    <cellStyle name="Dane wyjściowe 2 7 49 2" xfId="17603"/>
    <cellStyle name="Dane wyjściowe 2 7 49 3" xfId="17604"/>
    <cellStyle name="Dane wyjściowe 2 7 5" xfId="17605"/>
    <cellStyle name="Dane wyjściowe 2 7 5 2" xfId="17606"/>
    <cellStyle name="Dane wyjściowe 2 7 5 3" xfId="17607"/>
    <cellStyle name="Dane wyjściowe 2 7 5 4" xfId="17608"/>
    <cellStyle name="Dane wyjściowe 2 7 50" xfId="17609"/>
    <cellStyle name="Dane wyjściowe 2 7 50 2" xfId="17610"/>
    <cellStyle name="Dane wyjściowe 2 7 50 3" xfId="17611"/>
    <cellStyle name="Dane wyjściowe 2 7 51" xfId="17612"/>
    <cellStyle name="Dane wyjściowe 2 7 51 2" xfId="17613"/>
    <cellStyle name="Dane wyjściowe 2 7 51 3" xfId="17614"/>
    <cellStyle name="Dane wyjściowe 2 7 52" xfId="17615"/>
    <cellStyle name="Dane wyjściowe 2 7 52 2" xfId="17616"/>
    <cellStyle name="Dane wyjściowe 2 7 52 3" xfId="17617"/>
    <cellStyle name="Dane wyjściowe 2 7 53" xfId="17618"/>
    <cellStyle name="Dane wyjściowe 2 7 53 2" xfId="17619"/>
    <cellStyle name="Dane wyjściowe 2 7 53 3" xfId="17620"/>
    <cellStyle name="Dane wyjściowe 2 7 54" xfId="17621"/>
    <cellStyle name="Dane wyjściowe 2 7 54 2" xfId="17622"/>
    <cellStyle name="Dane wyjściowe 2 7 54 3" xfId="17623"/>
    <cellStyle name="Dane wyjściowe 2 7 55" xfId="17624"/>
    <cellStyle name="Dane wyjściowe 2 7 55 2" xfId="17625"/>
    <cellStyle name="Dane wyjściowe 2 7 55 3" xfId="17626"/>
    <cellStyle name="Dane wyjściowe 2 7 56" xfId="17627"/>
    <cellStyle name="Dane wyjściowe 2 7 56 2" xfId="17628"/>
    <cellStyle name="Dane wyjściowe 2 7 56 3" xfId="17629"/>
    <cellStyle name="Dane wyjściowe 2 7 57" xfId="17630"/>
    <cellStyle name="Dane wyjściowe 2 7 58" xfId="17631"/>
    <cellStyle name="Dane wyjściowe 2 7 6" xfId="17632"/>
    <cellStyle name="Dane wyjściowe 2 7 6 2" xfId="17633"/>
    <cellStyle name="Dane wyjściowe 2 7 6 3" xfId="17634"/>
    <cellStyle name="Dane wyjściowe 2 7 6 4" xfId="17635"/>
    <cellStyle name="Dane wyjściowe 2 7 7" xfId="17636"/>
    <cellStyle name="Dane wyjściowe 2 7 7 2" xfId="17637"/>
    <cellStyle name="Dane wyjściowe 2 7 7 3" xfId="17638"/>
    <cellStyle name="Dane wyjściowe 2 7 7 4" xfId="17639"/>
    <cellStyle name="Dane wyjściowe 2 7 8" xfId="17640"/>
    <cellStyle name="Dane wyjściowe 2 7 8 2" xfId="17641"/>
    <cellStyle name="Dane wyjściowe 2 7 8 3" xfId="17642"/>
    <cellStyle name="Dane wyjściowe 2 7 8 4" xfId="17643"/>
    <cellStyle name="Dane wyjściowe 2 7 9" xfId="17644"/>
    <cellStyle name="Dane wyjściowe 2 7 9 2" xfId="17645"/>
    <cellStyle name="Dane wyjściowe 2 7 9 3" xfId="17646"/>
    <cellStyle name="Dane wyjściowe 2 7 9 4" xfId="17647"/>
    <cellStyle name="Dane wyjściowe 2 70" xfId="17648"/>
    <cellStyle name="Dane wyjściowe 2 70 2" xfId="17649"/>
    <cellStyle name="Dane wyjściowe 2 70 3" xfId="17650"/>
    <cellStyle name="Dane wyjściowe 2 71" xfId="17651"/>
    <cellStyle name="Dane wyjściowe 2 71 2" xfId="17652"/>
    <cellStyle name="Dane wyjściowe 2 71 3" xfId="17653"/>
    <cellStyle name="Dane wyjściowe 2 72" xfId="17654"/>
    <cellStyle name="Dane wyjściowe 2 72 2" xfId="17655"/>
    <cellStyle name="Dane wyjściowe 2 72 3" xfId="17656"/>
    <cellStyle name="Dane wyjściowe 2 73" xfId="17657"/>
    <cellStyle name="Dane wyjściowe 2 73 2" xfId="17658"/>
    <cellStyle name="Dane wyjściowe 2 73 3" xfId="17659"/>
    <cellStyle name="Dane wyjściowe 2 74" xfId="17660"/>
    <cellStyle name="Dane wyjściowe 2 74 2" xfId="17661"/>
    <cellStyle name="Dane wyjściowe 2 74 3" xfId="17662"/>
    <cellStyle name="Dane wyjściowe 2 75" xfId="17663"/>
    <cellStyle name="Dane wyjściowe 2 75 2" xfId="17664"/>
    <cellStyle name="Dane wyjściowe 2 75 3" xfId="17665"/>
    <cellStyle name="Dane wyjściowe 2 76" xfId="17666"/>
    <cellStyle name="Dane wyjściowe 2 76 2" xfId="17667"/>
    <cellStyle name="Dane wyjściowe 2 76 3" xfId="17668"/>
    <cellStyle name="Dane wyjściowe 2 77" xfId="17669"/>
    <cellStyle name="Dane wyjściowe 2 77 2" xfId="17670"/>
    <cellStyle name="Dane wyjściowe 2 77 3" xfId="17671"/>
    <cellStyle name="Dane wyjściowe 2 78" xfId="17672"/>
    <cellStyle name="Dane wyjściowe 2 78 2" xfId="17673"/>
    <cellStyle name="Dane wyjściowe 2 78 3" xfId="17674"/>
    <cellStyle name="Dane wyjściowe 2 79" xfId="17675"/>
    <cellStyle name="Dane wyjściowe 2 79 2" xfId="17676"/>
    <cellStyle name="Dane wyjściowe 2 79 3" xfId="17677"/>
    <cellStyle name="Dane wyjściowe 2 8" xfId="17678"/>
    <cellStyle name="Dane wyjściowe 2 8 10" xfId="17679"/>
    <cellStyle name="Dane wyjściowe 2 8 10 2" xfId="17680"/>
    <cellStyle name="Dane wyjściowe 2 8 10 3" xfId="17681"/>
    <cellStyle name="Dane wyjściowe 2 8 10 4" xfId="17682"/>
    <cellStyle name="Dane wyjściowe 2 8 11" xfId="17683"/>
    <cellStyle name="Dane wyjściowe 2 8 11 2" xfId="17684"/>
    <cellStyle name="Dane wyjściowe 2 8 11 3" xfId="17685"/>
    <cellStyle name="Dane wyjściowe 2 8 11 4" xfId="17686"/>
    <cellStyle name="Dane wyjściowe 2 8 12" xfId="17687"/>
    <cellStyle name="Dane wyjściowe 2 8 12 2" xfId="17688"/>
    <cellStyle name="Dane wyjściowe 2 8 12 3" xfId="17689"/>
    <cellStyle name="Dane wyjściowe 2 8 12 4" xfId="17690"/>
    <cellStyle name="Dane wyjściowe 2 8 13" xfId="17691"/>
    <cellStyle name="Dane wyjściowe 2 8 13 2" xfId="17692"/>
    <cellStyle name="Dane wyjściowe 2 8 13 3" xfId="17693"/>
    <cellStyle name="Dane wyjściowe 2 8 13 4" xfId="17694"/>
    <cellStyle name="Dane wyjściowe 2 8 14" xfId="17695"/>
    <cellStyle name="Dane wyjściowe 2 8 14 2" xfId="17696"/>
    <cellStyle name="Dane wyjściowe 2 8 14 3" xfId="17697"/>
    <cellStyle name="Dane wyjściowe 2 8 14 4" xfId="17698"/>
    <cellStyle name="Dane wyjściowe 2 8 15" xfId="17699"/>
    <cellStyle name="Dane wyjściowe 2 8 15 2" xfId="17700"/>
    <cellStyle name="Dane wyjściowe 2 8 15 3" xfId="17701"/>
    <cellStyle name="Dane wyjściowe 2 8 15 4" xfId="17702"/>
    <cellStyle name="Dane wyjściowe 2 8 16" xfId="17703"/>
    <cellStyle name="Dane wyjściowe 2 8 16 2" xfId="17704"/>
    <cellStyle name="Dane wyjściowe 2 8 16 3" xfId="17705"/>
    <cellStyle name="Dane wyjściowe 2 8 16 4" xfId="17706"/>
    <cellStyle name="Dane wyjściowe 2 8 17" xfId="17707"/>
    <cellStyle name="Dane wyjściowe 2 8 17 2" xfId="17708"/>
    <cellStyle name="Dane wyjściowe 2 8 17 3" xfId="17709"/>
    <cellStyle name="Dane wyjściowe 2 8 17 4" xfId="17710"/>
    <cellStyle name="Dane wyjściowe 2 8 18" xfId="17711"/>
    <cellStyle name="Dane wyjściowe 2 8 18 2" xfId="17712"/>
    <cellStyle name="Dane wyjściowe 2 8 18 3" xfId="17713"/>
    <cellStyle name="Dane wyjściowe 2 8 18 4" xfId="17714"/>
    <cellStyle name="Dane wyjściowe 2 8 19" xfId="17715"/>
    <cellStyle name="Dane wyjściowe 2 8 19 2" xfId="17716"/>
    <cellStyle name="Dane wyjściowe 2 8 19 3" xfId="17717"/>
    <cellStyle name="Dane wyjściowe 2 8 19 4" xfId="17718"/>
    <cellStyle name="Dane wyjściowe 2 8 2" xfId="17719"/>
    <cellStyle name="Dane wyjściowe 2 8 2 2" xfId="17720"/>
    <cellStyle name="Dane wyjściowe 2 8 2 3" xfId="17721"/>
    <cellStyle name="Dane wyjściowe 2 8 2 4" xfId="17722"/>
    <cellStyle name="Dane wyjściowe 2 8 20" xfId="17723"/>
    <cellStyle name="Dane wyjściowe 2 8 20 2" xfId="17724"/>
    <cellStyle name="Dane wyjściowe 2 8 20 3" xfId="17725"/>
    <cellStyle name="Dane wyjściowe 2 8 20 4" xfId="17726"/>
    <cellStyle name="Dane wyjściowe 2 8 21" xfId="17727"/>
    <cellStyle name="Dane wyjściowe 2 8 21 2" xfId="17728"/>
    <cellStyle name="Dane wyjściowe 2 8 21 3" xfId="17729"/>
    <cellStyle name="Dane wyjściowe 2 8 22" xfId="17730"/>
    <cellStyle name="Dane wyjściowe 2 8 22 2" xfId="17731"/>
    <cellStyle name="Dane wyjściowe 2 8 22 3" xfId="17732"/>
    <cellStyle name="Dane wyjściowe 2 8 23" xfId="17733"/>
    <cellStyle name="Dane wyjściowe 2 8 23 2" xfId="17734"/>
    <cellStyle name="Dane wyjściowe 2 8 23 3" xfId="17735"/>
    <cellStyle name="Dane wyjściowe 2 8 24" xfId="17736"/>
    <cellStyle name="Dane wyjściowe 2 8 24 2" xfId="17737"/>
    <cellStyle name="Dane wyjściowe 2 8 24 3" xfId="17738"/>
    <cellStyle name="Dane wyjściowe 2 8 25" xfId="17739"/>
    <cellStyle name="Dane wyjściowe 2 8 25 2" xfId="17740"/>
    <cellStyle name="Dane wyjściowe 2 8 25 3" xfId="17741"/>
    <cellStyle name="Dane wyjściowe 2 8 26" xfId="17742"/>
    <cellStyle name="Dane wyjściowe 2 8 26 2" xfId="17743"/>
    <cellStyle name="Dane wyjściowe 2 8 26 3" xfId="17744"/>
    <cellStyle name="Dane wyjściowe 2 8 27" xfId="17745"/>
    <cellStyle name="Dane wyjściowe 2 8 27 2" xfId="17746"/>
    <cellStyle name="Dane wyjściowe 2 8 27 3" xfId="17747"/>
    <cellStyle name="Dane wyjściowe 2 8 28" xfId="17748"/>
    <cellStyle name="Dane wyjściowe 2 8 28 2" xfId="17749"/>
    <cellStyle name="Dane wyjściowe 2 8 28 3" xfId="17750"/>
    <cellStyle name="Dane wyjściowe 2 8 29" xfId="17751"/>
    <cellStyle name="Dane wyjściowe 2 8 29 2" xfId="17752"/>
    <cellStyle name="Dane wyjściowe 2 8 29 3" xfId="17753"/>
    <cellStyle name="Dane wyjściowe 2 8 3" xfId="17754"/>
    <cellStyle name="Dane wyjściowe 2 8 3 2" xfId="17755"/>
    <cellStyle name="Dane wyjściowe 2 8 3 3" xfId="17756"/>
    <cellStyle name="Dane wyjściowe 2 8 3 4" xfId="17757"/>
    <cellStyle name="Dane wyjściowe 2 8 30" xfId="17758"/>
    <cellStyle name="Dane wyjściowe 2 8 30 2" xfId="17759"/>
    <cellStyle name="Dane wyjściowe 2 8 30 3" xfId="17760"/>
    <cellStyle name="Dane wyjściowe 2 8 31" xfId="17761"/>
    <cellStyle name="Dane wyjściowe 2 8 31 2" xfId="17762"/>
    <cellStyle name="Dane wyjściowe 2 8 31 3" xfId="17763"/>
    <cellStyle name="Dane wyjściowe 2 8 32" xfId="17764"/>
    <cellStyle name="Dane wyjściowe 2 8 32 2" xfId="17765"/>
    <cellStyle name="Dane wyjściowe 2 8 32 3" xfId="17766"/>
    <cellStyle name="Dane wyjściowe 2 8 33" xfId="17767"/>
    <cellStyle name="Dane wyjściowe 2 8 33 2" xfId="17768"/>
    <cellStyle name="Dane wyjściowe 2 8 33 3" xfId="17769"/>
    <cellStyle name="Dane wyjściowe 2 8 34" xfId="17770"/>
    <cellStyle name="Dane wyjściowe 2 8 34 2" xfId="17771"/>
    <cellStyle name="Dane wyjściowe 2 8 34 3" xfId="17772"/>
    <cellStyle name="Dane wyjściowe 2 8 35" xfId="17773"/>
    <cellStyle name="Dane wyjściowe 2 8 35 2" xfId="17774"/>
    <cellStyle name="Dane wyjściowe 2 8 35 3" xfId="17775"/>
    <cellStyle name="Dane wyjściowe 2 8 36" xfId="17776"/>
    <cellStyle name="Dane wyjściowe 2 8 36 2" xfId="17777"/>
    <cellStyle name="Dane wyjściowe 2 8 36 3" xfId="17778"/>
    <cellStyle name="Dane wyjściowe 2 8 37" xfId="17779"/>
    <cellStyle name="Dane wyjściowe 2 8 37 2" xfId="17780"/>
    <cellStyle name="Dane wyjściowe 2 8 37 3" xfId="17781"/>
    <cellStyle name="Dane wyjściowe 2 8 38" xfId="17782"/>
    <cellStyle name="Dane wyjściowe 2 8 38 2" xfId="17783"/>
    <cellStyle name="Dane wyjściowe 2 8 38 3" xfId="17784"/>
    <cellStyle name="Dane wyjściowe 2 8 39" xfId="17785"/>
    <cellStyle name="Dane wyjściowe 2 8 39 2" xfId="17786"/>
    <cellStyle name="Dane wyjściowe 2 8 39 3" xfId="17787"/>
    <cellStyle name="Dane wyjściowe 2 8 4" xfId="17788"/>
    <cellStyle name="Dane wyjściowe 2 8 4 2" xfId="17789"/>
    <cellStyle name="Dane wyjściowe 2 8 4 3" xfId="17790"/>
    <cellStyle name="Dane wyjściowe 2 8 4 4" xfId="17791"/>
    <cellStyle name="Dane wyjściowe 2 8 40" xfId="17792"/>
    <cellStyle name="Dane wyjściowe 2 8 40 2" xfId="17793"/>
    <cellStyle name="Dane wyjściowe 2 8 40 3" xfId="17794"/>
    <cellStyle name="Dane wyjściowe 2 8 41" xfId="17795"/>
    <cellStyle name="Dane wyjściowe 2 8 41 2" xfId="17796"/>
    <cellStyle name="Dane wyjściowe 2 8 41 3" xfId="17797"/>
    <cellStyle name="Dane wyjściowe 2 8 42" xfId="17798"/>
    <cellStyle name="Dane wyjściowe 2 8 42 2" xfId="17799"/>
    <cellStyle name="Dane wyjściowe 2 8 42 3" xfId="17800"/>
    <cellStyle name="Dane wyjściowe 2 8 43" xfId="17801"/>
    <cellStyle name="Dane wyjściowe 2 8 43 2" xfId="17802"/>
    <cellStyle name="Dane wyjściowe 2 8 43 3" xfId="17803"/>
    <cellStyle name="Dane wyjściowe 2 8 44" xfId="17804"/>
    <cellStyle name="Dane wyjściowe 2 8 44 2" xfId="17805"/>
    <cellStyle name="Dane wyjściowe 2 8 44 3" xfId="17806"/>
    <cellStyle name="Dane wyjściowe 2 8 45" xfId="17807"/>
    <cellStyle name="Dane wyjściowe 2 8 45 2" xfId="17808"/>
    <cellStyle name="Dane wyjściowe 2 8 45 3" xfId="17809"/>
    <cellStyle name="Dane wyjściowe 2 8 46" xfId="17810"/>
    <cellStyle name="Dane wyjściowe 2 8 46 2" xfId="17811"/>
    <cellStyle name="Dane wyjściowe 2 8 46 3" xfId="17812"/>
    <cellStyle name="Dane wyjściowe 2 8 47" xfId="17813"/>
    <cellStyle name="Dane wyjściowe 2 8 47 2" xfId="17814"/>
    <cellStyle name="Dane wyjściowe 2 8 47 3" xfId="17815"/>
    <cellStyle name="Dane wyjściowe 2 8 48" xfId="17816"/>
    <cellStyle name="Dane wyjściowe 2 8 48 2" xfId="17817"/>
    <cellStyle name="Dane wyjściowe 2 8 48 3" xfId="17818"/>
    <cellStyle name="Dane wyjściowe 2 8 49" xfId="17819"/>
    <cellStyle name="Dane wyjściowe 2 8 49 2" xfId="17820"/>
    <cellStyle name="Dane wyjściowe 2 8 49 3" xfId="17821"/>
    <cellStyle name="Dane wyjściowe 2 8 5" xfId="17822"/>
    <cellStyle name="Dane wyjściowe 2 8 5 2" xfId="17823"/>
    <cellStyle name="Dane wyjściowe 2 8 5 3" xfId="17824"/>
    <cellStyle name="Dane wyjściowe 2 8 5 4" xfId="17825"/>
    <cellStyle name="Dane wyjściowe 2 8 50" xfId="17826"/>
    <cellStyle name="Dane wyjściowe 2 8 50 2" xfId="17827"/>
    <cellStyle name="Dane wyjściowe 2 8 50 3" xfId="17828"/>
    <cellStyle name="Dane wyjściowe 2 8 51" xfId="17829"/>
    <cellStyle name="Dane wyjściowe 2 8 51 2" xfId="17830"/>
    <cellStyle name="Dane wyjściowe 2 8 51 3" xfId="17831"/>
    <cellStyle name="Dane wyjściowe 2 8 52" xfId="17832"/>
    <cellStyle name="Dane wyjściowe 2 8 52 2" xfId="17833"/>
    <cellStyle name="Dane wyjściowe 2 8 52 3" xfId="17834"/>
    <cellStyle name="Dane wyjściowe 2 8 53" xfId="17835"/>
    <cellStyle name="Dane wyjściowe 2 8 53 2" xfId="17836"/>
    <cellStyle name="Dane wyjściowe 2 8 53 3" xfId="17837"/>
    <cellStyle name="Dane wyjściowe 2 8 54" xfId="17838"/>
    <cellStyle name="Dane wyjściowe 2 8 54 2" xfId="17839"/>
    <cellStyle name="Dane wyjściowe 2 8 54 3" xfId="17840"/>
    <cellStyle name="Dane wyjściowe 2 8 55" xfId="17841"/>
    <cellStyle name="Dane wyjściowe 2 8 55 2" xfId="17842"/>
    <cellStyle name="Dane wyjściowe 2 8 55 3" xfId="17843"/>
    <cellStyle name="Dane wyjściowe 2 8 56" xfId="17844"/>
    <cellStyle name="Dane wyjściowe 2 8 56 2" xfId="17845"/>
    <cellStyle name="Dane wyjściowe 2 8 56 3" xfId="17846"/>
    <cellStyle name="Dane wyjściowe 2 8 57" xfId="17847"/>
    <cellStyle name="Dane wyjściowe 2 8 58" xfId="17848"/>
    <cellStyle name="Dane wyjściowe 2 8 6" xfId="17849"/>
    <cellStyle name="Dane wyjściowe 2 8 6 2" xfId="17850"/>
    <cellStyle name="Dane wyjściowe 2 8 6 3" xfId="17851"/>
    <cellStyle name="Dane wyjściowe 2 8 6 4" xfId="17852"/>
    <cellStyle name="Dane wyjściowe 2 8 7" xfId="17853"/>
    <cellStyle name="Dane wyjściowe 2 8 7 2" xfId="17854"/>
    <cellStyle name="Dane wyjściowe 2 8 7 3" xfId="17855"/>
    <cellStyle name="Dane wyjściowe 2 8 7 4" xfId="17856"/>
    <cellStyle name="Dane wyjściowe 2 8 8" xfId="17857"/>
    <cellStyle name="Dane wyjściowe 2 8 8 2" xfId="17858"/>
    <cellStyle name="Dane wyjściowe 2 8 8 3" xfId="17859"/>
    <cellStyle name="Dane wyjściowe 2 8 8 4" xfId="17860"/>
    <cellStyle name="Dane wyjściowe 2 8 9" xfId="17861"/>
    <cellStyle name="Dane wyjściowe 2 8 9 2" xfId="17862"/>
    <cellStyle name="Dane wyjściowe 2 8 9 3" xfId="17863"/>
    <cellStyle name="Dane wyjściowe 2 8 9 4" xfId="17864"/>
    <cellStyle name="Dane wyjściowe 2 80" xfId="17865"/>
    <cellStyle name="Dane wyjściowe 2 80 2" xfId="17866"/>
    <cellStyle name="Dane wyjściowe 2 80 3" xfId="17867"/>
    <cellStyle name="Dane wyjściowe 2 81" xfId="17868"/>
    <cellStyle name="Dane wyjściowe 2 81 2" xfId="17869"/>
    <cellStyle name="Dane wyjściowe 2 81 3" xfId="17870"/>
    <cellStyle name="Dane wyjściowe 2 82" xfId="17871"/>
    <cellStyle name="Dane wyjściowe 2 82 2" xfId="17872"/>
    <cellStyle name="Dane wyjściowe 2 82 3" xfId="17873"/>
    <cellStyle name="Dane wyjściowe 2 83" xfId="17874"/>
    <cellStyle name="Dane wyjściowe 2 83 2" xfId="17875"/>
    <cellStyle name="Dane wyjściowe 2 83 3" xfId="17876"/>
    <cellStyle name="Dane wyjściowe 2 84" xfId="17877"/>
    <cellStyle name="Dane wyjściowe 2 84 2" xfId="17878"/>
    <cellStyle name="Dane wyjściowe 2 84 3" xfId="17879"/>
    <cellStyle name="Dane wyjściowe 2 85" xfId="17880"/>
    <cellStyle name="Dane wyjściowe 2 85 2" xfId="17881"/>
    <cellStyle name="Dane wyjściowe 2 85 3" xfId="17882"/>
    <cellStyle name="Dane wyjściowe 2 86" xfId="17883"/>
    <cellStyle name="Dane wyjściowe 2 86 2" xfId="17884"/>
    <cellStyle name="Dane wyjściowe 2 86 3" xfId="17885"/>
    <cellStyle name="Dane wyjściowe 2 87" xfId="17886"/>
    <cellStyle name="Dane wyjściowe 2 87 2" xfId="17887"/>
    <cellStyle name="Dane wyjściowe 2 87 3" xfId="17888"/>
    <cellStyle name="Dane wyjściowe 2 88" xfId="17889"/>
    <cellStyle name="Dane wyjściowe 2 89" xfId="17890"/>
    <cellStyle name="Dane wyjściowe 2 9" xfId="17891"/>
    <cellStyle name="Dane wyjściowe 2 9 10" xfId="17892"/>
    <cellStyle name="Dane wyjściowe 2 9 10 2" xfId="17893"/>
    <cellStyle name="Dane wyjściowe 2 9 10 3" xfId="17894"/>
    <cellStyle name="Dane wyjściowe 2 9 10 4" xfId="17895"/>
    <cellStyle name="Dane wyjściowe 2 9 11" xfId="17896"/>
    <cellStyle name="Dane wyjściowe 2 9 11 2" xfId="17897"/>
    <cellStyle name="Dane wyjściowe 2 9 11 3" xfId="17898"/>
    <cellStyle name="Dane wyjściowe 2 9 11 4" xfId="17899"/>
    <cellStyle name="Dane wyjściowe 2 9 12" xfId="17900"/>
    <cellStyle name="Dane wyjściowe 2 9 12 2" xfId="17901"/>
    <cellStyle name="Dane wyjściowe 2 9 12 3" xfId="17902"/>
    <cellStyle name="Dane wyjściowe 2 9 12 4" xfId="17903"/>
    <cellStyle name="Dane wyjściowe 2 9 13" xfId="17904"/>
    <cellStyle name="Dane wyjściowe 2 9 13 2" xfId="17905"/>
    <cellStyle name="Dane wyjściowe 2 9 13 3" xfId="17906"/>
    <cellStyle name="Dane wyjściowe 2 9 13 4" xfId="17907"/>
    <cellStyle name="Dane wyjściowe 2 9 14" xfId="17908"/>
    <cellStyle name="Dane wyjściowe 2 9 14 2" xfId="17909"/>
    <cellStyle name="Dane wyjściowe 2 9 14 3" xfId="17910"/>
    <cellStyle name="Dane wyjściowe 2 9 14 4" xfId="17911"/>
    <cellStyle name="Dane wyjściowe 2 9 15" xfId="17912"/>
    <cellStyle name="Dane wyjściowe 2 9 15 2" xfId="17913"/>
    <cellStyle name="Dane wyjściowe 2 9 15 3" xfId="17914"/>
    <cellStyle name="Dane wyjściowe 2 9 15 4" xfId="17915"/>
    <cellStyle name="Dane wyjściowe 2 9 16" xfId="17916"/>
    <cellStyle name="Dane wyjściowe 2 9 16 2" xfId="17917"/>
    <cellStyle name="Dane wyjściowe 2 9 16 3" xfId="17918"/>
    <cellStyle name="Dane wyjściowe 2 9 16 4" xfId="17919"/>
    <cellStyle name="Dane wyjściowe 2 9 17" xfId="17920"/>
    <cellStyle name="Dane wyjściowe 2 9 17 2" xfId="17921"/>
    <cellStyle name="Dane wyjściowe 2 9 17 3" xfId="17922"/>
    <cellStyle name="Dane wyjściowe 2 9 17 4" xfId="17923"/>
    <cellStyle name="Dane wyjściowe 2 9 18" xfId="17924"/>
    <cellStyle name="Dane wyjściowe 2 9 18 2" xfId="17925"/>
    <cellStyle name="Dane wyjściowe 2 9 18 3" xfId="17926"/>
    <cellStyle name="Dane wyjściowe 2 9 18 4" xfId="17927"/>
    <cellStyle name="Dane wyjściowe 2 9 19" xfId="17928"/>
    <cellStyle name="Dane wyjściowe 2 9 19 2" xfId="17929"/>
    <cellStyle name="Dane wyjściowe 2 9 19 3" xfId="17930"/>
    <cellStyle name="Dane wyjściowe 2 9 19 4" xfId="17931"/>
    <cellStyle name="Dane wyjściowe 2 9 2" xfId="17932"/>
    <cellStyle name="Dane wyjściowe 2 9 2 2" xfId="17933"/>
    <cellStyle name="Dane wyjściowe 2 9 2 3" xfId="17934"/>
    <cellStyle name="Dane wyjściowe 2 9 2 4" xfId="17935"/>
    <cellStyle name="Dane wyjściowe 2 9 20" xfId="17936"/>
    <cellStyle name="Dane wyjściowe 2 9 20 2" xfId="17937"/>
    <cellStyle name="Dane wyjściowe 2 9 20 3" xfId="17938"/>
    <cellStyle name="Dane wyjściowe 2 9 20 4" xfId="17939"/>
    <cellStyle name="Dane wyjściowe 2 9 21" xfId="17940"/>
    <cellStyle name="Dane wyjściowe 2 9 21 2" xfId="17941"/>
    <cellStyle name="Dane wyjściowe 2 9 21 3" xfId="17942"/>
    <cellStyle name="Dane wyjściowe 2 9 22" xfId="17943"/>
    <cellStyle name="Dane wyjściowe 2 9 22 2" xfId="17944"/>
    <cellStyle name="Dane wyjściowe 2 9 22 3" xfId="17945"/>
    <cellStyle name="Dane wyjściowe 2 9 23" xfId="17946"/>
    <cellStyle name="Dane wyjściowe 2 9 23 2" xfId="17947"/>
    <cellStyle name="Dane wyjściowe 2 9 23 3" xfId="17948"/>
    <cellStyle name="Dane wyjściowe 2 9 24" xfId="17949"/>
    <cellStyle name="Dane wyjściowe 2 9 24 2" xfId="17950"/>
    <cellStyle name="Dane wyjściowe 2 9 24 3" xfId="17951"/>
    <cellStyle name="Dane wyjściowe 2 9 25" xfId="17952"/>
    <cellStyle name="Dane wyjściowe 2 9 25 2" xfId="17953"/>
    <cellStyle name="Dane wyjściowe 2 9 25 3" xfId="17954"/>
    <cellStyle name="Dane wyjściowe 2 9 26" xfId="17955"/>
    <cellStyle name="Dane wyjściowe 2 9 26 2" xfId="17956"/>
    <cellStyle name="Dane wyjściowe 2 9 26 3" xfId="17957"/>
    <cellStyle name="Dane wyjściowe 2 9 27" xfId="17958"/>
    <cellStyle name="Dane wyjściowe 2 9 27 2" xfId="17959"/>
    <cellStyle name="Dane wyjściowe 2 9 27 3" xfId="17960"/>
    <cellStyle name="Dane wyjściowe 2 9 28" xfId="17961"/>
    <cellStyle name="Dane wyjściowe 2 9 28 2" xfId="17962"/>
    <cellStyle name="Dane wyjściowe 2 9 28 3" xfId="17963"/>
    <cellStyle name="Dane wyjściowe 2 9 29" xfId="17964"/>
    <cellStyle name="Dane wyjściowe 2 9 29 2" xfId="17965"/>
    <cellStyle name="Dane wyjściowe 2 9 29 3" xfId="17966"/>
    <cellStyle name="Dane wyjściowe 2 9 3" xfId="17967"/>
    <cellStyle name="Dane wyjściowe 2 9 3 2" xfId="17968"/>
    <cellStyle name="Dane wyjściowe 2 9 3 3" xfId="17969"/>
    <cellStyle name="Dane wyjściowe 2 9 3 4" xfId="17970"/>
    <cellStyle name="Dane wyjściowe 2 9 30" xfId="17971"/>
    <cellStyle name="Dane wyjściowe 2 9 30 2" xfId="17972"/>
    <cellStyle name="Dane wyjściowe 2 9 30 3" xfId="17973"/>
    <cellStyle name="Dane wyjściowe 2 9 31" xfId="17974"/>
    <cellStyle name="Dane wyjściowe 2 9 31 2" xfId="17975"/>
    <cellStyle name="Dane wyjściowe 2 9 31 3" xfId="17976"/>
    <cellStyle name="Dane wyjściowe 2 9 32" xfId="17977"/>
    <cellStyle name="Dane wyjściowe 2 9 32 2" xfId="17978"/>
    <cellStyle name="Dane wyjściowe 2 9 32 3" xfId="17979"/>
    <cellStyle name="Dane wyjściowe 2 9 33" xfId="17980"/>
    <cellStyle name="Dane wyjściowe 2 9 33 2" xfId="17981"/>
    <cellStyle name="Dane wyjściowe 2 9 33 3" xfId="17982"/>
    <cellStyle name="Dane wyjściowe 2 9 34" xfId="17983"/>
    <cellStyle name="Dane wyjściowe 2 9 34 2" xfId="17984"/>
    <cellStyle name="Dane wyjściowe 2 9 34 3" xfId="17985"/>
    <cellStyle name="Dane wyjściowe 2 9 35" xfId="17986"/>
    <cellStyle name="Dane wyjściowe 2 9 35 2" xfId="17987"/>
    <cellStyle name="Dane wyjściowe 2 9 35 3" xfId="17988"/>
    <cellStyle name="Dane wyjściowe 2 9 36" xfId="17989"/>
    <cellStyle name="Dane wyjściowe 2 9 36 2" xfId="17990"/>
    <cellStyle name="Dane wyjściowe 2 9 36 3" xfId="17991"/>
    <cellStyle name="Dane wyjściowe 2 9 37" xfId="17992"/>
    <cellStyle name="Dane wyjściowe 2 9 37 2" xfId="17993"/>
    <cellStyle name="Dane wyjściowe 2 9 37 3" xfId="17994"/>
    <cellStyle name="Dane wyjściowe 2 9 38" xfId="17995"/>
    <cellStyle name="Dane wyjściowe 2 9 38 2" xfId="17996"/>
    <cellStyle name="Dane wyjściowe 2 9 38 3" xfId="17997"/>
    <cellStyle name="Dane wyjściowe 2 9 39" xfId="17998"/>
    <cellStyle name="Dane wyjściowe 2 9 39 2" xfId="17999"/>
    <cellStyle name="Dane wyjściowe 2 9 39 3" xfId="18000"/>
    <cellStyle name="Dane wyjściowe 2 9 4" xfId="18001"/>
    <cellStyle name="Dane wyjściowe 2 9 4 2" xfId="18002"/>
    <cellStyle name="Dane wyjściowe 2 9 4 3" xfId="18003"/>
    <cellStyle name="Dane wyjściowe 2 9 4 4" xfId="18004"/>
    <cellStyle name="Dane wyjściowe 2 9 40" xfId="18005"/>
    <cellStyle name="Dane wyjściowe 2 9 40 2" xfId="18006"/>
    <cellStyle name="Dane wyjściowe 2 9 40 3" xfId="18007"/>
    <cellStyle name="Dane wyjściowe 2 9 41" xfId="18008"/>
    <cellStyle name="Dane wyjściowe 2 9 41 2" xfId="18009"/>
    <cellStyle name="Dane wyjściowe 2 9 41 3" xfId="18010"/>
    <cellStyle name="Dane wyjściowe 2 9 42" xfId="18011"/>
    <cellStyle name="Dane wyjściowe 2 9 42 2" xfId="18012"/>
    <cellStyle name="Dane wyjściowe 2 9 42 3" xfId="18013"/>
    <cellStyle name="Dane wyjściowe 2 9 43" xfId="18014"/>
    <cellStyle name="Dane wyjściowe 2 9 43 2" xfId="18015"/>
    <cellStyle name="Dane wyjściowe 2 9 43 3" xfId="18016"/>
    <cellStyle name="Dane wyjściowe 2 9 44" xfId="18017"/>
    <cellStyle name="Dane wyjściowe 2 9 44 2" xfId="18018"/>
    <cellStyle name="Dane wyjściowe 2 9 44 3" xfId="18019"/>
    <cellStyle name="Dane wyjściowe 2 9 45" xfId="18020"/>
    <cellStyle name="Dane wyjściowe 2 9 45 2" xfId="18021"/>
    <cellStyle name="Dane wyjściowe 2 9 45 3" xfId="18022"/>
    <cellStyle name="Dane wyjściowe 2 9 46" xfId="18023"/>
    <cellStyle name="Dane wyjściowe 2 9 46 2" xfId="18024"/>
    <cellStyle name="Dane wyjściowe 2 9 46 3" xfId="18025"/>
    <cellStyle name="Dane wyjściowe 2 9 47" xfId="18026"/>
    <cellStyle name="Dane wyjściowe 2 9 47 2" xfId="18027"/>
    <cellStyle name="Dane wyjściowe 2 9 47 3" xfId="18028"/>
    <cellStyle name="Dane wyjściowe 2 9 48" xfId="18029"/>
    <cellStyle name="Dane wyjściowe 2 9 48 2" xfId="18030"/>
    <cellStyle name="Dane wyjściowe 2 9 48 3" xfId="18031"/>
    <cellStyle name="Dane wyjściowe 2 9 49" xfId="18032"/>
    <cellStyle name="Dane wyjściowe 2 9 49 2" xfId="18033"/>
    <cellStyle name="Dane wyjściowe 2 9 49 3" xfId="18034"/>
    <cellStyle name="Dane wyjściowe 2 9 5" xfId="18035"/>
    <cellStyle name="Dane wyjściowe 2 9 5 2" xfId="18036"/>
    <cellStyle name="Dane wyjściowe 2 9 5 3" xfId="18037"/>
    <cellStyle name="Dane wyjściowe 2 9 5 4" xfId="18038"/>
    <cellStyle name="Dane wyjściowe 2 9 50" xfId="18039"/>
    <cellStyle name="Dane wyjściowe 2 9 50 2" xfId="18040"/>
    <cellStyle name="Dane wyjściowe 2 9 50 3" xfId="18041"/>
    <cellStyle name="Dane wyjściowe 2 9 51" xfId="18042"/>
    <cellStyle name="Dane wyjściowe 2 9 51 2" xfId="18043"/>
    <cellStyle name="Dane wyjściowe 2 9 51 3" xfId="18044"/>
    <cellStyle name="Dane wyjściowe 2 9 52" xfId="18045"/>
    <cellStyle name="Dane wyjściowe 2 9 52 2" xfId="18046"/>
    <cellStyle name="Dane wyjściowe 2 9 52 3" xfId="18047"/>
    <cellStyle name="Dane wyjściowe 2 9 53" xfId="18048"/>
    <cellStyle name="Dane wyjściowe 2 9 53 2" xfId="18049"/>
    <cellStyle name="Dane wyjściowe 2 9 53 3" xfId="18050"/>
    <cellStyle name="Dane wyjściowe 2 9 54" xfId="18051"/>
    <cellStyle name="Dane wyjściowe 2 9 54 2" xfId="18052"/>
    <cellStyle name="Dane wyjściowe 2 9 54 3" xfId="18053"/>
    <cellStyle name="Dane wyjściowe 2 9 55" xfId="18054"/>
    <cellStyle name="Dane wyjściowe 2 9 55 2" xfId="18055"/>
    <cellStyle name="Dane wyjściowe 2 9 55 3" xfId="18056"/>
    <cellStyle name="Dane wyjściowe 2 9 56" xfId="18057"/>
    <cellStyle name="Dane wyjściowe 2 9 56 2" xfId="18058"/>
    <cellStyle name="Dane wyjściowe 2 9 56 3" xfId="18059"/>
    <cellStyle name="Dane wyjściowe 2 9 57" xfId="18060"/>
    <cellStyle name="Dane wyjściowe 2 9 58" xfId="18061"/>
    <cellStyle name="Dane wyjściowe 2 9 6" xfId="18062"/>
    <cellStyle name="Dane wyjściowe 2 9 6 2" xfId="18063"/>
    <cellStyle name="Dane wyjściowe 2 9 6 3" xfId="18064"/>
    <cellStyle name="Dane wyjściowe 2 9 6 4" xfId="18065"/>
    <cellStyle name="Dane wyjściowe 2 9 7" xfId="18066"/>
    <cellStyle name="Dane wyjściowe 2 9 7 2" xfId="18067"/>
    <cellStyle name="Dane wyjściowe 2 9 7 3" xfId="18068"/>
    <cellStyle name="Dane wyjściowe 2 9 7 4" xfId="18069"/>
    <cellStyle name="Dane wyjściowe 2 9 8" xfId="18070"/>
    <cellStyle name="Dane wyjściowe 2 9 8 2" xfId="18071"/>
    <cellStyle name="Dane wyjściowe 2 9 8 3" xfId="18072"/>
    <cellStyle name="Dane wyjściowe 2 9 8 4" xfId="18073"/>
    <cellStyle name="Dane wyjściowe 2 9 9" xfId="18074"/>
    <cellStyle name="Dane wyjściowe 2 9 9 2" xfId="18075"/>
    <cellStyle name="Dane wyjściowe 2 9 9 3" xfId="18076"/>
    <cellStyle name="Dane wyjściowe 2 9 9 4" xfId="18077"/>
    <cellStyle name="Dane wyjściowe 3" xfId="18078"/>
    <cellStyle name="Dane wyjściowe 3 2" xfId="18079"/>
    <cellStyle name="Dane wyjściowe 3 2 2" xfId="18080"/>
    <cellStyle name="Dane wyjściowe 3 3" xfId="18081"/>
    <cellStyle name="Dane wyjściowe 3 4" xfId="18082"/>
    <cellStyle name="Dane wyjściowe 3 5" xfId="18083"/>
    <cellStyle name="Dane wyjściowe 3 6" xfId="18084"/>
    <cellStyle name="Dane wyjściowe 3 7" xfId="18085"/>
    <cellStyle name="Dane wyjściowe 3 8" xfId="18086"/>
    <cellStyle name="Dane wyjściowe 3 9" xfId="18087"/>
    <cellStyle name="Dane wyjściowe 4" xfId="18088"/>
    <cellStyle name="Dane wyjściowe 4 2" xfId="18089"/>
    <cellStyle name="Dane wyjściowe 4 3" xfId="18090"/>
    <cellStyle name="Dane wyjściowe 4 4" xfId="18091"/>
    <cellStyle name="Dane wyjściowe 4 5" xfId="18092"/>
    <cellStyle name="Dane wyjściowe 4 6" xfId="18093"/>
    <cellStyle name="Dane wyjściowe 4 7" xfId="18094"/>
    <cellStyle name="Dane wyjściowe 4 8" xfId="18095"/>
    <cellStyle name="Dane wyjściowe 4 9" xfId="18096"/>
    <cellStyle name="Dane wyjściowe 5" xfId="18097"/>
    <cellStyle name="Dane wyjściowe 5 2" xfId="18098"/>
    <cellStyle name="Dane wyjściowe 5 3" xfId="18099"/>
    <cellStyle name="Dane wyjściowe 6" xfId="18100"/>
    <cellStyle name="Dane wyjściowe 6 2" xfId="18101"/>
    <cellStyle name="Dane wyjściowe 7" xfId="18102"/>
    <cellStyle name="Dobre 2" xfId="18103"/>
    <cellStyle name="Dobre 2 10" xfId="18104"/>
    <cellStyle name="Dobre 2 10 2" xfId="18105"/>
    <cellStyle name="Dobre 2 10 3" xfId="18106"/>
    <cellStyle name="Dobre 2 10 4" xfId="18107"/>
    <cellStyle name="Dobre 2 10 5" xfId="18108"/>
    <cellStyle name="Dobre 2 10 6" xfId="18109"/>
    <cellStyle name="Dobre 2 10 7" xfId="18110"/>
    <cellStyle name="Dobre 2 11" xfId="18111"/>
    <cellStyle name="Dobre 2 11 2" xfId="18112"/>
    <cellStyle name="Dobre 2 11 3" xfId="18113"/>
    <cellStyle name="Dobre 2 11 4" xfId="18114"/>
    <cellStyle name="Dobre 2 11 5" xfId="18115"/>
    <cellStyle name="Dobre 2 11 6" xfId="18116"/>
    <cellStyle name="Dobre 2 11 7" xfId="18117"/>
    <cellStyle name="Dobre 2 12" xfId="18118"/>
    <cellStyle name="Dobre 2 12 2" xfId="18119"/>
    <cellStyle name="Dobre 2 12 3" xfId="18120"/>
    <cellStyle name="Dobre 2 12 4" xfId="18121"/>
    <cellStyle name="Dobre 2 12 5" xfId="18122"/>
    <cellStyle name="Dobre 2 12 6" xfId="18123"/>
    <cellStyle name="Dobre 2 12 7" xfId="18124"/>
    <cellStyle name="Dobre 2 13" xfId="18125"/>
    <cellStyle name="Dobre 2 13 2" xfId="18126"/>
    <cellStyle name="Dobre 2 13 3" xfId="18127"/>
    <cellStyle name="Dobre 2 13 4" xfId="18128"/>
    <cellStyle name="Dobre 2 13 5" xfId="18129"/>
    <cellStyle name="Dobre 2 13 6" xfId="18130"/>
    <cellStyle name="Dobre 2 13 7" xfId="18131"/>
    <cellStyle name="Dobre 2 14" xfId="18132"/>
    <cellStyle name="Dobre 2 14 2" xfId="18133"/>
    <cellStyle name="Dobre 2 14 3" xfId="18134"/>
    <cellStyle name="Dobre 2 14 4" xfId="18135"/>
    <cellStyle name="Dobre 2 14 5" xfId="18136"/>
    <cellStyle name="Dobre 2 14 6" xfId="18137"/>
    <cellStyle name="Dobre 2 14 7" xfId="18138"/>
    <cellStyle name="Dobre 2 15" xfId="18139"/>
    <cellStyle name="Dobre 2 15 2" xfId="18140"/>
    <cellStyle name="Dobre 2 15 3" xfId="18141"/>
    <cellStyle name="Dobre 2 15 4" xfId="18142"/>
    <cellStyle name="Dobre 2 15 5" xfId="18143"/>
    <cellStyle name="Dobre 2 15 6" xfId="18144"/>
    <cellStyle name="Dobre 2 15 7" xfId="18145"/>
    <cellStyle name="Dobre 2 16" xfId="18146"/>
    <cellStyle name="Dobre 2 16 2" xfId="18147"/>
    <cellStyle name="Dobre 2 16 3" xfId="18148"/>
    <cellStyle name="Dobre 2 16 4" xfId="18149"/>
    <cellStyle name="Dobre 2 16 5" xfId="18150"/>
    <cellStyle name="Dobre 2 16 6" xfId="18151"/>
    <cellStyle name="Dobre 2 16 7" xfId="18152"/>
    <cellStyle name="Dobre 2 17" xfId="18153"/>
    <cellStyle name="Dobre 2 17 2" xfId="18154"/>
    <cellStyle name="Dobre 2 17 3" xfId="18155"/>
    <cellStyle name="Dobre 2 17 4" xfId="18156"/>
    <cellStyle name="Dobre 2 17 5" xfId="18157"/>
    <cellStyle name="Dobre 2 17 6" xfId="18158"/>
    <cellStyle name="Dobre 2 17 7" xfId="18159"/>
    <cellStyle name="Dobre 2 18" xfId="18160"/>
    <cellStyle name="Dobre 2 18 2" xfId="18161"/>
    <cellStyle name="Dobre 2 18 3" xfId="18162"/>
    <cellStyle name="Dobre 2 18 4" xfId="18163"/>
    <cellStyle name="Dobre 2 18 5" xfId="18164"/>
    <cellStyle name="Dobre 2 18 6" xfId="18165"/>
    <cellStyle name="Dobre 2 18 7" xfId="18166"/>
    <cellStyle name="Dobre 2 19" xfId="18167"/>
    <cellStyle name="Dobre 2 19 2" xfId="18168"/>
    <cellStyle name="Dobre 2 19 3" xfId="18169"/>
    <cellStyle name="Dobre 2 19 4" xfId="18170"/>
    <cellStyle name="Dobre 2 19 5" xfId="18171"/>
    <cellStyle name="Dobre 2 19 6" xfId="18172"/>
    <cellStyle name="Dobre 2 19 7" xfId="18173"/>
    <cellStyle name="Dobre 2 2" xfId="18174"/>
    <cellStyle name="Dobre 2 2 2" xfId="18175"/>
    <cellStyle name="Dobre 2 2 3" xfId="18176"/>
    <cellStyle name="Dobre 2 2 4" xfId="18177"/>
    <cellStyle name="Dobre 2 2 5" xfId="18178"/>
    <cellStyle name="Dobre 2 2 6" xfId="18179"/>
    <cellStyle name="Dobre 2 2 7" xfId="18180"/>
    <cellStyle name="Dobre 2 2 8" xfId="18181"/>
    <cellStyle name="Dobre 2 20" xfId="18182"/>
    <cellStyle name="Dobre 2 20 2" xfId="18183"/>
    <cellStyle name="Dobre 2 20 3" xfId="18184"/>
    <cellStyle name="Dobre 2 20 4" xfId="18185"/>
    <cellStyle name="Dobre 2 20 5" xfId="18186"/>
    <cellStyle name="Dobre 2 20 6" xfId="18187"/>
    <cellStyle name="Dobre 2 20 7" xfId="18188"/>
    <cellStyle name="Dobre 2 21" xfId="18189"/>
    <cellStyle name="Dobre 2 21 2" xfId="18190"/>
    <cellStyle name="Dobre 2 21 3" xfId="18191"/>
    <cellStyle name="Dobre 2 21 4" xfId="18192"/>
    <cellStyle name="Dobre 2 21 5" xfId="18193"/>
    <cellStyle name="Dobre 2 21 6" xfId="18194"/>
    <cellStyle name="Dobre 2 21 7" xfId="18195"/>
    <cellStyle name="Dobre 2 22" xfId="18196"/>
    <cellStyle name="Dobre 2 22 2" xfId="18197"/>
    <cellStyle name="Dobre 2 22 3" xfId="18198"/>
    <cellStyle name="Dobre 2 22 4" xfId="18199"/>
    <cellStyle name="Dobre 2 22 5" xfId="18200"/>
    <cellStyle name="Dobre 2 22 6" xfId="18201"/>
    <cellStyle name="Dobre 2 22 7" xfId="18202"/>
    <cellStyle name="Dobre 2 23" xfId="18203"/>
    <cellStyle name="Dobre 2 23 2" xfId="18204"/>
    <cellStyle name="Dobre 2 23 3" xfId="18205"/>
    <cellStyle name="Dobre 2 23 4" xfId="18206"/>
    <cellStyle name="Dobre 2 23 5" xfId="18207"/>
    <cellStyle name="Dobre 2 23 6" xfId="18208"/>
    <cellStyle name="Dobre 2 23 7" xfId="18209"/>
    <cellStyle name="Dobre 2 24" xfId="18210"/>
    <cellStyle name="Dobre 2 24 2" xfId="18211"/>
    <cellStyle name="Dobre 2 24 3" xfId="18212"/>
    <cellStyle name="Dobre 2 24 4" xfId="18213"/>
    <cellStyle name="Dobre 2 24 5" xfId="18214"/>
    <cellStyle name="Dobre 2 24 6" xfId="18215"/>
    <cellStyle name="Dobre 2 24 7" xfId="18216"/>
    <cellStyle name="Dobre 2 25" xfId="18217"/>
    <cellStyle name="Dobre 2 25 2" xfId="18218"/>
    <cellStyle name="Dobre 2 25 3" xfId="18219"/>
    <cellStyle name="Dobre 2 25 4" xfId="18220"/>
    <cellStyle name="Dobre 2 25 5" xfId="18221"/>
    <cellStyle name="Dobre 2 25 6" xfId="18222"/>
    <cellStyle name="Dobre 2 25 7" xfId="18223"/>
    <cellStyle name="Dobre 2 26" xfId="18224"/>
    <cellStyle name="Dobre 2 26 2" xfId="18225"/>
    <cellStyle name="Dobre 2 26 3" xfId="18226"/>
    <cellStyle name="Dobre 2 26 4" xfId="18227"/>
    <cellStyle name="Dobre 2 26 5" xfId="18228"/>
    <cellStyle name="Dobre 2 26 6" xfId="18229"/>
    <cellStyle name="Dobre 2 26 7" xfId="18230"/>
    <cellStyle name="Dobre 2 27" xfId="18231"/>
    <cellStyle name="Dobre 2 27 2" xfId="18232"/>
    <cellStyle name="Dobre 2 27 3" xfId="18233"/>
    <cellStyle name="Dobre 2 27 4" xfId="18234"/>
    <cellStyle name="Dobre 2 27 5" xfId="18235"/>
    <cellStyle name="Dobre 2 27 6" xfId="18236"/>
    <cellStyle name="Dobre 2 27 7" xfId="18237"/>
    <cellStyle name="Dobre 2 28" xfId="18238"/>
    <cellStyle name="Dobre 2 28 2" xfId="18239"/>
    <cellStyle name="Dobre 2 28 3" xfId="18240"/>
    <cellStyle name="Dobre 2 28 4" xfId="18241"/>
    <cellStyle name="Dobre 2 28 5" xfId="18242"/>
    <cellStyle name="Dobre 2 28 6" xfId="18243"/>
    <cellStyle name="Dobre 2 28 7" xfId="18244"/>
    <cellStyle name="Dobre 2 29" xfId="18245"/>
    <cellStyle name="Dobre 2 29 2" xfId="18246"/>
    <cellStyle name="Dobre 2 3" xfId="18247"/>
    <cellStyle name="Dobre 2 3 2" xfId="18248"/>
    <cellStyle name="Dobre 2 3 3" xfId="18249"/>
    <cellStyle name="Dobre 2 3 4" xfId="18250"/>
    <cellStyle name="Dobre 2 3 5" xfId="18251"/>
    <cellStyle name="Dobre 2 3 6" xfId="18252"/>
    <cellStyle name="Dobre 2 3 7" xfId="18253"/>
    <cellStyle name="Dobre 2 30" xfId="18254"/>
    <cellStyle name="Dobre 2 30 2" xfId="18255"/>
    <cellStyle name="Dobre 2 31" xfId="18256"/>
    <cellStyle name="Dobre 2 31 2" xfId="18257"/>
    <cellStyle name="Dobre 2 32" xfId="18258"/>
    <cellStyle name="Dobre 2 32 2" xfId="18259"/>
    <cellStyle name="Dobre 2 33" xfId="18260"/>
    <cellStyle name="Dobre 2 34" xfId="18261"/>
    <cellStyle name="Dobre 2 35" xfId="18262"/>
    <cellStyle name="Dobre 2 36" xfId="18263"/>
    <cellStyle name="Dobre 2 37" xfId="18264"/>
    <cellStyle name="Dobre 2 38" xfId="18265"/>
    <cellStyle name="Dobre 2 39" xfId="18266"/>
    <cellStyle name="Dobre 2 4" xfId="18267"/>
    <cellStyle name="Dobre 2 4 2" xfId="18268"/>
    <cellStyle name="Dobre 2 4 3" xfId="18269"/>
    <cellStyle name="Dobre 2 4 4" xfId="18270"/>
    <cellStyle name="Dobre 2 4 5" xfId="18271"/>
    <cellStyle name="Dobre 2 4 6" xfId="18272"/>
    <cellStyle name="Dobre 2 4 7" xfId="18273"/>
    <cellStyle name="Dobre 2 5" xfId="18274"/>
    <cellStyle name="Dobre 2 5 2" xfId="18275"/>
    <cellStyle name="Dobre 2 5 3" xfId="18276"/>
    <cellStyle name="Dobre 2 5 4" xfId="18277"/>
    <cellStyle name="Dobre 2 5 5" xfId="18278"/>
    <cellStyle name="Dobre 2 5 6" xfId="18279"/>
    <cellStyle name="Dobre 2 5 7" xfId="18280"/>
    <cellStyle name="Dobre 2 6" xfId="18281"/>
    <cellStyle name="Dobre 2 6 2" xfId="18282"/>
    <cellStyle name="Dobre 2 6 3" xfId="18283"/>
    <cellStyle name="Dobre 2 6 4" xfId="18284"/>
    <cellStyle name="Dobre 2 6 5" xfId="18285"/>
    <cellStyle name="Dobre 2 6 6" xfId="18286"/>
    <cellStyle name="Dobre 2 6 7" xfId="18287"/>
    <cellStyle name="Dobre 2 7" xfId="18288"/>
    <cellStyle name="Dobre 2 7 2" xfId="18289"/>
    <cellStyle name="Dobre 2 7 3" xfId="18290"/>
    <cellStyle name="Dobre 2 7 4" xfId="18291"/>
    <cellStyle name="Dobre 2 7 5" xfId="18292"/>
    <cellStyle name="Dobre 2 7 6" xfId="18293"/>
    <cellStyle name="Dobre 2 7 7" xfId="18294"/>
    <cellStyle name="Dobre 2 8" xfId="18295"/>
    <cellStyle name="Dobre 2 8 2" xfId="18296"/>
    <cellStyle name="Dobre 2 8 3" xfId="18297"/>
    <cellStyle name="Dobre 2 8 4" xfId="18298"/>
    <cellStyle name="Dobre 2 8 5" xfId="18299"/>
    <cellStyle name="Dobre 2 8 6" xfId="18300"/>
    <cellStyle name="Dobre 2 8 7" xfId="18301"/>
    <cellStyle name="Dobre 2 9" xfId="18302"/>
    <cellStyle name="Dobre 2 9 2" xfId="18303"/>
    <cellStyle name="Dobre 2 9 3" xfId="18304"/>
    <cellStyle name="Dobre 2 9 4" xfId="18305"/>
    <cellStyle name="Dobre 2 9 5" xfId="18306"/>
    <cellStyle name="Dobre 2 9 6" xfId="18307"/>
    <cellStyle name="Dobre 2 9 7" xfId="18308"/>
    <cellStyle name="Dobre 3" xfId="18309"/>
    <cellStyle name="Dobre 3 2" xfId="18310"/>
    <cellStyle name="Dobre 3 2 2" xfId="18311"/>
    <cellStyle name="Dobre 3 3" xfId="18312"/>
    <cellStyle name="Dobre 3 4" xfId="18313"/>
    <cellStyle name="Dobre 3 5" xfId="18314"/>
    <cellStyle name="Dobre 3 6" xfId="18315"/>
    <cellStyle name="Dobre 3 7" xfId="18316"/>
    <cellStyle name="Dobre 3 8" xfId="18317"/>
    <cellStyle name="Dobre 3 9" xfId="18318"/>
    <cellStyle name="Dobre 4" xfId="18319"/>
    <cellStyle name="Dobre 4 2" xfId="18320"/>
    <cellStyle name="Dobre 4 3" xfId="18321"/>
    <cellStyle name="Dobre 4 4" xfId="18322"/>
    <cellStyle name="Dobre 4 5" xfId="18323"/>
    <cellStyle name="Dobre 4 6" xfId="18324"/>
    <cellStyle name="Dobre 4 7" xfId="18325"/>
    <cellStyle name="Dobre 4 8" xfId="18326"/>
    <cellStyle name="Dobre 4 9" xfId="18327"/>
    <cellStyle name="Dobre 5" xfId="18328"/>
    <cellStyle name="Dobre 5 2" xfId="18329"/>
    <cellStyle name="Dobre 5 3" xfId="18330"/>
    <cellStyle name="Dobre 6" xfId="18331"/>
    <cellStyle name="Dobre 6 2" xfId="18332"/>
    <cellStyle name="Dobre 7" xfId="18333"/>
    <cellStyle name="done" xfId="18334"/>
    <cellStyle name="Dziesietny [0]_Arkusz1" xfId="18335"/>
    <cellStyle name="Dziesietny_Arkusz1" xfId="18336"/>
    <cellStyle name="Dziesiętny" xfId="1" builtinId="3"/>
    <cellStyle name="Dziesiętny 10" xfId="18337"/>
    <cellStyle name="Dziesiętny 11" xfId="18338"/>
    <cellStyle name="Dziesiętny 12" xfId="18339"/>
    <cellStyle name="Dziesiętny 13" xfId="42846"/>
    <cellStyle name="Dziesiętny 14" xfId="10"/>
    <cellStyle name="Dziesiętny 15" xfId="7"/>
    <cellStyle name="Dziesiętny 2" xfId="8"/>
    <cellStyle name="Dziesiętny 2 10" xfId="18341"/>
    <cellStyle name="Dziesiętny 2 10 2" xfId="18342"/>
    <cellStyle name="Dziesiętny 2 11" xfId="18343"/>
    <cellStyle name="Dziesiętny 2 11 2" xfId="18344"/>
    <cellStyle name="Dziesiętny 2 12" xfId="18345"/>
    <cellStyle name="Dziesiętny 2 12 2" xfId="18346"/>
    <cellStyle name="Dziesiętny 2 13" xfId="18347"/>
    <cellStyle name="Dziesiętny 2 13 2" xfId="18348"/>
    <cellStyle name="Dziesiętny 2 14" xfId="18349"/>
    <cellStyle name="Dziesiętny 2 14 2" xfId="18350"/>
    <cellStyle name="Dziesiętny 2 15" xfId="18351"/>
    <cellStyle name="Dziesiętny 2 15 2" xfId="18352"/>
    <cellStyle name="Dziesiętny 2 16" xfId="18353"/>
    <cellStyle name="Dziesiętny 2 16 2" xfId="18354"/>
    <cellStyle name="Dziesiętny 2 17" xfId="18355"/>
    <cellStyle name="Dziesiętny 2 17 2" xfId="18356"/>
    <cellStyle name="Dziesiętny 2 18" xfId="18357"/>
    <cellStyle name="Dziesiętny 2 18 2" xfId="18358"/>
    <cellStyle name="Dziesiętny 2 19" xfId="18359"/>
    <cellStyle name="Dziesiętny 2 19 2" xfId="18360"/>
    <cellStyle name="Dziesiętny 2 2" xfId="18361"/>
    <cellStyle name="Dziesiętny 2 2 2" xfId="18362"/>
    <cellStyle name="Dziesiętny 2 2 2 2" xfId="18363"/>
    <cellStyle name="Dziesiętny 2 2 2 3" xfId="18364"/>
    <cellStyle name="Dziesiętny 2 2 2 4" xfId="18365"/>
    <cellStyle name="Dziesiętny 2 2 2 5" xfId="18366"/>
    <cellStyle name="Dziesiętny 2 2 2 6" xfId="18367"/>
    <cellStyle name="Dziesiętny 2 2 2 7" xfId="18368"/>
    <cellStyle name="Dziesiętny 2 2 3" xfId="18369"/>
    <cellStyle name="Dziesiętny 2 2 3 2" xfId="18370"/>
    <cellStyle name="Dziesiętny 2 2 3 3" xfId="18371"/>
    <cellStyle name="Dziesiętny 2 2 3 4" xfId="18372"/>
    <cellStyle name="Dziesiętny 2 2 3 5" xfId="18373"/>
    <cellStyle name="Dziesiętny 2 2 3 6" xfId="18374"/>
    <cellStyle name="Dziesiętny 2 2 4" xfId="18375"/>
    <cellStyle name="Dziesiętny 2 2 4 2" xfId="18376"/>
    <cellStyle name="Dziesiętny 2 2 5" xfId="18377"/>
    <cellStyle name="Dziesiętny 2 2 5 2" xfId="18378"/>
    <cellStyle name="Dziesiętny 2 2 6" xfId="18379"/>
    <cellStyle name="Dziesiętny 2 2 6 2" xfId="18380"/>
    <cellStyle name="Dziesiętny 2 2 7" xfId="18381"/>
    <cellStyle name="Dziesiętny 2 2 8" xfId="18382"/>
    <cellStyle name="Dziesiętny 2 2 9" xfId="18383"/>
    <cellStyle name="Dziesiętny 2 20" xfId="18384"/>
    <cellStyle name="Dziesiętny 2 20 2" xfId="18385"/>
    <cellStyle name="Dziesiętny 2 21" xfId="18386"/>
    <cellStyle name="Dziesiętny 2 21 2" xfId="18387"/>
    <cellStyle name="Dziesiętny 2 22" xfId="18388"/>
    <cellStyle name="Dziesiętny 2 23" xfId="18389"/>
    <cellStyle name="Dziesiętny 2 24" xfId="18390"/>
    <cellStyle name="Dziesiętny 2 25" xfId="18391"/>
    <cellStyle name="Dziesiętny 2 26" xfId="18392"/>
    <cellStyle name="Dziesiętny 2 27" xfId="18393"/>
    <cellStyle name="Dziesiętny 2 28" xfId="18394"/>
    <cellStyle name="Dziesiętny 2 29" xfId="18395"/>
    <cellStyle name="Dziesiętny 2 3" xfId="18396"/>
    <cellStyle name="Dziesiętny 2 3 2" xfId="18397"/>
    <cellStyle name="Dziesiętny 2 3 2 2" xfId="18398"/>
    <cellStyle name="Dziesiętny 2 3 3" xfId="18399"/>
    <cellStyle name="Dziesiętny 2 3 4" xfId="18400"/>
    <cellStyle name="Dziesiętny 2 3 5" xfId="18401"/>
    <cellStyle name="Dziesiętny 2 3 6" xfId="18402"/>
    <cellStyle name="Dziesiętny 2 3 7" xfId="18403"/>
    <cellStyle name="Dziesiętny 2 3 8" xfId="18404"/>
    <cellStyle name="Dziesiętny 2 30" xfId="18405"/>
    <cellStyle name="Dziesiętny 2 31" xfId="18406"/>
    <cellStyle name="Dziesiętny 2 32" xfId="18407"/>
    <cellStyle name="Dziesiętny 2 33" xfId="18408"/>
    <cellStyle name="Dziesiętny 2 34" xfId="18409"/>
    <cellStyle name="Dziesiętny 2 35" xfId="18410"/>
    <cellStyle name="Dziesiętny 2 36" xfId="18411"/>
    <cellStyle name="Dziesiętny 2 37" xfId="18412"/>
    <cellStyle name="Dziesiętny 2 38" xfId="18413"/>
    <cellStyle name="Dziesiętny 2 39" xfId="18414"/>
    <cellStyle name="Dziesiętny 2 4" xfId="18415"/>
    <cellStyle name="Dziesiętny 2 4 2" xfId="18416"/>
    <cellStyle name="Dziesiętny 2 4 3" xfId="18417"/>
    <cellStyle name="Dziesiętny 2 4 4" xfId="18418"/>
    <cellStyle name="Dziesiętny 2 4 5" xfId="18419"/>
    <cellStyle name="Dziesiętny 2 40" xfId="18420"/>
    <cellStyle name="Dziesiętny 2 41" xfId="18421"/>
    <cellStyle name="Dziesiętny 2 42" xfId="18422"/>
    <cellStyle name="Dziesiętny 2 43" xfId="18423"/>
    <cellStyle name="Dziesiętny 2 44" xfId="18424"/>
    <cellStyle name="Dziesiętny 2 45" xfId="18425"/>
    <cellStyle name="Dziesiętny 2 46" xfId="18426"/>
    <cellStyle name="Dziesiętny 2 47" xfId="18427"/>
    <cellStyle name="Dziesiętny 2 48" xfId="18428"/>
    <cellStyle name="Dziesiętny 2 49" xfId="18429"/>
    <cellStyle name="Dziesiętny 2 5" xfId="18430"/>
    <cellStyle name="Dziesiętny 2 5 2" xfId="18431"/>
    <cellStyle name="Dziesiętny 2 50" xfId="18432"/>
    <cellStyle name="Dziesiętny 2 51" xfId="18433"/>
    <cellStyle name="Dziesiętny 2 52" xfId="18434"/>
    <cellStyle name="Dziesiętny 2 53" xfId="18340"/>
    <cellStyle name="Dziesiętny 2 6" xfId="18435"/>
    <cellStyle name="Dziesiętny 2 6 2" xfId="18436"/>
    <cellStyle name="Dziesiętny 2 7" xfId="18437"/>
    <cellStyle name="Dziesiętny 2 7 2" xfId="18438"/>
    <cellStyle name="Dziesiętny 2 8" xfId="18439"/>
    <cellStyle name="Dziesiętny 2 8 2" xfId="18440"/>
    <cellStyle name="Dziesiętny 2 9" xfId="18441"/>
    <cellStyle name="Dziesiętny 2 9 2" xfId="18442"/>
    <cellStyle name="Dziesiętny 3" xfId="18443"/>
    <cellStyle name="Dziesiętny 3 10" xfId="18444"/>
    <cellStyle name="Dziesiętny 3 11" xfId="18445"/>
    <cellStyle name="Dziesiętny 3 12" xfId="18446"/>
    <cellStyle name="Dziesiętny 3 13" xfId="18447"/>
    <cellStyle name="Dziesiętny 3 14" xfId="18448"/>
    <cellStyle name="Dziesiętny 3 15" xfId="18449"/>
    <cellStyle name="Dziesiętny 3 16" xfId="18450"/>
    <cellStyle name="Dziesiętny 3 17" xfId="18451"/>
    <cellStyle name="Dziesiętny 3 18" xfId="18452"/>
    <cellStyle name="Dziesiętny 3 19" xfId="18453"/>
    <cellStyle name="Dziesiętny 3 2" xfId="18454"/>
    <cellStyle name="Dziesiętny 3 2 2" xfId="18455"/>
    <cellStyle name="Dziesiętny 3 2 3" xfId="18456"/>
    <cellStyle name="Dziesiętny 3 3" xfId="18457"/>
    <cellStyle name="Dziesiętny 3 3 2" xfId="18458"/>
    <cellStyle name="Dziesiętny 3 3 3" xfId="18459"/>
    <cellStyle name="Dziesiętny 3 4" xfId="17"/>
    <cellStyle name="Dziesiętny 3 4 2" xfId="18460"/>
    <cellStyle name="Dziesiętny 3 4 3" xfId="18461"/>
    <cellStyle name="Dziesiętny 3 4 4" xfId="18462"/>
    <cellStyle name="Dziesiętny 3 5" xfId="18463"/>
    <cellStyle name="Dziesiętny 3 6" xfId="18464"/>
    <cellStyle name="Dziesiętny 3 7" xfId="18465"/>
    <cellStyle name="Dziesiętny 3 8" xfId="18466"/>
    <cellStyle name="Dziesiętny 3 9" xfId="18467"/>
    <cellStyle name="Dziesiętny 4" xfId="18468"/>
    <cellStyle name="Dziesiętny 4 2" xfId="18469"/>
    <cellStyle name="Dziesiętny 4 2 2" xfId="18470"/>
    <cellStyle name="Dziesiętny 4 2 2 2" xfId="18471"/>
    <cellStyle name="Dziesiętny 4 2 3" xfId="18472"/>
    <cellStyle name="Dziesiętny 4 3" xfId="18473"/>
    <cellStyle name="Dziesiętny 4 3 2" xfId="18474"/>
    <cellStyle name="Dziesiętny 4 4" xfId="18475"/>
    <cellStyle name="Dziesiętny 4 4 2" xfId="18476"/>
    <cellStyle name="Dziesiętny 4 4 3" xfId="18477"/>
    <cellStyle name="Dziesiętny 4 5" xfId="18478"/>
    <cellStyle name="Dziesiętny 5" xfId="18479"/>
    <cellStyle name="Dziesiętny 5 2" xfId="18480"/>
    <cellStyle name="Dziesiętny 6" xfId="18481"/>
    <cellStyle name="Dziesiętny 6 2" xfId="18482"/>
    <cellStyle name="Dziesiętny 7" xfId="18483"/>
    <cellStyle name="Dziesiętny 8" xfId="18484"/>
    <cellStyle name="Dziesiętny 9" xfId="18485"/>
    <cellStyle name="E&amp;Y House" xfId="18486"/>
    <cellStyle name="Euro" xfId="18487"/>
    <cellStyle name="Euro 2" xfId="18488"/>
    <cellStyle name="Euro 2 2" xfId="18489"/>
    <cellStyle name="Euro 3" xfId="18490"/>
    <cellStyle name="Euro 3 2" xfId="18491"/>
    <cellStyle name="Euro 4" xfId="18492"/>
    <cellStyle name="Ezres [0]_cb-fr" xfId="18493"/>
    <cellStyle name="Ezres_cb-fr" xfId="18494"/>
    <cellStyle name="Family_Option" xfId="18495"/>
    <cellStyle name="FormBk" xfId="18496"/>
    <cellStyle name="general" xfId="18497"/>
    <cellStyle name="Grey" xfId="18498"/>
    <cellStyle name="GROS" xfId="18499"/>
    <cellStyle name="Header1" xfId="18500"/>
    <cellStyle name="Header2" xfId="18501"/>
    <cellStyle name="heading1" xfId="18502"/>
    <cellStyle name="heading2" xfId="18503"/>
    <cellStyle name="heading3" xfId="18504"/>
    <cellStyle name="heading4" xfId="18505"/>
    <cellStyle name="heading5" xfId="18506"/>
    <cellStyle name="Hiperłącze 2" xfId="18507"/>
    <cellStyle name="HUF" xfId="18508"/>
    <cellStyle name="Hyperlink_Arkusz Sygnity_2009H2 v10" xfId="18509"/>
    <cellStyle name="Input [yellow]" xfId="18510"/>
    <cellStyle name="International" xfId="18511"/>
    <cellStyle name="International1" xfId="18512"/>
    <cellStyle name="k$" xfId="18513"/>
    <cellStyle name="kECU" xfId="18514"/>
    <cellStyle name="kHUF" xfId="18515"/>
    <cellStyle name="kLE" xfId="18516"/>
    <cellStyle name="Komórka połączona 2" xfId="18517"/>
    <cellStyle name="Komórka połączona 2 10" xfId="18518"/>
    <cellStyle name="Komórka połączona 2 10 2" xfId="18519"/>
    <cellStyle name="Komórka połączona 2 10 3" xfId="18520"/>
    <cellStyle name="Komórka połączona 2 10 4" xfId="18521"/>
    <cellStyle name="Komórka połączona 2 10 5" xfId="18522"/>
    <cellStyle name="Komórka połączona 2 10 6" xfId="18523"/>
    <cellStyle name="Komórka połączona 2 10 7" xfId="18524"/>
    <cellStyle name="Komórka połączona 2 11" xfId="18525"/>
    <cellStyle name="Komórka połączona 2 11 2" xfId="18526"/>
    <cellStyle name="Komórka połączona 2 11 3" xfId="18527"/>
    <cellStyle name="Komórka połączona 2 11 4" xfId="18528"/>
    <cellStyle name="Komórka połączona 2 11 5" xfId="18529"/>
    <cellStyle name="Komórka połączona 2 11 6" xfId="18530"/>
    <cellStyle name="Komórka połączona 2 11 7" xfId="18531"/>
    <cellStyle name="Komórka połączona 2 12" xfId="18532"/>
    <cellStyle name="Komórka połączona 2 12 2" xfId="18533"/>
    <cellStyle name="Komórka połączona 2 12 3" xfId="18534"/>
    <cellStyle name="Komórka połączona 2 12 4" xfId="18535"/>
    <cellStyle name="Komórka połączona 2 12 5" xfId="18536"/>
    <cellStyle name="Komórka połączona 2 12 6" xfId="18537"/>
    <cellStyle name="Komórka połączona 2 12 7" xfId="18538"/>
    <cellStyle name="Komórka połączona 2 13" xfId="18539"/>
    <cellStyle name="Komórka połączona 2 13 2" xfId="18540"/>
    <cellStyle name="Komórka połączona 2 13 3" xfId="18541"/>
    <cellStyle name="Komórka połączona 2 13 4" xfId="18542"/>
    <cellStyle name="Komórka połączona 2 13 5" xfId="18543"/>
    <cellStyle name="Komórka połączona 2 13 6" xfId="18544"/>
    <cellStyle name="Komórka połączona 2 13 7" xfId="18545"/>
    <cellStyle name="Komórka połączona 2 14" xfId="18546"/>
    <cellStyle name="Komórka połączona 2 14 2" xfId="18547"/>
    <cellStyle name="Komórka połączona 2 14 3" xfId="18548"/>
    <cellStyle name="Komórka połączona 2 14 4" xfId="18549"/>
    <cellStyle name="Komórka połączona 2 14 5" xfId="18550"/>
    <cellStyle name="Komórka połączona 2 14 6" xfId="18551"/>
    <cellStyle name="Komórka połączona 2 14 7" xfId="18552"/>
    <cellStyle name="Komórka połączona 2 15" xfId="18553"/>
    <cellStyle name="Komórka połączona 2 15 2" xfId="18554"/>
    <cellStyle name="Komórka połączona 2 15 3" xfId="18555"/>
    <cellStyle name="Komórka połączona 2 15 4" xfId="18556"/>
    <cellStyle name="Komórka połączona 2 15 5" xfId="18557"/>
    <cellStyle name="Komórka połączona 2 15 6" xfId="18558"/>
    <cellStyle name="Komórka połączona 2 15 7" xfId="18559"/>
    <cellStyle name="Komórka połączona 2 16" xfId="18560"/>
    <cellStyle name="Komórka połączona 2 16 2" xfId="18561"/>
    <cellStyle name="Komórka połączona 2 16 3" xfId="18562"/>
    <cellStyle name="Komórka połączona 2 16 4" xfId="18563"/>
    <cellStyle name="Komórka połączona 2 16 5" xfId="18564"/>
    <cellStyle name="Komórka połączona 2 16 6" xfId="18565"/>
    <cellStyle name="Komórka połączona 2 16 7" xfId="18566"/>
    <cellStyle name="Komórka połączona 2 17" xfId="18567"/>
    <cellStyle name="Komórka połączona 2 17 2" xfId="18568"/>
    <cellStyle name="Komórka połączona 2 17 3" xfId="18569"/>
    <cellStyle name="Komórka połączona 2 17 4" xfId="18570"/>
    <cellStyle name="Komórka połączona 2 17 5" xfId="18571"/>
    <cellStyle name="Komórka połączona 2 17 6" xfId="18572"/>
    <cellStyle name="Komórka połączona 2 17 7" xfId="18573"/>
    <cellStyle name="Komórka połączona 2 18" xfId="18574"/>
    <cellStyle name="Komórka połączona 2 18 2" xfId="18575"/>
    <cellStyle name="Komórka połączona 2 18 3" xfId="18576"/>
    <cellStyle name="Komórka połączona 2 18 4" xfId="18577"/>
    <cellStyle name="Komórka połączona 2 18 5" xfId="18578"/>
    <cellStyle name="Komórka połączona 2 18 6" xfId="18579"/>
    <cellStyle name="Komórka połączona 2 18 7" xfId="18580"/>
    <cellStyle name="Komórka połączona 2 19" xfId="18581"/>
    <cellStyle name="Komórka połączona 2 19 2" xfId="18582"/>
    <cellStyle name="Komórka połączona 2 19 3" xfId="18583"/>
    <cellStyle name="Komórka połączona 2 19 4" xfId="18584"/>
    <cellStyle name="Komórka połączona 2 19 5" xfId="18585"/>
    <cellStyle name="Komórka połączona 2 19 6" xfId="18586"/>
    <cellStyle name="Komórka połączona 2 19 7" xfId="18587"/>
    <cellStyle name="Komórka połączona 2 2" xfId="18588"/>
    <cellStyle name="Komórka połączona 2 2 2" xfId="18589"/>
    <cellStyle name="Komórka połączona 2 2 3" xfId="18590"/>
    <cellStyle name="Komórka połączona 2 2 4" xfId="18591"/>
    <cellStyle name="Komórka połączona 2 2 5" xfId="18592"/>
    <cellStyle name="Komórka połączona 2 2 6" xfId="18593"/>
    <cellStyle name="Komórka połączona 2 2 7" xfId="18594"/>
    <cellStyle name="Komórka połączona 2 2 8" xfId="18595"/>
    <cellStyle name="Komórka połączona 2 20" xfId="18596"/>
    <cellStyle name="Komórka połączona 2 20 2" xfId="18597"/>
    <cellStyle name="Komórka połączona 2 20 3" xfId="18598"/>
    <cellStyle name="Komórka połączona 2 20 4" xfId="18599"/>
    <cellStyle name="Komórka połączona 2 20 5" xfId="18600"/>
    <cellStyle name="Komórka połączona 2 20 6" xfId="18601"/>
    <cellStyle name="Komórka połączona 2 20 7" xfId="18602"/>
    <cellStyle name="Komórka połączona 2 21" xfId="18603"/>
    <cellStyle name="Komórka połączona 2 21 2" xfId="18604"/>
    <cellStyle name="Komórka połączona 2 21 3" xfId="18605"/>
    <cellStyle name="Komórka połączona 2 21 4" xfId="18606"/>
    <cellStyle name="Komórka połączona 2 21 5" xfId="18607"/>
    <cellStyle name="Komórka połączona 2 21 6" xfId="18608"/>
    <cellStyle name="Komórka połączona 2 21 7" xfId="18609"/>
    <cellStyle name="Komórka połączona 2 22" xfId="18610"/>
    <cellStyle name="Komórka połączona 2 22 2" xfId="18611"/>
    <cellStyle name="Komórka połączona 2 22 3" xfId="18612"/>
    <cellStyle name="Komórka połączona 2 22 4" xfId="18613"/>
    <cellStyle name="Komórka połączona 2 22 5" xfId="18614"/>
    <cellStyle name="Komórka połączona 2 22 6" xfId="18615"/>
    <cellStyle name="Komórka połączona 2 22 7" xfId="18616"/>
    <cellStyle name="Komórka połączona 2 23" xfId="18617"/>
    <cellStyle name="Komórka połączona 2 23 2" xfId="18618"/>
    <cellStyle name="Komórka połączona 2 23 3" xfId="18619"/>
    <cellStyle name="Komórka połączona 2 23 4" xfId="18620"/>
    <cellStyle name="Komórka połączona 2 23 5" xfId="18621"/>
    <cellStyle name="Komórka połączona 2 23 6" xfId="18622"/>
    <cellStyle name="Komórka połączona 2 23 7" xfId="18623"/>
    <cellStyle name="Komórka połączona 2 24" xfId="18624"/>
    <cellStyle name="Komórka połączona 2 24 2" xfId="18625"/>
    <cellStyle name="Komórka połączona 2 24 3" xfId="18626"/>
    <cellStyle name="Komórka połączona 2 24 4" xfId="18627"/>
    <cellStyle name="Komórka połączona 2 24 5" xfId="18628"/>
    <cellStyle name="Komórka połączona 2 24 6" xfId="18629"/>
    <cellStyle name="Komórka połączona 2 24 7" xfId="18630"/>
    <cellStyle name="Komórka połączona 2 25" xfId="18631"/>
    <cellStyle name="Komórka połączona 2 25 2" xfId="18632"/>
    <cellStyle name="Komórka połączona 2 25 3" xfId="18633"/>
    <cellStyle name="Komórka połączona 2 25 4" xfId="18634"/>
    <cellStyle name="Komórka połączona 2 25 5" xfId="18635"/>
    <cellStyle name="Komórka połączona 2 25 6" xfId="18636"/>
    <cellStyle name="Komórka połączona 2 25 7" xfId="18637"/>
    <cellStyle name="Komórka połączona 2 26" xfId="18638"/>
    <cellStyle name="Komórka połączona 2 26 2" xfId="18639"/>
    <cellStyle name="Komórka połączona 2 26 3" xfId="18640"/>
    <cellStyle name="Komórka połączona 2 26 4" xfId="18641"/>
    <cellStyle name="Komórka połączona 2 26 5" xfId="18642"/>
    <cellStyle name="Komórka połączona 2 26 6" xfId="18643"/>
    <cellStyle name="Komórka połączona 2 26 7" xfId="18644"/>
    <cellStyle name="Komórka połączona 2 27" xfId="18645"/>
    <cellStyle name="Komórka połączona 2 27 2" xfId="18646"/>
    <cellStyle name="Komórka połączona 2 27 3" xfId="18647"/>
    <cellStyle name="Komórka połączona 2 27 4" xfId="18648"/>
    <cellStyle name="Komórka połączona 2 27 5" xfId="18649"/>
    <cellStyle name="Komórka połączona 2 27 6" xfId="18650"/>
    <cellStyle name="Komórka połączona 2 27 7" xfId="18651"/>
    <cellStyle name="Komórka połączona 2 28" xfId="18652"/>
    <cellStyle name="Komórka połączona 2 28 2" xfId="18653"/>
    <cellStyle name="Komórka połączona 2 28 3" xfId="18654"/>
    <cellStyle name="Komórka połączona 2 28 4" xfId="18655"/>
    <cellStyle name="Komórka połączona 2 28 5" xfId="18656"/>
    <cellStyle name="Komórka połączona 2 28 6" xfId="18657"/>
    <cellStyle name="Komórka połączona 2 28 7" xfId="18658"/>
    <cellStyle name="Komórka połączona 2 29" xfId="18659"/>
    <cellStyle name="Komórka połączona 2 29 2" xfId="18660"/>
    <cellStyle name="Komórka połączona 2 3" xfId="18661"/>
    <cellStyle name="Komórka połączona 2 3 2" xfId="18662"/>
    <cellStyle name="Komórka połączona 2 3 3" xfId="18663"/>
    <cellStyle name="Komórka połączona 2 3 4" xfId="18664"/>
    <cellStyle name="Komórka połączona 2 3 5" xfId="18665"/>
    <cellStyle name="Komórka połączona 2 3 6" xfId="18666"/>
    <cellStyle name="Komórka połączona 2 3 7" xfId="18667"/>
    <cellStyle name="Komórka połączona 2 30" xfId="18668"/>
    <cellStyle name="Komórka połączona 2 30 2" xfId="18669"/>
    <cellStyle name="Komórka połączona 2 31" xfId="18670"/>
    <cellStyle name="Komórka połączona 2 31 2" xfId="18671"/>
    <cellStyle name="Komórka połączona 2 32" xfId="18672"/>
    <cellStyle name="Komórka połączona 2 32 2" xfId="18673"/>
    <cellStyle name="Komórka połączona 2 33" xfId="18674"/>
    <cellStyle name="Komórka połączona 2 34" xfId="18675"/>
    <cellStyle name="Komórka połączona 2 35" xfId="18676"/>
    <cellStyle name="Komórka połączona 2 36" xfId="18677"/>
    <cellStyle name="Komórka połączona 2 37" xfId="18678"/>
    <cellStyle name="Komórka połączona 2 38" xfId="18679"/>
    <cellStyle name="Komórka połączona 2 4" xfId="18680"/>
    <cellStyle name="Komórka połączona 2 4 2" xfId="18681"/>
    <cellStyle name="Komórka połączona 2 4 3" xfId="18682"/>
    <cellStyle name="Komórka połączona 2 4 4" xfId="18683"/>
    <cellStyle name="Komórka połączona 2 4 5" xfId="18684"/>
    <cellStyle name="Komórka połączona 2 4 6" xfId="18685"/>
    <cellStyle name="Komórka połączona 2 4 7" xfId="18686"/>
    <cellStyle name="Komórka połączona 2 5" xfId="18687"/>
    <cellStyle name="Komórka połączona 2 5 2" xfId="18688"/>
    <cellStyle name="Komórka połączona 2 5 3" xfId="18689"/>
    <cellStyle name="Komórka połączona 2 5 4" xfId="18690"/>
    <cellStyle name="Komórka połączona 2 5 5" xfId="18691"/>
    <cellStyle name="Komórka połączona 2 5 6" xfId="18692"/>
    <cellStyle name="Komórka połączona 2 5 7" xfId="18693"/>
    <cellStyle name="Komórka połączona 2 6" xfId="18694"/>
    <cellStyle name="Komórka połączona 2 6 2" xfId="18695"/>
    <cellStyle name="Komórka połączona 2 6 3" xfId="18696"/>
    <cellStyle name="Komórka połączona 2 6 4" xfId="18697"/>
    <cellStyle name="Komórka połączona 2 6 5" xfId="18698"/>
    <cellStyle name="Komórka połączona 2 6 6" xfId="18699"/>
    <cellStyle name="Komórka połączona 2 6 7" xfId="18700"/>
    <cellStyle name="Komórka połączona 2 7" xfId="18701"/>
    <cellStyle name="Komórka połączona 2 7 2" xfId="18702"/>
    <cellStyle name="Komórka połączona 2 7 3" xfId="18703"/>
    <cellStyle name="Komórka połączona 2 7 4" xfId="18704"/>
    <cellStyle name="Komórka połączona 2 7 5" xfId="18705"/>
    <cellStyle name="Komórka połączona 2 7 6" xfId="18706"/>
    <cellStyle name="Komórka połączona 2 7 7" xfId="18707"/>
    <cellStyle name="Komórka połączona 2 8" xfId="18708"/>
    <cellStyle name="Komórka połączona 2 8 2" xfId="18709"/>
    <cellStyle name="Komórka połączona 2 8 3" xfId="18710"/>
    <cellStyle name="Komórka połączona 2 8 4" xfId="18711"/>
    <cellStyle name="Komórka połączona 2 8 5" xfId="18712"/>
    <cellStyle name="Komórka połączona 2 8 6" xfId="18713"/>
    <cellStyle name="Komórka połączona 2 8 7" xfId="18714"/>
    <cellStyle name="Komórka połączona 2 9" xfId="18715"/>
    <cellStyle name="Komórka połączona 2 9 2" xfId="18716"/>
    <cellStyle name="Komórka połączona 2 9 3" xfId="18717"/>
    <cellStyle name="Komórka połączona 2 9 4" xfId="18718"/>
    <cellStyle name="Komórka połączona 2 9 5" xfId="18719"/>
    <cellStyle name="Komórka połączona 2 9 6" xfId="18720"/>
    <cellStyle name="Komórka połączona 2 9 7" xfId="18721"/>
    <cellStyle name="Komórka połączona 3" xfId="18722"/>
    <cellStyle name="Komórka połączona 3 2" xfId="18723"/>
    <cellStyle name="Komórka połączona 3 2 2" xfId="18724"/>
    <cellStyle name="Komórka połączona 3 3" xfId="18725"/>
    <cellStyle name="Komórka połączona 3 4" xfId="18726"/>
    <cellStyle name="Komórka połączona 3 5" xfId="18727"/>
    <cellStyle name="Komórka połączona 3 6" xfId="18728"/>
    <cellStyle name="Komórka połączona 3 7" xfId="18729"/>
    <cellStyle name="Komórka połączona 3 8" xfId="18730"/>
    <cellStyle name="Komórka połączona 3 9" xfId="18731"/>
    <cellStyle name="Komórka połączona 4" xfId="18732"/>
    <cellStyle name="Komórka połączona 4 2" xfId="18733"/>
    <cellStyle name="Komórka połączona 4 3" xfId="18734"/>
    <cellStyle name="Komórka połączona 4 4" xfId="18735"/>
    <cellStyle name="Komórka połączona 4 5" xfId="18736"/>
    <cellStyle name="Komórka połączona 4 6" xfId="18737"/>
    <cellStyle name="Komórka połączona 4 7" xfId="18738"/>
    <cellStyle name="Komórka połączona 4 8" xfId="18739"/>
    <cellStyle name="Komórka połączona 4 9" xfId="18740"/>
    <cellStyle name="Komórka połączona 5" xfId="18741"/>
    <cellStyle name="Komórka połączona 5 2" xfId="18742"/>
    <cellStyle name="Komórka połączona 6" xfId="18743"/>
    <cellStyle name="Komórka połączona 7" xfId="18744"/>
    <cellStyle name="Komórka zaznaczona 2" xfId="18745"/>
    <cellStyle name="Komórka zaznaczona 2 10" xfId="18746"/>
    <cellStyle name="Komórka zaznaczona 2 10 2" xfId="18747"/>
    <cellStyle name="Komórka zaznaczona 2 10 3" xfId="18748"/>
    <cellStyle name="Komórka zaznaczona 2 10 4" xfId="18749"/>
    <cellStyle name="Komórka zaznaczona 2 10 5" xfId="18750"/>
    <cellStyle name="Komórka zaznaczona 2 10 6" xfId="18751"/>
    <cellStyle name="Komórka zaznaczona 2 10 7" xfId="18752"/>
    <cellStyle name="Komórka zaznaczona 2 11" xfId="18753"/>
    <cellStyle name="Komórka zaznaczona 2 11 2" xfId="18754"/>
    <cellStyle name="Komórka zaznaczona 2 11 3" xfId="18755"/>
    <cellStyle name="Komórka zaznaczona 2 11 4" xfId="18756"/>
    <cellStyle name="Komórka zaznaczona 2 11 5" xfId="18757"/>
    <cellStyle name="Komórka zaznaczona 2 11 6" xfId="18758"/>
    <cellStyle name="Komórka zaznaczona 2 11 7" xfId="18759"/>
    <cellStyle name="Komórka zaznaczona 2 12" xfId="18760"/>
    <cellStyle name="Komórka zaznaczona 2 12 2" xfId="18761"/>
    <cellStyle name="Komórka zaznaczona 2 12 3" xfId="18762"/>
    <cellStyle name="Komórka zaznaczona 2 12 4" xfId="18763"/>
    <cellStyle name="Komórka zaznaczona 2 12 5" xfId="18764"/>
    <cellStyle name="Komórka zaznaczona 2 12 6" xfId="18765"/>
    <cellStyle name="Komórka zaznaczona 2 12 7" xfId="18766"/>
    <cellStyle name="Komórka zaznaczona 2 13" xfId="18767"/>
    <cellStyle name="Komórka zaznaczona 2 13 2" xfId="18768"/>
    <cellStyle name="Komórka zaznaczona 2 13 3" xfId="18769"/>
    <cellStyle name="Komórka zaznaczona 2 13 4" xfId="18770"/>
    <cellStyle name="Komórka zaznaczona 2 13 5" xfId="18771"/>
    <cellStyle name="Komórka zaznaczona 2 13 6" xfId="18772"/>
    <cellStyle name="Komórka zaznaczona 2 13 7" xfId="18773"/>
    <cellStyle name="Komórka zaznaczona 2 14" xfId="18774"/>
    <cellStyle name="Komórka zaznaczona 2 14 2" xfId="18775"/>
    <cellStyle name="Komórka zaznaczona 2 14 3" xfId="18776"/>
    <cellStyle name="Komórka zaznaczona 2 14 4" xfId="18777"/>
    <cellStyle name="Komórka zaznaczona 2 14 5" xfId="18778"/>
    <cellStyle name="Komórka zaznaczona 2 14 6" xfId="18779"/>
    <cellStyle name="Komórka zaznaczona 2 14 7" xfId="18780"/>
    <cellStyle name="Komórka zaznaczona 2 15" xfId="18781"/>
    <cellStyle name="Komórka zaznaczona 2 15 2" xfId="18782"/>
    <cellStyle name="Komórka zaznaczona 2 15 3" xfId="18783"/>
    <cellStyle name="Komórka zaznaczona 2 15 4" xfId="18784"/>
    <cellStyle name="Komórka zaznaczona 2 15 5" xfId="18785"/>
    <cellStyle name="Komórka zaznaczona 2 15 6" xfId="18786"/>
    <cellStyle name="Komórka zaznaczona 2 15 7" xfId="18787"/>
    <cellStyle name="Komórka zaznaczona 2 16" xfId="18788"/>
    <cellStyle name="Komórka zaznaczona 2 16 2" xfId="18789"/>
    <cellStyle name="Komórka zaznaczona 2 16 3" xfId="18790"/>
    <cellStyle name="Komórka zaznaczona 2 16 4" xfId="18791"/>
    <cellStyle name="Komórka zaznaczona 2 16 5" xfId="18792"/>
    <cellStyle name="Komórka zaznaczona 2 16 6" xfId="18793"/>
    <cellStyle name="Komórka zaznaczona 2 16 7" xfId="18794"/>
    <cellStyle name="Komórka zaznaczona 2 17" xfId="18795"/>
    <cellStyle name="Komórka zaznaczona 2 17 2" xfId="18796"/>
    <cellStyle name="Komórka zaznaczona 2 17 3" xfId="18797"/>
    <cellStyle name="Komórka zaznaczona 2 17 4" xfId="18798"/>
    <cellStyle name="Komórka zaznaczona 2 17 5" xfId="18799"/>
    <cellStyle name="Komórka zaznaczona 2 17 6" xfId="18800"/>
    <cellStyle name="Komórka zaznaczona 2 17 7" xfId="18801"/>
    <cellStyle name="Komórka zaznaczona 2 18" xfId="18802"/>
    <cellStyle name="Komórka zaznaczona 2 18 2" xfId="18803"/>
    <cellStyle name="Komórka zaznaczona 2 18 3" xfId="18804"/>
    <cellStyle name="Komórka zaznaczona 2 18 4" xfId="18805"/>
    <cellStyle name="Komórka zaznaczona 2 18 5" xfId="18806"/>
    <cellStyle name="Komórka zaznaczona 2 18 6" xfId="18807"/>
    <cellStyle name="Komórka zaznaczona 2 18 7" xfId="18808"/>
    <cellStyle name="Komórka zaznaczona 2 19" xfId="18809"/>
    <cellStyle name="Komórka zaznaczona 2 19 2" xfId="18810"/>
    <cellStyle name="Komórka zaznaczona 2 19 3" xfId="18811"/>
    <cellStyle name="Komórka zaznaczona 2 19 4" xfId="18812"/>
    <cellStyle name="Komórka zaznaczona 2 19 5" xfId="18813"/>
    <cellStyle name="Komórka zaznaczona 2 19 6" xfId="18814"/>
    <cellStyle name="Komórka zaznaczona 2 19 7" xfId="18815"/>
    <cellStyle name="Komórka zaznaczona 2 2" xfId="18816"/>
    <cellStyle name="Komórka zaznaczona 2 2 2" xfId="18817"/>
    <cellStyle name="Komórka zaznaczona 2 2 3" xfId="18818"/>
    <cellStyle name="Komórka zaznaczona 2 2 4" xfId="18819"/>
    <cellStyle name="Komórka zaznaczona 2 2 5" xfId="18820"/>
    <cellStyle name="Komórka zaznaczona 2 2 6" xfId="18821"/>
    <cellStyle name="Komórka zaznaczona 2 2 7" xfId="18822"/>
    <cellStyle name="Komórka zaznaczona 2 2 8" xfId="18823"/>
    <cellStyle name="Komórka zaznaczona 2 20" xfId="18824"/>
    <cellStyle name="Komórka zaznaczona 2 20 2" xfId="18825"/>
    <cellStyle name="Komórka zaznaczona 2 20 3" xfId="18826"/>
    <cellStyle name="Komórka zaznaczona 2 20 4" xfId="18827"/>
    <cellStyle name="Komórka zaznaczona 2 20 5" xfId="18828"/>
    <cellStyle name="Komórka zaznaczona 2 20 6" xfId="18829"/>
    <cellStyle name="Komórka zaznaczona 2 20 7" xfId="18830"/>
    <cellStyle name="Komórka zaznaczona 2 21" xfId="18831"/>
    <cellStyle name="Komórka zaznaczona 2 21 2" xfId="18832"/>
    <cellStyle name="Komórka zaznaczona 2 21 3" xfId="18833"/>
    <cellStyle name="Komórka zaznaczona 2 21 4" xfId="18834"/>
    <cellStyle name="Komórka zaznaczona 2 21 5" xfId="18835"/>
    <cellStyle name="Komórka zaznaczona 2 21 6" xfId="18836"/>
    <cellStyle name="Komórka zaznaczona 2 21 7" xfId="18837"/>
    <cellStyle name="Komórka zaznaczona 2 22" xfId="18838"/>
    <cellStyle name="Komórka zaznaczona 2 22 2" xfId="18839"/>
    <cellStyle name="Komórka zaznaczona 2 22 3" xfId="18840"/>
    <cellStyle name="Komórka zaznaczona 2 22 4" xfId="18841"/>
    <cellStyle name="Komórka zaznaczona 2 22 5" xfId="18842"/>
    <cellStyle name="Komórka zaznaczona 2 22 6" xfId="18843"/>
    <cellStyle name="Komórka zaznaczona 2 22 7" xfId="18844"/>
    <cellStyle name="Komórka zaznaczona 2 23" xfId="18845"/>
    <cellStyle name="Komórka zaznaczona 2 23 2" xfId="18846"/>
    <cellStyle name="Komórka zaznaczona 2 23 3" xfId="18847"/>
    <cellStyle name="Komórka zaznaczona 2 23 4" xfId="18848"/>
    <cellStyle name="Komórka zaznaczona 2 23 5" xfId="18849"/>
    <cellStyle name="Komórka zaznaczona 2 23 6" xfId="18850"/>
    <cellStyle name="Komórka zaznaczona 2 23 7" xfId="18851"/>
    <cellStyle name="Komórka zaznaczona 2 24" xfId="18852"/>
    <cellStyle name="Komórka zaznaczona 2 24 2" xfId="18853"/>
    <cellStyle name="Komórka zaznaczona 2 24 3" xfId="18854"/>
    <cellStyle name="Komórka zaznaczona 2 24 4" xfId="18855"/>
    <cellStyle name="Komórka zaznaczona 2 24 5" xfId="18856"/>
    <cellStyle name="Komórka zaznaczona 2 24 6" xfId="18857"/>
    <cellStyle name="Komórka zaznaczona 2 24 7" xfId="18858"/>
    <cellStyle name="Komórka zaznaczona 2 25" xfId="18859"/>
    <cellStyle name="Komórka zaznaczona 2 25 2" xfId="18860"/>
    <cellStyle name="Komórka zaznaczona 2 25 3" xfId="18861"/>
    <cellStyle name="Komórka zaznaczona 2 25 4" xfId="18862"/>
    <cellStyle name="Komórka zaznaczona 2 25 5" xfId="18863"/>
    <cellStyle name="Komórka zaznaczona 2 25 6" xfId="18864"/>
    <cellStyle name="Komórka zaznaczona 2 25 7" xfId="18865"/>
    <cellStyle name="Komórka zaznaczona 2 26" xfId="18866"/>
    <cellStyle name="Komórka zaznaczona 2 26 2" xfId="18867"/>
    <cellStyle name="Komórka zaznaczona 2 26 3" xfId="18868"/>
    <cellStyle name="Komórka zaznaczona 2 26 4" xfId="18869"/>
    <cellStyle name="Komórka zaznaczona 2 26 5" xfId="18870"/>
    <cellStyle name="Komórka zaznaczona 2 26 6" xfId="18871"/>
    <cellStyle name="Komórka zaznaczona 2 26 7" xfId="18872"/>
    <cellStyle name="Komórka zaznaczona 2 27" xfId="18873"/>
    <cellStyle name="Komórka zaznaczona 2 27 2" xfId="18874"/>
    <cellStyle name="Komórka zaznaczona 2 27 3" xfId="18875"/>
    <cellStyle name="Komórka zaznaczona 2 27 4" xfId="18876"/>
    <cellStyle name="Komórka zaznaczona 2 27 5" xfId="18877"/>
    <cellStyle name="Komórka zaznaczona 2 27 6" xfId="18878"/>
    <cellStyle name="Komórka zaznaczona 2 27 7" xfId="18879"/>
    <cellStyle name="Komórka zaznaczona 2 28" xfId="18880"/>
    <cellStyle name="Komórka zaznaczona 2 28 2" xfId="18881"/>
    <cellStyle name="Komórka zaznaczona 2 28 3" xfId="18882"/>
    <cellStyle name="Komórka zaznaczona 2 28 4" xfId="18883"/>
    <cellStyle name="Komórka zaznaczona 2 28 5" xfId="18884"/>
    <cellStyle name="Komórka zaznaczona 2 28 6" xfId="18885"/>
    <cellStyle name="Komórka zaznaczona 2 28 7" xfId="18886"/>
    <cellStyle name="Komórka zaznaczona 2 29" xfId="18887"/>
    <cellStyle name="Komórka zaznaczona 2 29 2" xfId="18888"/>
    <cellStyle name="Komórka zaznaczona 2 3" xfId="18889"/>
    <cellStyle name="Komórka zaznaczona 2 3 2" xfId="18890"/>
    <cellStyle name="Komórka zaznaczona 2 3 3" xfId="18891"/>
    <cellStyle name="Komórka zaznaczona 2 3 4" xfId="18892"/>
    <cellStyle name="Komórka zaznaczona 2 3 5" xfId="18893"/>
    <cellStyle name="Komórka zaznaczona 2 3 6" xfId="18894"/>
    <cellStyle name="Komórka zaznaczona 2 3 7" xfId="18895"/>
    <cellStyle name="Komórka zaznaczona 2 30" xfId="18896"/>
    <cellStyle name="Komórka zaznaczona 2 30 2" xfId="18897"/>
    <cellStyle name="Komórka zaznaczona 2 31" xfId="18898"/>
    <cellStyle name="Komórka zaznaczona 2 31 2" xfId="18899"/>
    <cellStyle name="Komórka zaznaczona 2 32" xfId="18900"/>
    <cellStyle name="Komórka zaznaczona 2 32 2" xfId="18901"/>
    <cellStyle name="Komórka zaznaczona 2 33" xfId="18902"/>
    <cellStyle name="Komórka zaznaczona 2 34" xfId="18903"/>
    <cellStyle name="Komórka zaznaczona 2 35" xfId="18904"/>
    <cellStyle name="Komórka zaznaczona 2 36" xfId="18905"/>
    <cellStyle name="Komórka zaznaczona 2 37" xfId="18906"/>
    <cellStyle name="Komórka zaznaczona 2 38" xfId="18907"/>
    <cellStyle name="Komórka zaznaczona 2 39" xfId="18908"/>
    <cellStyle name="Komórka zaznaczona 2 4" xfId="18909"/>
    <cellStyle name="Komórka zaznaczona 2 4 2" xfId="18910"/>
    <cellStyle name="Komórka zaznaczona 2 4 3" xfId="18911"/>
    <cellStyle name="Komórka zaznaczona 2 4 4" xfId="18912"/>
    <cellStyle name="Komórka zaznaczona 2 4 5" xfId="18913"/>
    <cellStyle name="Komórka zaznaczona 2 4 6" xfId="18914"/>
    <cellStyle name="Komórka zaznaczona 2 4 7" xfId="18915"/>
    <cellStyle name="Komórka zaznaczona 2 40" xfId="18916"/>
    <cellStyle name="Komórka zaznaczona 2 41" xfId="18917"/>
    <cellStyle name="Komórka zaznaczona 2 42" xfId="18918"/>
    <cellStyle name="Komórka zaznaczona 2 43" xfId="18919"/>
    <cellStyle name="Komórka zaznaczona 2 44" xfId="18920"/>
    <cellStyle name="Komórka zaznaczona 2 45" xfId="18921"/>
    <cellStyle name="Komórka zaznaczona 2 46" xfId="18922"/>
    <cellStyle name="Komórka zaznaczona 2 47" xfId="18923"/>
    <cellStyle name="Komórka zaznaczona 2 48" xfId="18924"/>
    <cellStyle name="Komórka zaznaczona 2 49" xfId="18925"/>
    <cellStyle name="Komórka zaznaczona 2 5" xfId="18926"/>
    <cellStyle name="Komórka zaznaczona 2 5 2" xfId="18927"/>
    <cellStyle name="Komórka zaznaczona 2 5 3" xfId="18928"/>
    <cellStyle name="Komórka zaznaczona 2 5 4" xfId="18929"/>
    <cellStyle name="Komórka zaznaczona 2 5 5" xfId="18930"/>
    <cellStyle name="Komórka zaznaczona 2 5 6" xfId="18931"/>
    <cellStyle name="Komórka zaznaczona 2 5 7" xfId="18932"/>
    <cellStyle name="Komórka zaznaczona 2 50" xfId="18933"/>
    <cellStyle name="Komórka zaznaczona 2 51" xfId="18934"/>
    <cellStyle name="Komórka zaznaczona 2 52" xfId="18935"/>
    <cellStyle name="Komórka zaznaczona 2 53" xfId="18936"/>
    <cellStyle name="Komórka zaznaczona 2 54" xfId="18937"/>
    <cellStyle name="Komórka zaznaczona 2 6" xfId="18938"/>
    <cellStyle name="Komórka zaznaczona 2 6 2" xfId="18939"/>
    <cellStyle name="Komórka zaznaczona 2 6 3" xfId="18940"/>
    <cellStyle name="Komórka zaznaczona 2 6 4" xfId="18941"/>
    <cellStyle name="Komórka zaznaczona 2 6 5" xfId="18942"/>
    <cellStyle name="Komórka zaznaczona 2 6 6" xfId="18943"/>
    <cellStyle name="Komórka zaznaczona 2 6 7" xfId="18944"/>
    <cellStyle name="Komórka zaznaczona 2 7" xfId="18945"/>
    <cellStyle name="Komórka zaznaczona 2 7 2" xfId="18946"/>
    <cellStyle name="Komórka zaznaczona 2 7 3" xfId="18947"/>
    <cellStyle name="Komórka zaznaczona 2 7 4" xfId="18948"/>
    <cellStyle name="Komórka zaznaczona 2 7 5" xfId="18949"/>
    <cellStyle name="Komórka zaznaczona 2 7 6" xfId="18950"/>
    <cellStyle name="Komórka zaznaczona 2 7 7" xfId="18951"/>
    <cellStyle name="Komórka zaznaczona 2 8" xfId="18952"/>
    <cellStyle name="Komórka zaznaczona 2 8 2" xfId="18953"/>
    <cellStyle name="Komórka zaznaczona 2 8 3" xfId="18954"/>
    <cellStyle name="Komórka zaznaczona 2 8 4" xfId="18955"/>
    <cellStyle name="Komórka zaznaczona 2 8 5" xfId="18956"/>
    <cellStyle name="Komórka zaznaczona 2 8 6" xfId="18957"/>
    <cellStyle name="Komórka zaznaczona 2 8 7" xfId="18958"/>
    <cellStyle name="Komórka zaznaczona 2 9" xfId="18959"/>
    <cellStyle name="Komórka zaznaczona 2 9 2" xfId="18960"/>
    <cellStyle name="Komórka zaznaczona 2 9 3" xfId="18961"/>
    <cellStyle name="Komórka zaznaczona 2 9 4" xfId="18962"/>
    <cellStyle name="Komórka zaznaczona 2 9 5" xfId="18963"/>
    <cellStyle name="Komórka zaznaczona 2 9 6" xfId="18964"/>
    <cellStyle name="Komórka zaznaczona 2 9 7" xfId="18965"/>
    <cellStyle name="Komórka zaznaczona 3" xfId="18966"/>
    <cellStyle name="Komórka zaznaczona 3 10" xfId="18967"/>
    <cellStyle name="Komórka zaznaczona 3 2" xfId="18968"/>
    <cellStyle name="Komórka zaznaczona 3 2 2" xfId="18969"/>
    <cellStyle name="Komórka zaznaczona 3 2 3" xfId="18970"/>
    <cellStyle name="Komórka zaznaczona 3 3" xfId="18971"/>
    <cellStyle name="Komórka zaznaczona 3 4" xfId="18972"/>
    <cellStyle name="Komórka zaznaczona 3 5" xfId="18973"/>
    <cellStyle name="Komórka zaznaczona 3 6" xfId="18974"/>
    <cellStyle name="Komórka zaznaczona 3 7" xfId="18975"/>
    <cellStyle name="Komórka zaznaczona 3 8" xfId="18976"/>
    <cellStyle name="Komórka zaznaczona 3 9" xfId="18977"/>
    <cellStyle name="Komórka zaznaczona 4" xfId="18978"/>
    <cellStyle name="Komórka zaznaczona 4 10" xfId="18979"/>
    <cellStyle name="Komórka zaznaczona 4 2" xfId="18980"/>
    <cellStyle name="Komórka zaznaczona 4 3" xfId="18981"/>
    <cellStyle name="Komórka zaznaczona 4 4" xfId="18982"/>
    <cellStyle name="Komórka zaznaczona 4 5" xfId="18983"/>
    <cellStyle name="Komórka zaznaczona 4 6" xfId="18984"/>
    <cellStyle name="Komórka zaznaczona 4 7" xfId="18985"/>
    <cellStyle name="Komórka zaznaczona 4 8" xfId="18986"/>
    <cellStyle name="Komórka zaznaczona 4 9" xfId="18987"/>
    <cellStyle name="Komórka zaznaczona 5" xfId="18988"/>
    <cellStyle name="Komórka zaznaczona 5 2" xfId="18989"/>
    <cellStyle name="Komórka zaznaczona 5 3" xfId="18990"/>
    <cellStyle name="Komórka zaznaczona 6" xfId="18991"/>
    <cellStyle name="Komórka zaznaczona 6 2" xfId="18992"/>
    <cellStyle name="Komórka zaznaczona 7" xfId="18993"/>
    <cellStyle name="LP0" xfId="18994"/>
    <cellStyle name="měny_laroux" xfId="18995"/>
    <cellStyle name="Miglia - Style1" xfId="18996"/>
    <cellStyle name="Migliaia (0)" xfId="18997"/>
    <cellStyle name="Milliers [0]_CASHUPDA" xfId="18998"/>
    <cellStyle name="Milliers_CASHUPDA" xfId="18999"/>
    <cellStyle name="Monétaire [0]_CASHUPDA" xfId="19000"/>
    <cellStyle name="Monétaire_CASHUPDA" xfId="19001"/>
    <cellStyle name="Nagłówek 1 2" xfId="19002"/>
    <cellStyle name="Nagłówek 1 2 10" xfId="19003"/>
    <cellStyle name="Nagłówek 1 2 10 2" xfId="19004"/>
    <cellStyle name="Nagłówek 1 2 10 3" xfId="19005"/>
    <cellStyle name="Nagłówek 1 2 10 4" xfId="19006"/>
    <cellStyle name="Nagłówek 1 2 10 5" xfId="19007"/>
    <cellStyle name="Nagłówek 1 2 10 6" xfId="19008"/>
    <cellStyle name="Nagłówek 1 2 10 7" xfId="19009"/>
    <cellStyle name="Nagłówek 1 2 11" xfId="19010"/>
    <cellStyle name="Nagłówek 1 2 11 2" xfId="19011"/>
    <cellStyle name="Nagłówek 1 2 11 3" xfId="19012"/>
    <cellStyle name="Nagłówek 1 2 11 4" xfId="19013"/>
    <cellStyle name="Nagłówek 1 2 11 5" xfId="19014"/>
    <cellStyle name="Nagłówek 1 2 11 6" xfId="19015"/>
    <cellStyle name="Nagłówek 1 2 11 7" xfId="19016"/>
    <cellStyle name="Nagłówek 1 2 12" xfId="19017"/>
    <cellStyle name="Nagłówek 1 2 12 2" xfId="19018"/>
    <cellStyle name="Nagłówek 1 2 12 3" xfId="19019"/>
    <cellStyle name="Nagłówek 1 2 12 4" xfId="19020"/>
    <cellStyle name="Nagłówek 1 2 12 5" xfId="19021"/>
    <cellStyle name="Nagłówek 1 2 12 6" xfId="19022"/>
    <cellStyle name="Nagłówek 1 2 12 7" xfId="19023"/>
    <cellStyle name="Nagłówek 1 2 13" xfId="19024"/>
    <cellStyle name="Nagłówek 1 2 13 2" xfId="19025"/>
    <cellStyle name="Nagłówek 1 2 13 3" xfId="19026"/>
    <cellStyle name="Nagłówek 1 2 13 4" xfId="19027"/>
    <cellStyle name="Nagłówek 1 2 13 5" xfId="19028"/>
    <cellStyle name="Nagłówek 1 2 13 6" xfId="19029"/>
    <cellStyle name="Nagłówek 1 2 13 7" xfId="19030"/>
    <cellStyle name="Nagłówek 1 2 14" xfId="19031"/>
    <cellStyle name="Nagłówek 1 2 14 2" xfId="19032"/>
    <cellStyle name="Nagłówek 1 2 14 3" xfId="19033"/>
    <cellStyle name="Nagłówek 1 2 14 4" xfId="19034"/>
    <cellStyle name="Nagłówek 1 2 14 5" xfId="19035"/>
    <cellStyle name="Nagłówek 1 2 14 6" xfId="19036"/>
    <cellStyle name="Nagłówek 1 2 14 7" xfId="19037"/>
    <cellStyle name="Nagłówek 1 2 15" xfId="19038"/>
    <cellStyle name="Nagłówek 1 2 15 2" xfId="19039"/>
    <cellStyle name="Nagłówek 1 2 15 3" xfId="19040"/>
    <cellStyle name="Nagłówek 1 2 15 4" xfId="19041"/>
    <cellStyle name="Nagłówek 1 2 15 5" xfId="19042"/>
    <cellStyle name="Nagłówek 1 2 15 6" xfId="19043"/>
    <cellStyle name="Nagłówek 1 2 15 7" xfId="19044"/>
    <cellStyle name="Nagłówek 1 2 16" xfId="19045"/>
    <cellStyle name="Nagłówek 1 2 16 2" xfId="19046"/>
    <cellStyle name="Nagłówek 1 2 16 3" xfId="19047"/>
    <cellStyle name="Nagłówek 1 2 16 4" xfId="19048"/>
    <cellStyle name="Nagłówek 1 2 16 5" xfId="19049"/>
    <cellStyle name="Nagłówek 1 2 16 6" xfId="19050"/>
    <cellStyle name="Nagłówek 1 2 16 7" xfId="19051"/>
    <cellStyle name="Nagłówek 1 2 17" xfId="19052"/>
    <cellStyle name="Nagłówek 1 2 17 2" xfId="19053"/>
    <cellStyle name="Nagłówek 1 2 17 3" xfId="19054"/>
    <cellStyle name="Nagłówek 1 2 17 4" xfId="19055"/>
    <cellStyle name="Nagłówek 1 2 17 5" xfId="19056"/>
    <cellStyle name="Nagłówek 1 2 17 6" xfId="19057"/>
    <cellStyle name="Nagłówek 1 2 17 7" xfId="19058"/>
    <cellStyle name="Nagłówek 1 2 18" xfId="19059"/>
    <cellStyle name="Nagłówek 1 2 18 2" xfId="19060"/>
    <cellStyle name="Nagłówek 1 2 18 3" xfId="19061"/>
    <cellStyle name="Nagłówek 1 2 18 4" xfId="19062"/>
    <cellStyle name="Nagłówek 1 2 18 5" xfId="19063"/>
    <cellStyle name="Nagłówek 1 2 18 6" xfId="19064"/>
    <cellStyle name="Nagłówek 1 2 18 7" xfId="19065"/>
    <cellStyle name="Nagłówek 1 2 19" xfId="19066"/>
    <cellStyle name="Nagłówek 1 2 19 2" xfId="19067"/>
    <cellStyle name="Nagłówek 1 2 19 3" xfId="19068"/>
    <cellStyle name="Nagłówek 1 2 19 4" xfId="19069"/>
    <cellStyle name="Nagłówek 1 2 19 5" xfId="19070"/>
    <cellStyle name="Nagłówek 1 2 19 6" xfId="19071"/>
    <cellStyle name="Nagłówek 1 2 19 7" xfId="19072"/>
    <cellStyle name="Nagłówek 1 2 2" xfId="19073"/>
    <cellStyle name="Nagłówek 1 2 2 2" xfId="19074"/>
    <cellStyle name="Nagłówek 1 2 2 3" xfId="19075"/>
    <cellStyle name="Nagłówek 1 2 2 4" xfId="19076"/>
    <cellStyle name="Nagłówek 1 2 2 5" xfId="19077"/>
    <cellStyle name="Nagłówek 1 2 2 6" xfId="19078"/>
    <cellStyle name="Nagłówek 1 2 2 7" xfId="19079"/>
    <cellStyle name="Nagłówek 1 2 2 8" xfId="19080"/>
    <cellStyle name="Nagłówek 1 2 20" xfId="19081"/>
    <cellStyle name="Nagłówek 1 2 20 2" xfId="19082"/>
    <cellStyle name="Nagłówek 1 2 20 3" xfId="19083"/>
    <cellStyle name="Nagłówek 1 2 20 4" xfId="19084"/>
    <cellStyle name="Nagłówek 1 2 20 5" xfId="19085"/>
    <cellStyle name="Nagłówek 1 2 20 6" xfId="19086"/>
    <cellStyle name="Nagłówek 1 2 20 7" xfId="19087"/>
    <cellStyle name="Nagłówek 1 2 21" xfId="19088"/>
    <cellStyle name="Nagłówek 1 2 21 2" xfId="19089"/>
    <cellStyle name="Nagłówek 1 2 21 3" xfId="19090"/>
    <cellStyle name="Nagłówek 1 2 21 4" xfId="19091"/>
    <cellStyle name="Nagłówek 1 2 21 5" xfId="19092"/>
    <cellStyle name="Nagłówek 1 2 21 6" xfId="19093"/>
    <cellStyle name="Nagłówek 1 2 21 7" xfId="19094"/>
    <cellStyle name="Nagłówek 1 2 22" xfId="19095"/>
    <cellStyle name="Nagłówek 1 2 22 2" xfId="19096"/>
    <cellStyle name="Nagłówek 1 2 22 3" xfId="19097"/>
    <cellStyle name="Nagłówek 1 2 22 4" xfId="19098"/>
    <cellStyle name="Nagłówek 1 2 22 5" xfId="19099"/>
    <cellStyle name="Nagłówek 1 2 22 6" xfId="19100"/>
    <cellStyle name="Nagłówek 1 2 22 7" xfId="19101"/>
    <cellStyle name="Nagłówek 1 2 23" xfId="19102"/>
    <cellStyle name="Nagłówek 1 2 23 2" xfId="19103"/>
    <cellStyle name="Nagłówek 1 2 23 3" xfId="19104"/>
    <cellStyle name="Nagłówek 1 2 23 4" xfId="19105"/>
    <cellStyle name="Nagłówek 1 2 23 5" xfId="19106"/>
    <cellStyle name="Nagłówek 1 2 23 6" xfId="19107"/>
    <cellStyle name="Nagłówek 1 2 23 7" xfId="19108"/>
    <cellStyle name="Nagłówek 1 2 24" xfId="19109"/>
    <cellStyle name="Nagłówek 1 2 24 2" xfId="19110"/>
    <cellStyle name="Nagłówek 1 2 24 3" xfId="19111"/>
    <cellStyle name="Nagłówek 1 2 24 4" xfId="19112"/>
    <cellStyle name="Nagłówek 1 2 24 5" xfId="19113"/>
    <cellStyle name="Nagłówek 1 2 24 6" xfId="19114"/>
    <cellStyle name="Nagłówek 1 2 24 7" xfId="19115"/>
    <cellStyle name="Nagłówek 1 2 25" xfId="19116"/>
    <cellStyle name="Nagłówek 1 2 25 2" xfId="19117"/>
    <cellStyle name="Nagłówek 1 2 25 3" xfId="19118"/>
    <cellStyle name="Nagłówek 1 2 25 4" xfId="19119"/>
    <cellStyle name="Nagłówek 1 2 25 5" xfId="19120"/>
    <cellStyle name="Nagłówek 1 2 25 6" xfId="19121"/>
    <cellStyle name="Nagłówek 1 2 25 7" xfId="19122"/>
    <cellStyle name="Nagłówek 1 2 26" xfId="19123"/>
    <cellStyle name="Nagłówek 1 2 26 2" xfId="19124"/>
    <cellStyle name="Nagłówek 1 2 26 3" xfId="19125"/>
    <cellStyle name="Nagłówek 1 2 26 4" xfId="19126"/>
    <cellStyle name="Nagłówek 1 2 26 5" xfId="19127"/>
    <cellStyle name="Nagłówek 1 2 26 6" xfId="19128"/>
    <cellStyle name="Nagłówek 1 2 26 7" xfId="19129"/>
    <cellStyle name="Nagłówek 1 2 27" xfId="19130"/>
    <cellStyle name="Nagłówek 1 2 27 2" xfId="19131"/>
    <cellStyle name="Nagłówek 1 2 27 3" xfId="19132"/>
    <cellStyle name="Nagłówek 1 2 27 4" xfId="19133"/>
    <cellStyle name="Nagłówek 1 2 27 5" xfId="19134"/>
    <cellStyle name="Nagłówek 1 2 27 6" xfId="19135"/>
    <cellStyle name="Nagłówek 1 2 27 7" xfId="19136"/>
    <cellStyle name="Nagłówek 1 2 28" xfId="19137"/>
    <cellStyle name="Nagłówek 1 2 28 2" xfId="19138"/>
    <cellStyle name="Nagłówek 1 2 28 3" xfId="19139"/>
    <cellStyle name="Nagłówek 1 2 28 4" xfId="19140"/>
    <cellStyle name="Nagłówek 1 2 28 5" xfId="19141"/>
    <cellStyle name="Nagłówek 1 2 28 6" xfId="19142"/>
    <cellStyle name="Nagłówek 1 2 28 7" xfId="19143"/>
    <cellStyle name="Nagłówek 1 2 29" xfId="19144"/>
    <cellStyle name="Nagłówek 1 2 29 2" xfId="19145"/>
    <cellStyle name="Nagłówek 1 2 3" xfId="19146"/>
    <cellStyle name="Nagłówek 1 2 3 2" xfId="19147"/>
    <cellStyle name="Nagłówek 1 2 3 3" xfId="19148"/>
    <cellStyle name="Nagłówek 1 2 3 4" xfId="19149"/>
    <cellStyle name="Nagłówek 1 2 3 5" xfId="19150"/>
    <cellStyle name="Nagłówek 1 2 3 6" xfId="19151"/>
    <cellStyle name="Nagłówek 1 2 3 7" xfId="19152"/>
    <cellStyle name="Nagłówek 1 2 30" xfId="19153"/>
    <cellStyle name="Nagłówek 1 2 30 2" xfId="19154"/>
    <cellStyle name="Nagłówek 1 2 31" xfId="19155"/>
    <cellStyle name="Nagłówek 1 2 31 2" xfId="19156"/>
    <cellStyle name="Nagłówek 1 2 32" xfId="19157"/>
    <cellStyle name="Nagłówek 1 2 32 2" xfId="19158"/>
    <cellStyle name="Nagłówek 1 2 33" xfId="19159"/>
    <cellStyle name="Nagłówek 1 2 34" xfId="19160"/>
    <cellStyle name="Nagłówek 1 2 35" xfId="19161"/>
    <cellStyle name="Nagłówek 1 2 36" xfId="19162"/>
    <cellStyle name="Nagłówek 1 2 37" xfId="19163"/>
    <cellStyle name="Nagłówek 1 2 38" xfId="19164"/>
    <cellStyle name="Nagłówek 1 2 39" xfId="19165"/>
    <cellStyle name="Nagłówek 1 2 4" xfId="19166"/>
    <cellStyle name="Nagłówek 1 2 4 2" xfId="19167"/>
    <cellStyle name="Nagłówek 1 2 4 3" xfId="19168"/>
    <cellStyle name="Nagłówek 1 2 4 4" xfId="19169"/>
    <cellStyle name="Nagłówek 1 2 4 5" xfId="19170"/>
    <cellStyle name="Nagłówek 1 2 4 6" xfId="19171"/>
    <cellStyle name="Nagłówek 1 2 4 7" xfId="19172"/>
    <cellStyle name="Nagłówek 1 2 40" xfId="19173"/>
    <cellStyle name="Nagłówek 1 2 41" xfId="19174"/>
    <cellStyle name="Nagłówek 1 2 42" xfId="19175"/>
    <cellStyle name="Nagłówek 1 2 43" xfId="19176"/>
    <cellStyle name="Nagłówek 1 2 44" xfId="19177"/>
    <cellStyle name="Nagłówek 1 2 45" xfId="19178"/>
    <cellStyle name="Nagłówek 1 2 46" xfId="19179"/>
    <cellStyle name="Nagłówek 1 2 47" xfId="19180"/>
    <cellStyle name="Nagłówek 1 2 48" xfId="19181"/>
    <cellStyle name="Nagłówek 1 2 49" xfId="19182"/>
    <cellStyle name="Nagłówek 1 2 5" xfId="19183"/>
    <cellStyle name="Nagłówek 1 2 5 2" xfId="19184"/>
    <cellStyle name="Nagłówek 1 2 5 3" xfId="19185"/>
    <cellStyle name="Nagłówek 1 2 5 4" xfId="19186"/>
    <cellStyle name="Nagłówek 1 2 5 5" xfId="19187"/>
    <cellStyle name="Nagłówek 1 2 5 6" xfId="19188"/>
    <cellStyle name="Nagłówek 1 2 5 7" xfId="19189"/>
    <cellStyle name="Nagłówek 1 2 50" xfId="19190"/>
    <cellStyle name="Nagłówek 1 2 51" xfId="19191"/>
    <cellStyle name="Nagłówek 1 2 52" xfId="19192"/>
    <cellStyle name="Nagłówek 1 2 53" xfId="19193"/>
    <cellStyle name="Nagłówek 1 2 6" xfId="19194"/>
    <cellStyle name="Nagłówek 1 2 6 2" xfId="19195"/>
    <cellStyle name="Nagłówek 1 2 6 3" xfId="19196"/>
    <cellStyle name="Nagłówek 1 2 6 4" xfId="19197"/>
    <cellStyle name="Nagłówek 1 2 6 5" xfId="19198"/>
    <cellStyle name="Nagłówek 1 2 6 6" xfId="19199"/>
    <cellStyle name="Nagłówek 1 2 6 7" xfId="19200"/>
    <cellStyle name="Nagłówek 1 2 7" xfId="19201"/>
    <cellStyle name="Nagłówek 1 2 7 2" xfId="19202"/>
    <cellStyle name="Nagłówek 1 2 7 3" xfId="19203"/>
    <cellStyle name="Nagłówek 1 2 7 4" xfId="19204"/>
    <cellStyle name="Nagłówek 1 2 7 5" xfId="19205"/>
    <cellStyle name="Nagłówek 1 2 7 6" xfId="19206"/>
    <cellStyle name="Nagłówek 1 2 7 7" xfId="19207"/>
    <cellStyle name="Nagłówek 1 2 8" xfId="19208"/>
    <cellStyle name="Nagłówek 1 2 8 2" xfId="19209"/>
    <cellStyle name="Nagłówek 1 2 8 3" xfId="19210"/>
    <cellStyle name="Nagłówek 1 2 8 4" xfId="19211"/>
    <cellStyle name="Nagłówek 1 2 8 5" xfId="19212"/>
    <cellStyle name="Nagłówek 1 2 8 6" xfId="19213"/>
    <cellStyle name="Nagłówek 1 2 8 7" xfId="19214"/>
    <cellStyle name="Nagłówek 1 2 9" xfId="19215"/>
    <cellStyle name="Nagłówek 1 2 9 2" xfId="19216"/>
    <cellStyle name="Nagłówek 1 2 9 3" xfId="19217"/>
    <cellStyle name="Nagłówek 1 2 9 4" xfId="19218"/>
    <cellStyle name="Nagłówek 1 2 9 5" xfId="19219"/>
    <cellStyle name="Nagłówek 1 2 9 6" xfId="19220"/>
    <cellStyle name="Nagłówek 1 2 9 7" xfId="19221"/>
    <cellStyle name="Nagłówek 1 3" xfId="19222"/>
    <cellStyle name="Nagłówek 1 3 2" xfId="19223"/>
    <cellStyle name="Nagłówek 1 3 2 2" xfId="19224"/>
    <cellStyle name="Nagłówek 1 3 3" xfId="19225"/>
    <cellStyle name="Nagłówek 1 3 4" xfId="19226"/>
    <cellStyle name="Nagłówek 1 3 5" xfId="19227"/>
    <cellStyle name="Nagłówek 1 4" xfId="19228"/>
    <cellStyle name="Nagłówek 1 4 2" xfId="19229"/>
    <cellStyle name="Nagłówek 1 4 3" xfId="19230"/>
    <cellStyle name="Nagłówek 1 4 4" xfId="19231"/>
    <cellStyle name="Nagłówek 1 4 5" xfId="19232"/>
    <cellStyle name="Nagłówek 1 5" xfId="19233"/>
    <cellStyle name="Nagłówek 1 5 2" xfId="19234"/>
    <cellStyle name="Nagłówek 1 5 3" xfId="19235"/>
    <cellStyle name="Nagłówek 1 6" xfId="19236"/>
    <cellStyle name="Nagłówek 1 6 2" xfId="19237"/>
    <cellStyle name="Nagłówek 1 7" xfId="19238"/>
    <cellStyle name="Nagłówek 2 2" xfId="19239"/>
    <cellStyle name="Nagłówek 2 2 10" xfId="19240"/>
    <cellStyle name="Nagłówek 2 2 10 2" xfId="19241"/>
    <cellStyle name="Nagłówek 2 2 10 3" xfId="19242"/>
    <cellStyle name="Nagłówek 2 2 10 4" xfId="19243"/>
    <cellStyle name="Nagłówek 2 2 10 5" xfId="19244"/>
    <cellStyle name="Nagłówek 2 2 10 6" xfId="19245"/>
    <cellStyle name="Nagłówek 2 2 10 7" xfId="19246"/>
    <cellStyle name="Nagłówek 2 2 11" xfId="19247"/>
    <cellStyle name="Nagłówek 2 2 11 2" xfId="19248"/>
    <cellStyle name="Nagłówek 2 2 11 3" xfId="19249"/>
    <cellStyle name="Nagłówek 2 2 11 4" xfId="19250"/>
    <cellStyle name="Nagłówek 2 2 11 5" xfId="19251"/>
    <cellStyle name="Nagłówek 2 2 11 6" xfId="19252"/>
    <cellStyle name="Nagłówek 2 2 11 7" xfId="19253"/>
    <cellStyle name="Nagłówek 2 2 12" xfId="19254"/>
    <cellStyle name="Nagłówek 2 2 12 2" xfId="19255"/>
    <cellStyle name="Nagłówek 2 2 12 3" xfId="19256"/>
    <cellStyle name="Nagłówek 2 2 12 4" xfId="19257"/>
    <cellStyle name="Nagłówek 2 2 12 5" xfId="19258"/>
    <cellStyle name="Nagłówek 2 2 12 6" xfId="19259"/>
    <cellStyle name="Nagłówek 2 2 12 7" xfId="19260"/>
    <cellStyle name="Nagłówek 2 2 13" xfId="19261"/>
    <cellStyle name="Nagłówek 2 2 13 2" xfId="19262"/>
    <cellStyle name="Nagłówek 2 2 13 3" xfId="19263"/>
    <cellStyle name="Nagłówek 2 2 13 4" xfId="19264"/>
    <cellStyle name="Nagłówek 2 2 13 5" xfId="19265"/>
    <cellStyle name="Nagłówek 2 2 13 6" xfId="19266"/>
    <cellStyle name="Nagłówek 2 2 13 7" xfId="19267"/>
    <cellStyle name="Nagłówek 2 2 14" xfId="19268"/>
    <cellStyle name="Nagłówek 2 2 14 2" xfId="19269"/>
    <cellStyle name="Nagłówek 2 2 14 3" xfId="19270"/>
    <cellStyle name="Nagłówek 2 2 14 4" xfId="19271"/>
    <cellStyle name="Nagłówek 2 2 14 5" xfId="19272"/>
    <cellStyle name="Nagłówek 2 2 14 6" xfId="19273"/>
    <cellStyle name="Nagłówek 2 2 14 7" xfId="19274"/>
    <cellStyle name="Nagłówek 2 2 15" xfId="19275"/>
    <cellStyle name="Nagłówek 2 2 15 2" xfId="19276"/>
    <cellStyle name="Nagłówek 2 2 15 3" xfId="19277"/>
    <cellStyle name="Nagłówek 2 2 15 4" xfId="19278"/>
    <cellStyle name="Nagłówek 2 2 15 5" xfId="19279"/>
    <cellStyle name="Nagłówek 2 2 15 6" xfId="19280"/>
    <cellStyle name="Nagłówek 2 2 15 7" xfId="19281"/>
    <cellStyle name="Nagłówek 2 2 16" xfId="19282"/>
    <cellStyle name="Nagłówek 2 2 16 2" xfId="19283"/>
    <cellStyle name="Nagłówek 2 2 16 3" xfId="19284"/>
    <cellStyle name="Nagłówek 2 2 16 4" xfId="19285"/>
    <cellStyle name="Nagłówek 2 2 16 5" xfId="19286"/>
    <cellStyle name="Nagłówek 2 2 16 6" xfId="19287"/>
    <cellStyle name="Nagłówek 2 2 16 7" xfId="19288"/>
    <cellStyle name="Nagłówek 2 2 17" xfId="19289"/>
    <cellStyle name="Nagłówek 2 2 17 2" xfId="19290"/>
    <cellStyle name="Nagłówek 2 2 17 3" xfId="19291"/>
    <cellStyle name="Nagłówek 2 2 17 4" xfId="19292"/>
    <cellStyle name="Nagłówek 2 2 17 5" xfId="19293"/>
    <cellStyle name="Nagłówek 2 2 17 6" xfId="19294"/>
    <cellStyle name="Nagłówek 2 2 17 7" xfId="19295"/>
    <cellStyle name="Nagłówek 2 2 18" xfId="19296"/>
    <cellStyle name="Nagłówek 2 2 18 2" xfId="19297"/>
    <cellStyle name="Nagłówek 2 2 18 3" xfId="19298"/>
    <cellStyle name="Nagłówek 2 2 18 4" xfId="19299"/>
    <cellStyle name="Nagłówek 2 2 18 5" xfId="19300"/>
    <cellStyle name="Nagłówek 2 2 18 6" xfId="19301"/>
    <cellStyle name="Nagłówek 2 2 18 7" xfId="19302"/>
    <cellStyle name="Nagłówek 2 2 19" xfId="19303"/>
    <cellStyle name="Nagłówek 2 2 19 2" xfId="19304"/>
    <cellStyle name="Nagłówek 2 2 19 3" xfId="19305"/>
    <cellStyle name="Nagłówek 2 2 19 4" xfId="19306"/>
    <cellStyle name="Nagłówek 2 2 19 5" xfId="19307"/>
    <cellStyle name="Nagłówek 2 2 19 6" xfId="19308"/>
    <cellStyle name="Nagłówek 2 2 19 7" xfId="19309"/>
    <cellStyle name="Nagłówek 2 2 2" xfId="19310"/>
    <cellStyle name="Nagłówek 2 2 2 2" xfId="19311"/>
    <cellStyle name="Nagłówek 2 2 2 3" xfId="19312"/>
    <cellStyle name="Nagłówek 2 2 2 4" xfId="19313"/>
    <cellStyle name="Nagłówek 2 2 2 5" xfId="19314"/>
    <cellStyle name="Nagłówek 2 2 2 6" xfId="19315"/>
    <cellStyle name="Nagłówek 2 2 2 7" xfId="19316"/>
    <cellStyle name="Nagłówek 2 2 2 8" xfId="19317"/>
    <cellStyle name="Nagłówek 2 2 20" xfId="19318"/>
    <cellStyle name="Nagłówek 2 2 20 2" xfId="19319"/>
    <cellStyle name="Nagłówek 2 2 20 3" xfId="19320"/>
    <cellStyle name="Nagłówek 2 2 20 4" xfId="19321"/>
    <cellStyle name="Nagłówek 2 2 20 5" xfId="19322"/>
    <cellStyle name="Nagłówek 2 2 20 6" xfId="19323"/>
    <cellStyle name="Nagłówek 2 2 20 7" xfId="19324"/>
    <cellStyle name="Nagłówek 2 2 21" xfId="19325"/>
    <cellStyle name="Nagłówek 2 2 21 2" xfId="19326"/>
    <cellStyle name="Nagłówek 2 2 21 3" xfId="19327"/>
    <cellStyle name="Nagłówek 2 2 21 4" xfId="19328"/>
    <cellStyle name="Nagłówek 2 2 21 5" xfId="19329"/>
    <cellStyle name="Nagłówek 2 2 21 6" xfId="19330"/>
    <cellStyle name="Nagłówek 2 2 21 7" xfId="19331"/>
    <cellStyle name="Nagłówek 2 2 22" xfId="19332"/>
    <cellStyle name="Nagłówek 2 2 22 2" xfId="19333"/>
    <cellStyle name="Nagłówek 2 2 22 3" xfId="19334"/>
    <cellStyle name="Nagłówek 2 2 22 4" xfId="19335"/>
    <cellStyle name="Nagłówek 2 2 22 5" xfId="19336"/>
    <cellStyle name="Nagłówek 2 2 22 6" xfId="19337"/>
    <cellStyle name="Nagłówek 2 2 22 7" xfId="19338"/>
    <cellStyle name="Nagłówek 2 2 23" xfId="19339"/>
    <cellStyle name="Nagłówek 2 2 23 2" xfId="19340"/>
    <cellStyle name="Nagłówek 2 2 23 3" xfId="19341"/>
    <cellStyle name="Nagłówek 2 2 23 4" xfId="19342"/>
    <cellStyle name="Nagłówek 2 2 23 5" xfId="19343"/>
    <cellStyle name="Nagłówek 2 2 23 6" xfId="19344"/>
    <cellStyle name="Nagłówek 2 2 23 7" xfId="19345"/>
    <cellStyle name="Nagłówek 2 2 24" xfId="19346"/>
    <cellStyle name="Nagłówek 2 2 24 2" xfId="19347"/>
    <cellStyle name="Nagłówek 2 2 24 3" xfId="19348"/>
    <cellStyle name="Nagłówek 2 2 24 4" xfId="19349"/>
    <cellStyle name="Nagłówek 2 2 24 5" xfId="19350"/>
    <cellStyle name="Nagłówek 2 2 24 6" xfId="19351"/>
    <cellStyle name="Nagłówek 2 2 24 7" xfId="19352"/>
    <cellStyle name="Nagłówek 2 2 25" xfId="19353"/>
    <cellStyle name="Nagłówek 2 2 25 2" xfId="19354"/>
    <cellStyle name="Nagłówek 2 2 25 3" xfId="19355"/>
    <cellStyle name="Nagłówek 2 2 25 4" xfId="19356"/>
    <cellStyle name="Nagłówek 2 2 25 5" xfId="19357"/>
    <cellStyle name="Nagłówek 2 2 25 6" xfId="19358"/>
    <cellStyle name="Nagłówek 2 2 25 7" xfId="19359"/>
    <cellStyle name="Nagłówek 2 2 26" xfId="19360"/>
    <cellStyle name="Nagłówek 2 2 26 2" xfId="19361"/>
    <cellStyle name="Nagłówek 2 2 26 3" xfId="19362"/>
    <cellStyle name="Nagłówek 2 2 26 4" xfId="19363"/>
    <cellStyle name="Nagłówek 2 2 26 5" xfId="19364"/>
    <cellStyle name="Nagłówek 2 2 26 6" xfId="19365"/>
    <cellStyle name="Nagłówek 2 2 26 7" xfId="19366"/>
    <cellStyle name="Nagłówek 2 2 27" xfId="19367"/>
    <cellStyle name="Nagłówek 2 2 27 2" xfId="19368"/>
    <cellStyle name="Nagłówek 2 2 27 3" xfId="19369"/>
    <cellStyle name="Nagłówek 2 2 27 4" xfId="19370"/>
    <cellStyle name="Nagłówek 2 2 27 5" xfId="19371"/>
    <cellStyle name="Nagłówek 2 2 27 6" xfId="19372"/>
    <cellStyle name="Nagłówek 2 2 27 7" xfId="19373"/>
    <cellStyle name="Nagłówek 2 2 28" xfId="19374"/>
    <cellStyle name="Nagłówek 2 2 28 2" xfId="19375"/>
    <cellStyle name="Nagłówek 2 2 28 3" xfId="19376"/>
    <cellStyle name="Nagłówek 2 2 28 4" xfId="19377"/>
    <cellStyle name="Nagłówek 2 2 28 5" xfId="19378"/>
    <cellStyle name="Nagłówek 2 2 28 6" xfId="19379"/>
    <cellStyle name="Nagłówek 2 2 28 7" xfId="19380"/>
    <cellStyle name="Nagłówek 2 2 29" xfId="19381"/>
    <cellStyle name="Nagłówek 2 2 29 2" xfId="19382"/>
    <cellStyle name="Nagłówek 2 2 3" xfId="19383"/>
    <cellStyle name="Nagłówek 2 2 3 2" xfId="19384"/>
    <cellStyle name="Nagłówek 2 2 3 3" xfId="19385"/>
    <cellStyle name="Nagłówek 2 2 3 4" xfId="19386"/>
    <cellStyle name="Nagłówek 2 2 3 5" xfId="19387"/>
    <cellStyle name="Nagłówek 2 2 3 6" xfId="19388"/>
    <cellStyle name="Nagłówek 2 2 3 7" xfId="19389"/>
    <cellStyle name="Nagłówek 2 2 30" xfId="19390"/>
    <cellStyle name="Nagłówek 2 2 30 2" xfId="19391"/>
    <cellStyle name="Nagłówek 2 2 31" xfId="19392"/>
    <cellStyle name="Nagłówek 2 2 31 2" xfId="19393"/>
    <cellStyle name="Nagłówek 2 2 32" xfId="19394"/>
    <cellStyle name="Nagłówek 2 2 32 2" xfId="19395"/>
    <cellStyle name="Nagłówek 2 2 33" xfId="19396"/>
    <cellStyle name="Nagłówek 2 2 34" xfId="19397"/>
    <cellStyle name="Nagłówek 2 2 35" xfId="19398"/>
    <cellStyle name="Nagłówek 2 2 36" xfId="19399"/>
    <cellStyle name="Nagłówek 2 2 37" xfId="19400"/>
    <cellStyle name="Nagłówek 2 2 38" xfId="19401"/>
    <cellStyle name="Nagłówek 2 2 39" xfId="19402"/>
    <cellStyle name="Nagłówek 2 2 4" xfId="19403"/>
    <cellStyle name="Nagłówek 2 2 4 2" xfId="19404"/>
    <cellStyle name="Nagłówek 2 2 4 3" xfId="19405"/>
    <cellStyle name="Nagłówek 2 2 4 4" xfId="19406"/>
    <cellStyle name="Nagłówek 2 2 4 5" xfId="19407"/>
    <cellStyle name="Nagłówek 2 2 4 6" xfId="19408"/>
    <cellStyle name="Nagłówek 2 2 4 7" xfId="19409"/>
    <cellStyle name="Nagłówek 2 2 40" xfId="19410"/>
    <cellStyle name="Nagłówek 2 2 41" xfId="19411"/>
    <cellStyle name="Nagłówek 2 2 42" xfId="19412"/>
    <cellStyle name="Nagłówek 2 2 43" xfId="19413"/>
    <cellStyle name="Nagłówek 2 2 44" xfId="19414"/>
    <cellStyle name="Nagłówek 2 2 45" xfId="19415"/>
    <cellStyle name="Nagłówek 2 2 46" xfId="19416"/>
    <cellStyle name="Nagłówek 2 2 47" xfId="19417"/>
    <cellStyle name="Nagłówek 2 2 48" xfId="19418"/>
    <cellStyle name="Nagłówek 2 2 49" xfId="19419"/>
    <cellStyle name="Nagłówek 2 2 5" xfId="19420"/>
    <cellStyle name="Nagłówek 2 2 5 2" xfId="19421"/>
    <cellStyle name="Nagłówek 2 2 5 3" xfId="19422"/>
    <cellStyle name="Nagłówek 2 2 5 4" xfId="19423"/>
    <cellStyle name="Nagłówek 2 2 5 5" xfId="19424"/>
    <cellStyle name="Nagłówek 2 2 5 6" xfId="19425"/>
    <cellStyle name="Nagłówek 2 2 5 7" xfId="19426"/>
    <cellStyle name="Nagłówek 2 2 50" xfId="19427"/>
    <cellStyle name="Nagłówek 2 2 51" xfId="19428"/>
    <cellStyle name="Nagłówek 2 2 52" xfId="19429"/>
    <cellStyle name="Nagłówek 2 2 53" xfId="19430"/>
    <cellStyle name="Nagłówek 2 2 6" xfId="19431"/>
    <cellStyle name="Nagłówek 2 2 6 2" xfId="19432"/>
    <cellStyle name="Nagłówek 2 2 6 3" xfId="19433"/>
    <cellStyle name="Nagłówek 2 2 6 4" xfId="19434"/>
    <cellStyle name="Nagłówek 2 2 6 5" xfId="19435"/>
    <cellStyle name="Nagłówek 2 2 6 6" xfId="19436"/>
    <cellStyle name="Nagłówek 2 2 6 7" xfId="19437"/>
    <cellStyle name="Nagłówek 2 2 7" xfId="19438"/>
    <cellStyle name="Nagłówek 2 2 7 2" xfId="19439"/>
    <cellStyle name="Nagłówek 2 2 7 3" xfId="19440"/>
    <cellStyle name="Nagłówek 2 2 7 4" xfId="19441"/>
    <cellStyle name="Nagłówek 2 2 7 5" xfId="19442"/>
    <cellStyle name="Nagłówek 2 2 7 6" xfId="19443"/>
    <cellStyle name="Nagłówek 2 2 7 7" xfId="19444"/>
    <cellStyle name="Nagłówek 2 2 8" xfId="19445"/>
    <cellStyle name="Nagłówek 2 2 8 2" xfId="19446"/>
    <cellStyle name="Nagłówek 2 2 8 3" xfId="19447"/>
    <cellStyle name="Nagłówek 2 2 8 4" xfId="19448"/>
    <cellStyle name="Nagłówek 2 2 8 5" xfId="19449"/>
    <cellStyle name="Nagłówek 2 2 8 6" xfId="19450"/>
    <cellStyle name="Nagłówek 2 2 8 7" xfId="19451"/>
    <cellStyle name="Nagłówek 2 2 9" xfId="19452"/>
    <cellStyle name="Nagłówek 2 2 9 2" xfId="19453"/>
    <cellStyle name="Nagłówek 2 2 9 3" xfId="19454"/>
    <cellStyle name="Nagłówek 2 2 9 4" xfId="19455"/>
    <cellStyle name="Nagłówek 2 2 9 5" xfId="19456"/>
    <cellStyle name="Nagłówek 2 2 9 6" xfId="19457"/>
    <cellStyle name="Nagłówek 2 2 9 7" xfId="19458"/>
    <cellStyle name="Nagłówek 2 3" xfId="19459"/>
    <cellStyle name="Nagłówek 2 3 2" xfId="19460"/>
    <cellStyle name="Nagłówek 2 3 2 2" xfId="19461"/>
    <cellStyle name="Nagłówek 2 3 3" xfId="19462"/>
    <cellStyle name="Nagłówek 2 3 4" xfId="19463"/>
    <cellStyle name="Nagłówek 2 3 5" xfId="19464"/>
    <cellStyle name="Nagłówek 2 4" xfId="19465"/>
    <cellStyle name="Nagłówek 2 4 2" xfId="19466"/>
    <cellStyle name="Nagłówek 2 4 3" xfId="19467"/>
    <cellStyle name="Nagłówek 2 4 4" xfId="19468"/>
    <cellStyle name="Nagłówek 2 4 5" xfId="19469"/>
    <cellStyle name="Nagłówek 2 5" xfId="19470"/>
    <cellStyle name="Nagłówek 2 5 2" xfId="19471"/>
    <cellStyle name="Nagłówek 2 5 3" xfId="19472"/>
    <cellStyle name="Nagłówek 2 6" xfId="19473"/>
    <cellStyle name="Nagłówek 2 6 2" xfId="19474"/>
    <cellStyle name="Nagłówek 2 7" xfId="19475"/>
    <cellStyle name="Nagłówek 3 2" xfId="19476"/>
    <cellStyle name="Nagłówek 3 2 10" xfId="19477"/>
    <cellStyle name="Nagłówek 3 2 10 2" xfId="19478"/>
    <cellStyle name="Nagłówek 3 2 10 3" xfId="19479"/>
    <cellStyle name="Nagłówek 3 2 10 4" xfId="19480"/>
    <cellStyle name="Nagłówek 3 2 10 5" xfId="19481"/>
    <cellStyle name="Nagłówek 3 2 10 6" xfId="19482"/>
    <cellStyle name="Nagłówek 3 2 10 7" xfId="19483"/>
    <cellStyle name="Nagłówek 3 2 11" xfId="19484"/>
    <cellStyle name="Nagłówek 3 2 11 2" xfId="19485"/>
    <cellStyle name="Nagłówek 3 2 11 3" xfId="19486"/>
    <cellStyle name="Nagłówek 3 2 11 4" xfId="19487"/>
    <cellStyle name="Nagłówek 3 2 11 5" xfId="19488"/>
    <cellStyle name="Nagłówek 3 2 11 6" xfId="19489"/>
    <cellStyle name="Nagłówek 3 2 11 7" xfId="19490"/>
    <cellStyle name="Nagłówek 3 2 12" xfId="19491"/>
    <cellStyle name="Nagłówek 3 2 12 2" xfId="19492"/>
    <cellStyle name="Nagłówek 3 2 12 3" xfId="19493"/>
    <cellStyle name="Nagłówek 3 2 12 4" xfId="19494"/>
    <cellStyle name="Nagłówek 3 2 12 5" xfId="19495"/>
    <cellStyle name="Nagłówek 3 2 12 6" xfId="19496"/>
    <cellStyle name="Nagłówek 3 2 12 7" xfId="19497"/>
    <cellStyle name="Nagłówek 3 2 13" xfId="19498"/>
    <cellStyle name="Nagłówek 3 2 13 2" xfId="19499"/>
    <cellStyle name="Nagłówek 3 2 13 3" xfId="19500"/>
    <cellStyle name="Nagłówek 3 2 13 4" xfId="19501"/>
    <cellStyle name="Nagłówek 3 2 13 5" xfId="19502"/>
    <cellStyle name="Nagłówek 3 2 13 6" xfId="19503"/>
    <cellStyle name="Nagłówek 3 2 13 7" xfId="19504"/>
    <cellStyle name="Nagłówek 3 2 14" xfId="19505"/>
    <cellStyle name="Nagłówek 3 2 14 2" xfId="19506"/>
    <cellStyle name="Nagłówek 3 2 14 3" xfId="19507"/>
    <cellStyle name="Nagłówek 3 2 14 4" xfId="19508"/>
    <cellStyle name="Nagłówek 3 2 14 5" xfId="19509"/>
    <cellStyle name="Nagłówek 3 2 14 6" xfId="19510"/>
    <cellStyle name="Nagłówek 3 2 14 7" xfId="19511"/>
    <cellStyle name="Nagłówek 3 2 15" xfId="19512"/>
    <cellStyle name="Nagłówek 3 2 15 2" xfId="19513"/>
    <cellStyle name="Nagłówek 3 2 15 3" xfId="19514"/>
    <cellStyle name="Nagłówek 3 2 15 4" xfId="19515"/>
    <cellStyle name="Nagłówek 3 2 15 5" xfId="19516"/>
    <cellStyle name="Nagłówek 3 2 15 6" xfId="19517"/>
    <cellStyle name="Nagłówek 3 2 15 7" xfId="19518"/>
    <cellStyle name="Nagłówek 3 2 16" xfId="19519"/>
    <cellStyle name="Nagłówek 3 2 16 2" xfId="19520"/>
    <cellStyle name="Nagłówek 3 2 16 3" xfId="19521"/>
    <cellStyle name="Nagłówek 3 2 16 4" xfId="19522"/>
    <cellStyle name="Nagłówek 3 2 16 5" xfId="19523"/>
    <cellStyle name="Nagłówek 3 2 16 6" xfId="19524"/>
    <cellStyle name="Nagłówek 3 2 16 7" xfId="19525"/>
    <cellStyle name="Nagłówek 3 2 17" xfId="19526"/>
    <cellStyle name="Nagłówek 3 2 17 2" xfId="19527"/>
    <cellStyle name="Nagłówek 3 2 17 3" xfId="19528"/>
    <cellStyle name="Nagłówek 3 2 17 4" xfId="19529"/>
    <cellStyle name="Nagłówek 3 2 17 5" xfId="19530"/>
    <cellStyle name="Nagłówek 3 2 17 6" xfId="19531"/>
    <cellStyle name="Nagłówek 3 2 17 7" xfId="19532"/>
    <cellStyle name="Nagłówek 3 2 18" xfId="19533"/>
    <cellStyle name="Nagłówek 3 2 18 2" xfId="19534"/>
    <cellStyle name="Nagłówek 3 2 18 3" xfId="19535"/>
    <cellStyle name="Nagłówek 3 2 18 4" xfId="19536"/>
    <cellStyle name="Nagłówek 3 2 18 5" xfId="19537"/>
    <cellStyle name="Nagłówek 3 2 18 6" xfId="19538"/>
    <cellStyle name="Nagłówek 3 2 18 7" xfId="19539"/>
    <cellStyle name="Nagłówek 3 2 19" xfId="19540"/>
    <cellStyle name="Nagłówek 3 2 19 2" xfId="19541"/>
    <cellStyle name="Nagłówek 3 2 19 3" xfId="19542"/>
    <cellStyle name="Nagłówek 3 2 19 4" xfId="19543"/>
    <cellStyle name="Nagłówek 3 2 19 5" xfId="19544"/>
    <cellStyle name="Nagłówek 3 2 19 6" xfId="19545"/>
    <cellStyle name="Nagłówek 3 2 19 7" xfId="19546"/>
    <cellStyle name="Nagłówek 3 2 2" xfId="19547"/>
    <cellStyle name="Nagłówek 3 2 2 2" xfId="19548"/>
    <cellStyle name="Nagłówek 3 2 2 3" xfId="19549"/>
    <cellStyle name="Nagłówek 3 2 2 4" xfId="19550"/>
    <cellStyle name="Nagłówek 3 2 2 5" xfId="19551"/>
    <cellStyle name="Nagłówek 3 2 2 6" xfId="19552"/>
    <cellStyle name="Nagłówek 3 2 2 7" xfId="19553"/>
    <cellStyle name="Nagłówek 3 2 2 8" xfId="19554"/>
    <cellStyle name="Nagłówek 3 2 20" xfId="19555"/>
    <cellStyle name="Nagłówek 3 2 20 2" xfId="19556"/>
    <cellStyle name="Nagłówek 3 2 20 3" xfId="19557"/>
    <cellStyle name="Nagłówek 3 2 20 4" xfId="19558"/>
    <cellStyle name="Nagłówek 3 2 20 5" xfId="19559"/>
    <cellStyle name="Nagłówek 3 2 20 6" xfId="19560"/>
    <cellStyle name="Nagłówek 3 2 20 7" xfId="19561"/>
    <cellStyle name="Nagłówek 3 2 21" xfId="19562"/>
    <cellStyle name="Nagłówek 3 2 21 2" xfId="19563"/>
    <cellStyle name="Nagłówek 3 2 21 3" xfId="19564"/>
    <cellStyle name="Nagłówek 3 2 21 4" xfId="19565"/>
    <cellStyle name="Nagłówek 3 2 21 5" xfId="19566"/>
    <cellStyle name="Nagłówek 3 2 21 6" xfId="19567"/>
    <cellStyle name="Nagłówek 3 2 21 7" xfId="19568"/>
    <cellStyle name="Nagłówek 3 2 22" xfId="19569"/>
    <cellStyle name="Nagłówek 3 2 22 2" xfId="19570"/>
    <cellStyle name="Nagłówek 3 2 22 3" xfId="19571"/>
    <cellStyle name="Nagłówek 3 2 22 4" xfId="19572"/>
    <cellStyle name="Nagłówek 3 2 22 5" xfId="19573"/>
    <cellStyle name="Nagłówek 3 2 22 6" xfId="19574"/>
    <cellStyle name="Nagłówek 3 2 22 7" xfId="19575"/>
    <cellStyle name="Nagłówek 3 2 23" xfId="19576"/>
    <cellStyle name="Nagłówek 3 2 23 2" xfId="19577"/>
    <cellStyle name="Nagłówek 3 2 23 3" xfId="19578"/>
    <cellStyle name="Nagłówek 3 2 23 4" xfId="19579"/>
    <cellStyle name="Nagłówek 3 2 23 5" xfId="19580"/>
    <cellStyle name="Nagłówek 3 2 23 6" xfId="19581"/>
    <cellStyle name="Nagłówek 3 2 23 7" xfId="19582"/>
    <cellStyle name="Nagłówek 3 2 24" xfId="19583"/>
    <cellStyle name="Nagłówek 3 2 24 2" xfId="19584"/>
    <cellStyle name="Nagłówek 3 2 24 3" xfId="19585"/>
    <cellStyle name="Nagłówek 3 2 24 4" xfId="19586"/>
    <cellStyle name="Nagłówek 3 2 24 5" xfId="19587"/>
    <cellStyle name="Nagłówek 3 2 24 6" xfId="19588"/>
    <cellStyle name="Nagłówek 3 2 24 7" xfId="19589"/>
    <cellStyle name="Nagłówek 3 2 25" xfId="19590"/>
    <cellStyle name="Nagłówek 3 2 25 2" xfId="19591"/>
    <cellStyle name="Nagłówek 3 2 25 3" xfId="19592"/>
    <cellStyle name="Nagłówek 3 2 25 4" xfId="19593"/>
    <cellStyle name="Nagłówek 3 2 25 5" xfId="19594"/>
    <cellStyle name="Nagłówek 3 2 25 6" xfId="19595"/>
    <cellStyle name="Nagłówek 3 2 25 7" xfId="19596"/>
    <cellStyle name="Nagłówek 3 2 26" xfId="19597"/>
    <cellStyle name="Nagłówek 3 2 26 2" xfId="19598"/>
    <cellStyle name="Nagłówek 3 2 26 3" xfId="19599"/>
    <cellStyle name="Nagłówek 3 2 26 4" xfId="19600"/>
    <cellStyle name="Nagłówek 3 2 26 5" xfId="19601"/>
    <cellStyle name="Nagłówek 3 2 26 6" xfId="19602"/>
    <cellStyle name="Nagłówek 3 2 26 7" xfId="19603"/>
    <cellStyle name="Nagłówek 3 2 27" xfId="19604"/>
    <cellStyle name="Nagłówek 3 2 27 2" xfId="19605"/>
    <cellStyle name="Nagłówek 3 2 27 3" xfId="19606"/>
    <cellStyle name="Nagłówek 3 2 27 4" xfId="19607"/>
    <cellStyle name="Nagłówek 3 2 27 5" xfId="19608"/>
    <cellStyle name="Nagłówek 3 2 27 6" xfId="19609"/>
    <cellStyle name="Nagłówek 3 2 27 7" xfId="19610"/>
    <cellStyle name="Nagłówek 3 2 28" xfId="19611"/>
    <cellStyle name="Nagłówek 3 2 28 2" xfId="19612"/>
    <cellStyle name="Nagłówek 3 2 28 3" xfId="19613"/>
    <cellStyle name="Nagłówek 3 2 28 4" xfId="19614"/>
    <cellStyle name="Nagłówek 3 2 28 5" xfId="19615"/>
    <cellStyle name="Nagłówek 3 2 28 6" xfId="19616"/>
    <cellStyle name="Nagłówek 3 2 28 7" xfId="19617"/>
    <cellStyle name="Nagłówek 3 2 29" xfId="19618"/>
    <cellStyle name="Nagłówek 3 2 29 2" xfId="19619"/>
    <cellStyle name="Nagłówek 3 2 3" xfId="19620"/>
    <cellStyle name="Nagłówek 3 2 3 2" xfId="19621"/>
    <cellStyle name="Nagłówek 3 2 3 3" xfId="19622"/>
    <cellStyle name="Nagłówek 3 2 3 4" xfId="19623"/>
    <cellStyle name="Nagłówek 3 2 3 5" xfId="19624"/>
    <cellStyle name="Nagłówek 3 2 3 6" xfId="19625"/>
    <cellStyle name="Nagłówek 3 2 3 7" xfId="19626"/>
    <cellStyle name="Nagłówek 3 2 30" xfId="19627"/>
    <cellStyle name="Nagłówek 3 2 30 2" xfId="19628"/>
    <cellStyle name="Nagłówek 3 2 31" xfId="19629"/>
    <cellStyle name="Nagłówek 3 2 31 2" xfId="19630"/>
    <cellStyle name="Nagłówek 3 2 32" xfId="19631"/>
    <cellStyle name="Nagłówek 3 2 32 2" xfId="19632"/>
    <cellStyle name="Nagłówek 3 2 33" xfId="19633"/>
    <cellStyle name="Nagłówek 3 2 34" xfId="19634"/>
    <cellStyle name="Nagłówek 3 2 35" xfId="19635"/>
    <cellStyle name="Nagłówek 3 2 36" xfId="19636"/>
    <cellStyle name="Nagłówek 3 2 37" xfId="19637"/>
    <cellStyle name="Nagłówek 3 2 38" xfId="19638"/>
    <cellStyle name="Nagłówek 3 2 39" xfId="19639"/>
    <cellStyle name="Nagłówek 3 2 4" xfId="19640"/>
    <cellStyle name="Nagłówek 3 2 4 2" xfId="19641"/>
    <cellStyle name="Nagłówek 3 2 4 3" xfId="19642"/>
    <cellStyle name="Nagłówek 3 2 4 4" xfId="19643"/>
    <cellStyle name="Nagłówek 3 2 4 5" xfId="19644"/>
    <cellStyle name="Nagłówek 3 2 4 6" xfId="19645"/>
    <cellStyle name="Nagłówek 3 2 4 7" xfId="19646"/>
    <cellStyle name="Nagłówek 3 2 40" xfId="19647"/>
    <cellStyle name="Nagłówek 3 2 41" xfId="19648"/>
    <cellStyle name="Nagłówek 3 2 42" xfId="19649"/>
    <cellStyle name="Nagłówek 3 2 43" xfId="19650"/>
    <cellStyle name="Nagłówek 3 2 44" xfId="19651"/>
    <cellStyle name="Nagłówek 3 2 45" xfId="19652"/>
    <cellStyle name="Nagłówek 3 2 46" xfId="19653"/>
    <cellStyle name="Nagłówek 3 2 47" xfId="19654"/>
    <cellStyle name="Nagłówek 3 2 48" xfId="19655"/>
    <cellStyle name="Nagłówek 3 2 49" xfId="19656"/>
    <cellStyle name="Nagłówek 3 2 5" xfId="19657"/>
    <cellStyle name="Nagłówek 3 2 5 2" xfId="19658"/>
    <cellStyle name="Nagłówek 3 2 5 3" xfId="19659"/>
    <cellStyle name="Nagłówek 3 2 5 4" xfId="19660"/>
    <cellStyle name="Nagłówek 3 2 5 5" xfId="19661"/>
    <cellStyle name="Nagłówek 3 2 5 6" xfId="19662"/>
    <cellStyle name="Nagłówek 3 2 5 7" xfId="19663"/>
    <cellStyle name="Nagłówek 3 2 50" xfId="19664"/>
    <cellStyle name="Nagłówek 3 2 51" xfId="19665"/>
    <cellStyle name="Nagłówek 3 2 52" xfId="19666"/>
    <cellStyle name="Nagłówek 3 2 53" xfId="19667"/>
    <cellStyle name="Nagłówek 3 2 6" xfId="19668"/>
    <cellStyle name="Nagłówek 3 2 6 2" xfId="19669"/>
    <cellStyle name="Nagłówek 3 2 6 3" xfId="19670"/>
    <cellStyle name="Nagłówek 3 2 6 4" xfId="19671"/>
    <cellStyle name="Nagłówek 3 2 6 5" xfId="19672"/>
    <cellStyle name="Nagłówek 3 2 6 6" xfId="19673"/>
    <cellStyle name="Nagłówek 3 2 6 7" xfId="19674"/>
    <cellStyle name="Nagłówek 3 2 7" xfId="19675"/>
    <cellStyle name="Nagłówek 3 2 7 2" xfId="19676"/>
    <cellStyle name="Nagłówek 3 2 7 3" xfId="19677"/>
    <cellStyle name="Nagłówek 3 2 7 4" xfId="19678"/>
    <cellStyle name="Nagłówek 3 2 7 5" xfId="19679"/>
    <cellStyle name="Nagłówek 3 2 7 6" xfId="19680"/>
    <cellStyle name="Nagłówek 3 2 7 7" xfId="19681"/>
    <cellStyle name="Nagłówek 3 2 8" xfId="19682"/>
    <cellStyle name="Nagłówek 3 2 8 2" xfId="19683"/>
    <cellStyle name="Nagłówek 3 2 8 3" xfId="19684"/>
    <cellStyle name="Nagłówek 3 2 8 4" xfId="19685"/>
    <cellStyle name="Nagłówek 3 2 8 5" xfId="19686"/>
    <cellStyle name="Nagłówek 3 2 8 6" xfId="19687"/>
    <cellStyle name="Nagłówek 3 2 8 7" xfId="19688"/>
    <cellStyle name="Nagłówek 3 2 9" xfId="19689"/>
    <cellStyle name="Nagłówek 3 2 9 2" xfId="19690"/>
    <cellStyle name="Nagłówek 3 2 9 3" xfId="19691"/>
    <cellStyle name="Nagłówek 3 2 9 4" xfId="19692"/>
    <cellStyle name="Nagłówek 3 2 9 5" xfId="19693"/>
    <cellStyle name="Nagłówek 3 2 9 6" xfId="19694"/>
    <cellStyle name="Nagłówek 3 2 9 7" xfId="19695"/>
    <cellStyle name="Nagłówek 3 3" xfId="19696"/>
    <cellStyle name="Nagłówek 3 3 2" xfId="19697"/>
    <cellStyle name="Nagłówek 3 3 2 2" xfId="19698"/>
    <cellStyle name="Nagłówek 3 3 3" xfId="19699"/>
    <cellStyle name="Nagłówek 3 3 4" xfId="19700"/>
    <cellStyle name="Nagłówek 3 3 5" xfId="19701"/>
    <cellStyle name="Nagłówek 3 4" xfId="19702"/>
    <cellStyle name="Nagłówek 3 4 2" xfId="19703"/>
    <cellStyle name="Nagłówek 3 4 3" xfId="19704"/>
    <cellStyle name="Nagłówek 3 4 4" xfId="19705"/>
    <cellStyle name="Nagłówek 3 4 5" xfId="19706"/>
    <cellStyle name="Nagłówek 3 5" xfId="19707"/>
    <cellStyle name="Nagłówek 3 5 2" xfId="19708"/>
    <cellStyle name="Nagłówek 3 5 3" xfId="19709"/>
    <cellStyle name="Nagłówek 3 6" xfId="19710"/>
    <cellStyle name="Nagłówek 3 6 2" xfId="19711"/>
    <cellStyle name="Nagłówek 3 7" xfId="19712"/>
    <cellStyle name="Nagłówek 4 2" xfId="19713"/>
    <cellStyle name="Nagłówek 4 2 10" xfId="19714"/>
    <cellStyle name="Nagłówek 4 2 10 2" xfId="19715"/>
    <cellStyle name="Nagłówek 4 2 10 3" xfId="19716"/>
    <cellStyle name="Nagłówek 4 2 10 4" xfId="19717"/>
    <cellStyle name="Nagłówek 4 2 10 5" xfId="19718"/>
    <cellStyle name="Nagłówek 4 2 10 6" xfId="19719"/>
    <cellStyle name="Nagłówek 4 2 10 7" xfId="19720"/>
    <cellStyle name="Nagłówek 4 2 11" xfId="19721"/>
    <cellStyle name="Nagłówek 4 2 11 2" xfId="19722"/>
    <cellStyle name="Nagłówek 4 2 11 3" xfId="19723"/>
    <cellStyle name="Nagłówek 4 2 11 4" xfId="19724"/>
    <cellStyle name="Nagłówek 4 2 11 5" xfId="19725"/>
    <cellStyle name="Nagłówek 4 2 11 6" xfId="19726"/>
    <cellStyle name="Nagłówek 4 2 11 7" xfId="19727"/>
    <cellStyle name="Nagłówek 4 2 12" xfId="19728"/>
    <cellStyle name="Nagłówek 4 2 12 2" xfId="19729"/>
    <cellStyle name="Nagłówek 4 2 12 3" xfId="19730"/>
    <cellStyle name="Nagłówek 4 2 12 4" xfId="19731"/>
    <cellStyle name="Nagłówek 4 2 12 5" xfId="19732"/>
    <cellStyle name="Nagłówek 4 2 12 6" xfId="19733"/>
    <cellStyle name="Nagłówek 4 2 12 7" xfId="19734"/>
    <cellStyle name="Nagłówek 4 2 13" xfId="19735"/>
    <cellStyle name="Nagłówek 4 2 13 2" xfId="19736"/>
    <cellStyle name="Nagłówek 4 2 13 3" xfId="19737"/>
    <cellStyle name="Nagłówek 4 2 13 4" xfId="19738"/>
    <cellStyle name="Nagłówek 4 2 13 5" xfId="19739"/>
    <cellStyle name="Nagłówek 4 2 13 6" xfId="19740"/>
    <cellStyle name="Nagłówek 4 2 13 7" xfId="19741"/>
    <cellStyle name="Nagłówek 4 2 14" xfId="19742"/>
    <cellStyle name="Nagłówek 4 2 14 2" xfId="19743"/>
    <cellStyle name="Nagłówek 4 2 14 3" xfId="19744"/>
    <cellStyle name="Nagłówek 4 2 14 4" xfId="19745"/>
    <cellStyle name="Nagłówek 4 2 14 5" xfId="19746"/>
    <cellStyle name="Nagłówek 4 2 14 6" xfId="19747"/>
    <cellStyle name="Nagłówek 4 2 14 7" xfId="19748"/>
    <cellStyle name="Nagłówek 4 2 15" xfId="19749"/>
    <cellStyle name="Nagłówek 4 2 15 2" xfId="19750"/>
    <cellStyle name="Nagłówek 4 2 15 3" xfId="19751"/>
    <cellStyle name="Nagłówek 4 2 15 4" xfId="19752"/>
    <cellStyle name="Nagłówek 4 2 15 5" xfId="19753"/>
    <cellStyle name="Nagłówek 4 2 15 6" xfId="19754"/>
    <cellStyle name="Nagłówek 4 2 15 7" xfId="19755"/>
    <cellStyle name="Nagłówek 4 2 16" xfId="19756"/>
    <cellStyle name="Nagłówek 4 2 16 2" xfId="19757"/>
    <cellStyle name="Nagłówek 4 2 16 3" xfId="19758"/>
    <cellStyle name="Nagłówek 4 2 16 4" xfId="19759"/>
    <cellStyle name="Nagłówek 4 2 16 5" xfId="19760"/>
    <cellStyle name="Nagłówek 4 2 16 6" xfId="19761"/>
    <cellStyle name="Nagłówek 4 2 16 7" xfId="19762"/>
    <cellStyle name="Nagłówek 4 2 17" xfId="19763"/>
    <cellStyle name="Nagłówek 4 2 17 2" xfId="19764"/>
    <cellStyle name="Nagłówek 4 2 17 3" xfId="19765"/>
    <cellStyle name="Nagłówek 4 2 17 4" xfId="19766"/>
    <cellStyle name="Nagłówek 4 2 17 5" xfId="19767"/>
    <cellStyle name="Nagłówek 4 2 17 6" xfId="19768"/>
    <cellStyle name="Nagłówek 4 2 17 7" xfId="19769"/>
    <cellStyle name="Nagłówek 4 2 18" xfId="19770"/>
    <cellStyle name="Nagłówek 4 2 18 2" xfId="19771"/>
    <cellStyle name="Nagłówek 4 2 18 3" xfId="19772"/>
    <cellStyle name="Nagłówek 4 2 18 4" xfId="19773"/>
    <cellStyle name="Nagłówek 4 2 18 5" xfId="19774"/>
    <cellStyle name="Nagłówek 4 2 18 6" xfId="19775"/>
    <cellStyle name="Nagłówek 4 2 18 7" xfId="19776"/>
    <cellStyle name="Nagłówek 4 2 19" xfId="19777"/>
    <cellStyle name="Nagłówek 4 2 19 2" xfId="19778"/>
    <cellStyle name="Nagłówek 4 2 19 3" xfId="19779"/>
    <cellStyle name="Nagłówek 4 2 19 4" xfId="19780"/>
    <cellStyle name="Nagłówek 4 2 19 5" xfId="19781"/>
    <cellStyle name="Nagłówek 4 2 19 6" xfId="19782"/>
    <cellStyle name="Nagłówek 4 2 19 7" xfId="19783"/>
    <cellStyle name="Nagłówek 4 2 2" xfId="19784"/>
    <cellStyle name="Nagłówek 4 2 2 2" xfId="19785"/>
    <cellStyle name="Nagłówek 4 2 2 3" xfId="19786"/>
    <cellStyle name="Nagłówek 4 2 2 4" xfId="19787"/>
    <cellStyle name="Nagłówek 4 2 2 5" xfId="19788"/>
    <cellStyle name="Nagłówek 4 2 2 6" xfId="19789"/>
    <cellStyle name="Nagłówek 4 2 2 7" xfId="19790"/>
    <cellStyle name="Nagłówek 4 2 2 8" xfId="19791"/>
    <cellStyle name="Nagłówek 4 2 20" xfId="19792"/>
    <cellStyle name="Nagłówek 4 2 20 2" xfId="19793"/>
    <cellStyle name="Nagłówek 4 2 20 3" xfId="19794"/>
    <cellStyle name="Nagłówek 4 2 20 4" xfId="19795"/>
    <cellStyle name="Nagłówek 4 2 20 5" xfId="19796"/>
    <cellStyle name="Nagłówek 4 2 20 6" xfId="19797"/>
    <cellStyle name="Nagłówek 4 2 20 7" xfId="19798"/>
    <cellStyle name="Nagłówek 4 2 21" xfId="19799"/>
    <cellStyle name="Nagłówek 4 2 21 2" xfId="19800"/>
    <cellStyle name="Nagłówek 4 2 21 3" xfId="19801"/>
    <cellStyle name="Nagłówek 4 2 21 4" xfId="19802"/>
    <cellStyle name="Nagłówek 4 2 21 5" xfId="19803"/>
    <cellStyle name="Nagłówek 4 2 21 6" xfId="19804"/>
    <cellStyle name="Nagłówek 4 2 21 7" xfId="19805"/>
    <cellStyle name="Nagłówek 4 2 22" xfId="19806"/>
    <cellStyle name="Nagłówek 4 2 22 2" xfId="19807"/>
    <cellStyle name="Nagłówek 4 2 22 3" xfId="19808"/>
    <cellStyle name="Nagłówek 4 2 22 4" xfId="19809"/>
    <cellStyle name="Nagłówek 4 2 22 5" xfId="19810"/>
    <cellStyle name="Nagłówek 4 2 22 6" xfId="19811"/>
    <cellStyle name="Nagłówek 4 2 22 7" xfId="19812"/>
    <cellStyle name="Nagłówek 4 2 23" xfId="19813"/>
    <cellStyle name="Nagłówek 4 2 23 2" xfId="19814"/>
    <cellStyle name="Nagłówek 4 2 23 3" xfId="19815"/>
    <cellStyle name="Nagłówek 4 2 23 4" xfId="19816"/>
    <cellStyle name="Nagłówek 4 2 23 5" xfId="19817"/>
    <cellStyle name="Nagłówek 4 2 23 6" xfId="19818"/>
    <cellStyle name="Nagłówek 4 2 23 7" xfId="19819"/>
    <cellStyle name="Nagłówek 4 2 24" xfId="19820"/>
    <cellStyle name="Nagłówek 4 2 24 2" xfId="19821"/>
    <cellStyle name="Nagłówek 4 2 24 3" xfId="19822"/>
    <cellStyle name="Nagłówek 4 2 24 4" xfId="19823"/>
    <cellStyle name="Nagłówek 4 2 24 5" xfId="19824"/>
    <cellStyle name="Nagłówek 4 2 24 6" xfId="19825"/>
    <cellStyle name="Nagłówek 4 2 24 7" xfId="19826"/>
    <cellStyle name="Nagłówek 4 2 25" xfId="19827"/>
    <cellStyle name="Nagłówek 4 2 25 2" xfId="19828"/>
    <cellStyle name="Nagłówek 4 2 25 3" xfId="19829"/>
    <cellStyle name="Nagłówek 4 2 25 4" xfId="19830"/>
    <cellStyle name="Nagłówek 4 2 25 5" xfId="19831"/>
    <cellStyle name="Nagłówek 4 2 25 6" xfId="19832"/>
    <cellStyle name="Nagłówek 4 2 25 7" xfId="19833"/>
    <cellStyle name="Nagłówek 4 2 26" xfId="19834"/>
    <cellStyle name="Nagłówek 4 2 26 2" xfId="19835"/>
    <cellStyle name="Nagłówek 4 2 26 3" xfId="19836"/>
    <cellStyle name="Nagłówek 4 2 26 4" xfId="19837"/>
    <cellStyle name="Nagłówek 4 2 26 5" xfId="19838"/>
    <cellStyle name="Nagłówek 4 2 26 6" xfId="19839"/>
    <cellStyle name="Nagłówek 4 2 26 7" xfId="19840"/>
    <cellStyle name="Nagłówek 4 2 27" xfId="19841"/>
    <cellStyle name="Nagłówek 4 2 27 2" xfId="19842"/>
    <cellStyle name="Nagłówek 4 2 27 3" xfId="19843"/>
    <cellStyle name="Nagłówek 4 2 27 4" xfId="19844"/>
    <cellStyle name="Nagłówek 4 2 27 5" xfId="19845"/>
    <cellStyle name="Nagłówek 4 2 27 6" xfId="19846"/>
    <cellStyle name="Nagłówek 4 2 27 7" xfId="19847"/>
    <cellStyle name="Nagłówek 4 2 28" xfId="19848"/>
    <cellStyle name="Nagłówek 4 2 28 2" xfId="19849"/>
    <cellStyle name="Nagłówek 4 2 28 3" xfId="19850"/>
    <cellStyle name="Nagłówek 4 2 28 4" xfId="19851"/>
    <cellStyle name="Nagłówek 4 2 28 5" xfId="19852"/>
    <cellStyle name="Nagłówek 4 2 28 6" xfId="19853"/>
    <cellStyle name="Nagłówek 4 2 28 7" xfId="19854"/>
    <cellStyle name="Nagłówek 4 2 29" xfId="19855"/>
    <cellStyle name="Nagłówek 4 2 29 2" xfId="19856"/>
    <cellStyle name="Nagłówek 4 2 3" xfId="19857"/>
    <cellStyle name="Nagłówek 4 2 3 2" xfId="19858"/>
    <cellStyle name="Nagłówek 4 2 3 3" xfId="19859"/>
    <cellStyle name="Nagłówek 4 2 3 4" xfId="19860"/>
    <cellStyle name="Nagłówek 4 2 3 5" xfId="19861"/>
    <cellStyle name="Nagłówek 4 2 3 6" xfId="19862"/>
    <cellStyle name="Nagłówek 4 2 3 7" xfId="19863"/>
    <cellStyle name="Nagłówek 4 2 30" xfId="19864"/>
    <cellStyle name="Nagłówek 4 2 30 2" xfId="19865"/>
    <cellStyle name="Nagłówek 4 2 31" xfId="19866"/>
    <cellStyle name="Nagłówek 4 2 31 2" xfId="19867"/>
    <cellStyle name="Nagłówek 4 2 32" xfId="19868"/>
    <cellStyle name="Nagłówek 4 2 32 2" xfId="19869"/>
    <cellStyle name="Nagłówek 4 2 33" xfId="19870"/>
    <cellStyle name="Nagłówek 4 2 34" xfId="19871"/>
    <cellStyle name="Nagłówek 4 2 35" xfId="19872"/>
    <cellStyle name="Nagłówek 4 2 36" xfId="19873"/>
    <cellStyle name="Nagłówek 4 2 37" xfId="19874"/>
    <cellStyle name="Nagłówek 4 2 38" xfId="19875"/>
    <cellStyle name="Nagłówek 4 2 39" xfId="19876"/>
    <cellStyle name="Nagłówek 4 2 4" xfId="19877"/>
    <cellStyle name="Nagłówek 4 2 4 2" xfId="19878"/>
    <cellStyle name="Nagłówek 4 2 4 3" xfId="19879"/>
    <cellStyle name="Nagłówek 4 2 4 4" xfId="19880"/>
    <cellStyle name="Nagłówek 4 2 4 5" xfId="19881"/>
    <cellStyle name="Nagłówek 4 2 4 6" xfId="19882"/>
    <cellStyle name="Nagłówek 4 2 4 7" xfId="19883"/>
    <cellStyle name="Nagłówek 4 2 40" xfId="19884"/>
    <cellStyle name="Nagłówek 4 2 41" xfId="19885"/>
    <cellStyle name="Nagłówek 4 2 42" xfId="19886"/>
    <cellStyle name="Nagłówek 4 2 43" xfId="19887"/>
    <cellStyle name="Nagłówek 4 2 44" xfId="19888"/>
    <cellStyle name="Nagłówek 4 2 45" xfId="19889"/>
    <cellStyle name="Nagłówek 4 2 46" xfId="19890"/>
    <cellStyle name="Nagłówek 4 2 47" xfId="19891"/>
    <cellStyle name="Nagłówek 4 2 48" xfId="19892"/>
    <cellStyle name="Nagłówek 4 2 49" xfId="19893"/>
    <cellStyle name="Nagłówek 4 2 5" xfId="19894"/>
    <cellStyle name="Nagłówek 4 2 5 2" xfId="19895"/>
    <cellStyle name="Nagłówek 4 2 5 3" xfId="19896"/>
    <cellStyle name="Nagłówek 4 2 5 4" xfId="19897"/>
    <cellStyle name="Nagłówek 4 2 5 5" xfId="19898"/>
    <cellStyle name="Nagłówek 4 2 5 6" xfId="19899"/>
    <cellStyle name="Nagłówek 4 2 5 7" xfId="19900"/>
    <cellStyle name="Nagłówek 4 2 50" xfId="19901"/>
    <cellStyle name="Nagłówek 4 2 51" xfId="19902"/>
    <cellStyle name="Nagłówek 4 2 52" xfId="19903"/>
    <cellStyle name="Nagłówek 4 2 53" xfId="19904"/>
    <cellStyle name="Nagłówek 4 2 6" xfId="19905"/>
    <cellStyle name="Nagłówek 4 2 6 2" xfId="19906"/>
    <cellStyle name="Nagłówek 4 2 6 3" xfId="19907"/>
    <cellStyle name="Nagłówek 4 2 6 4" xfId="19908"/>
    <cellStyle name="Nagłówek 4 2 6 5" xfId="19909"/>
    <cellStyle name="Nagłówek 4 2 6 6" xfId="19910"/>
    <cellStyle name="Nagłówek 4 2 6 7" xfId="19911"/>
    <cellStyle name="Nagłówek 4 2 7" xfId="19912"/>
    <cellStyle name="Nagłówek 4 2 7 2" xfId="19913"/>
    <cellStyle name="Nagłówek 4 2 7 3" xfId="19914"/>
    <cellStyle name="Nagłówek 4 2 7 4" xfId="19915"/>
    <cellStyle name="Nagłówek 4 2 7 5" xfId="19916"/>
    <cellStyle name="Nagłówek 4 2 7 6" xfId="19917"/>
    <cellStyle name="Nagłówek 4 2 7 7" xfId="19918"/>
    <cellStyle name="Nagłówek 4 2 8" xfId="19919"/>
    <cellStyle name="Nagłówek 4 2 8 2" xfId="19920"/>
    <cellStyle name="Nagłówek 4 2 8 3" xfId="19921"/>
    <cellStyle name="Nagłówek 4 2 8 4" xfId="19922"/>
    <cellStyle name="Nagłówek 4 2 8 5" xfId="19923"/>
    <cellStyle name="Nagłówek 4 2 8 6" xfId="19924"/>
    <cellStyle name="Nagłówek 4 2 8 7" xfId="19925"/>
    <cellStyle name="Nagłówek 4 2 9" xfId="19926"/>
    <cellStyle name="Nagłówek 4 2 9 2" xfId="19927"/>
    <cellStyle name="Nagłówek 4 2 9 3" xfId="19928"/>
    <cellStyle name="Nagłówek 4 2 9 4" xfId="19929"/>
    <cellStyle name="Nagłówek 4 2 9 5" xfId="19930"/>
    <cellStyle name="Nagłówek 4 2 9 6" xfId="19931"/>
    <cellStyle name="Nagłówek 4 2 9 7" xfId="19932"/>
    <cellStyle name="Nagłówek 4 3" xfId="19933"/>
    <cellStyle name="Nagłówek 4 3 2" xfId="19934"/>
    <cellStyle name="Nagłówek 4 3 2 2" xfId="19935"/>
    <cellStyle name="Nagłówek 4 3 3" xfId="19936"/>
    <cellStyle name="Nagłówek 4 3 4" xfId="19937"/>
    <cellStyle name="Nagłówek 4 3 5" xfId="19938"/>
    <cellStyle name="Nagłówek 4 4" xfId="19939"/>
    <cellStyle name="Nagłówek 4 4 2" xfId="19940"/>
    <cellStyle name="Nagłówek 4 4 3" xfId="19941"/>
    <cellStyle name="Nagłówek 4 4 4" xfId="19942"/>
    <cellStyle name="Nagłówek 4 4 5" xfId="19943"/>
    <cellStyle name="Nagłówek 4 5" xfId="19944"/>
    <cellStyle name="Nagłówek 4 5 2" xfId="19945"/>
    <cellStyle name="Nagłówek 4 5 3" xfId="19946"/>
    <cellStyle name="Nagłówek 4 6" xfId="19947"/>
    <cellStyle name="Nagłówek 4 6 2" xfId="19948"/>
    <cellStyle name="Nagłówek 4 7" xfId="19949"/>
    <cellStyle name="Neutralne 2" xfId="19950"/>
    <cellStyle name="Neutralne 2 10" xfId="19951"/>
    <cellStyle name="Neutralne 2 10 2" xfId="19952"/>
    <cellStyle name="Neutralne 2 10 3" xfId="19953"/>
    <cellStyle name="Neutralne 2 10 4" xfId="19954"/>
    <cellStyle name="Neutralne 2 10 5" xfId="19955"/>
    <cellStyle name="Neutralne 2 10 6" xfId="19956"/>
    <cellStyle name="Neutralne 2 10 7" xfId="19957"/>
    <cellStyle name="Neutralne 2 11" xfId="19958"/>
    <cellStyle name="Neutralne 2 11 2" xfId="19959"/>
    <cellStyle name="Neutralne 2 11 3" xfId="19960"/>
    <cellStyle name="Neutralne 2 11 4" xfId="19961"/>
    <cellStyle name="Neutralne 2 11 5" xfId="19962"/>
    <cellStyle name="Neutralne 2 11 6" xfId="19963"/>
    <cellStyle name="Neutralne 2 11 7" xfId="19964"/>
    <cellStyle name="Neutralne 2 12" xfId="19965"/>
    <cellStyle name="Neutralne 2 12 2" xfId="19966"/>
    <cellStyle name="Neutralne 2 12 3" xfId="19967"/>
    <cellStyle name="Neutralne 2 12 4" xfId="19968"/>
    <cellStyle name="Neutralne 2 12 5" xfId="19969"/>
    <cellStyle name="Neutralne 2 12 6" xfId="19970"/>
    <cellStyle name="Neutralne 2 12 7" xfId="19971"/>
    <cellStyle name="Neutralne 2 13" xfId="19972"/>
    <cellStyle name="Neutralne 2 13 2" xfId="19973"/>
    <cellStyle name="Neutralne 2 13 3" xfId="19974"/>
    <cellStyle name="Neutralne 2 13 4" xfId="19975"/>
    <cellStyle name="Neutralne 2 13 5" xfId="19976"/>
    <cellStyle name="Neutralne 2 13 6" xfId="19977"/>
    <cellStyle name="Neutralne 2 13 7" xfId="19978"/>
    <cellStyle name="Neutralne 2 14" xfId="19979"/>
    <cellStyle name="Neutralne 2 14 2" xfId="19980"/>
    <cellStyle name="Neutralne 2 14 3" xfId="19981"/>
    <cellStyle name="Neutralne 2 14 4" xfId="19982"/>
    <cellStyle name="Neutralne 2 14 5" xfId="19983"/>
    <cellStyle name="Neutralne 2 14 6" xfId="19984"/>
    <cellStyle name="Neutralne 2 14 7" xfId="19985"/>
    <cellStyle name="Neutralne 2 15" xfId="19986"/>
    <cellStyle name="Neutralne 2 15 2" xfId="19987"/>
    <cellStyle name="Neutralne 2 15 3" xfId="19988"/>
    <cellStyle name="Neutralne 2 15 4" xfId="19989"/>
    <cellStyle name="Neutralne 2 15 5" xfId="19990"/>
    <cellStyle name="Neutralne 2 15 6" xfId="19991"/>
    <cellStyle name="Neutralne 2 15 7" xfId="19992"/>
    <cellStyle name="Neutralne 2 16" xfId="19993"/>
    <cellStyle name="Neutralne 2 16 2" xfId="19994"/>
    <cellStyle name="Neutralne 2 16 3" xfId="19995"/>
    <cellStyle name="Neutralne 2 16 4" xfId="19996"/>
    <cellStyle name="Neutralne 2 16 5" xfId="19997"/>
    <cellStyle name="Neutralne 2 16 6" xfId="19998"/>
    <cellStyle name="Neutralne 2 16 7" xfId="19999"/>
    <cellStyle name="Neutralne 2 17" xfId="20000"/>
    <cellStyle name="Neutralne 2 17 2" xfId="20001"/>
    <cellStyle name="Neutralne 2 17 3" xfId="20002"/>
    <cellStyle name="Neutralne 2 17 4" xfId="20003"/>
    <cellStyle name="Neutralne 2 17 5" xfId="20004"/>
    <cellStyle name="Neutralne 2 17 6" xfId="20005"/>
    <cellStyle name="Neutralne 2 17 7" xfId="20006"/>
    <cellStyle name="Neutralne 2 18" xfId="20007"/>
    <cellStyle name="Neutralne 2 18 2" xfId="20008"/>
    <cellStyle name="Neutralne 2 18 3" xfId="20009"/>
    <cellStyle name="Neutralne 2 18 4" xfId="20010"/>
    <cellStyle name="Neutralne 2 18 5" xfId="20011"/>
    <cellStyle name="Neutralne 2 18 6" xfId="20012"/>
    <cellStyle name="Neutralne 2 18 7" xfId="20013"/>
    <cellStyle name="Neutralne 2 19" xfId="20014"/>
    <cellStyle name="Neutralne 2 19 2" xfId="20015"/>
    <cellStyle name="Neutralne 2 19 3" xfId="20016"/>
    <cellStyle name="Neutralne 2 19 4" xfId="20017"/>
    <cellStyle name="Neutralne 2 19 5" xfId="20018"/>
    <cellStyle name="Neutralne 2 19 6" xfId="20019"/>
    <cellStyle name="Neutralne 2 19 7" xfId="20020"/>
    <cellStyle name="Neutralne 2 2" xfId="20021"/>
    <cellStyle name="Neutralne 2 2 2" xfId="20022"/>
    <cellStyle name="Neutralne 2 2 3" xfId="20023"/>
    <cellStyle name="Neutralne 2 2 4" xfId="20024"/>
    <cellStyle name="Neutralne 2 2 5" xfId="20025"/>
    <cellStyle name="Neutralne 2 2 6" xfId="20026"/>
    <cellStyle name="Neutralne 2 2 7" xfId="20027"/>
    <cellStyle name="Neutralne 2 2 8" xfId="20028"/>
    <cellStyle name="Neutralne 2 20" xfId="20029"/>
    <cellStyle name="Neutralne 2 20 2" xfId="20030"/>
    <cellStyle name="Neutralne 2 20 3" xfId="20031"/>
    <cellStyle name="Neutralne 2 20 4" xfId="20032"/>
    <cellStyle name="Neutralne 2 20 5" xfId="20033"/>
    <cellStyle name="Neutralne 2 20 6" xfId="20034"/>
    <cellStyle name="Neutralne 2 20 7" xfId="20035"/>
    <cellStyle name="Neutralne 2 21" xfId="20036"/>
    <cellStyle name="Neutralne 2 21 2" xfId="20037"/>
    <cellStyle name="Neutralne 2 21 3" xfId="20038"/>
    <cellStyle name="Neutralne 2 21 4" xfId="20039"/>
    <cellStyle name="Neutralne 2 21 5" xfId="20040"/>
    <cellStyle name="Neutralne 2 21 6" xfId="20041"/>
    <cellStyle name="Neutralne 2 21 7" xfId="20042"/>
    <cellStyle name="Neutralne 2 22" xfId="20043"/>
    <cellStyle name="Neutralne 2 22 2" xfId="20044"/>
    <cellStyle name="Neutralne 2 22 3" xfId="20045"/>
    <cellStyle name="Neutralne 2 22 4" xfId="20046"/>
    <cellStyle name="Neutralne 2 22 5" xfId="20047"/>
    <cellStyle name="Neutralne 2 22 6" xfId="20048"/>
    <cellStyle name="Neutralne 2 22 7" xfId="20049"/>
    <cellStyle name="Neutralne 2 23" xfId="20050"/>
    <cellStyle name="Neutralne 2 23 2" xfId="20051"/>
    <cellStyle name="Neutralne 2 23 3" xfId="20052"/>
    <cellStyle name="Neutralne 2 23 4" xfId="20053"/>
    <cellStyle name="Neutralne 2 23 5" xfId="20054"/>
    <cellStyle name="Neutralne 2 23 6" xfId="20055"/>
    <cellStyle name="Neutralne 2 23 7" xfId="20056"/>
    <cellStyle name="Neutralne 2 24" xfId="20057"/>
    <cellStyle name="Neutralne 2 24 2" xfId="20058"/>
    <cellStyle name="Neutralne 2 24 3" xfId="20059"/>
    <cellStyle name="Neutralne 2 24 4" xfId="20060"/>
    <cellStyle name="Neutralne 2 24 5" xfId="20061"/>
    <cellStyle name="Neutralne 2 24 6" xfId="20062"/>
    <cellStyle name="Neutralne 2 24 7" xfId="20063"/>
    <cellStyle name="Neutralne 2 25" xfId="20064"/>
    <cellStyle name="Neutralne 2 25 2" xfId="20065"/>
    <cellStyle name="Neutralne 2 25 3" xfId="20066"/>
    <cellStyle name="Neutralne 2 25 4" xfId="20067"/>
    <cellStyle name="Neutralne 2 25 5" xfId="20068"/>
    <cellStyle name="Neutralne 2 25 6" xfId="20069"/>
    <cellStyle name="Neutralne 2 25 7" xfId="20070"/>
    <cellStyle name="Neutralne 2 26" xfId="20071"/>
    <cellStyle name="Neutralne 2 26 2" xfId="20072"/>
    <cellStyle name="Neutralne 2 26 3" xfId="20073"/>
    <cellStyle name="Neutralne 2 26 4" xfId="20074"/>
    <cellStyle name="Neutralne 2 26 5" xfId="20075"/>
    <cellStyle name="Neutralne 2 26 6" xfId="20076"/>
    <cellStyle name="Neutralne 2 26 7" xfId="20077"/>
    <cellStyle name="Neutralne 2 27" xfId="20078"/>
    <cellStyle name="Neutralne 2 27 2" xfId="20079"/>
    <cellStyle name="Neutralne 2 27 3" xfId="20080"/>
    <cellStyle name="Neutralne 2 27 4" xfId="20081"/>
    <cellStyle name="Neutralne 2 27 5" xfId="20082"/>
    <cellStyle name="Neutralne 2 27 6" xfId="20083"/>
    <cellStyle name="Neutralne 2 27 7" xfId="20084"/>
    <cellStyle name="Neutralne 2 28" xfId="20085"/>
    <cellStyle name="Neutralne 2 28 2" xfId="20086"/>
    <cellStyle name="Neutralne 2 28 3" xfId="20087"/>
    <cellStyle name="Neutralne 2 28 4" xfId="20088"/>
    <cellStyle name="Neutralne 2 28 5" xfId="20089"/>
    <cellStyle name="Neutralne 2 28 6" xfId="20090"/>
    <cellStyle name="Neutralne 2 28 7" xfId="20091"/>
    <cellStyle name="Neutralne 2 29" xfId="20092"/>
    <cellStyle name="Neutralne 2 29 2" xfId="20093"/>
    <cellStyle name="Neutralne 2 3" xfId="20094"/>
    <cellStyle name="Neutralne 2 3 2" xfId="20095"/>
    <cellStyle name="Neutralne 2 3 3" xfId="20096"/>
    <cellStyle name="Neutralne 2 3 4" xfId="20097"/>
    <cellStyle name="Neutralne 2 3 5" xfId="20098"/>
    <cellStyle name="Neutralne 2 3 6" xfId="20099"/>
    <cellStyle name="Neutralne 2 3 7" xfId="20100"/>
    <cellStyle name="Neutralne 2 30" xfId="20101"/>
    <cellStyle name="Neutralne 2 30 2" xfId="20102"/>
    <cellStyle name="Neutralne 2 31" xfId="20103"/>
    <cellStyle name="Neutralne 2 31 2" xfId="20104"/>
    <cellStyle name="Neutralne 2 32" xfId="20105"/>
    <cellStyle name="Neutralne 2 32 2" xfId="20106"/>
    <cellStyle name="Neutralne 2 33" xfId="20107"/>
    <cellStyle name="Neutralne 2 34" xfId="20108"/>
    <cellStyle name="Neutralne 2 35" xfId="20109"/>
    <cellStyle name="Neutralne 2 36" xfId="20110"/>
    <cellStyle name="Neutralne 2 37" xfId="20111"/>
    <cellStyle name="Neutralne 2 38" xfId="20112"/>
    <cellStyle name="Neutralne 2 39" xfId="20113"/>
    <cellStyle name="Neutralne 2 4" xfId="20114"/>
    <cellStyle name="Neutralne 2 4 2" xfId="20115"/>
    <cellStyle name="Neutralne 2 4 3" xfId="20116"/>
    <cellStyle name="Neutralne 2 4 4" xfId="20117"/>
    <cellStyle name="Neutralne 2 4 5" xfId="20118"/>
    <cellStyle name="Neutralne 2 4 6" xfId="20119"/>
    <cellStyle name="Neutralne 2 4 7" xfId="20120"/>
    <cellStyle name="Neutralne 2 5" xfId="20121"/>
    <cellStyle name="Neutralne 2 5 2" xfId="20122"/>
    <cellStyle name="Neutralne 2 5 3" xfId="20123"/>
    <cellStyle name="Neutralne 2 5 4" xfId="20124"/>
    <cellStyle name="Neutralne 2 5 5" xfId="20125"/>
    <cellStyle name="Neutralne 2 5 6" xfId="20126"/>
    <cellStyle name="Neutralne 2 5 7" xfId="20127"/>
    <cellStyle name="Neutralne 2 6" xfId="20128"/>
    <cellStyle name="Neutralne 2 6 2" xfId="20129"/>
    <cellStyle name="Neutralne 2 6 3" xfId="20130"/>
    <cellStyle name="Neutralne 2 6 4" xfId="20131"/>
    <cellStyle name="Neutralne 2 6 5" xfId="20132"/>
    <cellStyle name="Neutralne 2 6 6" xfId="20133"/>
    <cellStyle name="Neutralne 2 6 7" xfId="20134"/>
    <cellStyle name="Neutralne 2 7" xfId="20135"/>
    <cellStyle name="Neutralne 2 7 2" xfId="20136"/>
    <cellStyle name="Neutralne 2 7 3" xfId="20137"/>
    <cellStyle name="Neutralne 2 7 4" xfId="20138"/>
    <cellStyle name="Neutralne 2 7 5" xfId="20139"/>
    <cellStyle name="Neutralne 2 7 6" xfId="20140"/>
    <cellStyle name="Neutralne 2 7 7" xfId="20141"/>
    <cellStyle name="Neutralne 2 8" xfId="20142"/>
    <cellStyle name="Neutralne 2 8 2" xfId="20143"/>
    <cellStyle name="Neutralne 2 8 3" xfId="20144"/>
    <cellStyle name="Neutralne 2 8 4" xfId="20145"/>
    <cellStyle name="Neutralne 2 8 5" xfId="20146"/>
    <cellStyle name="Neutralne 2 8 6" xfId="20147"/>
    <cellStyle name="Neutralne 2 8 7" xfId="20148"/>
    <cellStyle name="Neutralne 2 9" xfId="20149"/>
    <cellStyle name="Neutralne 2 9 2" xfId="20150"/>
    <cellStyle name="Neutralne 2 9 3" xfId="20151"/>
    <cellStyle name="Neutralne 2 9 4" xfId="20152"/>
    <cellStyle name="Neutralne 2 9 5" xfId="20153"/>
    <cellStyle name="Neutralne 2 9 6" xfId="20154"/>
    <cellStyle name="Neutralne 2 9 7" xfId="20155"/>
    <cellStyle name="Neutralne 3" xfId="20156"/>
    <cellStyle name="Neutralne 3 2" xfId="20157"/>
    <cellStyle name="Neutralne 3 2 2" xfId="20158"/>
    <cellStyle name="Neutralne 3 3" xfId="20159"/>
    <cellStyle name="Neutralne 3 4" xfId="20160"/>
    <cellStyle name="Neutralne 3 5" xfId="20161"/>
    <cellStyle name="Neutralne 3 6" xfId="20162"/>
    <cellStyle name="Neutralne 3 7" xfId="20163"/>
    <cellStyle name="Neutralne 3 8" xfId="20164"/>
    <cellStyle name="Neutralne 3 9" xfId="20165"/>
    <cellStyle name="Neutralne 4" xfId="20166"/>
    <cellStyle name="Neutralne 4 2" xfId="20167"/>
    <cellStyle name="Neutralne 4 3" xfId="20168"/>
    <cellStyle name="Neutralne 4 4" xfId="20169"/>
    <cellStyle name="Neutralne 4 5" xfId="20170"/>
    <cellStyle name="Neutralne 4 6" xfId="20171"/>
    <cellStyle name="Neutralne 4 7" xfId="20172"/>
    <cellStyle name="Neutralne 4 8" xfId="20173"/>
    <cellStyle name="Neutralne 4 9" xfId="20174"/>
    <cellStyle name="Neutralne 5" xfId="20175"/>
    <cellStyle name="Neutralne 5 2" xfId="20176"/>
    <cellStyle name="Neutralne 5 3" xfId="20177"/>
    <cellStyle name="Neutralne 6" xfId="20178"/>
    <cellStyle name="Neutralne 6 2" xfId="20179"/>
    <cellStyle name="Neutralne 7" xfId="20180"/>
    <cellStyle name="Nor}al" xfId="20181"/>
    <cellStyle name="Normal - Style1" xfId="20182"/>
    <cellStyle name="Normal 2" xfId="20183"/>
    <cellStyle name="Normal 3" xfId="20184"/>
    <cellStyle name="Normal 4" xfId="18"/>
    <cellStyle name="Normal_bilans_kardia" xfId="20185"/>
    <cellStyle name="Normál_cb-fr" xfId="20186"/>
    <cellStyle name="Normal_CC_SM_B" xfId="20187"/>
    <cellStyle name="Normale_INDIA_Allegato3" xfId="20188"/>
    <cellStyle name="normální_Kopie - Kalos_DD­_3" xfId="20189"/>
    <cellStyle name="Normalny" xfId="0" builtinId="0"/>
    <cellStyle name="Normalny 10" xfId="20190"/>
    <cellStyle name="Normalny 10 10" xfId="20191"/>
    <cellStyle name="Normalny 10 10 2" xfId="20192"/>
    <cellStyle name="Normalny 10 11" xfId="20193"/>
    <cellStyle name="Normalny 10 11 2" xfId="20194"/>
    <cellStyle name="Normalny 10 12" xfId="20195"/>
    <cellStyle name="Normalny 10 12 2" xfId="20196"/>
    <cellStyle name="Normalny 10 13" xfId="20197"/>
    <cellStyle name="Normalny 10 13 2" xfId="20198"/>
    <cellStyle name="Normalny 10 14" xfId="20199"/>
    <cellStyle name="Normalny 10 14 2" xfId="20200"/>
    <cellStyle name="Normalny 10 15" xfId="20201"/>
    <cellStyle name="Normalny 10 15 2" xfId="20202"/>
    <cellStyle name="Normalny 10 16" xfId="20203"/>
    <cellStyle name="Normalny 10 16 2" xfId="20204"/>
    <cellStyle name="Normalny 10 17" xfId="20205"/>
    <cellStyle name="Normalny 10 17 2" xfId="20206"/>
    <cellStyle name="Normalny 10 18" xfId="20207"/>
    <cellStyle name="Normalny 10 18 2" xfId="20208"/>
    <cellStyle name="Normalny 10 19" xfId="20209"/>
    <cellStyle name="Normalny 10 19 2" xfId="20210"/>
    <cellStyle name="Normalny 10 2" xfId="20211"/>
    <cellStyle name="Normalny 10 2 2" xfId="20212"/>
    <cellStyle name="Normalny 10 2 3" xfId="20213"/>
    <cellStyle name="Normalny 10 2 4" xfId="20214"/>
    <cellStyle name="Normalny 10 20" xfId="20215"/>
    <cellStyle name="Normalny 10 20 2" xfId="20216"/>
    <cellStyle name="Normalny 10 21" xfId="20217"/>
    <cellStyle name="Normalny 10 21 2" xfId="20218"/>
    <cellStyle name="Normalny 10 22" xfId="20219"/>
    <cellStyle name="Normalny 10 22 2" xfId="20220"/>
    <cellStyle name="Normalny 10 23" xfId="20221"/>
    <cellStyle name="Normalny 10 23 2" xfId="20222"/>
    <cellStyle name="Normalny 10 24" xfId="20223"/>
    <cellStyle name="Normalny 10 24 2" xfId="20224"/>
    <cellStyle name="Normalny 10 25" xfId="20225"/>
    <cellStyle name="Normalny 10 25 2" xfId="20226"/>
    <cellStyle name="Normalny 10 26" xfId="20227"/>
    <cellStyle name="Normalny 10 26 2" xfId="20228"/>
    <cellStyle name="Normalny 10 27" xfId="20229"/>
    <cellStyle name="Normalny 10 27 2" xfId="20230"/>
    <cellStyle name="Normalny 10 28" xfId="20231"/>
    <cellStyle name="Normalny 10 29" xfId="20232"/>
    <cellStyle name="Normalny 10 3" xfId="20233"/>
    <cellStyle name="Normalny 10 3 2" xfId="20234"/>
    <cellStyle name="Normalny 10 3 3" xfId="20235"/>
    <cellStyle name="Normalny 10 3 4" xfId="20236"/>
    <cellStyle name="Normalny 10 30" xfId="20237"/>
    <cellStyle name="Normalny 10 31" xfId="20238"/>
    <cellStyle name="Normalny 10 32" xfId="20239"/>
    <cellStyle name="Normalny 10 33" xfId="20240"/>
    <cellStyle name="Normalny 10 34" xfId="20241"/>
    <cellStyle name="Normalny 10 35" xfId="20242"/>
    <cellStyle name="Normalny 10 36" xfId="20243"/>
    <cellStyle name="Normalny 10 37" xfId="20244"/>
    <cellStyle name="Normalny 10 38" xfId="20245"/>
    <cellStyle name="Normalny 10 39" xfId="20246"/>
    <cellStyle name="Normalny 10 4" xfId="20247"/>
    <cellStyle name="Normalny 10 4 2" xfId="20248"/>
    <cellStyle name="Normalny 10 4 3" xfId="20249"/>
    <cellStyle name="Normalny 10 40" xfId="20250"/>
    <cellStyle name="Normalny 10 41" xfId="20251"/>
    <cellStyle name="Normalny 10 42" xfId="20252"/>
    <cellStyle name="Normalny 10 43" xfId="20253"/>
    <cellStyle name="Normalny 10 44" xfId="20254"/>
    <cellStyle name="Normalny 10 45" xfId="20255"/>
    <cellStyle name="Normalny 10 46" xfId="20256"/>
    <cellStyle name="Normalny 10 47" xfId="20257"/>
    <cellStyle name="Normalny 10 48" xfId="20258"/>
    <cellStyle name="Normalny 10 49" xfId="20259"/>
    <cellStyle name="Normalny 10 5" xfId="20260"/>
    <cellStyle name="Normalny 10 5 2" xfId="20261"/>
    <cellStyle name="Normalny 10 5 3" xfId="20262"/>
    <cellStyle name="Normalny 10 50" xfId="20263"/>
    <cellStyle name="Normalny 10 51" xfId="20264"/>
    <cellStyle name="Normalny 10 52" xfId="20265"/>
    <cellStyle name="Normalny 10 53" xfId="20266"/>
    <cellStyle name="Normalny 10 54" xfId="20267"/>
    <cellStyle name="Normalny 10 55" xfId="20268"/>
    <cellStyle name="Normalny 10 56" xfId="20269"/>
    <cellStyle name="Normalny 10 57" xfId="20270"/>
    <cellStyle name="Normalny 10 58" xfId="20271"/>
    <cellStyle name="Normalny 10 59" xfId="20272"/>
    <cellStyle name="Normalny 10 6" xfId="20273"/>
    <cellStyle name="Normalny 10 6 2" xfId="20274"/>
    <cellStyle name="Normalny 10 60" xfId="20275"/>
    <cellStyle name="Normalny 10 61" xfId="20276"/>
    <cellStyle name="Normalny 10 62" xfId="20277"/>
    <cellStyle name="Normalny 10 63" xfId="20278"/>
    <cellStyle name="Normalny 10 64" xfId="20279"/>
    <cellStyle name="Normalny 10 65" xfId="20280"/>
    <cellStyle name="Normalny 10 66" xfId="20281"/>
    <cellStyle name="Normalny 10 67" xfId="20282"/>
    <cellStyle name="Normalny 10 68" xfId="20283"/>
    <cellStyle name="Normalny 10 69" xfId="20284"/>
    <cellStyle name="Normalny 10 7" xfId="20285"/>
    <cellStyle name="Normalny 10 7 2" xfId="20286"/>
    <cellStyle name="Normalny 10 70" xfId="20287"/>
    <cellStyle name="Normalny 10 71" xfId="20288"/>
    <cellStyle name="Normalny 10 72" xfId="20289"/>
    <cellStyle name="Normalny 10 73" xfId="20290"/>
    <cellStyle name="Normalny 10 74" xfId="20291"/>
    <cellStyle name="Normalny 10 75" xfId="20292"/>
    <cellStyle name="Normalny 10 8" xfId="20293"/>
    <cellStyle name="Normalny 10 8 2" xfId="20294"/>
    <cellStyle name="Normalny 10 9" xfId="20295"/>
    <cellStyle name="Normalny 10 9 2" xfId="20296"/>
    <cellStyle name="Normalny 100" xfId="20297"/>
    <cellStyle name="Normalny 100 2" xfId="20298"/>
    <cellStyle name="Normalny 101" xfId="20299"/>
    <cellStyle name="Normalny 101 2" xfId="20300"/>
    <cellStyle name="Normalny 102" xfId="20301"/>
    <cellStyle name="Normalny 102 2" xfId="20302"/>
    <cellStyle name="Normalny 103" xfId="20303"/>
    <cellStyle name="Normalny 103 2" xfId="20304"/>
    <cellStyle name="Normalny 104" xfId="20305"/>
    <cellStyle name="Normalny 104 2" xfId="20306"/>
    <cellStyle name="Normalny 105" xfId="20307"/>
    <cellStyle name="Normalny 105 2" xfId="20308"/>
    <cellStyle name="Normalny 106" xfId="20309"/>
    <cellStyle name="Normalny 106 2" xfId="20310"/>
    <cellStyle name="Normalny 107" xfId="20311"/>
    <cellStyle name="Normalny 107 2" xfId="20312"/>
    <cellStyle name="Normalny 108" xfId="20313"/>
    <cellStyle name="Normalny 108 2" xfId="20314"/>
    <cellStyle name="Normalny 109" xfId="20315"/>
    <cellStyle name="Normalny 109 2" xfId="20316"/>
    <cellStyle name="Normalny 11" xfId="20317"/>
    <cellStyle name="Normalny 11 2" xfId="20318"/>
    <cellStyle name="Normalny 11 2 2" xfId="20319"/>
    <cellStyle name="Normalny 11 2 3" xfId="20320"/>
    <cellStyle name="Normalny 11 3" xfId="20321"/>
    <cellStyle name="Normalny 11 3 2" xfId="20322"/>
    <cellStyle name="Normalny 11 4" xfId="20323"/>
    <cellStyle name="Normalny 11 5" xfId="20324"/>
    <cellStyle name="Normalny 110" xfId="20325"/>
    <cellStyle name="Normalny 110 2" xfId="20326"/>
    <cellStyle name="Normalny 111" xfId="20327"/>
    <cellStyle name="Normalny 111 2" xfId="20328"/>
    <cellStyle name="Normalny 112" xfId="20329"/>
    <cellStyle name="Normalny 112 2" xfId="20330"/>
    <cellStyle name="Normalny 113" xfId="20331"/>
    <cellStyle name="Normalny 113 2" xfId="20332"/>
    <cellStyle name="Normalny 114" xfId="20333"/>
    <cellStyle name="Normalny 114 2" xfId="20334"/>
    <cellStyle name="Normalny 115" xfId="20335"/>
    <cellStyle name="Normalny 115 2" xfId="20336"/>
    <cellStyle name="Normalny 116" xfId="20337"/>
    <cellStyle name="Normalny 116 2" xfId="20338"/>
    <cellStyle name="Normalny 117" xfId="20339"/>
    <cellStyle name="Normalny 117 2" xfId="20340"/>
    <cellStyle name="Normalny 118" xfId="20341"/>
    <cellStyle name="Normalny 118 2" xfId="20342"/>
    <cellStyle name="Normalny 119" xfId="20343"/>
    <cellStyle name="Normalny 119 2" xfId="20344"/>
    <cellStyle name="Normalny 12" xfId="20345"/>
    <cellStyle name="Normalny 12 10" xfId="20346"/>
    <cellStyle name="Normalny 12 10 2" xfId="20347"/>
    <cellStyle name="Normalny 12 11" xfId="20348"/>
    <cellStyle name="Normalny 12 11 2" xfId="20349"/>
    <cellStyle name="Normalny 12 12" xfId="20350"/>
    <cellStyle name="Normalny 12 12 2" xfId="20351"/>
    <cellStyle name="Normalny 12 13" xfId="20352"/>
    <cellStyle name="Normalny 12 13 2" xfId="20353"/>
    <cellStyle name="Normalny 12 14" xfId="20354"/>
    <cellStyle name="Normalny 12 14 2" xfId="20355"/>
    <cellStyle name="Normalny 12 15" xfId="20356"/>
    <cellStyle name="Normalny 12 15 2" xfId="20357"/>
    <cellStyle name="Normalny 12 16" xfId="20358"/>
    <cellStyle name="Normalny 12 16 2" xfId="20359"/>
    <cellStyle name="Normalny 12 17" xfId="20360"/>
    <cellStyle name="Normalny 12 17 2" xfId="20361"/>
    <cellStyle name="Normalny 12 18" xfId="20362"/>
    <cellStyle name="Normalny 12 18 2" xfId="20363"/>
    <cellStyle name="Normalny 12 19" xfId="20364"/>
    <cellStyle name="Normalny 12 19 2" xfId="20365"/>
    <cellStyle name="Normalny 12 2" xfId="20366"/>
    <cellStyle name="Normalny 12 2 2" xfId="20367"/>
    <cellStyle name="Normalny 12 2 3" xfId="20368"/>
    <cellStyle name="Normalny 12 2 4" xfId="20369"/>
    <cellStyle name="Normalny 12 20" xfId="20370"/>
    <cellStyle name="Normalny 12 20 2" xfId="20371"/>
    <cellStyle name="Normalny 12 21" xfId="20372"/>
    <cellStyle name="Normalny 12 21 2" xfId="20373"/>
    <cellStyle name="Normalny 12 22" xfId="20374"/>
    <cellStyle name="Normalny 12 22 2" xfId="20375"/>
    <cellStyle name="Normalny 12 23" xfId="20376"/>
    <cellStyle name="Normalny 12 23 2" xfId="20377"/>
    <cellStyle name="Normalny 12 24" xfId="20378"/>
    <cellStyle name="Normalny 12 24 2" xfId="20379"/>
    <cellStyle name="Normalny 12 25" xfId="20380"/>
    <cellStyle name="Normalny 12 25 2" xfId="20381"/>
    <cellStyle name="Normalny 12 26" xfId="20382"/>
    <cellStyle name="Normalny 12 26 2" xfId="20383"/>
    <cellStyle name="Normalny 12 27" xfId="20384"/>
    <cellStyle name="Normalny 12 27 2" xfId="20385"/>
    <cellStyle name="Normalny 12 28" xfId="20386"/>
    <cellStyle name="Normalny 12 29" xfId="20387"/>
    <cellStyle name="Normalny 12 3" xfId="20388"/>
    <cellStyle name="Normalny 12 3 2" xfId="20389"/>
    <cellStyle name="Normalny 12 3 3" xfId="20390"/>
    <cellStyle name="Normalny 12 30" xfId="20391"/>
    <cellStyle name="Normalny 12 31" xfId="20392"/>
    <cellStyle name="Normalny 12 32" xfId="20393"/>
    <cellStyle name="Normalny 12 33" xfId="20394"/>
    <cellStyle name="Normalny 12 34" xfId="20395"/>
    <cellStyle name="Normalny 12 35" xfId="20396"/>
    <cellStyle name="Normalny 12 36" xfId="20397"/>
    <cellStyle name="Normalny 12 37" xfId="20398"/>
    <cellStyle name="Normalny 12 38" xfId="20399"/>
    <cellStyle name="Normalny 12 39" xfId="20400"/>
    <cellStyle name="Normalny 12 4" xfId="20401"/>
    <cellStyle name="Normalny 12 4 2" xfId="20402"/>
    <cellStyle name="Normalny 12 4 3" xfId="20403"/>
    <cellStyle name="Normalny 12 40" xfId="20404"/>
    <cellStyle name="Normalny 12 41" xfId="20405"/>
    <cellStyle name="Normalny 12 42" xfId="20406"/>
    <cellStyle name="Normalny 12 43" xfId="20407"/>
    <cellStyle name="Normalny 12 44" xfId="20408"/>
    <cellStyle name="Normalny 12 45" xfId="20409"/>
    <cellStyle name="Normalny 12 46" xfId="20410"/>
    <cellStyle name="Normalny 12 47" xfId="20411"/>
    <cellStyle name="Normalny 12 48" xfId="20412"/>
    <cellStyle name="Normalny 12 49" xfId="20413"/>
    <cellStyle name="Normalny 12 5" xfId="20414"/>
    <cellStyle name="Normalny 12 5 2" xfId="20415"/>
    <cellStyle name="Normalny 12 5 3" xfId="20416"/>
    <cellStyle name="Normalny 12 50" xfId="20417"/>
    <cellStyle name="Normalny 12 51" xfId="20418"/>
    <cellStyle name="Normalny 12 52" xfId="20419"/>
    <cellStyle name="Normalny 12 53" xfId="20420"/>
    <cellStyle name="Normalny 12 54" xfId="20421"/>
    <cellStyle name="Normalny 12 55" xfId="20422"/>
    <cellStyle name="Normalny 12 56" xfId="20423"/>
    <cellStyle name="Normalny 12 57" xfId="20424"/>
    <cellStyle name="Normalny 12 58" xfId="20425"/>
    <cellStyle name="Normalny 12 59" xfId="20426"/>
    <cellStyle name="Normalny 12 6" xfId="20427"/>
    <cellStyle name="Normalny 12 6 2" xfId="20428"/>
    <cellStyle name="Normalny 12 60" xfId="20429"/>
    <cellStyle name="Normalny 12 61" xfId="20430"/>
    <cellStyle name="Normalny 12 62" xfId="20431"/>
    <cellStyle name="Normalny 12 63" xfId="20432"/>
    <cellStyle name="Normalny 12 64" xfId="20433"/>
    <cellStyle name="Normalny 12 65" xfId="20434"/>
    <cellStyle name="Normalny 12 66" xfId="20435"/>
    <cellStyle name="Normalny 12 67" xfId="20436"/>
    <cellStyle name="Normalny 12 68" xfId="20437"/>
    <cellStyle name="Normalny 12 69" xfId="20438"/>
    <cellStyle name="Normalny 12 7" xfId="20439"/>
    <cellStyle name="Normalny 12 7 2" xfId="20440"/>
    <cellStyle name="Normalny 12 70" xfId="20441"/>
    <cellStyle name="Normalny 12 71" xfId="20442"/>
    <cellStyle name="Normalny 12 72" xfId="20443"/>
    <cellStyle name="Normalny 12 73" xfId="20444"/>
    <cellStyle name="Normalny 12 74" xfId="20445"/>
    <cellStyle name="Normalny 12 75" xfId="20446"/>
    <cellStyle name="Normalny 12 8" xfId="20447"/>
    <cellStyle name="Normalny 12 8 2" xfId="20448"/>
    <cellStyle name="Normalny 12 9" xfId="20449"/>
    <cellStyle name="Normalny 12 9 2" xfId="20450"/>
    <cellStyle name="Normalny 120" xfId="20451"/>
    <cellStyle name="Normalny 120 2" xfId="20452"/>
    <cellStyle name="Normalny 121" xfId="20453"/>
    <cellStyle name="Normalny 121 2" xfId="20454"/>
    <cellStyle name="Normalny 121 2 2" xfId="20455"/>
    <cellStyle name="Normalny 122" xfId="20456"/>
    <cellStyle name="Normalny 122 2" xfId="20457"/>
    <cellStyle name="Normalny 123" xfId="16"/>
    <cellStyle name="Normalny 123 2" xfId="20458"/>
    <cellStyle name="Normalny 123 3" xfId="42849"/>
    <cellStyle name="Normalny 124" xfId="11"/>
    <cellStyle name="Normalny 125" xfId="20459"/>
    <cellStyle name="Normalny 126" xfId="12"/>
    <cellStyle name="Normalny 127" xfId="14"/>
    <cellStyle name="Normalny 128" xfId="20460"/>
    <cellStyle name="Normalny 129" xfId="20461"/>
    <cellStyle name="Normalny 13" xfId="20462"/>
    <cellStyle name="Normalny 13 2" xfId="20463"/>
    <cellStyle name="Normalny 13 2 2" xfId="20464"/>
    <cellStyle name="Normalny 13 2 3" xfId="20465"/>
    <cellStyle name="Normalny 13 3" xfId="20466"/>
    <cellStyle name="Normalny 13 3 2" xfId="20467"/>
    <cellStyle name="Normalny 13 4" xfId="20468"/>
    <cellStyle name="Normalny 130" xfId="20469"/>
    <cellStyle name="Normalny 131" xfId="20470"/>
    <cellStyle name="Normalny 132" xfId="20471"/>
    <cellStyle name="Normalny 133" xfId="20472"/>
    <cellStyle name="Normalny 134" xfId="42845"/>
    <cellStyle name="Normalny 135" xfId="42848"/>
    <cellStyle name="Normalny 136" xfId="9"/>
    <cellStyle name="Normalny 14" xfId="20473"/>
    <cellStyle name="Normalny 14 2" xfId="20474"/>
    <cellStyle name="Normalny 14 2 2" xfId="20475"/>
    <cellStyle name="Normalny 14 3" xfId="20476"/>
    <cellStyle name="Normalny 14 4" xfId="20477"/>
    <cellStyle name="Normalny 14 5" xfId="20478"/>
    <cellStyle name="Normalny 15" xfId="20479"/>
    <cellStyle name="Normalny 15 2" xfId="20480"/>
    <cellStyle name="Normalny 15 2 2" xfId="20481"/>
    <cellStyle name="Normalny 15 2 3" xfId="20482"/>
    <cellStyle name="Normalny 15 3" xfId="20483"/>
    <cellStyle name="Normalny 15 4" xfId="20484"/>
    <cellStyle name="Normalny 15 5" xfId="20485"/>
    <cellStyle name="Normalny 15 6" xfId="20486"/>
    <cellStyle name="Normalny 16" xfId="20487"/>
    <cellStyle name="Normalny 16 2" xfId="20488"/>
    <cellStyle name="Normalny 16 2 2" xfId="20489"/>
    <cellStyle name="Normalny 16 3" xfId="20490"/>
    <cellStyle name="Normalny 16 4" xfId="20491"/>
    <cellStyle name="Normalny 16 5" xfId="20492"/>
    <cellStyle name="Normalny 17" xfId="15"/>
    <cellStyle name="Normalny 17 2" xfId="20493"/>
    <cellStyle name="Normalny 17 3" xfId="20494"/>
    <cellStyle name="Normalny 17 4" xfId="20495"/>
    <cellStyle name="Normalny 17 5" xfId="20496"/>
    <cellStyle name="Normalny 18" xfId="20497"/>
    <cellStyle name="Normalny 18 2" xfId="20498"/>
    <cellStyle name="Normalny 18 3" xfId="20499"/>
    <cellStyle name="Normalny 18 4" xfId="20500"/>
    <cellStyle name="Normalny 19" xfId="20501"/>
    <cellStyle name="Normalny 19 2" xfId="20502"/>
    <cellStyle name="Normalny 19 2 2" xfId="20503"/>
    <cellStyle name="Normalny 19 2 3" xfId="20504"/>
    <cellStyle name="Normalny 19 3" xfId="20505"/>
    <cellStyle name="Normalny 19 4" xfId="20506"/>
    <cellStyle name="Normalny 19 5" xfId="20507"/>
    <cellStyle name="Normalny 2" xfId="3"/>
    <cellStyle name="Normalny 2 10" xfId="20509"/>
    <cellStyle name="Normalny 2 10 2" xfId="20510"/>
    <cellStyle name="Normalny 2 10 3" xfId="20511"/>
    <cellStyle name="Normalny 2 10 4" xfId="20512"/>
    <cellStyle name="Normalny 2 10 5" xfId="20513"/>
    <cellStyle name="Normalny 2 11" xfId="20514"/>
    <cellStyle name="Normalny 2 11 2" xfId="20515"/>
    <cellStyle name="Normalny 2 11 3" xfId="20516"/>
    <cellStyle name="Normalny 2 11 4" xfId="20517"/>
    <cellStyle name="Normalny 2 12" xfId="20518"/>
    <cellStyle name="Normalny 2 12 2" xfId="20519"/>
    <cellStyle name="Normalny 2 12 3" xfId="20520"/>
    <cellStyle name="Normalny 2 12 4" xfId="20521"/>
    <cellStyle name="Normalny 2 13" xfId="20522"/>
    <cellStyle name="Normalny 2 13 2" xfId="20523"/>
    <cellStyle name="Normalny 2 13 3" xfId="20524"/>
    <cellStyle name="Normalny 2 14" xfId="20525"/>
    <cellStyle name="Normalny 2 14 2" xfId="20526"/>
    <cellStyle name="Normalny 2 14 3" xfId="20527"/>
    <cellStyle name="Normalny 2 15" xfId="20528"/>
    <cellStyle name="Normalny 2 15 2" xfId="20529"/>
    <cellStyle name="Normalny 2 15 3" xfId="20530"/>
    <cellStyle name="Normalny 2 16" xfId="20531"/>
    <cellStyle name="Normalny 2 16 2" xfId="20532"/>
    <cellStyle name="Normalny 2 16 3" xfId="20533"/>
    <cellStyle name="Normalny 2 17" xfId="20534"/>
    <cellStyle name="Normalny 2 17 2" xfId="20535"/>
    <cellStyle name="Normalny 2 17 3" xfId="20536"/>
    <cellStyle name="Normalny 2 18" xfId="20537"/>
    <cellStyle name="Normalny 2 18 2" xfId="20538"/>
    <cellStyle name="Normalny 2 18 3" xfId="20539"/>
    <cellStyle name="Normalny 2 19" xfId="20540"/>
    <cellStyle name="Normalny 2 19 2" xfId="20541"/>
    <cellStyle name="Normalny 2 19 3" xfId="20542"/>
    <cellStyle name="Normalny 2 2" xfId="20543"/>
    <cellStyle name="Normalny 2 2 10" xfId="20544"/>
    <cellStyle name="Normalny 2 2 10 2" xfId="20545"/>
    <cellStyle name="Normalny 2 2 11" xfId="20546"/>
    <cellStyle name="Normalny 2 2 11 2" xfId="20547"/>
    <cellStyle name="Normalny 2 2 12" xfId="20548"/>
    <cellStyle name="Normalny 2 2 13" xfId="20549"/>
    <cellStyle name="Normalny 2 2 14" xfId="20550"/>
    <cellStyle name="Normalny 2 2 15" xfId="20551"/>
    <cellStyle name="Normalny 2 2 16" xfId="20552"/>
    <cellStyle name="Normalny 2 2 17" xfId="20553"/>
    <cellStyle name="Normalny 2 2 18" xfId="20554"/>
    <cellStyle name="Normalny 2 2 19" xfId="20555"/>
    <cellStyle name="Normalny 2 2 2" xfId="20556"/>
    <cellStyle name="Normalny 2 2 2 2" xfId="20557"/>
    <cellStyle name="Normalny 2 2 2 2 2" xfId="20558"/>
    <cellStyle name="Normalny 2 2 2 3" xfId="20559"/>
    <cellStyle name="Normalny 2 2 2 3 2" xfId="20560"/>
    <cellStyle name="Normalny 2 2 2 3 3" xfId="20561"/>
    <cellStyle name="Normalny 2 2 2 4" xfId="20562"/>
    <cellStyle name="Normalny 2 2 3" xfId="4"/>
    <cellStyle name="Normalny 2 2 3 2" xfId="20564"/>
    <cellStyle name="Normalny 2 2 3 2 2" xfId="20565"/>
    <cellStyle name="Normalny 2 2 3 3" xfId="20566"/>
    <cellStyle name="Normalny 2 2 3 4" xfId="20563"/>
    <cellStyle name="Normalny 2 2 4" xfId="20567"/>
    <cellStyle name="Normalny 2 2 4 2" xfId="20568"/>
    <cellStyle name="Normalny 2 2 5" xfId="20569"/>
    <cellStyle name="Normalny 2 2 5 2" xfId="20570"/>
    <cellStyle name="Normalny 2 2 6" xfId="20571"/>
    <cellStyle name="Normalny 2 2 6 2" xfId="20572"/>
    <cellStyle name="Normalny 2 2 7" xfId="20573"/>
    <cellStyle name="Normalny 2 2 7 2" xfId="20574"/>
    <cellStyle name="Normalny 2 2 8" xfId="20575"/>
    <cellStyle name="Normalny 2 2 8 2" xfId="20576"/>
    <cellStyle name="Normalny 2 2 9" xfId="20577"/>
    <cellStyle name="Normalny 2 2 9 2" xfId="20578"/>
    <cellStyle name="Normalny 2 20" xfId="20579"/>
    <cellStyle name="Normalny 2 20 2" xfId="20580"/>
    <cellStyle name="Normalny 2 20 3" xfId="20581"/>
    <cellStyle name="Normalny 2 21" xfId="20582"/>
    <cellStyle name="Normalny 2 21 2" xfId="20583"/>
    <cellStyle name="Normalny 2 21 3" xfId="20584"/>
    <cellStyle name="Normalny 2 22" xfId="20585"/>
    <cellStyle name="Normalny 2 22 2" xfId="20586"/>
    <cellStyle name="Normalny 2 22 3" xfId="20587"/>
    <cellStyle name="Normalny 2 23" xfId="20588"/>
    <cellStyle name="Normalny 2 23 2" xfId="20589"/>
    <cellStyle name="Normalny 2 23 3" xfId="20590"/>
    <cellStyle name="Normalny 2 24" xfId="20591"/>
    <cellStyle name="Normalny 2 24 2" xfId="20592"/>
    <cellStyle name="Normalny 2 24 3" xfId="20593"/>
    <cellStyle name="Normalny 2 25" xfId="20594"/>
    <cellStyle name="Normalny 2 25 2" xfId="20595"/>
    <cellStyle name="Normalny 2 25 3" xfId="20596"/>
    <cellStyle name="Normalny 2 26" xfId="20597"/>
    <cellStyle name="Normalny 2 26 2" xfId="20598"/>
    <cellStyle name="Normalny 2 26 3" xfId="20599"/>
    <cellStyle name="Normalny 2 27" xfId="20600"/>
    <cellStyle name="Normalny 2 27 2" xfId="20601"/>
    <cellStyle name="Normalny 2 28" xfId="20602"/>
    <cellStyle name="Normalny 2 29" xfId="20603"/>
    <cellStyle name="Normalny 2 3" xfId="20604"/>
    <cellStyle name="Normalny 2 3 2" xfId="20605"/>
    <cellStyle name="Normalny 2 3 2 2" xfId="20606"/>
    <cellStyle name="Normalny 2 3 2 3" xfId="20607"/>
    <cellStyle name="Normalny 2 3 3" xfId="20608"/>
    <cellStyle name="Normalny 2 3 3 2" xfId="20609"/>
    <cellStyle name="Normalny 2 3 4" xfId="20610"/>
    <cellStyle name="Normalny 2 3 5" xfId="20611"/>
    <cellStyle name="Normalny 2 3 6" xfId="20"/>
    <cellStyle name="Normalny 2 3 7" xfId="20612"/>
    <cellStyle name="Normalny 2 3 8" xfId="20613"/>
    <cellStyle name="Normalny 2 30" xfId="20614"/>
    <cellStyle name="Normalny 2 30 2" xfId="20615"/>
    <cellStyle name="Normalny 2 31" xfId="20616"/>
    <cellStyle name="Normalny 2 32" xfId="20617"/>
    <cellStyle name="Normalny 2 33" xfId="20618"/>
    <cellStyle name="Normalny 2 34" xfId="20508"/>
    <cellStyle name="Normalny 2 4" xfId="20619"/>
    <cellStyle name="Normalny 2 4 10" xfId="20620"/>
    <cellStyle name="Normalny 2 4 11" xfId="20621"/>
    <cellStyle name="Normalny 2 4 12" xfId="20622"/>
    <cellStyle name="Normalny 2 4 13" xfId="20623"/>
    <cellStyle name="Normalny 2 4 14" xfId="20624"/>
    <cellStyle name="Normalny 2 4 15" xfId="20625"/>
    <cellStyle name="Normalny 2 4 16" xfId="20626"/>
    <cellStyle name="Normalny 2 4 17" xfId="20627"/>
    <cellStyle name="Normalny 2 4 18" xfId="20628"/>
    <cellStyle name="Normalny 2 4 19" xfId="20629"/>
    <cellStyle name="Normalny 2 4 2" xfId="20630"/>
    <cellStyle name="Normalny 2 4 2 2" xfId="20631"/>
    <cellStyle name="Normalny 2 4 2 3" xfId="20632"/>
    <cellStyle name="Normalny 2 4 20" xfId="20633"/>
    <cellStyle name="Normalny 2 4 21" xfId="20634"/>
    <cellStyle name="Normalny 2 4 22" xfId="20635"/>
    <cellStyle name="Normalny 2 4 23" xfId="20636"/>
    <cellStyle name="Normalny 2 4 3" xfId="20637"/>
    <cellStyle name="Normalny 2 4 4" xfId="20638"/>
    <cellStyle name="Normalny 2 4 5" xfId="20639"/>
    <cellStyle name="Normalny 2 4 6" xfId="20640"/>
    <cellStyle name="Normalny 2 4 7" xfId="20641"/>
    <cellStyle name="Normalny 2 4 8" xfId="20642"/>
    <cellStyle name="Normalny 2 4 9" xfId="20643"/>
    <cellStyle name="Normalny 2 5" xfId="20644"/>
    <cellStyle name="Normalny 2 5 2" xfId="20645"/>
    <cellStyle name="Normalny 2 5 2 2" xfId="20646"/>
    <cellStyle name="Normalny 2 5 3" xfId="20647"/>
    <cellStyle name="Normalny 2 5 3 2" xfId="20648"/>
    <cellStyle name="Normalny 2 5 4" xfId="20649"/>
    <cellStyle name="Normalny 2 6" xfId="20650"/>
    <cellStyle name="Normalny 2 6 2" xfId="20651"/>
    <cellStyle name="Normalny 2 6 3" xfId="20652"/>
    <cellStyle name="Normalny 2 6 4" xfId="20653"/>
    <cellStyle name="Normalny 2 7" xfId="20654"/>
    <cellStyle name="Normalny 2 7 2" xfId="20655"/>
    <cellStyle name="Normalny 2 7 3" xfId="20656"/>
    <cellStyle name="Normalny 2 7 4" xfId="20657"/>
    <cellStyle name="Normalny 2 8" xfId="20658"/>
    <cellStyle name="Normalny 2 8 2" xfId="20659"/>
    <cellStyle name="Normalny 2 8 3" xfId="20660"/>
    <cellStyle name="Normalny 2 8 4" xfId="20661"/>
    <cellStyle name="Normalny 2 9" xfId="20662"/>
    <cellStyle name="Normalny 2 9 2" xfId="20663"/>
    <cellStyle name="Normalny 2 9 3" xfId="20664"/>
    <cellStyle name="Normalny 2 9 4" xfId="20665"/>
    <cellStyle name="Normalny 2_CHURN " xfId="20666"/>
    <cellStyle name="Normalny 20" xfId="20667"/>
    <cellStyle name="Normalny 20 2" xfId="20668"/>
    <cellStyle name="Normalny 20 2 2" xfId="20669"/>
    <cellStyle name="Normalny 20 2 3" xfId="20670"/>
    <cellStyle name="Normalny 20 3" xfId="20671"/>
    <cellStyle name="Normalny 20 4" xfId="20672"/>
    <cellStyle name="Normalny 20 5" xfId="20673"/>
    <cellStyle name="Normalny 20 6" xfId="20674"/>
    <cellStyle name="Normalny 21" xfId="20675"/>
    <cellStyle name="Normalny 21 2" xfId="20676"/>
    <cellStyle name="Normalny 21 2 2" xfId="20677"/>
    <cellStyle name="Normalny 21 2 3" xfId="20678"/>
    <cellStyle name="Normalny 21 3" xfId="20679"/>
    <cellStyle name="Normalny 21 4" xfId="20680"/>
    <cellStyle name="Normalny 21 5" xfId="20681"/>
    <cellStyle name="Normalny 21 6" xfId="20682"/>
    <cellStyle name="Normalny 22" xfId="20683"/>
    <cellStyle name="Normalny 22 2" xfId="20684"/>
    <cellStyle name="Normalny 22 2 2" xfId="20685"/>
    <cellStyle name="Normalny 22 2 3" xfId="20686"/>
    <cellStyle name="Normalny 22 3" xfId="20687"/>
    <cellStyle name="Normalny 22 4" xfId="20688"/>
    <cellStyle name="Normalny 22 5" xfId="20689"/>
    <cellStyle name="Normalny 22 6" xfId="20690"/>
    <cellStyle name="Normalny 23" xfId="20691"/>
    <cellStyle name="Normalny 23 2" xfId="20692"/>
    <cellStyle name="Normalny 23 2 2" xfId="20693"/>
    <cellStyle name="Normalny 23 2 3" xfId="20694"/>
    <cellStyle name="Normalny 23 3" xfId="20695"/>
    <cellStyle name="Normalny 23 4" xfId="20696"/>
    <cellStyle name="Normalny 23 5" xfId="20697"/>
    <cellStyle name="Normalny 23 6" xfId="20698"/>
    <cellStyle name="Normalny 24" xfId="20699"/>
    <cellStyle name="Normalny 24 2" xfId="20700"/>
    <cellStyle name="Normalny 24 2 2" xfId="20701"/>
    <cellStyle name="Normalny 24 2 3" xfId="20702"/>
    <cellStyle name="Normalny 24 3" xfId="20703"/>
    <cellStyle name="Normalny 24 4" xfId="20704"/>
    <cellStyle name="Normalny 24 5" xfId="20705"/>
    <cellStyle name="Normalny 24 6" xfId="20706"/>
    <cellStyle name="Normalny 25" xfId="20707"/>
    <cellStyle name="Normalny 25 2" xfId="20708"/>
    <cellStyle name="Normalny 25 3" xfId="20709"/>
    <cellStyle name="Normalny 25 4" xfId="20710"/>
    <cellStyle name="Normalny 26" xfId="20711"/>
    <cellStyle name="Normalny 26 2" xfId="20712"/>
    <cellStyle name="Normalny 26 3" xfId="20713"/>
    <cellStyle name="Normalny 26 4" xfId="20714"/>
    <cellStyle name="Normalny 27" xfId="20715"/>
    <cellStyle name="Normalny 27 2" xfId="20716"/>
    <cellStyle name="Normalny 27 3" xfId="20717"/>
    <cellStyle name="Normalny 27 4" xfId="20718"/>
    <cellStyle name="Normalny 28" xfId="20719"/>
    <cellStyle name="Normalny 28 2" xfId="20720"/>
    <cellStyle name="Normalny 28 3" xfId="20721"/>
    <cellStyle name="Normalny 28 4" xfId="20722"/>
    <cellStyle name="Normalny 29" xfId="20723"/>
    <cellStyle name="Normalny 29 2" xfId="20724"/>
    <cellStyle name="Normalny 29 2 2" xfId="20725"/>
    <cellStyle name="Normalny 29 2 3" xfId="20726"/>
    <cellStyle name="Normalny 29 3" xfId="20727"/>
    <cellStyle name="Normalny 29 4" xfId="20728"/>
    <cellStyle name="Normalny 3" xfId="20729"/>
    <cellStyle name="Normalny 3 10" xfId="20730"/>
    <cellStyle name="Normalny 3 10 2" xfId="20731"/>
    <cellStyle name="Normalny 3 11" xfId="20732"/>
    <cellStyle name="Normalny 3 2" xfId="20733"/>
    <cellStyle name="Normalny 3 2 10" xfId="20734"/>
    <cellStyle name="Normalny 3 2 11" xfId="20735"/>
    <cellStyle name="Normalny 3 2 12" xfId="20736"/>
    <cellStyle name="Normalny 3 2 13" xfId="20737"/>
    <cellStyle name="Normalny 3 2 14" xfId="20738"/>
    <cellStyle name="Normalny 3 2 15" xfId="20739"/>
    <cellStyle name="Normalny 3 2 16" xfId="20740"/>
    <cellStyle name="Normalny 3 2 17" xfId="20741"/>
    <cellStyle name="Normalny 3 2 18" xfId="20742"/>
    <cellStyle name="Normalny 3 2 19" xfId="20743"/>
    <cellStyle name="Normalny 3 2 2" xfId="20744"/>
    <cellStyle name="Normalny 3 2 2 2" xfId="20745"/>
    <cellStyle name="Normalny 3 2 20" xfId="20746"/>
    <cellStyle name="Normalny 3 2 21" xfId="20747"/>
    <cellStyle name="Normalny 3 2 22" xfId="20748"/>
    <cellStyle name="Normalny 3 2 23" xfId="20749"/>
    <cellStyle name="Normalny 3 2 24" xfId="20750"/>
    <cellStyle name="Normalny 3 2 3" xfId="20751"/>
    <cellStyle name="Normalny 3 2 4" xfId="20752"/>
    <cellStyle name="Normalny 3 2 5" xfId="20753"/>
    <cellStyle name="Normalny 3 2 6" xfId="20754"/>
    <cellStyle name="Normalny 3 2 7" xfId="20755"/>
    <cellStyle name="Normalny 3 2 8" xfId="20756"/>
    <cellStyle name="Normalny 3 2 9" xfId="20757"/>
    <cellStyle name="Normalny 3 3" xfId="20758"/>
    <cellStyle name="Normalny 3 3 10" xfId="20759"/>
    <cellStyle name="Normalny 3 3 11" xfId="20760"/>
    <cellStyle name="Normalny 3 3 12" xfId="20761"/>
    <cellStyle name="Normalny 3 3 13" xfId="20762"/>
    <cellStyle name="Normalny 3 3 14" xfId="20763"/>
    <cellStyle name="Normalny 3 3 15" xfId="20764"/>
    <cellStyle name="Normalny 3 3 16" xfId="20765"/>
    <cellStyle name="Normalny 3 3 17" xfId="20766"/>
    <cellStyle name="Normalny 3 3 18" xfId="20767"/>
    <cellStyle name="Normalny 3 3 19" xfId="20768"/>
    <cellStyle name="Normalny 3 3 2" xfId="20769"/>
    <cellStyle name="Normalny 3 3 2 2" xfId="20770"/>
    <cellStyle name="Normalny 3 3 20" xfId="20771"/>
    <cellStyle name="Normalny 3 3 21" xfId="20772"/>
    <cellStyle name="Normalny 3 3 3" xfId="20773"/>
    <cellStyle name="Normalny 3 3 4" xfId="20774"/>
    <cellStyle name="Normalny 3 3 5" xfId="20775"/>
    <cellStyle name="Normalny 3 3 6" xfId="20776"/>
    <cellStyle name="Normalny 3 3 7" xfId="20777"/>
    <cellStyle name="Normalny 3 3 8" xfId="20778"/>
    <cellStyle name="Normalny 3 3 9" xfId="20779"/>
    <cellStyle name="Normalny 3 4" xfId="20780"/>
    <cellStyle name="Normalny 3 4 2" xfId="20781"/>
    <cellStyle name="Normalny 3 4 2 2" xfId="20782"/>
    <cellStyle name="Normalny 3 4 3" xfId="20783"/>
    <cellStyle name="Normalny 3 4 4" xfId="20784"/>
    <cellStyle name="Normalny 3 4 5" xfId="20785"/>
    <cellStyle name="Normalny 3 4 6" xfId="20786"/>
    <cellStyle name="Normalny 3 5" xfId="20787"/>
    <cellStyle name="Normalny 3 5 2" xfId="20788"/>
    <cellStyle name="Normalny 3 5 3" xfId="20789"/>
    <cellStyle name="Normalny 3 6" xfId="20790"/>
    <cellStyle name="Normalny 3 6 2" xfId="20791"/>
    <cellStyle name="Normalny 3 6 3" xfId="20792"/>
    <cellStyle name="Normalny 3 7" xfId="20793"/>
    <cellStyle name="Normalny 3 7 2" xfId="20794"/>
    <cellStyle name="Normalny 3 7 3" xfId="20795"/>
    <cellStyle name="Normalny 3 8" xfId="20796"/>
    <cellStyle name="Normalny 3 8 2" xfId="20797"/>
    <cellStyle name="Normalny 3 8 3" xfId="20798"/>
    <cellStyle name="Normalny 3 9" xfId="20799"/>
    <cellStyle name="Normalny 3_CHURN " xfId="20800"/>
    <cellStyle name="Normalny 30" xfId="20801"/>
    <cellStyle name="Normalny 30 2" xfId="20802"/>
    <cellStyle name="Normalny 30 3" xfId="20803"/>
    <cellStyle name="Normalny 30 4" xfId="20804"/>
    <cellStyle name="Normalny 31" xfId="20805"/>
    <cellStyle name="Normalny 31 2" xfId="20806"/>
    <cellStyle name="Normalny 31 2 2" xfId="20807"/>
    <cellStyle name="Normalny 31 2 3" xfId="20808"/>
    <cellStyle name="Normalny 31 3" xfId="20809"/>
    <cellStyle name="Normalny 32" xfId="20810"/>
    <cellStyle name="Normalny 32 2" xfId="20811"/>
    <cellStyle name="Normalny 32 3" xfId="20812"/>
    <cellStyle name="Normalny 32 4" xfId="20813"/>
    <cellStyle name="Normalny 33" xfId="20814"/>
    <cellStyle name="Normalny 33 2" xfId="20815"/>
    <cellStyle name="Normalny 33 3" xfId="20816"/>
    <cellStyle name="Normalny 33 4" xfId="20817"/>
    <cellStyle name="Normalny 34" xfId="20818"/>
    <cellStyle name="Normalny 34 2" xfId="20819"/>
    <cellStyle name="Normalny 34 3" xfId="20820"/>
    <cellStyle name="Normalny 34 4" xfId="20821"/>
    <cellStyle name="Normalny 35" xfId="20822"/>
    <cellStyle name="Normalny 35 2" xfId="20823"/>
    <cellStyle name="Normalny 35 3" xfId="20824"/>
    <cellStyle name="Normalny 35 4" xfId="20825"/>
    <cellStyle name="Normalny 36" xfId="20826"/>
    <cellStyle name="Normalny 36 2" xfId="20827"/>
    <cellStyle name="Normalny 36 3" xfId="20828"/>
    <cellStyle name="Normalny 36 4" xfId="20829"/>
    <cellStyle name="Normalny 37" xfId="20830"/>
    <cellStyle name="Normalny 37 2" xfId="20831"/>
    <cellStyle name="Normalny 37 3" xfId="20832"/>
    <cellStyle name="Normalny 37 4" xfId="20833"/>
    <cellStyle name="Normalny 38" xfId="20834"/>
    <cellStyle name="Normalny 38 2" xfId="20835"/>
    <cellStyle name="Normalny 38 3" xfId="20836"/>
    <cellStyle name="Normalny 38 4" xfId="20837"/>
    <cellStyle name="Normalny 39" xfId="20838"/>
    <cellStyle name="Normalny 39 2" xfId="20839"/>
    <cellStyle name="Normalny 39 2 2" xfId="20840"/>
    <cellStyle name="Normalny 39 2 3" xfId="20841"/>
    <cellStyle name="Normalny 39 3" xfId="20842"/>
    <cellStyle name="Normalny 4" xfId="20843"/>
    <cellStyle name="Normalny 4 10" xfId="20844"/>
    <cellStyle name="Normalny 4 11" xfId="20845"/>
    <cellStyle name="Normalny 4 2" xfId="20846"/>
    <cellStyle name="Normalny 4 2 10" xfId="20847"/>
    <cellStyle name="Normalny 4 2 2" xfId="20848"/>
    <cellStyle name="Normalny 4 2 2 2" xfId="20849"/>
    <cellStyle name="Normalny 4 2 2 3" xfId="20850"/>
    <cellStyle name="Normalny 4 2 2 4" xfId="20851"/>
    <cellStyle name="Normalny 4 2 2 5" xfId="20852"/>
    <cellStyle name="Normalny 4 2 3" xfId="20853"/>
    <cellStyle name="Normalny 4 2 4" xfId="20854"/>
    <cellStyle name="Normalny 4 2 5" xfId="20855"/>
    <cellStyle name="Normalny 4 2 6" xfId="20856"/>
    <cellStyle name="Normalny 4 2 7" xfId="20857"/>
    <cellStyle name="Normalny 4 2 8" xfId="20858"/>
    <cellStyle name="Normalny 4 2 9" xfId="20859"/>
    <cellStyle name="Normalny 4 3" xfId="20860"/>
    <cellStyle name="Normalny 4 3 2" xfId="20861"/>
    <cellStyle name="Normalny 4 3 2 2" xfId="20862"/>
    <cellStyle name="Normalny 4 3 3" xfId="20863"/>
    <cellStyle name="Normalny 4 3 4" xfId="20864"/>
    <cellStyle name="Normalny 4 4" xfId="20865"/>
    <cellStyle name="Normalny 4 4 2" xfId="20866"/>
    <cellStyle name="Normalny 4 4 3" xfId="20867"/>
    <cellStyle name="Normalny 4 4 4" xfId="20868"/>
    <cellStyle name="Normalny 4 5" xfId="20869"/>
    <cellStyle name="Normalny 4 5 2" xfId="20870"/>
    <cellStyle name="Normalny 4 5 3" xfId="20871"/>
    <cellStyle name="Normalny 4 5 4" xfId="20872"/>
    <cellStyle name="Normalny 4 6" xfId="20873"/>
    <cellStyle name="Normalny 4 6 2" xfId="20874"/>
    <cellStyle name="Normalny 4 6 3" xfId="20875"/>
    <cellStyle name="Normalny 4 6 4" xfId="20876"/>
    <cellStyle name="Normalny 4 6 5" xfId="20877"/>
    <cellStyle name="Normalny 4 7" xfId="20878"/>
    <cellStyle name="Normalny 4 7 2" xfId="20879"/>
    <cellStyle name="Normalny 4 8" xfId="20880"/>
    <cellStyle name="Normalny 4 9" xfId="20881"/>
    <cellStyle name="Normalny 4_CHURN " xfId="20882"/>
    <cellStyle name="Normalny 40" xfId="20883"/>
    <cellStyle name="Normalny 40 2" xfId="20884"/>
    <cellStyle name="Normalny 40 2 2" xfId="20885"/>
    <cellStyle name="Normalny 40 2 3" xfId="20886"/>
    <cellStyle name="Normalny 40 3" xfId="20887"/>
    <cellStyle name="Normalny 40 4" xfId="20888"/>
    <cellStyle name="Normalny 41" xfId="20889"/>
    <cellStyle name="Normalny 41 2" xfId="20890"/>
    <cellStyle name="Normalny 41 2 2" xfId="20891"/>
    <cellStyle name="Normalny 41 3" xfId="20892"/>
    <cellStyle name="Normalny 42" xfId="20893"/>
    <cellStyle name="Normalny 42 2" xfId="20894"/>
    <cellStyle name="Normalny 42 2 2" xfId="20895"/>
    <cellStyle name="Normalny 42 3" xfId="20896"/>
    <cellStyle name="Normalny 43" xfId="20897"/>
    <cellStyle name="Normalny 43 2" xfId="20898"/>
    <cellStyle name="Normalny 43 2 2" xfId="20899"/>
    <cellStyle name="Normalny 43 3" xfId="20900"/>
    <cellStyle name="Normalny 44" xfId="20901"/>
    <cellStyle name="Normalny 44 2" xfId="20902"/>
    <cellStyle name="Normalny 44 2 2" xfId="20903"/>
    <cellStyle name="Normalny 44 3" xfId="20904"/>
    <cellStyle name="Normalny 44 4" xfId="20905"/>
    <cellStyle name="Normalny 45" xfId="20906"/>
    <cellStyle name="Normalny 45 2" xfId="20907"/>
    <cellStyle name="Normalny 45 2 2" xfId="20908"/>
    <cellStyle name="Normalny 45 3" xfId="20909"/>
    <cellStyle name="Normalny 45 4" xfId="20910"/>
    <cellStyle name="Normalny 46" xfId="20911"/>
    <cellStyle name="Normalny 46 2" xfId="20912"/>
    <cellStyle name="Normalny 46 2 2" xfId="20913"/>
    <cellStyle name="Normalny 46 3" xfId="20914"/>
    <cellStyle name="Normalny 46 4" xfId="20915"/>
    <cellStyle name="Normalny 47" xfId="13"/>
    <cellStyle name="Normalny 47 2" xfId="20916"/>
    <cellStyle name="Normalny 47 2 2" xfId="20917"/>
    <cellStyle name="Normalny 47 3" xfId="20918"/>
    <cellStyle name="Normalny 47 4" xfId="20919"/>
    <cellStyle name="Normalny 48" xfId="20920"/>
    <cellStyle name="Normalny 48 2" xfId="20921"/>
    <cellStyle name="Normalny 48 3" xfId="20922"/>
    <cellStyle name="Normalny 48 4" xfId="20923"/>
    <cellStyle name="Normalny 49" xfId="20924"/>
    <cellStyle name="Normalny 49 2" xfId="20925"/>
    <cellStyle name="Normalny 49 3" xfId="20926"/>
    <cellStyle name="Normalny 49 4" xfId="20927"/>
    <cellStyle name="Normalny 5" xfId="20928"/>
    <cellStyle name="Normalny 5 10" xfId="20929"/>
    <cellStyle name="Normalny 5 10 2" xfId="20930"/>
    <cellStyle name="Normalny 5 10 3" xfId="20931"/>
    <cellStyle name="Normalny 5 11" xfId="20932"/>
    <cellStyle name="Normalny 5 11 2" xfId="20933"/>
    <cellStyle name="Normalny 5 12" xfId="20934"/>
    <cellStyle name="Normalny 5 13" xfId="20935"/>
    <cellStyle name="Normalny 5 14" xfId="20936"/>
    <cellStyle name="Normalny 5 15" xfId="20937"/>
    <cellStyle name="Normalny 5 16" xfId="20938"/>
    <cellStyle name="Normalny 5 17" xfId="20939"/>
    <cellStyle name="Normalny 5 18" xfId="20940"/>
    <cellStyle name="Normalny 5 19" xfId="20941"/>
    <cellStyle name="Normalny 5 2" xfId="20942"/>
    <cellStyle name="Normalny 5 2 10" xfId="20943"/>
    <cellStyle name="Normalny 5 2 11" xfId="20944"/>
    <cellStyle name="Normalny 5 2 12" xfId="20945"/>
    <cellStyle name="Normalny 5 2 13" xfId="20946"/>
    <cellStyle name="Normalny 5 2 14" xfId="20947"/>
    <cellStyle name="Normalny 5 2 15" xfId="20948"/>
    <cellStyle name="Normalny 5 2 16" xfId="20949"/>
    <cellStyle name="Normalny 5 2 17" xfId="20950"/>
    <cellStyle name="Normalny 5 2 18" xfId="20951"/>
    <cellStyle name="Normalny 5 2 19" xfId="20952"/>
    <cellStyle name="Normalny 5 2 2" xfId="20953"/>
    <cellStyle name="Normalny 5 2 2 2" xfId="20954"/>
    <cellStyle name="Normalny 5 2 2 3" xfId="20955"/>
    <cellStyle name="Normalny 5 2 20" xfId="20956"/>
    <cellStyle name="Normalny 5 2 21" xfId="20957"/>
    <cellStyle name="Normalny 5 2 22" xfId="20958"/>
    <cellStyle name="Normalny 5 2 3" xfId="20959"/>
    <cellStyle name="Normalny 5 2 4" xfId="20960"/>
    <cellStyle name="Normalny 5 2 5" xfId="20961"/>
    <cellStyle name="Normalny 5 2 6" xfId="20962"/>
    <cellStyle name="Normalny 5 2 7" xfId="20963"/>
    <cellStyle name="Normalny 5 2 8" xfId="20964"/>
    <cellStyle name="Normalny 5 2 9" xfId="20965"/>
    <cellStyle name="Normalny 5 20" xfId="20966"/>
    <cellStyle name="Normalny 5 21" xfId="20967"/>
    <cellStyle name="Normalny 5 22" xfId="20968"/>
    <cellStyle name="Normalny 5 23" xfId="20969"/>
    <cellStyle name="Normalny 5 3" xfId="20970"/>
    <cellStyle name="Normalny 5 3 2" xfId="20971"/>
    <cellStyle name="Normalny 5 3 2 2" xfId="20972"/>
    <cellStyle name="Normalny 5 3 3" xfId="20973"/>
    <cellStyle name="Normalny 5 4" xfId="20974"/>
    <cellStyle name="Normalny 5 4 2" xfId="20975"/>
    <cellStyle name="Normalny 5 4 3" xfId="20976"/>
    <cellStyle name="Normalny 5 5" xfId="20977"/>
    <cellStyle name="Normalny 5 5 2" xfId="20978"/>
    <cellStyle name="Normalny 5 6" xfId="20979"/>
    <cellStyle name="Normalny 5 6 2" xfId="20980"/>
    <cellStyle name="Normalny 5 7" xfId="20981"/>
    <cellStyle name="Normalny 5 7 2" xfId="20982"/>
    <cellStyle name="Normalny 5 8" xfId="20983"/>
    <cellStyle name="Normalny 5 8 2" xfId="20984"/>
    <cellStyle name="Normalny 5 9" xfId="20985"/>
    <cellStyle name="Normalny 5 9 2" xfId="20986"/>
    <cellStyle name="Normalny 5_CHURN " xfId="20987"/>
    <cellStyle name="Normalny 50" xfId="20988"/>
    <cellStyle name="Normalny 50 2" xfId="20989"/>
    <cellStyle name="Normalny 50 3" xfId="20990"/>
    <cellStyle name="Normalny 50 4" xfId="20991"/>
    <cellStyle name="Normalny 51" xfId="20992"/>
    <cellStyle name="Normalny 51 2" xfId="20993"/>
    <cellStyle name="Normalny 51 3" xfId="20994"/>
    <cellStyle name="Normalny 51 4" xfId="20995"/>
    <cellStyle name="Normalny 52" xfId="20996"/>
    <cellStyle name="Normalny 52 2" xfId="20997"/>
    <cellStyle name="Normalny 52 3" xfId="20998"/>
    <cellStyle name="Normalny 52 4" xfId="20999"/>
    <cellStyle name="Normalny 53" xfId="21000"/>
    <cellStyle name="Normalny 53 2" xfId="21001"/>
    <cellStyle name="Normalny 53 3" xfId="21002"/>
    <cellStyle name="Normalny 53 4" xfId="21003"/>
    <cellStyle name="Normalny 54" xfId="21004"/>
    <cellStyle name="Normalny 54 2" xfId="21005"/>
    <cellStyle name="Normalny 54 3" xfId="21006"/>
    <cellStyle name="Normalny 54 4" xfId="21007"/>
    <cellStyle name="Normalny 55" xfId="21008"/>
    <cellStyle name="Normalny 55 2" xfId="21009"/>
    <cellStyle name="Normalny 55 3" xfId="21010"/>
    <cellStyle name="Normalny 55 4" xfId="21011"/>
    <cellStyle name="Normalny 56" xfId="21012"/>
    <cellStyle name="Normalny 56 2" xfId="21013"/>
    <cellStyle name="Normalny 56 3" xfId="21014"/>
    <cellStyle name="Normalny 56 4" xfId="21015"/>
    <cellStyle name="Normalny 57" xfId="21016"/>
    <cellStyle name="Normalny 57 2" xfId="21017"/>
    <cellStyle name="Normalny 57 3" xfId="21018"/>
    <cellStyle name="Normalny 57 4" xfId="21019"/>
    <cellStyle name="Normalny 58" xfId="21020"/>
    <cellStyle name="Normalny 58 2" xfId="21021"/>
    <cellStyle name="Normalny 58 3" xfId="21022"/>
    <cellStyle name="Normalny 58 4" xfId="21023"/>
    <cellStyle name="Normalny 59" xfId="21024"/>
    <cellStyle name="Normalny 59 2" xfId="21025"/>
    <cellStyle name="Normalny 6" xfId="21026"/>
    <cellStyle name="Normalny 6 10" xfId="21027"/>
    <cellStyle name="Normalny 6 10 2" xfId="21028"/>
    <cellStyle name="Normalny 6 10 3" xfId="21029"/>
    <cellStyle name="Normalny 6 11" xfId="21030"/>
    <cellStyle name="Normalny 6 11 2" xfId="21031"/>
    <cellStyle name="Normalny 6 12" xfId="21032"/>
    <cellStyle name="Normalny 6 12 2" xfId="21033"/>
    <cellStyle name="Normalny 6 12 3" xfId="21034"/>
    <cellStyle name="Normalny 6 13" xfId="21035"/>
    <cellStyle name="Normalny 6 13 2" xfId="21036"/>
    <cellStyle name="Normalny 6 14" xfId="21037"/>
    <cellStyle name="Normalny 6 15" xfId="21038"/>
    <cellStyle name="Normalny 6 16" xfId="21039"/>
    <cellStyle name="Normalny 6 17" xfId="21040"/>
    <cellStyle name="Normalny 6 18" xfId="21041"/>
    <cellStyle name="Normalny 6 19" xfId="21042"/>
    <cellStyle name="Normalny 6 2" xfId="21043"/>
    <cellStyle name="Normalny 6 2 10" xfId="21044"/>
    <cellStyle name="Normalny 6 2 10 2" xfId="21045"/>
    <cellStyle name="Normalny 6 2 11" xfId="21046"/>
    <cellStyle name="Normalny 6 2 11 2" xfId="21047"/>
    <cellStyle name="Normalny 6 2 12" xfId="21048"/>
    <cellStyle name="Normalny 6 2 12 2" xfId="21049"/>
    <cellStyle name="Normalny 6 2 13" xfId="21050"/>
    <cellStyle name="Normalny 6 2 14" xfId="21051"/>
    <cellStyle name="Normalny 6 2 15" xfId="21052"/>
    <cellStyle name="Normalny 6 2 16" xfId="21053"/>
    <cellStyle name="Normalny 6 2 17" xfId="21054"/>
    <cellStyle name="Normalny 6 2 18" xfId="21055"/>
    <cellStyle name="Normalny 6 2 19" xfId="21056"/>
    <cellStyle name="Normalny 6 2 2" xfId="21057"/>
    <cellStyle name="Normalny 6 2 2 2" xfId="21058"/>
    <cellStyle name="Normalny 6 2 2 2 2" xfId="21059"/>
    <cellStyle name="Normalny 6 2 2 3" xfId="21060"/>
    <cellStyle name="Normalny 6 2 20" xfId="21061"/>
    <cellStyle name="Normalny 6 2 21" xfId="21062"/>
    <cellStyle name="Normalny 6 2 22" xfId="21063"/>
    <cellStyle name="Normalny 6 2 23" xfId="21064"/>
    <cellStyle name="Normalny 6 2 24" xfId="21065"/>
    <cellStyle name="Normalny 6 2 3" xfId="21066"/>
    <cellStyle name="Normalny 6 2 3 2" xfId="21067"/>
    <cellStyle name="Normalny 6 2 3 3" xfId="21068"/>
    <cellStyle name="Normalny 6 2 4" xfId="21069"/>
    <cellStyle name="Normalny 6 2 4 2" xfId="21070"/>
    <cellStyle name="Normalny 6 2 5" xfId="21071"/>
    <cellStyle name="Normalny 6 2 5 2" xfId="21072"/>
    <cellStyle name="Normalny 6 2 6" xfId="21073"/>
    <cellStyle name="Normalny 6 2 6 2" xfId="21074"/>
    <cellStyle name="Normalny 6 2 7" xfId="21075"/>
    <cellStyle name="Normalny 6 2 7 2" xfId="21076"/>
    <cellStyle name="Normalny 6 2 8" xfId="21077"/>
    <cellStyle name="Normalny 6 2 8 2" xfId="21078"/>
    <cellStyle name="Normalny 6 2 9" xfId="21079"/>
    <cellStyle name="Normalny 6 2 9 2" xfId="21080"/>
    <cellStyle name="Normalny 6 3" xfId="21081"/>
    <cellStyle name="Normalny 6 3 10" xfId="21082"/>
    <cellStyle name="Normalny 6 3 11" xfId="21083"/>
    <cellStyle name="Normalny 6 3 12" xfId="21084"/>
    <cellStyle name="Normalny 6 3 13" xfId="21085"/>
    <cellStyle name="Normalny 6 3 14" xfId="21086"/>
    <cellStyle name="Normalny 6 3 15" xfId="21087"/>
    <cellStyle name="Normalny 6 3 16" xfId="21088"/>
    <cellStyle name="Normalny 6 3 17" xfId="21089"/>
    <cellStyle name="Normalny 6 3 18" xfId="21090"/>
    <cellStyle name="Normalny 6 3 19" xfId="21091"/>
    <cellStyle name="Normalny 6 3 2" xfId="21092"/>
    <cellStyle name="Normalny 6 3 2 2" xfId="21093"/>
    <cellStyle name="Normalny 6 3 20" xfId="21094"/>
    <cellStyle name="Normalny 6 3 21" xfId="21095"/>
    <cellStyle name="Normalny 6 3 22" xfId="21096"/>
    <cellStyle name="Normalny 6 3 23" xfId="21097"/>
    <cellStyle name="Normalny 6 3 24" xfId="21098"/>
    <cellStyle name="Normalny 6 3 3" xfId="21099"/>
    <cellStyle name="Normalny 6 3 4" xfId="21100"/>
    <cellStyle name="Normalny 6 3 5" xfId="21101"/>
    <cellStyle name="Normalny 6 3 6" xfId="21102"/>
    <cellStyle name="Normalny 6 3 7" xfId="21103"/>
    <cellStyle name="Normalny 6 3 8" xfId="21104"/>
    <cellStyle name="Normalny 6 3 9" xfId="21105"/>
    <cellStyle name="Normalny 6 4" xfId="21106"/>
    <cellStyle name="Normalny 6 4 2" xfId="21107"/>
    <cellStyle name="Normalny 6 4 2 2" xfId="21108"/>
    <cellStyle name="Normalny 6 4 3" xfId="21109"/>
    <cellStyle name="Normalny 6 4 4" xfId="21110"/>
    <cellStyle name="Normalny 6 4 5" xfId="21111"/>
    <cellStyle name="Normalny 6 5" xfId="21112"/>
    <cellStyle name="Normalny 6 5 2" xfId="21113"/>
    <cellStyle name="Normalny 6 5 2 2" xfId="21114"/>
    <cellStyle name="Normalny 6 5 3" xfId="21115"/>
    <cellStyle name="Normalny 6 5 4" xfId="21116"/>
    <cellStyle name="Normalny 6 5 5" xfId="21117"/>
    <cellStyle name="Normalny 6 6" xfId="21118"/>
    <cellStyle name="Normalny 6 6 2" xfId="21119"/>
    <cellStyle name="Normalny 6 6 2 2" xfId="21120"/>
    <cellStyle name="Normalny 6 6 3" xfId="21121"/>
    <cellStyle name="Normalny 6 6 4" xfId="21122"/>
    <cellStyle name="Normalny 6 6 5" xfId="21123"/>
    <cellStyle name="Normalny 6 7" xfId="21124"/>
    <cellStyle name="Normalny 6 7 2" xfId="21125"/>
    <cellStyle name="Normalny 6 7 3" xfId="21126"/>
    <cellStyle name="Normalny 6 8" xfId="21127"/>
    <cellStyle name="Normalny 6 8 2" xfId="21128"/>
    <cellStyle name="Normalny 6 8 3" xfId="21129"/>
    <cellStyle name="Normalny 6 9" xfId="21130"/>
    <cellStyle name="Normalny 6 9 2" xfId="21131"/>
    <cellStyle name="Normalny 6 9 3" xfId="21132"/>
    <cellStyle name="Normalny 6_CHURN " xfId="21133"/>
    <cellStyle name="Normalny 60" xfId="21134"/>
    <cellStyle name="Normalny 60 2" xfId="21135"/>
    <cellStyle name="Normalny 60 3" xfId="21136"/>
    <cellStyle name="Normalny 61" xfId="21137"/>
    <cellStyle name="Normalny 61 2" xfId="21138"/>
    <cellStyle name="Normalny 61 3" xfId="21139"/>
    <cellStyle name="Normalny 62" xfId="21140"/>
    <cellStyle name="Normalny 62 2" xfId="21141"/>
    <cellStyle name="Normalny 62 3" xfId="21142"/>
    <cellStyle name="Normalny 63" xfId="21143"/>
    <cellStyle name="Normalny 63 2" xfId="21144"/>
    <cellStyle name="Normalny 63 2 2" xfId="21145"/>
    <cellStyle name="Normalny 63 3" xfId="21146"/>
    <cellStyle name="Normalny 63 4" xfId="21147"/>
    <cellStyle name="Normalny 64" xfId="21148"/>
    <cellStyle name="Normalny 64 2" xfId="21149"/>
    <cellStyle name="Normalny 64 3" xfId="21150"/>
    <cellStyle name="Normalny 65" xfId="21151"/>
    <cellStyle name="Normalny 65 2" xfId="21152"/>
    <cellStyle name="Normalny 65 3" xfId="21153"/>
    <cellStyle name="Normalny 66" xfId="5"/>
    <cellStyle name="Normalny 66 2" xfId="21155"/>
    <cellStyle name="Normalny 66 3" xfId="21154"/>
    <cellStyle name="Normalny 67" xfId="21156"/>
    <cellStyle name="Normalny 67 2" xfId="21157"/>
    <cellStyle name="Normalny 68" xfId="21158"/>
    <cellStyle name="Normalny 68 2" xfId="21159"/>
    <cellStyle name="Normalny 69" xfId="21160"/>
    <cellStyle name="Normalny 69 2" xfId="21161"/>
    <cellStyle name="Normalny 7" xfId="21162"/>
    <cellStyle name="Normalny 7 10" xfId="21163"/>
    <cellStyle name="Normalny 7 11" xfId="21164"/>
    <cellStyle name="Normalny 7 12" xfId="21165"/>
    <cellStyle name="Normalny 7 13" xfId="21166"/>
    <cellStyle name="Normalny 7 14" xfId="21167"/>
    <cellStyle name="Normalny 7 2" xfId="21168"/>
    <cellStyle name="Normalny 7 2 2" xfId="21169"/>
    <cellStyle name="Normalny 7 2 2 2" xfId="21170"/>
    <cellStyle name="Normalny 7 2 3" xfId="21171"/>
    <cellStyle name="Normalny 7 2 4" xfId="21172"/>
    <cellStyle name="Normalny 7 2 5" xfId="21173"/>
    <cellStyle name="Normalny 7 2 6" xfId="21174"/>
    <cellStyle name="Normalny 7 3" xfId="21175"/>
    <cellStyle name="Normalny 7 3 2" xfId="21176"/>
    <cellStyle name="Normalny 7 3 2 2" xfId="21177"/>
    <cellStyle name="Normalny 7 3 3" xfId="21178"/>
    <cellStyle name="Normalny 7 3 4" xfId="21179"/>
    <cellStyle name="Normalny 7 3 5" xfId="21180"/>
    <cellStyle name="Normalny 7 4" xfId="21181"/>
    <cellStyle name="Normalny 7 4 2" xfId="21182"/>
    <cellStyle name="Normalny 7 5" xfId="21183"/>
    <cellStyle name="Normalny 7 5 2" xfId="21184"/>
    <cellStyle name="Normalny 7 6" xfId="21185"/>
    <cellStyle name="Normalny 7 7" xfId="21186"/>
    <cellStyle name="Normalny 7 8" xfId="21187"/>
    <cellStyle name="Normalny 7 9" xfId="21188"/>
    <cellStyle name="Normalny 7_CHURN " xfId="21189"/>
    <cellStyle name="Normalny 70" xfId="21190"/>
    <cellStyle name="Normalny 70 2" xfId="21191"/>
    <cellStyle name="Normalny 71" xfId="21192"/>
    <cellStyle name="Normalny 71 2" xfId="21193"/>
    <cellStyle name="Normalny 72" xfId="21194"/>
    <cellStyle name="Normalny 72 2" xfId="21195"/>
    <cellStyle name="Normalny 73" xfId="21196"/>
    <cellStyle name="Normalny 73 2" xfId="21197"/>
    <cellStyle name="Normalny 74" xfId="21198"/>
    <cellStyle name="Normalny 74 2" xfId="21199"/>
    <cellStyle name="Normalny 75" xfId="21200"/>
    <cellStyle name="Normalny 75 2" xfId="21201"/>
    <cellStyle name="Normalny 76" xfId="21202"/>
    <cellStyle name="Normalny 76 2" xfId="21203"/>
    <cellStyle name="Normalny 77" xfId="21204"/>
    <cellStyle name="Normalny 77 2" xfId="21205"/>
    <cellStyle name="Normalny 78" xfId="21206"/>
    <cellStyle name="Normalny 78 2" xfId="21207"/>
    <cellStyle name="Normalny 79" xfId="21208"/>
    <cellStyle name="Normalny 79 2" xfId="21209"/>
    <cellStyle name="Normalny 8" xfId="21210"/>
    <cellStyle name="Normalny 8 10" xfId="21211"/>
    <cellStyle name="Normalny 8 11" xfId="21212"/>
    <cellStyle name="Normalny 8 12" xfId="21213"/>
    <cellStyle name="Normalny 8 13" xfId="21214"/>
    <cellStyle name="Normalny 8 13 2" xfId="21215"/>
    <cellStyle name="Normalny 8 14" xfId="21216"/>
    <cellStyle name="Normalny 8 2" xfId="21217"/>
    <cellStyle name="Normalny 8 2 10" xfId="21218"/>
    <cellStyle name="Normalny 8 2 11" xfId="21219"/>
    <cellStyle name="Normalny 8 2 12" xfId="21220"/>
    <cellStyle name="Normalny 8 2 13" xfId="21221"/>
    <cellStyle name="Normalny 8 2 14" xfId="21222"/>
    <cellStyle name="Normalny 8 2 15" xfId="21223"/>
    <cellStyle name="Normalny 8 2 16" xfId="21224"/>
    <cellStyle name="Normalny 8 2 17" xfId="21225"/>
    <cellStyle name="Normalny 8 2 18" xfId="21226"/>
    <cellStyle name="Normalny 8 2 19" xfId="21227"/>
    <cellStyle name="Normalny 8 2 2" xfId="21228"/>
    <cellStyle name="Normalny 8 2 2 2" xfId="21229"/>
    <cellStyle name="Normalny 8 2 20" xfId="21230"/>
    <cellStyle name="Normalny 8 2 21" xfId="21231"/>
    <cellStyle name="Normalny 8 2 22" xfId="21232"/>
    <cellStyle name="Normalny 8 2 23" xfId="21233"/>
    <cellStyle name="Normalny 8 2 24" xfId="21234"/>
    <cellStyle name="Normalny 8 2 3" xfId="21235"/>
    <cellStyle name="Normalny 8 2 4" xfId="21236"/>
    <cellStyle name="Normalny 8 2 5" xfId="21237"/>
    <cellStyle name="Normalny 8 2 6" xfId="21238"/>
    <cellStyle name="Normalny 8 2 7" xfId="21239"/>
    <cellStyle name="Normalny 8 2 8" xfId="21240"/>
    <cellStyle name="Normalny 8 2 9" xfId="21241"/>
    <cellStyle name="Normalny 8 3" xfId="21242"/>
    <cellStyle name="Normalny 8 3 2" xfId="21243"/>
    <cellStyle name="Normalny 8 3 2 2" xfId="21244"/>
    <cellStyle name="Normalny 8 3 3" xfId="21245"/>
    <cellStyle name="Normalny 8 3 4" xfId="21246"/>
    <cellStyle name="Normalny 8 3 5" xfId="21247"/>
    <cellStyle name="Normalny 8 4" xfId="21248"/>
    <cellStyle name="Normalny 8 4 2" xfId="21249"/>
    <cellStyle name="Normalny 8 5" xfId="21250"/>
    <cellStyle name="Normalny 8 5 2" xfId="21251"/>
    <cellStyle name="Normalny 8 6" xfId="21252"/>
    <cellStyle name="Normalny 8 7" xfId="21253"/>
    <cellStyle name="Normalny 8 8" xfId="21254"/>
    <cellStyle name="Normalny 8 9" xfId="21255"/>
    <cellStyle name="Normalny 8_CHURN " xfId="21256"/>
    <cellStyle name="Normalny 80" xfId="21257"/>
    <cellStyle name="Normalny 80 2" xfId="21258"/>
    <cellStyle name="Normalny 81" xfId="21259"/>
    <cellStyle name="Normalny 81 2" xfId="21260"/>
    <cellStyle name="Normalny 82" xfId="19"/>
    <cellStyle name="Normalny 82 2" xfId="21261"/>
    <cellStyle name="Normalny 83" xfId="21262"/>
    <cellStyle name="Normalny 83 2" xfId="21263"/>
    <cellStyle name="Normalny 84" xfId="21264"/>
    <cellStyle name="Normalny 84 2" xfId="21265"/>
    <cellStyle name="Normalny 85" xfId="21266"/>
    <cellStyle name="Normalny 85 2" xfId="21267"/>
    <cellStyle name="Normalny 86" xfId="21268"/>
    <cellStyle name="Normalny 86 2" xfId="21269"/>
    <cellStyle name="Normalny 87" xfId="21270"/>
    <cellStyle name="Normalny 87 2" xfId="21271"/>
    <cellStyle name="Normalny 88" xfId="21272"/>
    <cellStyle name="Normalny 88 2" xfId="21273"/>
    <cellStyle name="Normalny 89" xfId="21274"/>
    <cellStyle name="Normalny 89 2" xfId="21275"/>
    <cellStyle name="Normalny 9" xfId="21276"/>
    <cellStyle name="Normalny 9 2" xfId="21277"/>
    <cellStyle name="Normalny 9 2 2" xfId="21278"/>
    <cellStyle name="Normalny 9 3" xfId="21279"/>
    <cellStyle name="Normalny 9 3 2" xfId="21280"/>
    <cellStyle name="Normalny 9 4" xfId="21281"/>
    <cellStyle name="Normalny 9 5" xfId="21282"/>
    <cellStyle name="Normalny 9 5 2" xfId="21283"/>
    <cellStyle name="Normalny 9 6" xfId="21284"/>
    <cellStyle name="Normalny 90" xfId="21285"/>
    <cellStyle name="Normalny 90 2" xfId="21286"/>
    <cellStyle name="Normalny 91" xfId="21287"/>
    <cellStyle name="Normalny 91 2" xfId="21288"/>
    <cellStyle name="Normalny 92" xfId="21289"/>
    <cellStyle name="Normalny 92 2" xfId="21290"/>
    <cellStyle name="Normalny 93" xfId="21291"/>
    <cellStyle name="Normalny 93 2" xfId="21292"/>
    <cellStyle name="Normalny 94" xfId="21293"/>
    <cellStyle name="Normalny 94 2" xfId="21294"/>
    <cellStyle name="Normalny 95" xfId="21295"/>
    <cellStyle name="Normalny 95 2" xfId="21296"/>
    <cellStyle name="Normalny 96" xfId="21297"/>
    <cellStyle name="Normalny 96 2" xfId="21298"/>
    <cellStyle name="Normalny 97" xfId="21299"/>
    <cellStyle name="Normalny 97 2" xfId="21300"/>
    <cellStyle name="Normalny 98" xfId="21301"/>
    <cellStyle name="Normalny 98 2" xfId="21302"/>
    <cellStyle name="Normalny 99" xfId="21303"/>
    <cellStyle name="Normalny 99 2" xfId="21304"/>
    <cellStyle name="Note 2" xfId="21305"/>
    <cellStyle name="Note 3" xfId="21306"/>
    <cellStyle name="NoteMark" xfId="21307"/>
    <cellStyle name="Obliczenia 2" xfId="21308"/>
    <cellStyle name="Obliczenia 2 10" xfId="21309"/>
    <cellStyle name="Obliczenia 2 10 10" xfId="21310"/>
    <cellStyle name="Obliczenia 2 10 10 2" xfId="21311"/>
    <cellStyle name="Obliczenia 2 10 10 3" xfId="21312"/>
    <cellStyle name="Obliczenia 2 10 10 4" xfId="21313"/>
    <cellStyle name="Obliczenia 2 10 11" xfId="21314"/>
    <cellStyle name="Obliczenia 2 10 11 2" xfId="21315"/>
    <cellStyle name="Obliczenia 2 10 11 3" xfId="21316"/>
    <cellStyle name="Obliczenia 2 10 11 4" xfId="21317"/>
    <cellStyle name="Obliczenia 2 10 12" xfId="21318"/>
    <cellStyle name="Obliczenia 2 10 12 2" xfId="21319"/>
    <cellStyle name="Obliczenia 2 10 12 3" xfId="21320"/>
    <cellStyle name="Obliczenia 2 10 12 4" xfId="21321"/>
    <cellStyle name="Obliczenia 2 10 13" xfId="21322"/>
    <cellStyle name="Obliczenia 2 10 13 2" xfId="21323"/>
    <cellStyle name="Obliczenia 2 10 13 3" xfId="21324"/>
    <cellStyle name="Obliczenia 2 10 13 4" xfId="21325"/>
    <cellStyle name="Obliczenia 2 10 14" xfId="21326"/>
    <cellStyle name="Obliczenia 2 10 14 2" xfId="21327"/>
    <cellStyle name="Obliczenia 2 10 14 3" xfId="21328"/>
    <cellStyle name="Obliczenia 2 10 14 4" xfId="21329"/>
    <cellStyle name="Obliczenia 2 10 15" xfId="21330"/>
    <cellStyle name="Obliczenia 2 10 15 2" xfId="21331"/>
    <cellStyle name="Obliczenia 2 10 15 3" xfId="21332"/>
    <cellStyle name="Obliczenia 2 10 15 4" xfId="21333"/>
    <cellStyle name="Obliczenia 2 10 16" xfId="21334"/>
    <cellStyle name="Obliczenia 2 10 16 2" xfId="21335"/>
    <cellStyle name="Obliczenia 2 10 16 3" xfId="21336"/>
    <cellStyle name="Obliczenia 2 10 16 4" xfId="21337"/>
    <cellStyle name="Obliczenia 2 10 17" xfId="21338"/>
    <cellStyle name="Obliczenia 2 10 17 2" xfId="21339"/>
    <cellStyle name="Obliczenia 2 10 17 3" xfId="21340"/>
    <cellStyle name="Obliczenia 2 10 17 4" xfId="21341"/>
    <cellStyle name="Obliczenia 2 10 18" xfId="21342"/>
    <cellStyle name="Obliczenia 2 10 18 2" xfId="21343"/>
    <cellStyle name="Obliczenia 2 10 18 3" xfId="21344"/>
    <cellStyle name="Obliczenia 2 10 18 4" xfId="21345"/>
    <cellStyle name="Obliczenia 2 10 19" xfId="21346"/>
    <cellStyle name="Obliczenia 2 10 19 2" xfId="21347"/>
    <cellStyle name="Obliczenia 2 10 19 3" xfId="21348"/>
    <cellStyle name="Obliczenia 2 10 19 4" xfId="21349"/>
    <cellStyle name="Obliczenia 2 10 2" xfId="21350"/>
    <cellStyle name="Obliczenia 2 10 2 2" xfId="21351"/>
    <cellStyle name="Obliczenia 2 10 2 3" xfId="21352"/>
    <cellStyle name="Obliczenia 2 10 2 4" xfId="21353"/>
    <cellStyle name="Obliczenia 2 10 20" xfId="21354"/>
    <cellStyle name="Obliczenia 2 10 20 2" xfId="21355"/>
    <cellStyle name="Obliczenia 2 10 20 3" xfId="21356"/>
    <cellStyle name="Obliczenia 2 10 20 4" xfId="21357"/>
    <cellStyle name="Obliczenia 2 10 21" xfId="21358"/>
    <cellStyle name="Obliczenia 2 10 21 2" xfId="21359"/>
    <cellStyle name="Obliczenia 2 10 21 3" xfId="21360"/>
    <cellStyle name="Obliczenia 2 10 22" xfId="21361"/>
    <cellStyle name="Obliczenia 2 10 22 2" xfId="21362"/>
    <cellStyle name="Obliczenia 2 10 22 3" xfId="21363"/>
    <cellStyle name="Obliczenia 2 10 23" xfId="21364"/>
    <cellStyle name="Obliczenia 2 10 23 2" xfId="21365"/>
    <cellStyle name="Obliczenia 2 10 23 3" xfId="21366"/>
    <cellStyle name="Obliczenia 2 10 24" xfId="21367"/>
    <cellStyle name="Obliczenia 2 10 24 2" xfId="21368"/>
    <cellStyle name="Obliczenia 2 10 24 3" xfId="21369"/>
    <cellStyle name="Obliczenia 2 10 25" xfId="21370"/>
    <cellStyle name="Obliczenia 2 10 25 2" xfId="21371"/>
    <cellStyle name="Obliczenia 2 10 25 3" xfId="21372"/>
    <cellStyle name="Obliczenia 2 10 26" xfId="21373"/>
    <cellStyle name="Obliczenia 2 10 26 2" xfId="21374"/>
    <cellStyle name="Obliczenia 2 10 26 3" xfId="21375"/>
    <cellStyle name="Obliczenia 2 10 27" xfId="21376"/>
    <cellStyle name="Obliczenia 2 10 27 2" xfId="21377"/>
    <cellStyle name="Obliczenia 2 10 27 3" xfId="21378"/>
    <cellStyle name="Obliczenia 2 10 28" xfId="21379"/>
    <cellStyle name="Obliczenia 2 10 28 2" xfId="21380"/>
    <cellStyle name="Obliczenia 2 10 28 3" xfId="21381"/>
    <cellStyle name="Obliczenia 2 10 29" xfId="21382"/>
    <cellStyle name="Obliczenia 2 10 29 2" xfId="21383"/>
    <cellStyle name="Obliczenia 2 10 29 3" xfId="21384"/>
    <cellStyle name="Obliczenia 2 10 3" xfId="21385"/>
    <cellStyle name="Obliczenia 2 10 3 2" xfId="21386"/>
    <cellStyle name="Obliczenia 2 10 3 3" xfId="21387"/>
    <cellStyle name="Obliczenia 2 10 3 4" xfId="21388"/>
    <cellStyle name="Obliczenia 2 10 30" xfId="21389"/>
    <cellStyle name="Obliczenia 2 10 30 2" xfId="21390"/>
    <cellStyle name="Obliczenia 2 10 30 3" xfId="21391"/>
    <cellStyle name="Obliczenia 2 10 31" xfId="21392"/>
    <cellStyle name="Obliczenia 2 10 31 2" xfId="21393"/>
    <cellStyle name="Obliczenia 2 10 31 3" xfId="21394"/>
    <cellStyle name="Obliczenia 2 10 32" xfId="21395"/>
    <cellStyle name="Obliczenia 2 10 32 2" xfId="21396"/>
    <cellStyle name="Obliczenia 2 10 32 3" xfId="21397"/>
    <cellStyle name="Obliczenia 2 10 33" xfId="21398"/>
    <cellStyle name="Obliczenia 2 10 33 2" xfId="21399"/>
    <cellStyle name="Obliczenia 2 10 33 3" xfId="21400"/>
    <cellStyle name="Obliczenia 2 10 34" xfId="21401"/>
    <cellStyle name="Obliczenia 2 10 34 2" xfId="21402"/>
    <cellStyle name="Obliczenia 2 10 34 3" xfId="21403"/>
    <cellStyle name="Obliczenia 2 10 35" xfId="21404"/>
    <cellStyle name="Obliczenia 2 10 35 2" xfId="21405"/>
    <cellStyle name="Obliczenia 2 10 35 3" xfId="21406"/>
    <cellStyle name="Obliczenia 2 10 36" xfId="21407"/>
    <cellStyle name="Obliczenia 2 10 36 2" xfId="21408"/>
    <cellStyle name="Obliczenia 2 10 36 3" xfId="21409"/>
    <cellStyle name="Obliczenia 2 10 37" xfId="21410"/>
    <cellStyle name="Obliczenia 2 10 37 2" xfId="21411"/>
    <cellStyle name="Obliczenia 2 10 37 3" xfId="21412"/>
    <cellStyle name="Obliczenia 2 10 38" xfId="21413"/>
    <cellStyle name="Obliczenia 2 10 38 2" xfId="21414"/>
    <cellStyle name="Obliczenia 2 10 38 3" xfId="21415"/>
    <cellStyle name="Obliczenia 2 10 39" xfId="21416"/>
    <cellStyle name="Obliczenia 2 10 39 2" xfId="21417"/>
    <cellStyle name="Obliczenia 2 10 39 3" xfId="21418"/>
    <cellStyle name="Obliczenia 2 10 4" xfId="21419"/>
    <cellStyle name="Obliczenia 2 10 4 2" xfId="21420"/>
    <cellStyle name="Obliczenia 2 10 4 3" xfId="21421"/>
    <cellStyle name="Obliczenia 2 10 4 4" xfId="21422"/>
    <cellStyle name="Obliczenia 2 10 40" xfId="21423"/>
    <cellStyle name="Obliczenia 2 10 40 2" xfId="21424"/>
    <cellStyle name="Obliczenia 2 10 40 3" xfId="21425"/>
    <cellStyle name="Obliczenia 2 10 41" xfId="21426"/>
    <cellStyle name="Obliczenia 2 10 41 2" xfId="21427"/>
    <cellStyle name="Obliczenia 2 10 41 3" xfId="21428"/>
    <cellStyle name="Obliczenia 2 10 42" xfId="21429"/>
    <cellStyle name="Obliczenia 2 10 42 2" xfId="21430"/>
    <cellStyle name="Obliczenia 2 10 42 3" xfId="21431"/>
    <cellStyle name="Obliczenia 2 10 43" xfId="21432"/>
    <cellStyle name="Obliczenia 2 10 43 2" xfId="21433"/>
    <cellStyle name="Obliczenia 2 10 43 3" xfId="21434"/>
    <cellStyle name="Obliczenia 2 10 44" xfId="21435"/>
    <cellStyle name="Obliczenia 2 10 44 2" xfId="21436"/>
    <cellStyle name="Obliczenia 2 10 44 3" xfId="21437"/>
    <cellStyle name="Obliczenia 2 10 45" xfId="21438"/>
    <cellStyle name="Obliczenia 2 10 45 2" xfId="21439"/>
    <cellStyle name="Obliczenia 2 10 45 3" xfId="21440"/>
    <cellStyle name="Obliczenia 2 10 46" xfId="21441"/>
    <cellStyle name="Obliczenia 2 10 46 2" xfId="21442"/>
    <cellStyle name="Obliczenia 2 10 46 3" xfId="21443"/>
    <cellStyle name="Obliczenia 2 10 47" xfId="21444"/>
    <cellStyle name="Obliczenia 2 10 47 2" xfId="21445"/>
    <cellStyle name="Obliczenia 2 10 47 3" xfId="21446"/>
    <cellStyle name="Obliczenia 2 10 48" xfId="21447"/>
    <cellStyle name="Obliczenia 2 10 48 2" xfId="21448"/>
    <cellStyle name="Obliczenia 2 10 48 3" xfId="21449"/>
    <cellStyle name="Obliczenia 2 10 49" xfId="21450"/>
    <cellStyle name="Obliczenia 2 10 49 2" xfId="21451"/>
    <cellStyle name="Obliczenia 2 10 49 3" xfId="21452"/>
    <cellStyle name="Obliczenia 2 10 5" xfId="21453"/>
    <cellStyle name="Obliczenia 2 10 5 2" xfId="21454"/>
    <cellStyle name="Obliczenia 2 10 5 3" xfId="21455"/>
    <cellStyle name="Obliczenia 2 10 5 4" xfId="21456"/>
    <cellStyle name="Obliczenia 2 10 50" xfId="21457"/>
    <cellStyle name="Obliczenia 2 10 50 2" xfId="21458"/>
    <cellStyle name="Obliczenia 2 10 50 3" xfId="21459"/>
    <cellStyle name="Obliczenia 2 10 51" xfId="21460"/>
    <cellStyle name="Obliczenia 2 10 51 2" xfId="21461"/>
    <cellStyle name="Obliczenia 2 10 51 3" xfId="21462"/>
    <cellStyle name="Obliczenia 2 10 52" xfId="21463"/>
    <cellStyle name="Obliczenia 2 10 52 2" xfId="21464"/>
    <cellStyle name="Obliczenia 2 10 52 3" xfId="21465"/>
    <cellStyle name="Obliczenia 2 10 53" xfId="21466"/>
    <cellStyle name="Obliczenia 2 10 53 2" xfId="21467"/>
    <cellStyle name="Obliczenia 2 10 53 3" xfId="21468"/>
    <cellStyle name="Obliczenia 2 10 54" xfId="21469"/>
    <cellStyle name="Obliczenia 2 10 54 2" xfId="21470"/>
    <cellStyle name="Obliczenia 2 10 54 3" xfId="21471"/>
    <cellStyle name="Obliczenia 2 10 55" xfId="21472"/>
    <cellStyle name="Obliczenia 2 10 55 2" xfId="21473"/>
    <cellStyle name="Obliczenia 2 10 55 3" xfId="21474"/>
    <cellStyle name="Obliczenia 2 10 56" xfId="21475"/>
    <cellStyle name="Obliczenia 2 10 56 2" xfId="21476"/>
    <cellStyle name="Obliczenia 2 10 56 3" xfId="21477"/>
    <cellStyle name="Obliczenia 2 10 57" xfId="21478"/>
    <cellStyle name="Obliczenia 2 10 58" xfId="21479"/>
    <cellStyle name="Obliczenia 2 10 6" xfId="21480"/>
    <cellStyle name="Obliczenia 2 10 6 2" xfId="21481"/>
    <cellStyle name="Obliczenia 2 10 6 3" xfId="21482"/>
    <cellStyle name="Obliczenia 2 10 6 4" xfId="21483"/>
    <cellStyle name="Obliczenia 2 10 7" xfId="21484"/>
    <cellStyle name="Obliczenia 2 10 7 2" xfId="21485"/>
    <cellStyle name="Obliczenia 2 10 7 3" xfId="21486"/>
    <cellStyle name="Obliczenia 2 10 7 4" xfId="21487"/>
    <cellStyle name="Obliczenia 2 10 8" xfId="21488"/>
    <cellStyle name="Obliczenia 2 10 8 2" xfId="21489"/>
    <cellStyle name="Obliczenia 2 10 8 3" xfId="21490"/>
    <cellStyle name="Obliczenia 2 10 8 4" xfId="21491"/>
    <cellStyle name="Obliczenia 2 10 9" xfId="21492"/>
    <cellStyle name="Obliczenia 2 10 9 2" xfId="21493"/>
    <cellStyle name="Obliczenia 2 10 9 3" xfId="21494"/>
    <cellStyle name="Obliczenia 2 10 9 4" xfId="21495"/>
    <cellStyle name="Obliczenia 2 11" xfId="21496"/>
    <cellStyle name="Obliczenia 2 11 10" xfId="21497"/>
    <cellStyle name="Obliczenia 2 11 10 2" xfId="21498"/>
    <cellStyle name="Obliczenia 2 11 10 3" xfId="21499"/>
    <cellStyle name="Obliczenia 2 11 10 4" xfId="21500"/>
    <cellStyle name="Obliczenia 2 11 11" xfId="21501"/>
    <cellStyle name="Obliczenia 2 11 11 2" xfId="21502"/>
    <cellStyle name="Obliczenia 2 11 11 3" xfId="21503"/>
    <cellStyle name="Obliczenia 2 11 11 4" xfId="21504"/>
    <cellStyle name="Obliczenia 2 11 12" xfId="21505"/>
    <cellStyle name="Obliczenia 2 11 12 2" xfId="21506"/>
    <cellStyle name="Obliczenia 2 11 12 3" xfId="21507"/>
    <cellStyle name="Obliczenia 2 11 12 4" xfId="21508"/>
    <cellStyle name="Obliczenia 2 11 13" xfId="21509"/>
    <cellStyle name="Obliczenia 2 11 13 2" xfId="21510"/>
    <cellStyle name="Obliczenia 2 11 13 3" xfId="21511"/>
    <cellStyle name="Obliczenia 2 11 13 4" xfId="21512"/>
    <cellStyle name="Obliczenia 2 11 14" xfId="21513"/>
    <cellStyle name="Obliczenia 2 11 14 2" xfId="21514"/>
    <cellStyle name="Obliczenia 2 11 14 3" xfId="21515"/>
    <cellStyle name="Obliczenia 2 11 14 4" xfId="21516"/>
    <cellStyle name="Obliczenia 2 11 15" xfId="21517"/>
    <cellStyle name="Obliczenia 2 11 15 2" xfId="21518"/>
    <cellStyle name="Obliczenia 2 11 15 3" xfId="21519"/>
    <cellStyle name="Obliczenia 2 11 15 4" xfId="21520"/>
    <cellStyle name="Obliczenia 2 11 16" xfId="21521"/>
    <cellStyle name="Obliczenia 2 11 16 2" xfId="21522"/>
    <cellStyle name="Obliczenia 2 11 16 3" xfId="21523"/>
    <cellStyle name="Obliczenia 2 11 16 4" xfId="21524"/>
    <cellStyle name="Obliczenia 2 11 17" xfId="21525"/>
    <cellStyle name="Obliczenia 2 11 17 2" xfId="21526"/>
    <cellStyle name="Obliczenia 2 11 17 3" xfId="21527"/>
    <cellStyle name="Obliczenia 2 11 17 4" xfId="21528"/>
    <cellStyle name="Obliczenia 2 11 18" xfId="21529"/>
    <cellStyle name="Obliczenia 2 11 18 2" xfId="21530"/>
    <cellStyle name="Obliczenia 2 11 18 3" xfId="21531"/>
    <cellStyle name="Obliczenia 2 11 18 4" xfId="21532"/>
    <cellStyle name="Obliczenia 2 11 19" xfId="21533"/>
    <cellStyle name="Obliczenia 2 11 19 2" xfId="21534"/>
    <cellStyle name="Obliczenia 2 11 19 3" xfId="21535"/>
    <cellStyle name="Obliczenia 2 11 19 4" xfId="21536"/>
    <cellStyle name="Obliczenia 2 11 2" xfId="21537"/>
    <cellStyle name="Obliczenia 2 11 2 2" xfId="21538"/>
    <cellStyle name="Obliczenia 2 11 2 3" xfId="21539"/>
    <cellStyle name="Obliczenia 2 11 2 4" xfId="21540"/>
    <cellStyle name="Obliczenia 2 11 20" xfId="21541"/>
    <cellStyle name="Obliczenia 2 11 20 2" xfId="21542"/>
    <cellStyle name="Obliczenia 2 11 20 3" xfId="21543"/>
    <cellStyle name="Obliczenia 2 11 20 4" xfId="21544"/>
    <cellStyle name="Obliczenia 2 11 21" xfId="21545"/>
    <cellStyle name="Obliczenia 2 11 21 2" xfId="21546"/>
    <cellStyle name="Obliczenia 2 11 21 3" xfId="21547"/>
    <cellStyle name="Obliczenia 2 11 22" xfId="21548"/>
    <cellStyle name="Obliczenia 2 11 22 2" xfId="21549"/>
    <cellStyle name="Obliczenia 2 11 22 3" xfId="21550"/>
    <cellStyle name="Obliczenia 2 11 23" xfId="21551"/>
    <cellStyle name="Obliczenia 2 11 23 2" xfId="21552"/>
    <cellStyle name="Obliczenia 2 11 23 3" xfId="21553"/>
    <cellStyle name="Obliczenia 2 11 24" xfId="21554"/>
    <cellStyle name="Obliczenia 2 11 24 2" xfId="21555"/>
    <cellStyle name="Obliczenia 2 11 24 3" xfId="21556"/>
    <cellStyle name="Obliczenia 2 11 25" xfId="21557"/>
    <cellStyle name="Obliczenia 2 11 25 2" xfId="21558"/>
    <cellStyle name="Obliczenia 2 11 25 3" xfId="21559"/>
    <cellStyle name="Obliczenia 2 11 26" xfId="21560"/>
    <cellStyle name="Obliczenia 2 11 26 2" xfId="21561"/>
    <cellStyle name="Obliczenia 2 11 26 3" xfId="21562"/>
    <cellStyle name="Obliczenia 2 11 27" xfId="21563"/>
    <cellStyle name="Obliczenia 2 11 27 2" xfId="21564"/>
    <cellStyle name="Obliczenia 2 11 27 3" xfId="21565"/>
    <cellStyle name="Obliczenia 2 11 28" xfId="21566"/>
    <cellStyle name="Obliczenia 2 11 28 2" xfId="21567"/>
    <cellStyle name="Obliczenia 2 11 28 3" xfId="21568"/>
    <cellStyle name="Obliczenia 2 11 29" xfId="21569"/>
    <cellStyle name="Obliczenia 2 11 29 2" xfId="21570"/>
    <cellStyle name="Obliczenia 2 11 29 3" xfId="21571"/>
    <cellStyle name="Obliczenia 2 11 3" xfId="21572"/>
    <cellStyle name="Obliczenia 2 11 3 2" xfId="21573"/>
    <cellStyle name="Obliczenia 2 11 3 3" xfId="21574"/>
    <cellStyle name="Obliczenia 2 11 3 4" xfId="21575"/>
    <cellStyle name="Obliczenia 2 11 30" xfId="21576"/>
    <cellStyle name="Obliczenia 2 11 30 2" xfId="21577"/>
    <cellStyle name="Obliczenia 2 11 30 3" xfId="21578"/>
    <cellStyle name="Obliczenia 2 11 31" xfId="21579"/>
    <cellStyle name="Obliczenia 2 11 31 2" xfId="21580"/>
    <cellStyle name="Obliczenia 2 11 31 3" xfId="21581"/>
    <cellStyle name="Obliczenia 2 11 32" xfId="21582"/>
    <cellStyle name="Obliczenia 2 11 32 2" xfId="21583"/>
    <cellStyle name="Obliczenia 2 11 32 3" xfId="21584"/>
    <cellStyle name="Obliczenia 2 11 33" xfId="21585"/>
    <cellStyle name="Obliczenia 2 11 33 2" xfId="21586"/>
    <cellStyle name="Obliczenia 2 11 33 3" xfId="21587"/>
    <cellStyle name="Obliczenia 2 11 34" xfId="21588"/>
    <cellStyle name="Obliczenia 2 11 34 2" xfId="21589"/>
    <cellStyle name="Obliczenia 2 11 34 3" xfId="21590"/>
    <cellStyle name="Obliczenia 2 11 35" xfId="21591"/>
    <cellStyle name="Obliczenia 2 11 35 2" xfId="21592"/>
    <cellStyle name="Obliczenia 2 11 35 3" xfId="21593"/>
    <cellStyle name="Obliczenia 2 11 36" xfId="21594"/>
    <cellStyle name="Obliczenia 2 11 36 2" xfId="21595"/>
    <cellStyle name="Obliczenia 2 11 36 3" xfId="21596"/>
    <cellStyle name="Obliczenia 2 11 37" xfId="21597"/>
    <cellStyle name="Obliczenia 2 11 37 2" xfId="21598"/>
    <cellStyle name="Obliczenia 2 11 37 3" xfId="21599"/>
    <cellStyle name="Obliczenia 2 11 38" xfId="21600"/>
    <cellStyle name="Obliczenia 2 11 38 2" xfId="21601"/>
    <cellStyle name="Obliczenia 2 11 38 3" xfId="21602"/>
    <cellStyle name="Obliczenia 2 11 39" xfId="21603"/>
    <cellStyle name="Obliczenia 2 11 39 2" xfId="21604"/>
    <cellStyle name="Obliczenia 2 11 39 3" xfId="21605"/>
    <cellStyle name="Obliczenia 2 11 4" xfId="21606"/>
    <cellStyle name="Obliczenia 2 11 4 2" xfId="21607"/>
    <cellStyle name="Obliczenia 2 11 4 3" xfId="21608"/>
    <cellStyle name="Obliczenia 2 11 4 4" xfId="21609"/>
    <cellStyle name="Obliczenia 2 11 40" xfId="21610"/>
    <cellStyle name="Obliczenia 2 11 40 2" xfId="21611"/>
    <cellStyle name="Obliczenia 2 11 40 3" xfId="21612"/>
    <cellStyle name="Obliczenia 2 11 41" xfId="21613"/>
    <cellStyle name="Obliczenia 2 11 41 2" xfId="21614"/>
    <cellStyle name="Obliczenia 2 11 41 3" xfId="21615"/>
    <cellStyle name="Obliczenia 2 11 42" xfId="21616"/>
    <cellStyle name="Obliczenia 2 11 42 2" xfId="21617"/>
    <cellStyle name="Obliczenia 2 11 42 3" xfId="21618"/>
    <cellStyle name="Obliczenia 2 11 43" xfId="21619"/>
    <cellStyle name="Obliczenia 2 11 43 2" xfId="21620"/>
    <cellStyle name="Obliczenia 2 11 43 3" xfId="21621"/>
    <cellStyle name="Obliczenia 2 11 44" xfId="21622"/>
    <cellStyle name="Obliczenia 2 11 44 2" xfId="21623"/>
    <cellStyle name="Obliczenia 2 11 44 3" xfId="21624"/>
    <cellStyle name="Obliczenia 2 11 45" xfId="21625"/>
    <cellStyle name="Obliczenia 2 11 45 2" xfId="21626"/>
    <cellStyle name="Obliczenia 2 11 45 3" xfId="21627"/>
    <cellStyle name="Obliczenia 2 11 46" xfId="21628"/>
    <cellStyle name="Obliczenia 2 11 46 2" xfId="21629"/>
    <cellStyle name="Obliczenia 2 11 46 3" xfId="21630"/>
    <cellStyle name="Obliczenia 2 11 47" xfId="21631"/>
    <cellStyle name="Obliczenia 2 11 47 2" xfId="21632"/>
    <cellStyle name="Obliczenia 2 11 47 3" xfId="21633"/>
    <cellStyle name="Obliczenia 2 11 48" xfId="21634"/>
    <cellStyle name="Obliczenia 2 11 48 2" xfId="21635"/>
    <cellStyle name="Obliczenia 2 11 48 3" xfId="21636"/>
    <cellStyle name="Obliczenia 2 11 49" xfId="21637"/>
    <cellStyle name="Obliczenia 2 11 49 2" xfId="21638"/>
    <cellStyle name="Obliczenia 2 11 49 3" xfId="21639"/>
    <cellStyle name="Obliczenia 2 11 5" xfId="21640"/>
    <cellStyle name="Obliczenia 2 11 5 2" xfId="21641"/>
    <cellStyle name="Obliczenia 2 11 5 3" xfId="21642"/>
    <cellStyle name="Obliczenia 2 11 5 4" xfId="21643"/>
    <cellStyle name="Obliczenia 2 11 50" xfId="21644"/>
    <cellStyle name="Obliczenia 2 11 50 2" xfId="21645"/>
    <cellStyle name="Obliczenia 2 11 50 3" xfId="21646"/>
    <cellStyle name="Obliczenia 2 11 51" xfId="21647"/>
    <cellStyle name="Obliczenia 2 11 51 2" xfId="21648"/>
    <cellStyle name="Obliczenia 2 11 51 3" xfId="21649"/>
    <cellStyle name="Obliczenia 2 11 52" xfId="21650"/>
    <cellStyle name="Obliczenia 2 11 52 2" xfId="21651"/>
    <cellStyle name="Obliczenia 2 11 52 3" xfId="21652"/>
    <cellStyle name="Obliczenia 2 11 53" xfId="21653"/>
    <cellStyle name="Obliczenia 2 11 53 2" xfId="21654"/>
    <cellStyle name="Obliczenia 2 11 53 3" xfId="21655"/>
    <cellStyle name="Obliczenia 2 11 54" xfId="21656"/>
    <cellStyle name="Obliczenia 2 11 54 2" xfId="21657"/>
    <cellStyle name="Obliczenia 2 11 54 3" xfId="21658"/>
    <cellStyle name="Obliczenia 2 11 55" xfId="21659"/>
    <cellStyle name="Obliczenia 2 11 55 2" xfId="21660"/>
    <cellStyle name="Obliczenia 2 11 55 3" xfId="21661"/>
    <cellStyle name="Obliczenia 2 11 56" xfId="21662"/>
    <cellStyle name="Obliczenia 2 11 56 2" xfId="21663"/>
    <cellStyle name="Obliczenia 2 11 56 3" xfId="21664"/>
    <cellStyle name="Obliczenia 2 11 57" xfId="21665"/>
    <cellStyle name="Obliczenia 2 11 58" xfId="21666"/>
    <cellStyle name="Obliczenia 2 11 6" xfId="21667"/>
    <cellStyle name="Obliczenia 2 11 6 2" xfId="21668"/>
    <cellStyle name="Obliczenia 2 11 6 3" xfId="21669"/>
    <cellStyle name="Obliczenia 2 11 6 4" xfId="21670"/>
    <cellStyle name="Obliczenia 2 11 7" xfId="21671"/>
    <cellStyle name="Obliczenia 2 11 7 2" xfId="21672"/>
    <cellStyle name="Obliczenia 2 11 7 3" xfId="21673"/>
    <cellStyle name="Obliczenia 2 11 7 4" xfId="21674"/>
    <cellStyle name="Obliczenia 2 11 8" xfId="21675"/>
    <cellStyle name="Obliczenia 2 11 8 2" xfId="21676"/>
    <cellStyle name="Obliczenia 2 11 8 3" xfId="21677"/>
    <cellStyle name="Obliczenia 2 11 8 4" xfId="21678"/>
    <cellStyle name="Obliczenia 2 11 9" xfId="21679"/>
    <cellStyle name="Obliczenia 2 11 9 2" xfId="21680"/>
    <cellStyle name="Obliczenia 2 11 9 3" xfId="21681"/>
    <cellStyle name="Obliczenia 2 11 9 4" xfId="21682"/>
    <cellStyle name="Obliczenia 2 12" xfId="21683"/>
    <cellStyle name="Obliczenia 2 12 10" xfId="21684"/>
    <cellStyle name="Obliczenia 2 12 10 2" xfId="21685"/>
    <cellStyle name="Obliczenia 2 12 10 3" xfId="21686"/>
    <cellStyle name="Obliczenia 2 12 10 4" xfId="21687"/>
    <cellStyle name="Obliczenia 2 12 11" xfId="21688"/>
    <cellStyle name="Obliczenia 2 12 11 2" xfId="21689"/>
    <cellStyle name="Obliczenia 2 12 11 3" xfId="21690"/>
    <cellStyle name="Obliczenia 2 12 11 4" xfId="21691"/>
    <cellStyle name="Obliczenia 2 12 12" xfId="21692"/>
    <cellStyle name="Obliczenia 2 12 12 2" xfId="21693"/>
    <cellStyle name="Obliczenia 2 12 12 3" xfId="21694"/>
    <cellStyle name="Obliczenia 2 12 12 4" xfId="21695"/>
    <cellStyle name="Obliczenia 2 12 13" xfId="21696"/>
    <cellStyle name="Obliczenia 2 12 13 2" xfId="21697"/>
    <cellStyle name="Obliczenia 2 12 13 3" xfId="21698"/>
    <cellStyle name="Obliczenia 2 12 13 4" xfId="21699"/>
    <cellStyle name="Obliczenia 2 12 14" xfId="21700"/>
    <cellStyle name="Obliczenia 2 12 14 2" xfId="21701"/>
    <cellStyle name="Obliczenia 2 12 14 3" xfId="21702"/>
    <cellStyle name="Obliczenia 2 12 14 4" xfId="21703"/>
    <cellStyle name="Obliczenia 2 12 15" xfId="21704"/>
    <cellStyle name="Obliczenia 2 12 15 2" xfId="21705"/>
    <cellStyle name="Obliczenia 2 12 15 3" xfId="21706"/>
    <cellStyle name="Obliczenia 2 12 15 4" xfId="21707"/>
    <cellStyle name="Obliczenia 2 12 16" xfId="21708"/>
    <cellStyle name="Obliczenia 2 12 16 2" xfId="21709"/>
    <cellStyle name="Obliczenia 2 12 16 3" xfId="21710"/>
    <cellStyle name="Obliczenia 2 12 16 4" xfId="21711"/>
    <cellStyle name="Obliczenia 2 12 17" xfId="21712"/>
    <cellStyle name="Obliczenia 2 12 17 2" xfId="21713"/>
    <cellStyle name="Obliczenia 2 12 17 3" xfId="21714"/>
    <cellStyle name="Obliczenia 2 12 17 4" xfId="21715"/>
    <cellStyle name="Obliczenia 2 12 18" xfId="21716"/>
    <cellStyle name="Obliczenia 2 12 18 2" xfId="21717"/>
    <cellStyle name="Obliczenia 2 12 18 3" xfId="21718"/>
    <cellStyle name="Obliczenia 2 12 18 4" xfId="21719"/>
    <cellStyle name="Obliczenia 2 12 19" xfId="21720"/>
    <cellStyle name="Obliczenia 2 12 19 2" xfId="21721"/>
    <cellStyle name="Obliczenia 2 12 19 3" xfId="21722"/>
    <cellStyle name="Obliczenia 2 12 19 4" xfId="21723"/>
    <cellStyle name="Obliczenia 2 12 2" xfId="21724"/>
    <cellStyle name="Obliczenia 2 12 2 2" xfId="21725"/>
    <cellStyle name="Obliczenia 2 12 2 3" xfId="21726"/>
    <cellStyle name="Obliczenia 2 12 2 4" xfId="21727"/>
    <cellStyle name="Obliczenia 2 12 20" xfId="21728"/>
    <cellStyle name="Obliczenia 2 12 20 2" xfId="21729"/>
    <cellStyle name="Obliczenia 2 12 20 3" xfId="21730"/>
    <cellStyle name="Obliczenia 2 12 20 4" xfId="21731"/>
    <cellStyle name="Obliczenia 2 12 21" xfId="21732"/>
    <cellStyle name="Obliczenia 2 12 21 2" xfId="21733"/>
    <cellStyle name="Obliczenia 2 12 21 3" xfId="21734"/>
    <cellStyle name="Obliczenia 2 12 22" xfId="21735"/>
    <cellStyle name="Obliczenia 2 12 22 2" xfId="21736"/>
    <cellStyle name="Obliczenia 2 12 22 3" xfId="21737"/>
    <cellStyle name="Obliczenia 2 12 23" xfId="21738"/>
    <cellStyle name="Obliczenia 2 12 23 2" xfId="21739"/>
    <cellStyle name="Obliczenia 2 12 23 3" xfId="21740"/>
    <cellStyle name="Obliczenia 2 12 24" xfId="21741"/>
    <cellStyle name="Obliczenia 2 12 24 2" xfId="21742"/>
    <cellStyle name="Obliczenia 2 12 24 3" xfId="21743"/>
    <cellStyle name="Obliczenia 2 12 25" xfId="21744"/>
    <cellStyle name="Obliczenia 2 12 25 2" xfId="21745"/>
    <cellStyle name="Obliczenia 2 12 25 3" xfId="21746"/>
    <cellStyle name="Obliczenia 2 12 26" xfId="21747"/>
    <cellStyle name="Obliczenia 2 12 26 2" xfId="21748"/>
    <cellStyle name="Obliczenia 2 12 26 3" xfId="21749"/>
    <cellStyle name="Obliczenia 2 12 27" xfId="21750"/>
    <cellStyle name="Obliczenia 2 12 27 2" xfId="21751"/>
    <cellStyle name="Obliczenia 2 12 27 3" xfId="21752"/>
    <cellStyle name="Obliczenia 2 12 28" xfId="21753"/>
    <cellStyle name="Obliczenia 2 12 28 2" xfId="21754"/>
    <cellStyle name="Obliczenia 2 12 28 3" xfId="21755"/>
    <cellStyle name="Obliczenia 2 12 29" xfId="21756"/>
    <cellStyle name="Obliczenia 2 12 29 2" xfId="21757"/>
    <cellStyle name="Obliczenia 2 12 29 3" xfId="21758"/>
    <cellStyle name="Obliczenia 2 12 3" xfId="21759"/>
    <cellStyle name="Obliczenia 2 12 3 2" xfId="21760"/>
    <cellStyle name="Obliczenia 2 12 3 3" xfId="21761"/>
    <cellStyle name="Obliczenia 2 12 3 4" xfId="21762"/>
    <cellStyle name="Obliczenia 2 12 30" xfId="21763"/>
    <cellStyle name="Obliczenia 2 12 30 2" xfId="21764"/>
    <cellStyle name="Obliczenia 2 12 30 3" xfId="21765"/>
    <cellStyle name="Obliczenia 2 12 31" xfId="21766"/>
    <cellStyle name="Obliczenia 2 12 31 2" xfId="21767"/>
    <cellStyle name="Obliczenia 2 12 31 3" xfId="21768"/>
    <cellStyle name="Obliczenia 2 12 32" xfId="21769"/>
    <cellStyle name="Obliczenia 2 12 32 2" xfId="21770"/>
    <cellStyle name="Obliczenia 2 12 32 3" xfId="21771"/>
    <cellStyle name="Obliczenia 2 12 33" xfId="21772"/>
    <cellStyle name="Obliczenia 2 12 33 2" xfId="21773"/>
    <cellStyle name="Obliczenia 2 12 33 3" xfId="21774"/>
    <cellStyle name="Obliczenia 2 12 34" xfId="21775"/>
    <cellStyle name="Obliczenia 2 12 34 2" xfId="21776"/>
    <cellStyle name="Obliczenia 2 12 34 3" xfId="21777"/>
    <cellStyle name="Obliczenia 2 12 35" xfId="21778"/>
    <cellStyle name="Obliczenia 2 12 35 2" xfId="21779"/>
    <cellStyle name="Obliczenia 2 12 35 3" xfId="21780"/>
    <cellStyle name="Obliczenia 2 12 36" xfId="21781"/>
    <cellStyle name="Obliczenia 2 12 36 2" xfId="21782"/>
    <cellStyle name="Obliczenia 2 12 36 3" xfId="21783"/>
    <cellStyle name="Obliczenia 2 12 37" xfId="21784"/>
    <cellStyle name="Obliczenia 2 12 37 2" xfId="21785"/>
    <cellStyle name="Obliczenia 2 12 37 3" xfId="21786"/>
    <cellStyle name="Obliczenia 2 12 38" xfId="21787"/>
    <cellStyle name="Obliczenia 2 12 38 2" xfId="21788"/>
    <cellStyle name="Obliczenia 2 12 38 3" xfId="21789"/>
    <cellStyle name="Obliczenia 2 12 39" xfId="21790"/>
    <cellStyle name="Obliczenia 2 12 39 2" xfId="21791"/>
    <cellStyle name="Obliczenia 2 12 39 3" xfId="21792"/>
    <cellStyle name="Obliczenia 2 12 4" xfId="21793"/>
    <cellStyle name="Obliczenia 2 12 4 2" xfId="21794"/>
    <cellStyle name="Obliczenia 2 12 4 3" xfId="21795"/>
    <cellStyle name="Obliczenia 2 12 4 4" xfId="21796"/>
    <cellStyle name="Obliczenia 2 12 40" xfId="21797"/>
    <cellStyle name="Obliczenia 2 12 40 2" xfId="21798"/>
    <cellStyle name="Obliczenia 2 12 40 3" xfId="21799"/>
    <cellStyle name="Obliczenia 2 12 41" xfId="21800"/>
    <cellStyle name="Obliczenia 2 12 41 2" xfId="21801"/>
    <cellStyle name="Obliczenia 2 12 41 3" xfId="21802"/>
    <cellStyle name="Obliczenia 2 12 42" xfId="21803"/>
    <cellStyle name="Obliczenia 2 12 42 2" xfId="21804"/>
    <cellStyle name="Obliczenia 2 12 42 3" xfId="21805"/>
    <cellStyle name="Obliczenia 2 12 43" xfId="21806"/>
    <cellStyle name="Obliczenia 2 12 43 2" xfId="21807"/>
    <cellStyle name="Obliczenia 2 12 43 3" xfId="21808"/>
    <cellStyle name="Obliczenia 2 12 44" xfId="21809"/>
    <cellStyle name="Obliczenia 2 12 44 2" xfId="21810"/>
    <cellStyle name="Obliczenia 2 12 44 3" xfId="21811"/>
    <cellStyle name="Obliczenia 2 12 45" xfId="21812"/>
    <cellStyle name="Obliczenia 2 12 45 2" xfId="21813"/>
    <cellStyle name="Obliczenia 2 12 45 3" xfId="21814"/>
    <cellStyle name="Obliczenia 2 12 46" xfId="21815"/>
    <cellStyle name="Obliczenia 2 12 46 2" xfId="21816"/>
    <cellStyle name="Obliczenia 2 12 46 3" xfId="21817"/>
    <cellStyle name="Obliczenia 2 12 47" xfId="21818"/>
    <cellStyle name="Obliczenia 2 12 47 2" xfId="21819"/>
    <cellStyle name="Obliczenia 2 12 47 3" xfId="21820"/>
    <cellStyle name="Obliczenia 2 12 48" xfId="21821"/>
    <cellStyle name="Obliczenia 2 12 48 2" xfId="21822"/>
    <cellStyle name="Obliczenia 2 12 48 3" xfId="21823"/>
    <cellStyle name="Obliczenia 2 12 49" xfId="21824"/>
    <cellStyle name="Obliczenia 2 12 49 2" xfId="21825"/>
    <cellStyle name="Obliczenia 2 12 49 3" xfId="21826"/>
    <cellStyle name="Obliczenia 2 12 5" xfId="21827"/>
    <cellStyle name="Obliczenia 2 12 5 2" xfId="21828"/>
    <cellStyle name="Obliczenia 2 12 5 3" xfId="21829"/>
    <cellStyle name="Obliczenia 2 12 5 4" xfId="21830"/>
    <cellStyle name="Obliczenia 2 12 50" xfId="21831"/>
    <cellStyle name="Obliczenia 2 12 50 2" xfId="21832"/>
    <cellStyle name="Obliczenia 2 12 50 3" xfId="21833"/>
    <cellStyle name="Obliczenia 2 12 51" xfId="21834"/>
    <cellStyle name="Obliczenia 2 12 51 2" xfId="21835"/>
    <cellStyle name="Obliczenia 2 12 51 3" xfId="21836"/>
    <cellStyle name="Obliczenia 2 12 52" xfId="21837"/>
    <cellStyle name="Obliczenia 2 12 52 2" xfId="21838"/>
    <cellStyle name="Obliczenia 2 12 52 3" xfId="21839"/>
    <cellStyle name="Obliczenia 2 12 53" xfId="21840"/>
    <cellStyle name="Obliczenia 2 12 53 2" xfId="21841"/>
    <cellStyle name="Obliczenia 2 12 53 3" xfId="21842"/>
    <cellStyle name="Obliczenia 2 12 54" xfId="21843"/>
    <cellStyle name="Obliczenia 2 12 54 2" xfId="21844"/>
    <cellStyle name="Obliczenia 2 12 54 3" xfId="21845"/>
    <cellStyle name="Obliczenia 2 12 55" xfId="21846"/>
    <cellStyle name="Obliczenia 2 12 55 2" xfId="21847"/>
    <cellStyle name="Obliczenia 2 12 55 3" xfId="21848"/>
    <cellStyle name="Obliczenia 2 12 56" xfId="21849"/>
    <cellStyle name="Obliczenia 2 12 56 2" xfId="21850"/>
    <cellStyle name="Obliczenia 2 12 56 3" xfId="21851"/>
    <cellStyle name="Obliczenia 2 12 57" xfId="21852"/>
    <cellStyle name="Obliczenia 2 12 58" xfId="21853"/>
    <cellStyle name="Obliczenia 2 12 6" xfId="21854"/>
    <cellStyle name="Obliczenia 2 12 6 2" xfId="21855"/>
    <cellStyle name="Obliczenia 2 12 6 3" xfId="21856"/>
    <cellStyle name="Obliczenia 2 12 6 4" xfId="21857"/>
    <cellStyle name="Obliczenia 2 12 7" xfId="21858"/>
    <cellStyle name="Obliczenia 2 12 7 2" xfId="21859"/>
    <cellStyle name="Obliczenia 2 12 7 3" xfId="21860"/>
    <cellStyle name="Obliczenia 2 12 7 4" xfId="21861"/>
    <cellStyle name="Obliczenia 2 12 8" xfId="21862"/>
    <cellStyle name="Obliczenia 2 12 8 2" xfId="21863"/>
    <cellStyle name="Obliczenia 2 12 8 3" xfId="21864"/>
    <cellStyle name="Obliczenia 2 12 8 4" xfId="21865"/>
    <cellStyle name="Obliczenia 2 12 9" xfId="21866"/>
    <cellStyle name="Obliczenia 2 12 9 2" xfId="21867"/>
    <cellStyle name="Obliczenia 2 12 9 3" xfId="21868"/>
    <cellStyle name="Obliczenia 2 12 9 4" xfId="21869"/>
    <cellStyle name="Obliczenia 2 13" xfId="21870"/>
    <cellStyle name="Obliczenia 2 13 10" xfId="21871"/>
    <cellStyle name="Obliczenia 2 13 10 2" xfId="21872"/>
    <cellStyle name="Obliczenia 2 13 10 3" xfId="21873"/>
    <cellStyle name="Obliczenia 2 13 10 4" xfId="21874"/>
    <cellStyle name="Obliczenia 2 13 11" xfId="21875"/>
    <cellStyle name="Obliczenia 2 13 11 2" xfId="21876"/>
    <cellStyle name="Obliczenia 2 13 11 3" xfId="21877"/>
    <cellStyle name="Obliczenia 2 13 11 4" xfId="21878"/>
    <cellStyle name="Obliczenia 2 13 12" xfId="21879"/>
    <cellStyle name="Obliczenia 2 13 12 2" xfId="21880"/>
    <cellStyle name="Obliczenia 2 13 12 3" xfId="21881"/>
    <cellStyle name="Obliczenia 2 13 12 4" xfId="21882"/>
    <cellStyle name="Obliczenia 2 13 13" xfId="21883"/>
    <cellStyle name="Obliczenia 2 13 13 2" xfId="21884"/>
    <cellStyle name="Obliczenia 2 13 13 3" xfId="21885"/>
    <cellStyle name="Obliczenia 2 13 13 4" xfId="21886"/>
    <cellStyle name="Obliczenia 2 13 14" xfId="21887"/>
    <cellStyle name="Obliczenia 2 13 14 2" xfId="21888"/>
    <cellStyle name="Obliczenia 2 13 14 3" xfId="21889"/>
    <cellStyle name="Obliczenia 2 13 14 4" xfId="21890"/>
    <cellStyle name="Obliczenia 2 13 15" xfId="21891"/>
    <cellStyle name="Obliczenia 2 13 15 2" xfId="21892"/>
    <cellStyle name="Obliczenia 2 13 15 3" xfId="21893"/>
    <cellStyle name="Obliczenia 2 13 15 4" xfId="21894"/>
    <cellStyle name="Obliczenia 2 13 16" xfId="21895"/>
    <cellStyle name="Obliczenia 2 13 16 2" xfId="21896"/>
    <cellStyle name="Obliczenia 2 13 16 3" xfId="21897"/>
    <cellStyle name="Obliczenia 2 13 16 4" xfId="21898"/>
    <cellStyle name="Obliczenia 2 13 17" xfId="21899"/>
    <cellStyle name="Obliczenia 2 13 17 2" xfId="21900"/>
    <cellStyle name="Obliczenia 2 13 17 3" xfId="21901"/>
    <cellStyle name="Obliczenia 2 13 17 4" xfId="21902"/>
    <cellStyle name="Obliczenia 2 13 18" xfId="21903"/>
    <cellStyle name="Obliczenia 2 13 18 2" xfId="21904"/>
    <cellStyle name="Obliczenia 2 13 18 3" xfId="21905"/>
    <cellStyle name="Obliczenia 2 13 18 4" xfId="21906"/>
    <cellStyle name="Obliczenia 2 13 19" xfId="21907"/>
    <cellStyle name="Obliczenia 2 13 19 2" xfId="21908"/>
    <cellStyle name="Obliczenia 2 13 19 3" xfId="21909"/>
    <cellStyle name="Obliczenia 2 13 19 4" xfId="21910"/>
    <cellStyle name="Obliczenia 2 13 2" xfId="21911"/>
    <cellStyle name="Obliczenia 2 13 2 2" xfId="21912"/>
    <cellStyle name="Obliczenia 2 13 2 3" xfId="21913"/>
    <cellStyle name="Obliczenia 2 13 2 4" xfId="21914"/>
    <cellStyle name="Obliczenia 2 13 20" xfId="21915"/>
    <cellStyle name="Obliczenia 2 13 20 2" xfId="21916"/>
    <cellStyle name="Obliczenia 2 13 20 3" xfId="21917"/>
    <cellStyle name="Obliczenia 2 13 20 4" xfId="21918"/>
    <cellStyle name="Obliczenia 2 13 21" xfId="21919"/>
    <cellStyle name="Obliczenia 2 13 21 2" xfId="21920"/>
    <cellStyle name="Obliczenia 2 13 21 3" xfId="21921"/>
    <cellStyle name="Obliczenia 2 13 22" xfId="21922"/>
    <cellStyle name="Obliczenia 2 13 22 2" xfId="21923"/>
    <cellStyle name="Obliczenia 2 13 22 3" xfId="21924"/>
    <cellStyle name="Obliczenia 2 13 23" xfId="21925"/>
    <cellStyle name="Obliczenia 2 13 23 2" xfId="21926"/>
    <cellStyle name="Obliczenia 2 13 23 3" xfId="21927"/>
    <cellStyle name="Obliczenia 2 13 24" xfId="21928"/>
    <cellStyle name="Obliczenia 2 13 24 2" xfId="21929"/>
    <cellStyle name="Obliczenia 2 13 24 3" xfId="21930"/>
    <cellStyle name="Obliczenia 2 13 25" xfId="21931"/>
    <cellStyle name="Obliczenia 2 13 25 2" xfId="21932"/>
    <cellStyle name="Obliczenia 2 13 25 3" xfId="21933"/>
    <cellStyle name="Obliczenia 2 13 26" xfId="21934"/>
    <cellStyle name="Obliczenia 2 13 26 2" xfId="21935"/>
    <cellStyle name="Obliczenia 2 13 26 3" xfId="21936"/>
    <cellStyle name="Obliczenia 2 13 27" xfId="21937"/>
    <cellStyle name="Obliczenia 2 13 27 2" xfId="21938"/>
    <cellStyle name="Obliczenia 2 13 27 3" xfId="21939"/>
    <cellStyle name="Obliczenia 2 13 28" xfId="21940"/>
    <cellStyle name="Obliczenia 2 13 28 2" xfId="21941"/>
    <cellStyle name="Obliczenia 2 13 28 3" xfId="21942"/>
    <cellStyle name="Obliczenia 2 13 29" xfId="21943"/>
    <cellStyle name="Obliczenia 2 13 29 2" xfId="21944"/>
    <cellStyle name="Obliczenia 2 13 29 3" xfId="21945"/>
    <cellStyle name="Obliczenia 2 13 3" xfId="21946"/>
    <cellStyle name="Obliczenia 2 13 3 2" xfId="21947"/>
    <cellStyle name="Obliczenia 2 13 3 3" xfId="21948"/>
    <cellStyle name="Obliczenia 2 13 3 4" xfId="21949"/>
    <cellStyle name="Obliczenia 2 13 30" xfId="21950"/>
    <cellStyle name="Obliczenia 2 13 30 2" xfId="21951"/>
    <cellStyle name="Obliczenia 2 13 30 3" xfId="21952"/>
    <cellStyle name="Obliczenia 2 13 31" xfId="21953"/>
    <cellStyle name="Obliczenia 2 13 31 2" xfId="21954"/>
    <cellStyle name="Obliczenia 2 13 31 3" xfId="21955"/>
    <cellStyle name="Obliczenia 2 13 32" xfId="21956"/>
    <cellStyle name="Obliczenia 2 13 32 2" xfId="21957"/>
    <cellStyle name="Obliczenia 2 13 32 3" xfId="21958"/>
    <cellStyle name="Obliczenia 2 13 33" xfId="21959"/>
    <cellStyle name="Obliczenia 2 13 33 2" xfId="21960"/>
    <cellStyle name="Obliczenia 2 13 33 3" xfId="21961"/>
    <cellStyle name="Obliczenia 2 13 34" xfId="21962"/>
    <cellStyle name="Obliczenia 2 13 34 2" xfId="21963"/>
    <cellStyle name="Obliczenia 2 13 34 3" xfId="21964"/>
    <cellStyle name="Obliczenia 2 13 35" xfId="21965"/>
    <cellStyle name="Obliczenia 2 13 35 2" xfId="21966"/>
    <cellStyle name="Obliczenia 2 13 35 3" xfId="21967"/>
    <cellStyle name="Obliczenia 2 13 36" xfId="21968"/>
    <cellStyle name="Obliczenia 2 13 36 2" xfId="21969"/>
    <cellStyle name="Obliczenia 2 13 36 3" xfId="21970"/>
    <cellStyle name="Obliczenia 2 13 37" xfId="21971"/>
    <cellStyle name="Obliczenia 2 13 37 2" xfId="21972"/>
    <cellStyle name="Obliczenia 2 13 37 3" xfId="21973"/>
    <cellStyle name="Obliczenia 2 13 38" xfId="21974"/>
    <cellStyle name="Obliczenia 2 13 38 2" xfId="21975"/>
    <cellStyle name="Obliczenia 2 13 38 3" xfId="21976"/>
    <cellStyle name="Obliczenia 2 13 39" xfId="21977"/>
    <cellStyle name="Obliczenia 2 13 39 2" xfId="21978"/>
    <cellStyle name="Obliczenia 2 13 39 3" xfId="21979"/>
    <cellStyle name="Obliczenia 2 13 4" xfId="21980"/>
    <cellStyle name="Obliczenia 2 13 4 2" xfId="21981"/>
    <cellStyle name="Obliczenia 2 13 4 3" xfId="21982"/>
    <cellStyle name="Obliczenia 2 13 4 4" xfId="21983"/>
    <cellStyle name="Obliczenia 2 13 40" xfId="21984"/>
    <cellStyle name="Obliczenia 2 13 40 2" xfId="21985"/>
    <cellStyle name="Obliczenia 2 13 40 3" xfId="21986"/>
    <cellStyle name="Obliczenia 2 13 41" xfId="21987"/>
    <cellStyle name="Obliczenia 2 13 41 2" xfId="21988"/>
    <cellStyle name="Obliczenia 2 13 41 3" xfId="21989"/>
    <cellStyle name="Obliczenia 2 13 42" xfId="21990"/>
    <cellStyle name="Obliczenia 2 13 42 2" xfId="21991"/>
    <cellStyle name="Obliczenia 2 13 42 3" xfId="21992"/>
    <cellStyle name="Obliczenia 2 13 43" xfId="21993"/>
    <cellStyle name="Obliczenia 2 13 43 2" xfId="21994"/>
    <cellStyle name="Obliczenia 2 13 43 3" xfId="21995"/>
    <cellStyle name="Obliczenia 2 13 44" xfId="21996"/>
    <cellStyle name="Obliczenia 2 13 44 2" xfId="21997"/>
    <cellStyle name="Obliczenia 2 13 44 3" xfId="21998"/>
    <cellStyle name="Obliczenia 2 13 45" xfId="21999"/>
    <cellStyle name="Obliczenia 2 13 45 2" xfId="22000"/>
    <cellStyle name="Obliczenia 2 13 45 3" xfId="22001"/>
    <cellStyle name="Obliczenia 2 13 46" xfId="22002"/>
    <cellStyle name="Obliczenia 2 13 46 2" xfId="22003"/>
    <cellStyle name="Obliczenia 2 13 46 3" xfId="22004"/>
    <cellStyle name="Obliczenia 2 13 47" xfId="22005"/>
    <cellStyle name="Obliczenia 2 13 47 2" xfId="22006"/>
    <cellStyle name="Obliczenia 2 13 47 3" xfId="22007"/>
    <cellStyle name="Obliczenia 2 13 48" xfId="22008"/>
    <cellStyle name="Obliczenia 2 13 48 2" xfId="22009"/>
    <cellStyle name="Obliczenia 2 13 48 3" xfId="22010"/>
    <cellStyle name="Obliczenia 2 13 49" xfId="22011"/>
    <cellStyle name="Obliczenia 2 13 49 2" xfId="22012"/>
    <cellStyle name="Obliczenia 2 13 49 3" xfId="22013"/>
    <cellStyle name="Obliczenia 2 13 5" xfId="22014"/>
    <cellStyle name="Obliczenia 2 13 5 2" xfId="22015"/>
    <cellStyle name="Obliczenia 2 13 5 3" xfId="22016"/>
    <cellStyle name="Obliczenia 2 13 5 4" xfId="22017"/>
    <cellStyle name="Obliczenia 2 13 50" xfId="22018"/>
    <cellStyle name="Obliczenia 2 13 50 2" xfId="22019"/>
    <cellStyle name="Obliczenia 2 13 50 3" xfId="22020"/>
    <cellStyle name="Obliczenia 2 13 51" xfId="22021"/>
    <cellStyle name="Obliczenia 2 13 51 2" xfId="22022"/>
    <cellStyle name="Obliczenia 2 13 51 3" xfId="22023"/>
    <cellStyle name="Obliczenia 2 13 52" xfId="22024"/>
    <cellStyle name="Obliczenia 2 13 52 2" xfId="22025"/>
    <cellStyle name="Obliczenia 2 13 52 3" xfId="22026"/>
    <cellStyle name="Obliczenia 2 13 53" xfId="22027"/>
    <cellStyle name="Obliczenia 2 13 53 2" xfId="22028"/>
    <cellStyle name="Obliczenia 2 13 53 3" xfId="22029"/>
    <cellStyle name="Obliczenia 2 13 54" xfId="22030"/>
    <cellStyle name="Obliczenia 2 13 54 2" xfId="22031"/>
    <cellStyle name="Obliczenia 2 13 54 3" xfId="22032"/>
    <cellStyle name="Obliczenia 2 13 55" xfId="22033"/>
    <cellStyle name="Obliczenia 2 13 55 2" xfId="22034"/>
    <cellStyle name="Obliczenia 2 13 55 3" xfId="22035"/>
    <cellStyle name="Obliczenia 2 13 56" xfId="22036"/>
    <cellStyle name="Obliczenia 2 13 56 2" xfId="22037"/>
    <cellStyle name="Obliczenia 2 13 56 3" xfId="22038"/>
    <cellStyle name="Obliczenia 2 13 57" xfId="22039"/>
    <cellStyle name="Obliczenia 2 13 58" xfId="22040"/>
    <cellStyle name="Obliczenia 2 13 6" xfId="22041"/>
    <cellStyle name="Obliczenia 2 13 6 2" xfId="22042"/>
    <cellStyle name="Obliczenia 2 13 6 3" xfId="22043"/>
    <cellStyle name="Obliczenia 2 13 6 4" xfId="22044"/>
    <cellStyle name="Obliczenia 2 13 7" xfId="22045"/>
    <cellStyle name="Obliczenia 2 13 7 2" xfId="22046"/>
    <cellStyle name="Obliczenia 2 13 7 3" xfId="22047"/>
    <cellStyle name="Obliczenia 2 13 7 4" xfId="22048"/>
    <cellStyle name="Obliczenia 2 13 8" xfId="22049"/>
    <cellStyle name="Obliczenia 2 13 8 2" xfId="22050"/>
    <cellStyle name="Obliczenia 2 13 8 3" xfId="22051"/>
    <cellStyle name="Obliczenia 2 13 8 4" xfId="22052"/>
    <cellStyle name="Obliczenia 2 13 9" xfId="22053"/>
    <cellStyle name="Obliczenia 2 13 9 2" xfId="22054"/>
    <cellStyle name="Obliczenia 2 13 9 3" xfId="22055"/>
    <cellStyle name="Obliczenia 2 13 9 4" xfId="22056"/>
    <cellStyle name="Obliczenia 2 14" xfId="22057"/>
    <cellStyle name="Obliczenia 2 14 10" xfId="22058"/>
    <cellStyle name="Obliczenia 2 14 10 2" xfId="22059"/>
    <cellStyle name="Obliczenia 2 14 10 3" xfId="22060"/>
    <cellStyle name="Obliczenia 2 14 10 4" xfId="22061"/>
    <cellStyle name="Obliczenia 2 14 11" xfId="22062"/>
    <cellStyle name="Obliczenia 2 14 11 2" xfId="22063"/>
    <cellStyle name="Obliczenia 2 14 11 3" xfId="22064"/>
    <cellStyle name="Obliczenia 2 14 11 4" xfId="22065"/>
    <cellStyle name="Obliczenia 2 14 12" xfId="22066"/>
    <cellStyle name="Obliczenia 2 14 12 2" xfId="22067"/>
    <cellStyle name="Obliczenia 2 14 12 3" xfId="22068"/>
    <cellStyle name="Obliczenia 2 14 12 4" xfId="22069"/>
    <cellStyle name="Obliczenia 2 14 13" xfId="22070"/>
    <cellStyle name="Obliczenia 2 14 13 2" xfId="22071"/>
    <cellStyle name="Obliczenia 2 14 13 3" xfId="22072"/>
    <cellStyle name="Obliczenia 2 14 13 4" xfId="22073"/>
    <cellStyle name="Obliczenia 2 14 14" xfId="22074"/>
    <cellStyle name="Obliczenia 2 14 14 2" xfId="22075"/>
    <cellStyle name="Obliczenia 2 14 14 3" xfId="22076"/>
    <cellStyle name="Obliczenia 2 14 14 4" xfId="22077"/>
    <cellStyle name="Obliczenia 2 14 15" xfId="22078"/>
    <cellStyle name="Obliczenia 2 14 15 2" xfId="22079"/>
    <cellStyle name="Obliczenia 2 14 15 3" xfId="22080"/>
    <cellStyle name="Obliczenia 2 14 15 4" xfId="22081"/>
    <cellStyle name="Obliczenia 2 14 16" xfId="22082"/>
    <cellStyle name="Obliczenia 2 14 16 2" xfId="22083"/>
    <cellStyle name="Obliczenia 2 14 16 3" xfId="22084"/>
    <cellStyle name="Obliczenia 2 14 16 4" xfId="22085"/>
    <cellStyle name="Obliczenia 2 14 17" xfId="22086"/>
    <cellStyle name="Obliczenia 2 14 17 2" xfId="22087"/>
    <cellStyle name="Obliczenia 2 14 17 3" xfId="22088"/>
    <cellStyle name="Obliczenia 2 14 17 4" xfId="22089"/>
    <cellStyle name="Obliczenia 2 14 18" xfId="22090"/>
    <cellStyle name="Obliczenia 2 14 18 2" xfId="22091"/>
    <cellStyle name="Obliczenia 2 14 18 3" xfId="22092"/>
    <cellStyle name="Obliczenia 2 14 18 4" xfId="22093"/>
    <cellStyle name="Obliczenia 2 14 19" xfId="22094"/>
    <cellStyle name="Obliczenia 2 14 19 2" xfId="22095"/>
    <cellStyle name="Obliczenia 2 14 19 3" xfId="22096"/>
    <cellStyle name="Obliczenia 2 14 19 4" xfId="22097"/>
    <cellStyle name="Obliczenia 2 14 2" xfId="22098"/>
    <cellStyle name="Obliczenia 2 14 2 2" xfId="22099"/>
    <cellStyle name="Obliczenia 2 14 2 3" xfId="22100"/>
    <cellStyle name="Obliczenia 2 14 2 4" xfId="22101"/>
    <cellStyle name="Obliczenia 2 14 20" xfId="22102"/>
    <cellStyle name="Obliczenia 2 14 20 2" xfId="22103"/>
    <cellStyle name="Obliczenia 2 14 20 3" xfId="22104"/>
    <cellStyle name="Obliczenia 2 14 20 4" xfId="22105"/>
    <cellStyle name="Obliczenia 2 14 21" xfId="22106"/>
    <cellStyle name="Obliczenia 2 14 21 2" xfId="22107"/>
    <cellStyle name="Obliczenia 2 14 21 3" xfId="22108"/>
    <cellStyle name="Obliczenia 2 14 22" xfId="22109"/>
    <cellStyle name="Obliczenia 2 14 22 2" xfId="22110"/>
    <cellStyle name="Obliczenia 2 14 22 3" xfId="22111"/>
    <cellStyle name="Obliczenia 2 14 23" xfId="22112"/>
    <cellStyle name="Obliczenia 2 14 23 2" xfId="22113"/>
    <cellStyle name="Obliczenia 2 14 23 3" xfId="22114"/>
    <cellStyle name="Obliczenia 2 14 24" xfId="22115"/>
    <cellStyle name="Obliczenia 2 14 24 2" xfId="22116"/>
    <cellStyle name="Obliczenia 2 14 24 3" xfId="22117"/>
    <cellStyle name="Obliczenia 2 14 25" xfId="22118"/>
    <cellStyle name="Obliczenia 2 14 25 2" xfId="22119"/>
    <cellStyle name="Obliczenia 2 14 25 3" xfId="22120"/>
    <cellStyle name="Obliczenia 2 14 26" xfId="22121"/>
    <cellStyle name="Obliczenia 2 14 26 2" xfId="22122"/>
    <cellStyle name="Obliczenia 2 14 26 3" xfId="22123"/>
    <cellStyle name="Obliczenia 2 14 27" xfId="22124"/>
    <cellStyle name="Obliczenia 2 14 27 2" xfId="22125"/>
    <cellStyle name="Obliczenia 2 14 27 3" xfId="22126"/>
    <cellStyle name="Obliczenia 2 14 28" xfId="22127"/>
    <cellStyle name="Obliczenia 2 14 28 2" xfId="22128"/>
    <cellStyle name="Obliczenia 2 14 28 3" xfId="22129"/>
    <cellStyle name="Obliczenia 2 14 29" xfId="22130"/>
    <cellStyle name="Obliczenia 2 14 29 2" xfId="22131"/>
    <cellStyle name="Obliczenia 2 14 29 3" xfId="22132"/>
    <cellStyle name="Obliczenia 2 14 3" xfId="22133"/>
    <cellStyle name="Obliczenia 2 14 3 2" xfId="22134"/>
    <cellStyle name="Obliczenia 2 14 3 3" xfId="22135"/>
    <cellStyle name="Obliczenia 2 14 3 4" xfId="22136"/>
    <cellStyle name="Obliczenia 2 14 30" xfId="22137"/>
    <cellStyle name="Obliczenia 2 14 30 2" xfId="22138"/>
    <cellStyle name="Obliczenia 2 14 30 3" xfId="22139"/>
    <cellStyle name="Obliczenia 2 14 31" xfId="22140"/>
    <cellStyle name="Obliczenia 2 14 31 2" xfId="22141"/>
    <cellStyle name="Obliczenia 2 14 31 3" xfId="22142"/>
    <cellStyle name="Obliczenia 2 14 32" xfId="22143"/>
    <cellStyle name="Obliczenia 2 14 32 2" xfId="22144"/>
    <cellStyle name="Obliczenia 2 14 32 3" xfId="22145"/>
    <cellStyle name="Obliczenia 2 14 33" xfId="22146"/>
    <cellStyle name="Obliczenia 2 14 33 2" xfId="22147"/>
    <cellStyle name="Obliczenia 2 14 33 3" xfId="22148"/>
    <cellStyle name="Obliczenia 2 14 34" xfId="22149"/>
    <cellStyle name="Obliczenia 2 14 34 2" xfId="22150"/>
    <cellStyle name="Obliczenia 2 14 34 3" xfId="22151"/>
    <cellStyle name="Obliczenia 2 14 35" xfId="22152"/>
    <cellStyle name="Obliczenia 2 14 35 2" xfId="22153"/>
    <cellStyle name="Obliczenia 2 14 35 3" xfId="22154"/>
    <cellStyle name="Obliczenia 2 14 36" xfId="22155"/>
    <cellStyle name="Obliczenia 2 14 36 2" xfId="22156"/>
    <cellStyle name="Obliczenia 2 14 36 3" xfId="22157"/>
    <cellStyle name="Obliczenia 2 14 37" xfId="22158"/>
    <cellStyle name="Obliczenia 2 14 37 2" xfId="22159"/>
    <cellStyle name="Obliczenia 2 14 37 3" xfId="22160"/>
    <cellStyle name="Obliczenia 2 14 38" xfId="22161"/>
    <cellStyle name="Obliczenia 2 14 38 2" xfId="22162"/>
    <cellStyle name="Obliczenia 2 14 38 3" xfId="22163"/>
    <cellStyle name="Obliczenia 2 14 39" xfId="22164"/>
    <cellStyle name="Obliczenia 2 14 39 2" xfId="22165"/>
    <cellStyle name="Obliczenia 2 14 39 3" xfId="22166"/>
    <cellStyle name="Obliczenia 2 14 4" xfId="22167"/>
    <cellStyle name="Obliczenia 2 14 4 2" xfId="22168"/>
    <cellStyle name="Obliczenia 2 14 4 3" xfId="22169"/>
    <cellStyle name="Obliczenia 2 14 4 4" xfId="22170"/>
    <cellStyle name="Obliczenia 2 14 40" xfId="22171"/>
    <cellStyle name="Obliczenia 2 14 40 2" xfId="22172"/>
    <cellStyle name="Obliczenia 2 14 40 3" xfId="22173"/>
    <cellStyle name="Obliczenia 2 14 41" xfId="22174"/>
    <cellStyle name="Obliczenia 2 14 41 2" xfId="22175"/>
    <cellStyle name="Obliczenia 2 14 41 3" xfId="22176"/>
    <cellStyle name="Obliczenia 2 14 42" xfId="22177"/>
    <cellStyle name="Obliczenia 2 14 42 2" xfId="22178"/>
    <cellStyle name="Obliczenia 2 14 42 3" xfId="22179"/>
    <cellStyle name="Obliczenia 2 14 43" xfId="22180"/>
    <cellStyle name="Obliczenia 2 14 43 2" xfId="22181"/>
    <cellStyle name="Obliczenia 2 14 43 3" xfId="22182"/>
    <cellStyle name="Obliczenia 2 14 44" xfId="22183"/>
    <cellStyle name="Obliczenia 2 14 44 2" xfId="22184"/>
    <cellStyle name="Obliczenia 2 14 44 3" xfId="22185"/>
    <cellStyle name="Obliczenia 2 14 45" xfId="22186"/>
    <cellStyle name="Obliczenia 2 14 45 2" xfId="22187"/>
    <cellStyle name="Obliczenia 2 14 45 3" xfId="22188"/>
    <cellStyle name="Obliczenia 2 14 46" xfId="22189"/>
    <cellStyle name="Obliczenia 2 14 46 2" xfId="22190"/>
    <cellStyle name="Obliczenia 2 14 46 3" xfId="22191"/>
    <cellStyle name="Obliczenia 2 14 47" xfId="22192"/>
    <cellStyle name="Obliczenia 2 14 47 2" xfId="22193"/>
    <cellStyle name="Obliczenia 2 14 47 3" xfId="22194"/>
    <cellStyle name="Obliczenia 2 14 48" xfId="22195"/>
    <cellStyle name="Obliczenia 2 14 48 2" xfId="22196"/>
    <cellStyle name="Obliczenia 2 14 48 3" xfId="22197"/>
    <cellStyle name="Obliczenia 2 14 49" xfId="22198"/>
    <cellStyle name="Obliczenia 2 14 49 2" xfId="22199"/>
    <cellStyle name="Obliczenia 2 14 49 3" xfId="22200"/>
    <cellStyle name="Obliczenia 2 14 5" xfId="22201"/>
    <cellStyle name="Obliczenia 2 14 5 2" xfId="22202"/>
    <cellStyle name="Obliczenia 2 14 5 3" xfId="22203"/>
    <cellStyle name="Obliczenia 2 14 5 4" xfId="22204"/>
    <cellStyle name="Obliczenia 2 14 50" xfId="22205"/>
    <cellStyle name="Obliczenia 2 14 50 2" xfId="22206"/>
    <cellStyle name="Obliczenia 2 14 50 3" xfId="22207"/>
    <cellStyle name="Obliczenia 2 14 51" xfId="22208"/>
    <cellStyle name="Obliczenia 2 14 51 2" xfId="22209"/>
    <cellStyle name="Obliczenia 2 14 51 3" xfId="22210"/>
    <cellStyle name="Obliczenia 2 14 52" xfId="22211"/>
    <cellStyle name="Obliczenia 2 14 52 2" xfId="22212"/>
    <cellStyle name="Obliczenia 2 14 52 3" xfId="22213"/>
    <cellStyle name="Obliczenia 2 14 53" xfId="22214"/>
    <cellStyle name="Obliczenia 2 14 53 2" xfId="22215"/>
    <cellStyle name="Obliczenia 2 14 53 3" xfId="22216"/>
    <cellStyle name="Obliczenia 2 14 54" xfId="22217"/>
    <cellStyle name="Obliczenia 2 14 54 2" xfId="22218"/>
    <cellStyle name="Obliczenia 2 14 54 3" xfId="22219"/>
    <cellStyle name="Obliczenia 2 14 55" xfId="22220"/>
    <cellStyle name="Obliczenia 2 14 55 2" xfId="22221"/>
    <cellStyle name="Obliczenia 2 14 55 3" xfId="22222"/>
    <cellStyle name="Obliczenia 2 14 56" xfId="22223"/>
    <cellStyle name="Obliczenia 2 14 56 2" xfId="22224"/>
    <cellStyle name="Obliczenia 2 14 56 3" xfId="22225"/>
    <cellStyle name="Obliczenia 2 14 57" xfId="22226"/>
    <cellStyle name="Obliczenia 2 14 58" xfId="22227"/>
    <cellStyle name="Obliczenia 2 14 6" xfId="22228"/>
    <cellStyle name="Obliczenia 2 14 6 2" xfId="22229"/>
    <cellStyle name="Obliczenia 2 14 6 3" xfId="22230"/>
    <cellStyle name="Obliczenia 2 14 6 4" xfId="22231"/>
    <cellStyle name="Obliczenia 2 14 7" xfId="22232"/>
    <cellStyle name="Obliczenia 2 14 7 2" xfId="22233"/>
    <cellStyle name="Obliczenia 2 14 7 3" xfId="22234"/>
    <cellStyle name="Obliczenia 2 14 7 4" xfId="22235"/>
    <cellStyle name="Obliczenia 2 14 8" xfId="22236"/>
    <cellStyle name="Obliczenia 2 14 8 2" xfId="22237"/>
    <cellStyle name="Obliczenia 2 14 8 3" xfId="22238"/>
    <cellStyle name="Obliczenia 2 14 8 4" xfId="22239"/>
    <cellStyle name="Obliczenia 2 14 9" xfId="22240"/>
    <cellStyle name="Obliczenia 2 14 9 2" xfId="22241"/>
    <cellStyle name="Obliczenia 2 14 9 3" xfId="22242"/>
    <cellStyle name="Obliczenia 2 14 9 4" xfId="22243"/>
    <cellStyle name="Obliczenia 2 15" xfId="22244"/>
    <cellStyle name="Obliczenia 2 15 10" xfId="22245"/>
    <cellStyle name="Obliczenia 2 15 10 2" xfId="22246"/>
    <cellStyle name="Obliczenia 2 15 10 3" xfId="22247"/>
    <cellStyle name="Obliczenia 2 15 10 4" xfId="22248"/>
    <cellStyle name="Obliczenia 2 15 11" xfId="22249"/>
    <cellStyle name="Obliczenia 2 15 11 2" xfId="22250"/>
    <cellStyle name="Obliczenia 2 15 11 3" xfId="22251"/>
    <cellStyle name="Obliczenia 2 15 11 4" xfId="22252"/>
    <cellStyle name="Obliczenia 2 15 12" xfId="22253"/>
    <cellStyle name="Obliczenia 2 15 12 2" xfId="22254"/>
    <cellStyle name="Obliczenia 2 15 12 3" xfId="22255"/>
    <cellStyle name="Obliczenia 2 15 12 4" xfId="22256"/>
    <cellStyle name="Obliczenia 2 15 13" xfId="22257"/>
    <cellStyle name="Obliczenia 2 15 13 2" xfId="22258"/>
    <cellStyle name="Obliczenia 2 15 13 3" xfId="22259"/>
    <cellStyle name="Obliczenia 2 15 13 4" xfId="22260"/>
    <cellStyle name="Obliczenia 2 15 14" xfId="22261"/>
    <cellStyle name="Obliczenia 2 15 14 2" xfId="22262"/>
    <cellStyle name="Obliczenia 2 15 14 3" xfId="22263"/>
    <cellStyle name="Obliczenia 2 15 14 4" xfId="22264"/>
    <cellStyle name="Obliczenia 2 15 15" xfId="22265"/>
    <cellStyle name="Obliczenia 2 15 15 2" xfId="22266"/>
    <cellStyle name="Obliczenia 2 15 15 3" xfId="22267"/>
    <cellStyle name="Obliczenia 2 15 15 4" xfId="22268"/>
    <cellStyle name="Obliczenia 2 15 16" xfId="22269"/>
    <cellStyle name="Obliczenia 2 15 16 2" xfId="22270"/>
    <cellStyle name="Obliczenia 2 15 16 3" xfId="22271"/>
    <cellStyle name="Obliczenia 2 15 16 4" xfId="22272"/>
    <cellStyle name="Obliczenia 2 15 17" xfId="22273"/>
    <cellStyle name="Obliczenia 2 15 17 2" xfId="22274"/>
    <cellStyle name="Obliczenia 2 15 17 3" xfId="22275"/>
    <cellStyle name="Obliczenia 2 15 17 4" xfId="22276"/>
    <cellStyle name="Obliczenia 2 15 18" xfId="22277"/>
    <cellStyle name="Obliczenia 2 15 18 2" xfId="22278"/>
    <cellStyle name="Obliczenia 2 15 18 3" xfId="22279"/>
    <cellStyle name="Obliczenia 2 15 18 4" xfId="22280"/>
    <cellStyle name="Obliczenia 2 15 19" xfId="22281"/>
    <cellStyle name="Obliczenia 2 15 19 2" xfId="22282"/>
    <cellStyle name="Obliczenia 2 15 19 3" xfId="22283"/>
    <cellStyle name="Obliczenia 2 15 19 4" xfId="22284"/>
    <cellStyle name="Obliczenia 2 15 2" xfId="22285"/>
    <cellStyle name="Obliczenia 2 15 2 2" xfId="22286"/>
    <cellStyle name="Obliczenia 2 15 2 3" xfId="22287"/>
    <cellStyle name="Obliczenia 2 15 2 4" xfId="22288"/>
    <cellStyle name="Obliczenia 2 15 20" xfId="22289"/>
    <cellStyle name="Obliczenia 2 15 20 2" xfId="22290"/>
    <cellStyle name="Obliczenia 2 15 20 3" xfId="22291"/>
    <cellStyle name="Obliczenia 2 15 20 4" xfId="22292"/>
    <cellStyle name="Obliczenia 2 15 21" xfId="22293"/>
    <cellStyle name="Obliczenia 2 15 21 2" xfId="22294"/>
    <cellStyle name="Obliczenia 2 15 21 3" xfId="22295"/>
    <cellStyle name="Obliczenia 2 15 22" xfId="22296"/>
    <cellStyle name="Obliczenia 2 15 22 2" xfId="22297"/>
    <cellStyle name="Obliczenia 2 15 22 3" xfId="22298"/>
    <cellStyle name="Obliczenia 2 15 23" xfId="22299"/>
    <cellStyle name="Obliczenia 2 15 23 2" xfId="22300"/>
    <cellStyle name="Obliczenia 2 15 23 3" xfId="22301"/>
    <cellStyle name="Obliczenia 2 15 24" xfId="22302"/>
    <cellStyle name="Obliczenia 2 15 24 2" xfId="22303"/>
    <cellStyle name="Obliczenia 2 15 24 3" xfId="22304"/>
    <cellStyle name="Obliczenia 2 15 25" xfId="22305"/>
    <cellStyle name="Obliczenia 2 15 25 2" xfId="22306"/>
    <cellStyle name="Obliczenia 2 15 25 3" xfId="22307"/>
    <cellStyle name="Obliczenia 2 15 26" xfId="22308"/>
    <cellStyle name="Obliczenia 2 15 26 2" xfId="22309"/>
    <cellStyle name="Obliczenia 2 15 26 3" xfId="22310"/>
    <cellStyle name="Obliczenia 2 15 27" xfId="22311"/>
    <cellStyle name="Obliczenia 2 15 27 2" xfId="22312"/>
    <cellStyle name="Obliczenia 2 15 27 3" xfId="22313"/>
    <cellStyle name="Obliczenia 2 15 28" xfId="22314"/>
    <cellStyle name="Obliczenia 2 15 28 2" xfId="22315"/>
    <cellStyle name="Obliczenia 2 15 28 3" xfId="22316"/>
    <cellStyle name="Obliczenia 2 15 29" xfId="22317"/>
    <cellStyle name="Obliczenia 2 15 29 2" xfId="22318"/>
    <cellStyle name="Obliczenia 2 15 29 3" xfId="22319"/>
    <cellStyle name="Obliczenia 2 15 3" xfId="22320"/>
    <cellStyle name="Obliczenia 2 15 3 2" xfId="22321"/>
    <cellStyle name="Obliczenia 2 15 3 3" xfId="22322"/>
    <cellStyle name="Obliczenia 2 15 3 4" xfId="22323"/>
    <cellStyle name="Obliczenia 2 15 30" xfId="22324"/>
    <cellStyle name="Obliczenia 2 15 30 2" xfId="22325"/>
    <cellStyle name="Obliczenia 2 15 30 3" xfId="22326"/>
    <cellStyle name="Obliczenia 2 15 31" xfId="22327"/>
    <cellStyle name="Obliczenia 2 15 31 2" xfId="22328"/>
    <cellStyle name="Obliczenia 2 15 31 3" xfId="22329"/>
    <cellStyle name="Obliczenia 2 15 32" xfId="22330"/>
    <cellStyle name="Obliczenia 2 15 32 2" xfId="22331"/>
    <cellStyle name="Obliczenia 2 15 32 3" xfId="22332"/>
    <cellStyle name="Obliczenia 2 15 33" xfId="22333"/>
    <cellStyle name="Obliczenia 2 15 33 2" xfId="22334"/>
    <cellStyle name="Obliczenia 2 15 33 3" xfId="22335"/>
    <cellStyle name="Obliczenia 2 15 34" xfId="22336"/>
    <cellStyle name="Obliczenia 2 15 34 2" xfId="22337"/>
    <cellStyle name="Obliczenia 2 15 34 3" xfId="22338"/>
    <cellStyle name="Obliczenia 2 15 35" xfId="22339"/>
    <cellStyle name="Obliczenia 2 15 35 2" xfId="22340"/>
    <cellStyle name="Obliczenia 2 15 35 3" xfId="22341"/>
    <cellStyle name="Obliczenia 2 15 36" xfId="22342"/>
    <cellStyle name="Obliczenia 2 15 36 2" xfId="22343"/>
    <cellStyle name="Obliczenia 2 15 36 3" xfId="22344"/>
    <cellStyle name="Obliczenia 2 15 37" xfId="22345"/>
    <cellStyle name="Obliczenia 2 15 37 2" xfId="22346"/>
    <cellStyle name="Obliczenia 2 15 37 3" xfId="22347"/>
    <cellStyle name="Obliczenia 2 15 38" xfId="22348"/>
    <cellStyle name="Obliczenia 2 15 38 2" xfId="22349"/>
    <cellStyle name="Obliczenia 2 15 38 3" xfId="22350"/>
    <cellStyle name="Obliczenia 2 15 39" xfId="22351"/>
    <cellStyle name="Obliczenia 2 15 39 2" xfId="22352"/>
    <cellStyle name="Obliczenia 2 15 39 3" xfId="22353"/>
    <cellStyle name="Obliczenia 2 15 4" xfId="22354"/>
    <cellStyle name="Obliczenia 2 15 4 2" xfId="22355"/>
    <cellStyle name="Obliczenia 2 15 4 3" xfId="22356"/>
    <cellStyle name="Obliczenia 2 15 4 4" xfId="22357"/>
    <cellStyle name="Obliczenia 2 15 40" xfId="22358"/>
    <cellStyle name="Obliczenia 2 15 40 2" xfId="22359"/>
    <cellStyle name="Obliczenia 2 15 40 3" xfId="22360"/>
    <cellStyle name="Obliczenia 2 15 41" xfId="22361"/>
    <cellStyle name="Obliczenia 2 15 41 2" xfId="22362"/>
    <cellStyle name="Obliczenia 2 15 41 3" xfId="22363"/>
    <cellStyle name="Obliczenia 2 15 42" xfId="22364"/>
    <cellStyle name="Obliczenia 2 15 42 2" xfId="22365"/>
    <cellStyle name="Obliczenia 2 15 42 3" xfId="22366"/>
    <cellStyle name="Obliczenia 2 15 43" xfId="22367"/>
    <cellStyle name="Obliczenia 2 15 43 2" xfId="22368"/>
    <cellStyle name="Obliczenia 2 15 43 3" xfId="22369"/>
    <cellStyle name="Obliczenia 2 15 44" xfId="22370"/>
    <cellStyle name="Obliczenia 2 15 44 2" xfId="22371"/>
    <cellStyle name="Obliczenia 2 15 44 3" xfId="22372"/>
    <cellStyle name="Obliczenia 2 15 45" xfId="22373"/>
    <cellStyle name="Obliczenia 2 15 45 2" xfId="22374"/>
    <cellStyle name="Obliczenia 2 15 45 3" xfId="22375"/>
    <cellStyle name="Obliczenia 2 15 46" xfId="22376"/>
    <cellStyle name="Obliczenia 2 15 46 2" xfId="22377"/>
    <cellStyle name="Obliczenia 2 15 46 3" xfId="22378"/>
    <cellStyle name="Obliczenia 2 15 47" xfId="22379"/>
    <cellStyle name="Obliczenia 2 15 47 2" xfId="22380"/>
    <cellStyle name="Obliczenia 2 15 47 3" xfId="22381"/>
    <cellStyle name="Obliczenia 2 15 48" xfId="22382"/>
    <cellStyle name="Obliczenia 2 15 48 2" xfId="22383"/>
    <cellStyle name="Obliczenia 2 15 48 3" xfId="22384"/>
    <cellStyle name="Obliczenia 2 15 49" xfId="22385"/>
    <cellStyle name="Obliczenia 2 15 49 2" xfId="22386"/>
    <cellStyle name="Obliczenia 2 15 49 3" xfId="22387"/>
    <cellStyle name="Obliczenia 2 15 5" xfId="22388"/>
    <cellStyle name="Obliczenia 2 15 5 2" xfId="22389"/>
    <cellStyle name="Obliczenia 2 15 5 3" xfId="22390"/>
    <cellStyle name="Obliczenia 2 15 5 4" xfId="22391"/>
    <cellStyle name="Obliczenia 2 15 50" xfId="22392"/>
    <cellStyle name="Obliczenia 2 15 50 2" xfId="22393"/>
    <cellStyle name="Obliczenia 2 15 50 3" xfId="22394"/>
    <cellStyle name="Obliczenia 2 15 51" xfId="22395"/>
    <cellStyle name="Obliczenia 2 15 51 2" xfId="22396"/>
    <cellStyle name="Obliczenia 2 15 51 3" xfId="22397"/>
    <cellStyle name="Obliczenia 2 15 52" xfId="22398"/>
    <cellStyle name="Obliczenia 2 15 52 2" xfId="22399"/>
    <cellStyle name="Obliczenia 2 15 52 3" xfId="22400"/>
    <cellStyle name="Obliczenia 2 15 53" xfId="22401"/>
    <cellStyle name="Obliczenia 2 15 53 2" xfId="22402"/>
    <cellStyle name="Obliczenia 2 15 53 3" xfId="22403"/>
    <cellStyle name="Obliczenia 2 15 54" xfId="22404"/>
    <cellStyle name="Obliczenia 2 15 54 2" xfId="22405"/>
    <cellStyle name="Obliczenia 2 15 54 3" xfId="22406"/>
    <cellStyle name="Obliczenia 2 15 55" xfId="22407"/>
    <cellStyle name="Obliczenia 2 15 55 2" xfId="22408"/>
    <cellStyle name="Obliczenia 2 15 55 3" xfId="22409"/>
    <cellStyle name="Obliczenia 2 15 56" xfId="22410"/>
    <cellStyle name="Obliczenia 2 15 56 2" xfId="22411"/>
    <cellStyle name="Obliczenia 2 15 56 3" xfId="22412"/>
    <cellStyle name="Obliczenia 2 15 57" xfId="22413"/>
    <cellStyle name="Obliczenia 2 15 58" xfId="22414"/>
    <cellStyle name="Obliczenia 2 15 6" xfId="22415"/>
    <cellStyle name="Obliczenia 2 15 6 2" xfId="22416"/>
    <cellStyle name="Obliczenia 2 15 6 3" xfId="22417"/>
    <cellStyle name="Obliczenia 2 15 6 4" xfId="22418"/>
    <cellStyle name="Obliczenia 2 15 7" xfId="22419"/>
    <cellStyle name="Obliczenia 2 15 7 2" xfId="22420"/>
    <cellStyle name="Obliczenia 2 15 7 3" xfId="22421"/>
    <cellStyle name="Obliczenia 2 15 7 4" xfId="22422"/>
    <cellStyle name="Obliczenia 2 15 8" xfId="22423"/>
    <cellStyle name="Obliczenia 2 15 8 2" xfId="22424"/>
    <cellStyle name="Obliczenia 2 15 8 3" xfId="22425"/>
    <cellStyle name="Obliczenia 2 15 8 4" xfId="22426"/>
    <cellStyle name="Obliczenia 2 15 9" xfId="22427"/>
    <cellStyle name="Obliczenia 2 15 9 2" xfId="22428"/>
    <cellStyle name="Obliczenia 2 15 9 3" xfId="22429"/>
    <cellStyle name="Obliczenia 2 15 9 4" xfId="22430"/>
    <cellStyle name="Obliczenia 2 16" xfId="22431"/>
    <cellStyle name="Obliczenia 2 16 10" xfId="22432"/>
    <cellStyle name="Obliczenia 2 16 10 2" xfId="22433"/>
    <cellStyle name="Obliczenia 2 16 10 3" xfId="22434"/>
    <cellStyle name="Obliczenia 2 16 10 4" xfId="22435"/>
    <cellStyle name="Obliczenia 2 16 11" xfId="22436"/>
    <cellStyle name="Obliczenia 2 16 11 2" xfId="22437"/>
    <cellStyle name="Obliczenia 2 16 11 3" xfId="22438"/>
    <cellStyle name="Obliczenia 2 16 11 4" xfId="22439"/>
    <cellStyle name="Obliczenia 2 16 12" xfId="22440"/>
    <cellStyle name="Obliczenia 2 16 12 2" xfId="22441"/>
    <cellStyle name="Obliczenia 2 16 12 3" xfId="22442"/>
    <cellStyle name="Obliczenia 2 16 12 4" xfId="22443"/>
    <cellStyle name="Obliczenia 2 16 13" xfId="22444"/>
    <cellStyle name="Obliczenia 2 16 13 2" xfId="22445"/>
    <cellStyle name="Obliczenia 2 16 13 3" xfId="22446"/>
    <cellStyle name="Obliczenia 2 16 13 4" xfId="22447"/>
    <cellStyle name="Obliczenia 2 16 14" xfId="22448"/>
    <cellStyle name="Obliczenia 2 16 14 2" xfId="22449"/>
    <cellStyle name="Obliczenia 2 16 14 3" xfId="22450"/>
    <cellStyle name="Obliczenia 2 16 14 4" xfId="22451"/>
    <cellStyle name="Obliczenia 2 16 15" xfId="22452"/>
    <cellStyle name="Obliczenia 2 16 15 2" xfId="22453"/>
    <cellStyle name="Obliczenia 2 16 15 3" xfId="22454"/>
    <cellStyle name="Obliczenia 2 16 15 4" xfId="22455"/>
    <cellStyle name="Obliczenia 2 16 16" xfId="22456"/>
    <cellStyle name="Obliczenia 2 16 16 2" xfId="22457"/>
    <cellStyle name="Obliczenia 2 16 16 3" xfId="22458"/>
    <cellStyle name="Obliczenia 2 16 16 4" xfId="22459"/>
    <cellStyle name="Obliczenia 2 16 17" xfId="22460"/>
    <cellStyle name="Obliczenia 2 16 17 2" xfId="22461"/>
    <cellStyle name="Obliczenia 2 16 17 3" xfId="22462"/>
    <cellStyle name="Obliczenia 2 16 17 4" xfId="22463"/>
    <cellStyle name="Obliczenia 2 16 18" xfId="22464"/>
    <cellStyle name="Obliczenia 2 16 18 2" xfId="22465"/>
    <cellStyle name="Obliczenia 2 16 18 3" xfId="22466"/>
    <cellStyle name="Obliczenia 2 16 18 4" xfId="22467"/>
    <cellStyle name="Obliczenia 2 16 19" xfId="22468"/>
    <cellStyle name="Obliczenia 2 16 19 2" xfId="22469"/>
    <cellStyle name="Obliczenia 2 16 19 3" xfId="22470"/>
    <cellStyle name="Obliczenia 2 16 19 4" xfId="22471"/>
    <cellStyle name="Obliczenia 2 16 2" xfId="22472"/>
    <cellStyle name="Obliczenia 2 16 2 2" xfId="22473"/>
    <cellStyle name="Obliczenia 2 16 2 3" xfId="22474"/>
    <cellStyle name="Obliczenia 2 16 2 4" xfId="22475"/>
    <cellStyle name="Obliczenia 2 16 20" xfId="22476"/>
    <cellStyle name="Obliczenia 2 16 20 2" xfId="22477"/>
    <cellStyle name="Obliczenia 2 16 20 3" xfId="22478"/>
    <cellStyle name="Obliczenia 2 16 20 4" xfId="22479"/>
    <cellStyle name="Obliczenia 2 16 21" xfId="22480"/>
    <cellStyle name="Obliczenia 2 16 21 2" xfId="22481"/>
    <cellStyle name="Obliczenia 2 16 21 3" xfId="22482"/>
    <cellStyle name="Obliczenia 2 16 22" xfId="22483"/>
    <cellStyle name="Obliczenia 2 16 22 2" xfId="22484"/>
    <cellStyle name="Obliczenia 2 16 22 3" xfId="22485"/>
    <cellStyle name="Obliczenia 2 16 23" xfId="22486"/>
    <cellStyle name="Obliczenia 2 16 23 2" xfId="22487"/>
    <cellStyle name="Obliczenia 2 16 23 3" xfId="22488"/>
    <cellStyle name="Obliczenia 2 16 24" xfId="22489"/>
    <cellStyle name="Obliczenia 2 16 24 2" xfId="22490"/>
    <cellStyle name="Obliczenia 2 16 24 3" xfId="22491"/>
    <cellStyle name="Obliczenia 2 16 25" xfId="22492"/>
    <cellStyle name="Obliczenia 2 16 25 2" xfId="22493"/>
    <cellStyle name="Obliczenia 2 16 25 3" xfId="22494"/>
    <cellStyle name="Obliczenia 2 16 26" xfId="22495"/>
    <cellStyle name="Obliczenia 2 16 26 2" xfId="22496"/>
    <cellStyle name="Obliczenia 2 16 26 3" xfId="22497"/>
    <cellStyle name="Obliczenia 2 16 27" xfId="22498"/>
    <cellStyle name="Obliczenia 2 16 27 2" xfId="22499"/>
    <cellStyle name="Obliczenia 2 16 27 3" xfId="22500"/>
    <cellStyle name="Obliczenia 2 16 28" xfId="22501"/>
    <cellStyle name="Obliczenia 2 16 28 2" xfId="22502"/>
    <cellStyle name="Obliczenia 2 16 28 3" xfId="22503"/>
    <cellStyle name="Obliczenia 2 16 29" xfId="22504"/>
    <cellStyle name="Obliczenia 2 16 29 2" xfId="22505"/>
    <cellStyle name="Obliczenia 2 16 29 3" xfId="22506"/>
    <cellStyle name="Obliczenia 2 16 3" xfId="22507"/>
    <cellStyle name="Obliczenia 2 16 3 2" xfId="22508"/>
    <cellStyle name="Obliczenia 2 16 3 3" xfId="22509"/>
    <cellStyle name="Obliczenia 2 16 3 4" xfId="22510"/>
    <cellStyle name="Obliczenia 2 16 30" xfId="22511"/>
    <cellStyle name="Obliczenia 2 16 30 2" xfId="22512"/>
    <cellStyle name="Obliczenia 2 16 30 3" xfId="22513"/>
    <cellStyle name="Obliczenia 2 16 31" xfId="22514"/>
    <cellStyle name="Obliczenia 2 16 31 2" xfId="22515"/>
    <cellStyle name="Obliczenia 2 16 31 3" xfId="22516"/>
    <cellStyle name="Obliczenia 2 16 32" xfId="22517"/>
    <cellStyle name="Obliczenia 2 16 32 2" xfId="22518"/>
    <cellStyle name="Obliczenia 2 16 32 3" xfId="22519"/>
    <cellStyle name="Obliczenia 2 16 33" xfId="22520"/>
    <cellStyle name="Obliczenia 2 16 33 2" xfId="22521"/>
    <cellStyle name="Obliczenia 2 16 33 3" xfId="22522"/>
    <cellStyle name="Obliczenia 2 16 34" xfId="22523"/>
    <cellStyle name="Obliczenia 2 16 34 2" xfId="22524"/>
    <cellStyle name="Obliczenia 2 16 34 3" xfId="22525"/>
    <cellStyle name="Obliczenia 2 16 35" xfId="22526"/>
    <cellStyle name="Obliczenia 2 16 35 2" xfId="22527"/>
    <cellStyle name="Obliczenia 2 16 35 3" xfId="22528"/>
    <cellStyle name="Obliczenia 2 16 36" xfId="22529"/>
    <cellStyle name="Obliczenia 2 16 36 2" xfId="22530"/>
    <cellStyle name="Obliczenia 2 16 36 3" xfId="22531"/>
    <cellStyle name="Obliczenia 2 16 37" xfId="22532"/>
    <cellStyle name="Obliczenia 2 16 37 2" xfId="22533"/>
    <cellStyle name="Obliczenia 2 16 37 3" xfId="22534"/>
    <cellStyle name="Obliczenia 2 16 38" xfId="22535"/>
    <cellStyle name="Obliczenia 2 16 38 2" xfId="22536"/>
    <cellStyle name="Obliczenia 2 16 38 3" xfId="22537"/>
    <cellStyle name="Obliczenia 2 16 39" xfId="22538"/>
    <cellStyle name="Obliczenia 2 16 39 2" xfId="22539"/>
    <cellStyle name="Obliczenia 2 16 39 3" xfId="22540"/>
    <cellStyle name="Obliczenia 2 16 4" xfId="22541"/>
    <cellStyle name="Obliczenia 2 16 4 2" xfId="22542"/>
    <cellStyle name="Obliczenia 2 16 4 3" xfId="22543"/>
    <cellStyle name="Obliczenia 2 16 4 4" xfId="22544"/>
    <cellStyle name="Obliczenia 2 16 40" xfId="22545"/>
    <cellStyle name="Obliczenia 2 16 40 2" xfId="22546"/>
    <cellStyle name="Obliczenia 2 16 40 3" xfId="22547"/>
    <cellStyle name="Obliczenia 2 16 41" xfId="22548"/>
    <cellStyle name="Obliczenia 2 16 41 2" xfId="22549"/>
    <cellStyle name="Obliczenia 2 16 41 3" xfId="22550"/>
    <cellStyle name="Obliczenia 2 16 42" xfId="22551"/>
    <cellStyle name="Obliczenia 2 16 42 2" xfId="22552"/>
    <cellStyle name="Obliczenia 2 16 42 3" xfId="22553"/>
    <cellStyle name="Obliczenia 2 16 43" xfId="22554"/>
    <cellStyle name="Obliczenia 2 16 43 2" xfId="22555"/>
    <cellStyle name="Obliczenia 2 16 43 3" xfId="22556"/>
    <cellStyle name="Obliczenia 2 16 44" xfId="22557"/>
    <cellStyle name="Obliczenia 2 16 44 2" xfId="22558"/>
    <cellStyle name="Obliczenia 2 16 44 3" xfId="22559"/>
    <cellStyle name="Obliczenia 2 16 45" xfId="22560"/>
    <cellStyle name="Obliczenia 2 16 45 2" xfId="22561"/>
    <cellStyle name="Obliczenia 2 16 45 3" xfId="22562"/>
    <cellStyle name="Obliczenia 2 16 46" xfId="22563"/>
    <cellStyle name="Obliczenia 2 16 46 2" xfId="22564"/>
    <cellStyle name="Obliczenia 2 16 46 3" xfId="22565"/>
    <cellStyle name="Obliczenia 2 16 47" xfId="22566"/>
    <cellStyle name="Obliczenia 2 16 47 2" xfId="22567"/>
    <cellStyle name="Obliczenia 2 16 47 3" xfId="22568"/>
    <cellStyle name="Obliczenia 2 16 48" xfId="22569"/>
    <cellStyle name="Obliczenia 2 16 48 2" xfId="22570"/>
    <cellStyle name="Obliczenia 2 16 48 3" xfId="22571"/>
    <cellStyle name="Obliczenia 2 16 49" xfId="22572"/>
    <cellStyle name="Obliczenia 2 16 49 2" xfId="22573"/>
    <cellStyle name="Obliczenia 2 16 49 3" xfId="22574"/>
    <cellStyle name="Obliczenia 2 16 5" xfId="22575"/>
    <cellStyle name="Obliczenia 2 16 5 2" xfId="22576"/>
    <cellStyle name="Obliczenia 2 16 5 3" xfId="22577"/>
    <cellStyle name="Obliczenia 2 16 5 4" xfId="22578"/>
    <cellStyle name="Obliczenia 2 16 50" xfId="22579"/>
    <cellStyle name="Obliczenia 2 16 50 2" xfId="22580"/>
    <cellStyle name="Obliczenia 2 16 50 3" xfId="22581"/>
    <cellStyle name="Obliczenia 2 16 51" xfId="22582"/>
    <cellStyle name="Obliczenia 2 16 51 2" xfId="22583"/>
    <cellStyle name="Obliczenia 2 16 51 3" xfId="22584"/>
    <cellStyle name="Obliczenia 2 16 52" xfId="22585"/>
    <cellStyle name="Obliczenia 2 16 52 2" xfId="22586"/>
    <cellStyle name="Obliczenia 2 16 52 3" xfId="22587"/>
    <cellStyle name="Obliczenia 2 16 53" xfId="22588"/>
    <cellStyle name="Obliczenia 2 16 53 2" xfId="22589"/>
    <cellStyle name="Obliczenia 2 16 53 3" xfId="22590"/>
    <cellStyle name="Obliczenia 2 16 54" xfId="22591"/>
    <cellStyle name="Obliczenia 2 16 54 2" xfId="22592"/>
    <cellStyle name="Obliczenia 2 16 54 3" xfId="22593"/>
    <cellStyle name="Obliczenia 2 16 55" xfId="22594"/>
    <cellStyle name="Obliczenia 2 16 55 2" xfId="22595"/>
    <cellStyle name="Obliczenia 2 16 55 3" xfId="22596"/>
    <cellStyle name="Obliczenia 2 16 56" xfId="22597"/>
    <cellStyle name="Obliczenia 2 16 56 2" xfId="22598"/>
    <cellStyle name="Obliczenia 2 16 56 3" xfId="22599"/>
    <cellStyle name="Obliczenia 2 16 57" xfId="22600"/>
    <cellStyle name="Obliczenia 2 16 58" xfId="22601"/>
    <cellStyle name="Obliczenia 2 16 6" xfId="22602"/>
    <cellStyle name="Obliczenia 2 16 6 2" xfId="22603"/>
    <cellStyle name="Obliczenia 2 16 6 3" xfId="22604"/>
    <cellStyle name="Obliczenia 2 16 6 4" xfId="22605"/>
    <cellStyle name="Obliczenia 2 16 7" xfId="22606"/>
    <cellStyle name="Obliczenia 2 16 7 2" xfId="22607"/>
    <cellStyle name="Obliczenia 2 16 7 3" xfId="22608"/>
    <cellStyle name="Obliczenia 2 16 7 4" xfId="22609"/>
    <cellStyle name="Obliczenia 2 16 8" xfId="22610"/>
    <cellStyle name="Obliczenia 2 16 8 2" xfId="22611"/>
    <cellStyle name="Obliczenia 2 16 8 3" xfId="22612"/>
    <cellStyle name="Obliczenia 2 16 8 4" xfId="22613"/>
    <cellStyle name="Obliczenia 2 16 9" xfId="22614"/>
    <cellStyle name="Obliczenia 2 16 9 2" xfId="22615"/>
    <cellStyle name="Obliczenia 2 16 9 3" xfId="22616"/>
    <cellStyle name="Obliczenia 2 16 9 4" xfId="22617"/>
    <cellStyle name="Obliczenia 2 17" xfId="22618"/>
    <cellStyle name="Obliczenia 2 17 10" xfId="22619"/>
    <cellStyle name="Obliczenia 2 17 10 2" xfId="22620"/>
    <cellStyle name="Obliczenia 2 17 10 3" xfId="22621"/>
    <cellStyle name="Obliczenia 2 17 10 4" xfId="22622"/>
    <cellStyle name="Obliczenia 2 17 11" xfId="22623"/>
    <cellStyle name="Obliczenia 2 17 11 2" xfId="22624"/>
    <cellStyle name="Obliczenia 2 17 11 3" xfId="22625"/>
    <cellStyle name="Obliczenia 2 17 11 4" xfId="22626"/>
    <cellStyle name="Obliczenia 2 17 12" xfId="22627"/>
    <cellStyle name="Obliczenia 2 17 12 2" xfId="22628"/>
    <cellStyle name="Obliczenia 2 17 12 3" xfId="22629"/>
    <cellStyle name="Obliczenia 2 17 12 4" xfId="22630"/>
    <cellStyle name="Obliczenia 2 17 13" xfId="22631"/>
    <cellStyle name="Obliczenia 2 17 13 2" xfId="22632"/>
    <cellStyle name="Obliczenia 2 17 13 3" xfId="22633"/>
    <cellStyle name="Obliczenia 2 17 13 4" xfId="22634"/>
    <cellStyle name="Obliczenia 2 17 14" xfId="22635"/>
    <cellStyle name="Obliczenia 2 17 14 2" xfId="22636"/>
    <cellStyle name="Obliczenia 2 17 14 3" xfId="22637"/>
    <cellStyle name="Obliczenia 2 17 14 4" xfId="22638"/>
    <cellStyle name="Obliczenia 2 17 15" xfId="22639"/>
    <cellStyle name="Obliczenia 2 17 15 2" xfId="22640"/>
    <cellStyle name="Obliczenia 2 17 15 3" xfId="22641"/>
    <cellStyle name="Obliczenia 2 17 15 4" xfId="22642"/>
    <cellStyle name="Obliczenia 2 17 16" xfId="22643"/>
    <cellStyle name="Obliczenia 2 17 16 2" xfId="22644"/>
    <cellStyle name="Obliczenia 2 17 16 3" xfId="22645"/>
    <cellStyle name="Obliczenia 2 17 16 4" xfId="22646"/>
    <cellStyle name="Obliczenia 2 17 17" xfId="22647"/>
    <cellStyle name="Obliczenia 2 17 17 2" xfId="22648"/>
    <cellStyle name="Obliczenia 2 17 17 3" xfId="22649"/>
    <cellStyle name="Obliczenia 2 17 17 4" xfId="22650"/>
    <cellStyle name="Obliczenia 2 17 18" xfId="22651"/>
    <cellStyle name="Obliczenia 2 17 18 2" xfId="22652"/>
    <cellStyle name="Obliczenia 2 17 18 3" xfId="22653"/>
    <cellStyle name="Obliczenia 2 17 18 4" xfId="22654"/>
    <cellStyle name="Obliczenia 2 17 19" xfId="22655"/>
    <cellStyle name="Obliczenia 2 17 19 2" xfId="22656"/>
    <cellStyle name="Obliczenia 2 17 19 3" xfId="22657"/>
    <cellStyle name="Obliczenia 2 17 19 4" xfId="22658"/>
    <cellStyle name="Obliczenia 2 17 2" xfId="22659"/>
    <cellStyle name="Obliczenia 2 17 2 2" xfId="22660"/>
    <cellStyle name="Obliczenia 2 17 2 3" xfId="22661"/>
    <cellStyle name="Obliczenia 2 17 2 4" xfId="22662"/>
    <cellStyle name="Obliczenia 2 17 20" xfId="22663"/>
    <cellStyle name="Obliczenia 2 17 20 2" xfId="22664"/>
    <cellStyle name="Obliczenia 2 17 20 3" xfId="22665"/>
    <cellStyle name="Obliczenia 2 17 20 4" xfId="22666"/>
    <cellStyle name="Obliczenia 2 17 21" xfId="22667"/>
    <cellStyle name="Obliczenia 2 17 21 2" xfId="22668"/>
    <cellStyle name="Obliczenia 2 17 21 3" xfId="22669"/>
    <cellStyle name="Obliczenia 2 17 22" xfId="22670"/>
    <cellStyle name="Obliczenia 2 17 22 2" xfId="22671"/>
    <cellStyle name="Obliczenia 2 17 22 3" xfId="22672"/>
    <cellStyle name="Obliczenia 2 17 23" xfId="22673"/>
    <cellStyle name="Obliczenia 2 17 23 2" xfId="22674"/>
    <cellStyle name="Obliczenia 2 17 23 3" xfId="22675"/>
    <cellStyle name="Obliczenia 2 17 24" xfId="22676"/>
    <cellStyle name="Obliczenia 2 17 24 2" xfId="22677"/>
    <cellStyle name="Obliczenia 2 17 24 3" xfId="22678"/>
    <cellStyle name="Obliczenia 2 17 25" xfId="22679"/>
    <cellStyle name="Obliczenia 2 17 25 2" xfId="22680"/>
    <cellStyle name="Obliczenia 2 17 25 3" xfId="22681"/>
    <cellStyle name="Obliczenia 2 17 26" xfId="22682"/>
    <cellStyle name="Obliczenia 2 17 26 2" xfId="22683"/>
    <cellStyle name="Obliczenia 2 17 26 3" xfId="22684"/>
    <cellStyle name="Obliczenia 2 17 27" xfId="22685"/>
    <cellStyle name="Obliczenia 2 17 27 2" xfId="22686"/>
    <cellStyle name="Obliczenia 2 17 27 3" xfId="22687"/>
    <cellStyle name="Obliczenia 2 17 28" xfId="22688"/>
    <cellStyle name="Obliczenia 2 17 28 2" xfId="22689"/>
    <cellStyle name="Obliczenia 2 17 28 3" xfId="22690"/>
    <cellStyle name="Obliczenia 2 17 29" xfId="22691"/>
    <cellStyle name="Obliczenia 2 17 29 2" xfId="22692"/>
    <cellStyle name="Obliczenia 2 17 29 3" xfId="22693"/>
    <cellStyle name="Obliczenia 2 17 3" xfId="22694"/>
    <cellStyle name="Obliczenia 2 17 3 2" xfId="22695"/>
    <cellStyle name="Obliczenia 2 17 3 3" xfId="22696"/>
    <cellStyle name="Obliczenia 2 17 3 4" xfId="22697"/>
    <cellStyle name="Obliczenia 2 17 30" xfId="22698"/>
    <cellStyle name="Obliczenia 2 17 30 2" xfId="22699"/>
    <cellStyle name="Obliczenia 2 17 30 3" xfId="22700"/>
    <cellStyle name="Obliczenia 2 17 31" xfId="22701"/>
    <cellStyle name="Obliczenia 2 17 31 2" xfId="22702"/>
    <cellStyle name="Obliczenia 2 17 31 3" xfId="22703"/>
    <cellStyle name="Obliczenia 2 17 32" xfId="22704"/>
    <cellStyle name="Obliczenia 2 17 32 2" xfId="22705"/>
    <cellStyle name="Obliczenia 2 17 32 3" xfId="22706"/>
    <cellStyle name="Obliczenia 2 17 33" xfId="22707"/>
    <cellStyle name="Obliczenia 2 17 33 2" xfId="22708"/>
    <cellStyle name="Obliczenia 2 17 33 3" xfId="22709"/>
    <cellStyle name="Obliczenia 2 17 34" xfId="22710"/>
    <cellStyle name="Obliczenia 2 17 34 2" xfId="22711"/>
    <cellStyle name="Obliczenia 2 17 34 3" xfId="22712"/>
    <cellStyle name="Obliczenia 2 17 35" xfId="22713"/>
    <cellStyle name="Obliczenia 2 17 35 2" xfId="22714"/>
    <cellStyle name="Obliczenia 2 17 35 3" xfId="22715"/>
    <cellStyle name="Obliczenia 2 17 36" xfId="22716"/>
    <cellStyle name="Obliczenia 2 17 36 2" xfId="22717"/>
    <cellStyle name="Obliczenia 2 17 36 3" xfId="22718"/>
    <cellStyle name="Obliczenia 2 17 37" xfId="22719"/>
    <cellStyle name="Obliczenia 2 17 37 2" xfId="22720"/>
    <cellStyle name="Obliczenia 2 17 37 3" xfId="22721"/>
    <cellStyle name="Obliczenia 2 17 38" xfId="22722"/>
    <cellStyle name="Obliczenia 2 17 38 2" xfId="22723"/>
    <cellStyle name="Obliczenia 2 17 38 3" xfId="22724"/>
    <cellStyle name="Obliczenia 2 17 39" xfId="22725"/>
    <cellStyle name="Obliczenia 2 17 39 2" xfId="22726"/>
    <cellStyle name="Obliczenia 2 17 39 3" xfId="22727"/>
    <cellStyle name="Obliczenia 2 17 4" xfId="22728"/>
    <cellStyle name="Obliczenia 2 17 4 2" xfId="22729"/>
    <cellStyle name="Obliczenia 2 17 4 3" xfId="22730"/>
    <cellStyle name="Obliczenia 2 17 4 4" xfId="22731"/>
    <cellStyle name="Obliczenia 2 17 40" xfId="22732"/>
    <cellStyle name="Obliczenia 2 17 40 2" xfId="22733"/>
    <cellStyle name="Obliczenia 2 17 40 3" xfId="22734"/>
    <cellStyle name="Obliczenia 2 17 41" xfId="22735"/>
    <cellStyle name="Obliczenia 2 17 41 2" xfId="22736"/>
    <cellStyle name="Obliczenia 2 17 41 3" xfId="22737"/>
    <cellStyle name="Obliczenia 2 17 42" xfId="22738"/>
    <cellStyle name="Obliczenia 2 17 42 2" xfId="22739"/>
    <cellStyle name="Obliczenia 2 17 42 3" xfId="22740"/>
    <cellStyle name="Obliczenia 2 17 43" xfId="22741"/>
    <cellStyle name="Obliczenia 2 17 43 2" xfId="22742"/>
    <cellStyle name="Obliczenia 2 17 43 3" xfId="22743"/>
    <cellStyle name="Obliczenia 2 17 44" xfId="22744"/>
    <cellStyle name="Obliczenia 2 17 44 2" xfId="22745"/>
    <cellStyle name="Obliczenia 2 17 44 3" xfId="22746"/>
    <cellStyle name="Obliczenia 2 17 45" xfId="22747"/>
    <cellStyle name="Obliczenia 2 17 45 2" xfId="22748"/>
    <cellStyle name="Obliczenia 2 17 45 3" xfId="22749"/>
    <cellStyle name="Obliczenia 2 17 46" xfId="22750"/>
    <cellStyle name="Obliczenia 2 17 46 2" xfId="22751"/>
    <cellStyle name="Obliczenia 2 17 46 3" xfId="22752"/>
    <cellStyle name="Obliczenia 2 17 47" xfId="22753"/>
    <cellStyle name="Obliczenia 2 17 47 2" xfId="22754"/>
    <cellStyle name="Obliczenia 2 17 47 3" xfId="22755"/>
    <cellStyle name="Obliczenia 2 17 48" xfId="22756"/>
    <cellStyle name="Obliczenia 2 17 48 2" xfId="22757"/>
    <cellStyle name="Obliczenia 2 17 48 3" xfId="22758"/>
    <cellStyle name="Obliczenia 2 17 49" xfId="22759"/>
    <cellStyle name="Obliczenia 2 17 49 2" xfId="22760"/>
    <cellStyle name="Obliczenia 2 17 49 3" xfId="22761"/>
    <cellStyle name="Obliczenia 2 17 5" xfId="22762"/>
    <cellStyle name="Obliczenia 2 17 5 2" xfId="22763"/>
    <cellStyle name="Obliczenia 2 17 5 3" xfId="22764"/>
    <cellStyle name="Obliczenia 2 17 5 4" xfId="22765"/>
    <cellStyle name="Obliczenia 2 17 50" xfId="22766"/>
    <cellStyle name="Obliczenia 2 17 50 2" xfId="22767"/>
    <cellStyle name="Obliczenia 2 17 50 3" xfId="22768"/>
    <cellStyle name="Obliczenia 2 17 51" xfId="22769"/>
    <cellStyle name="Obliczenia 2 17 51 2" xfId="22770"/>
    <cellStyle name="Obliczenia 2 17 51 3" xfId="22771"/>
    <cellStyle name="Obliczenia 2 17 52" xfId="22772"/>
    <cellStyle name="Obliczenia 2 17 52 2" xfId="22773"/>
    <cellStyle name="Obliczenia 2 17 52 3" xfId="22774"/>
    <cellStyle name="Obliczenia 2 17 53" xfId="22775"/>
    <cellStyle name="Obliczenia 2 17 53 2" xfId="22776"/>
    <cellStyle name="Obliczenia 2 17 53 3" xfId="22777"/>
    <cellStyle name="Obliczenia 2 17 54" xfId="22778"/>
    <cellStyle name="Obliczenia 2 17 54 2" xfId="22779"/>
    <cellStyle name="Obliczenia 2 17 54 3" xfId="22780"/>
    <cellStyle name="Obliczenia 2 17 55" xfId="22781"/>
    <cellStyle name="Obliczenia 2 17 55 2" xfId="22782"/>
    <cellStyle name="Obliczenia 2 17 55 3" xfId="22783"/>
    <cellStyle name="Obliczenia 2 17 56" xfId="22784"/>
    <cellStyle name="Obliczenia 2 17 56 2" xfId="22785"/>
    <cellStyle name="Obliczenia 2 17 56 3" xfId="22786"/>
    <cellStyle name="Obliczenia 2 17 57" xfId="22787"/>
    <cellStyle name="Obliczenia 2 17 58" xfId="22788"/>
    <cellStyle name="Obliczenia 2 17 6" xfId="22789"/>
    <cellStyle name="Obliczenia 2 17 6 2" xfId="22790"/>
    <cellStyle name="Obliczenia 2 17 6 3" xfId="22791"/>
    <cellStyle name="Obliczenia 2 17 6 4" xfId="22792"/>
    <cellStyle name="Obliczenia 2 17 7" xfId="22793"/>
    <cellStyle name="Obliczenia 2 17 7 2" xfId="22794"/>
    <cellStyle name="Obliczenia 2 17 7 3" xfId="22795"/>
    <cellStyle name="Obliczenia 2 17 7 4" xfId="22796"/>
    <cellStyle name="Obliczenia 2 17 8" xfId="22797"/>
    <cellStyle name="Obliczenia 2 17 8 2" xfId="22798"/>
    <cellStyle name="Obliczenia 2 17 8 3" xfId="22799"/>
    <cellStyle name="Obliczenia 2 17 8 4" xfId="22800"/>
    <cellStyle name="Obliczenia 2 17 9" xfId="22801"/>
    <cellStyle name="Obliczenia 2 17 9 2" xfId="22802"/>
    <cellStyle name="Obliczenia 2 17 9 3" xfId="22803"/>
    <cellStyle name="Obliczenia 2 17 9 4" xfId="22804"/>
    <cellStyle name="Obliczenia 2 18" xfId="22805"/>
    <cellStyle name="Obliczenia 2 18 10" xfId="22806"/>
    <cellStyle name="Obliczenia 2 18 10 2" xfId="22807"/>
    <cellStyle name="Obliczenia 2 18 10 3" xfId="22808"/>
    <cellStyle name="Obliczenia 2 18 10 4" xfId="22809"/>
    <cellStyle name="Obliczenia 2 18 11" xfId="22810"/>
    <cellStyle name="Obliczenia 2 18 11 2" xfId="22811"/>
    <cellStyle name="Obliczenia 2 18 11 3" xfId="22812"/>
    <cellStyle name="Obliczenia 2 18 11 4" xfId="22813"/>
    <cellStyle name="Obliczenia 2 18 12" xfId="22814"/>
    <cellStyle name="Obliczenia 2 18 12 2" xfId="22815"/>
    <cellStyle name="Obliczenia 2 18 12 3" xfId="22816"/>
    <cellStyle name="Obliczenia 2 18 12 4" xfId="22817"/>
    <cellStyle name="Obliczenia 2 18 13" xfId="22818"/>
    <cellStyle name="Obliczenia 2 18 13 2" xfId="22819"/>
    <cellStyle name="Obliczenia 2 18 13 3" xfId="22820"/>
    <cellStyle name="Obliczenia 2 18 13 4" xfId="22821"/>
    <cellStyle name="Obliczenia 2 18 14" xfId="22822"/>
    <cellStyle name="Obliczenia 2 18 14 2" xfId="22823"/>
    <cellStyle name="Obliczenia 2 18 14 3" xfId="22824"/>
    <cellStyle name="Obliczenia 2 18 14 4" xfId="22825"/>
    <cellStyle name="Obliczenia 2 18 15" xfId="22826"/>
    <cellStyle name="Obliczenia 2 18 15 2" xfId="22827"/>
    <cellStyle name="Obliczenia 2 18 15 3" xfId="22828"/>
    <cellStyle name="Obliczenia 2 18 15 4" xfId="22829"/>
    <cellStyle name="Obliczenia 2 18 16" xfId="22830"/>
    <cellStyle name="Obliczenia 2 18 16 2" xfId="22831"/>
    <cellStyle name="Obliczenia 2 18 16 3" xfId="22832"/>
    <cellStyle name="Obliczenia 2 18 16 4" xfId="22833"/>
    <cellStyle name="Obliczenia 2 18 17" xfId="22834"/>
    <cellStyle name="Obliczenia 2 18 17 2" xfId="22835"/>
    <cellStyle name="Obliczenia 2 18 17 3" xfId="22836"/>
    <cellStyle name="Obliczenia 2 18 17 4" xfId="22837"/>
    <cellStyle name="Obliczenia 2 18 18" xfId="22838"/>
    <cellStyle name="Obliczenia 2 18 18 2" xfId="22839"/>
    <cellStyle name="Obliczenia 2 18 18 3" xfId="22840"/>
    <cellStyle name="Obliczenia 2 18 18 4" xfId="22841"/>
    <cellStyle name="Obliczenia 2 18 19" xfId="22842"/>
    <cellStyle name="Obliczenia 2 18 19 2" xfId="22843"/>
    <cellStyle name="Obliczenia 2 18 19 3" xfId="22844"/>
    <cellStyle name="Obliczenia 2 18 19 4" xfId="22845"/>
    <cellStyle name="Obliczenia 2 18 2" xfId="22846"/>
    <cellStyle name="Obliczenia 2 18 2 2" xfId="22847"/>
    <cellStyle name="Obliczenia 2 18 2 3" xfId="22848"/>
    <cellStyle name="Obliczenia 2 18 2 4" xfId="22849"/>
    <cellStyle name="Obliczenia 2 18 20" xfId="22850"/>
    <cellStyle name="Obliczenia 2 18 20 2" xfId="22851"/>
    <cellStyle name="Obliczenia 2 18 20 3" xfId="22852"/>
    <cellStyle name="Obliczenia 2 18 20 4" xfId="22853"/>
    <cellStyle name="Obliczenia 2 18 21" xfId="22854"/>
    <cellStyle name="Obliczenia 2 18 21 2" xfId="22855"/>
    <cellStyle name="Obliczenia 2 18 21 3" xfId="22856"/>
    <cellStyle name="Obliczenia 2 18 22" xfId="22857"/>
    <cellStyle name="Obliczenia 2 18 22 2" xfId="22858"/>
    <cellStyle name="Obliczenia 2 18 22 3" xfId="22859"/>
    <cellStyle name="Obliczenia 2 18 23" xfId="22860"/>
    <cellStyle name="Obliczenia 2 18 23 2" xfId="22861"/>
    <cellStyle name="Obliczenia 2 18 23 3" xfId="22862"/>
    <cellStyle name="Obliczenia 2 18 24" xfId="22863"/>
    <cellStyle name="Obliczenia 2 18 24 2" xfId="22864"/>
    <cellStyle name="Obliczenia 2 18 24 3" xfId="22865"/>
    <cellStyle name="Obliczenia 2 18 25" xfId="22866"/>
    <cellStyle name="Obliczenia 2 18 25 2" xfId="22867"/>
    <cellStyle name="Obliczenia 2 18 25 3" xfId="22868"/>
    <cellStyle name="Obliczenia 2 18 26" xfId="22869"/>
    <cellStyle name="Obliczenia 2 18 26 2" xfId="22870"/>
    <cellStyle name="Obliczenia 2 18 26 3" xfId="22871"/>
    <cellStyle name="Obliczenia 2 18 27" xfId="22872"/>
    <cellStyle name="Obliczenia 2 18 27 2" xfId="22873"/>
    <cellStyle name="Obliczenia 2 18 27 3" xfId="22874"/>
    <cellStyle name="Obliczenia 2 18 28" xfId="22875"/>
    <cellStyle name="Obliczenia 2 18 28 2" xfId="22876"/>
    <cellStyle name="Obliczenia 2 18 28 3" xfId="22877"/>
    <cellStyle name="Obliczenia 2 18 29" xfId="22878"/>
    <cellStyle name="Obliczenia 2 18 29 2" xfId="22879"/>
    <cellStyle name="Obliczenia 2 18 29 3" xfId="22880"/>
    <cellStyle name="Obliczenia 2 18 3" xfId="22881"/>
    <cellStyle name="Obliczenia 2 18 3 2" xfId="22882"/>
    <cellStyle name="Obliczenia 2 18 3 3" xfId="22883"/>
    <cellStyle name="Obliczenia 2 18 3 4" xfId="22884"/>
    <cellStyle name="Obliczenia 2 18 30" xfId="22885"/>
    <cellStyle name="Obliczenia 2 18 30 2" xfId="22886"/>
    <cellStyle name="Obliczenia 2 18 30 3" xfId="22887"/>
    <cellStyle name="Obliczenia 2 18 31" xfId="22888"/>
    <cellStyle name="Obliczenia 2 18 31 2" xfId="22889"/>
    <cellStyle name="Obliczenia 2 18 31 3" xfId="22890"/>
    <cellStyle name="Obliczenia 2 18 32" xfId="22891"/>
    <cellStyle name="Obliczenia 2 18 32 2" xfId="22892"/>
    <cellStyle name="Obliczenia 2 18 32 3" xfId="22893"/>
    <cellStyle name="Obliczenia 2 18 33" xfId="22894"/>
    <cellStyle name="Obliczenia 2 18 33 2" xfId="22895"/>
    <cellStyle name="Obliczenia 2 18 33 3" xfId="22896"/>
    <cellStyle name="Obliczenia 2 18 34" xfId="22897"/>
    <cellStyle name="Obliczenia 2 18 34 2" xfId="22898"/>
    <cellStyle name="Obliczenia 2 18 34 3" xfId="22899"/>
    <cellStyle name="Obliczenia 2 18 35" xfId="22900"/>
    <cellStyle name="Obliczenia 2 18 35 2" xfId="22901"/>
    <cellStyle name="Obliczenia 2 18 35 3" xfId="22902"/>
    <cellStyle name="Obliczenia 2 18 36" xfId="22903"/>
    <cellStyle name="Obliczenia 2 18 36 2" xfId="22904"/>
    <cellStyle name="Obliczenia 2 18 36 3" xfId="22905"/>
    <cellStyle name="Obliczenia 2 18 37" xfId="22906"/>
    <cellStyle name="Obliczenia 2 18 37 2" xfId="22907"/>
    <cellStyle name="Obliczenia 2 18 37 3" xfId="22908"/>
    <cellStyle name="Obliczenia 2 18 38" xfId="22909"/>
    <cellStyle name="Obliczenia 2 18 38 2" xfId="22910"/>
    <cellStyle name="Obliczenia 2 18 38 3" xfId="22911"/>
    <cellStyle name="Obliczenia 2 18 39" xfId="22912"/>
    <cellStyle name="Obliczenia 2 18 39 2" xfId="22913"/>
    <cellStyle name="Obliczenia 2 18 39 3" xfId="22914"/>
    <cellStyle name="Obliczenia 2 18 4" xfId="22915"/>
    <cellStyle name="Obliczenia 2 18 4 2" xfId="22916"/>
    <cellStyle name="Obliczenia 2 18 4 3" xfId="22917"/>
    <cellStyle name="Obliczenia 2 18 4 4" xfId="22918"/>
    <cellStyle name="Obliczenia 2 18 40" xfId="22919"/>
    <cellStyle name="Obliczenia 2 18 40 2" xfId="22920"/>
    <cellStyle name="Obliczenia 2 18 40 3" xfId="22921"/>
    <cellStyle name="Obliczenia 2 18 41" xfId="22922"/>
    <cellStyle name="Obliczenia 2 18 41 2" xfId="22923"/>
    <cellStyle name="Obliczenia 2 18 41 3" xfId="22924"/>
    <cellStyle name="Obliczenia 2 18 42" xfId="22925"/>
    <cellStyle name="Obliczenia 2 18 42 2" xfId="22926"/>
    <cellStyle name="Obliczenia 2 18 42 3" xfId="22927"/>
    <cellStyle name="Obliczenia 2 18 43" xfId="22928"/>
    <cellStyle name="Obliczenia 2 18 43 2" xfId="22929"/>
    <cellStyle name="Obliczenia 2 18 43 3" xfId="22930"/>
    <cellStyle name="Obliczenia 2 18 44" xfId="22931"/>
    <cellStyle name="Obliczenia 2 18 44 2" xfId="22932"/>
    <cellStyle name="Obliczenia 2 18 44 3" xfId="22933"/>
    <cellStyle name="Obliczenia 2 18 45" xfId="22934"/>
    <cellStyle name="Obliczenia 2 18 45 2" xfId="22935"/>
    <cellStyle name="Obliczenia 2 18 45 3" xfId="22936"/>
    <cellStyle name="Obliczenia 2 18 46" xfId="22937"/>
    <cellStyle name="Obliczenia 2 18 46 2" xfId="22938"/>
    <cellStyle name="Obliczenia 2 18 46 3" xfId="22939"/>
    <cellStyle name="Obliczenia 2 18 47" xfId="22940"/>
    <cellStyle name="Obliczenia 2 18 47 2" xfId="22941"/>
    <cellStyle name="Obliczenia 2 18 47 3" xfId="22942"/>
    <cellStyle name="Obliczenia 2 18 48" xfId="22943"/>
    <cellStyle name="Obliczenia 2 18 48 2" xfId="22944"/>
    <cellStyle name="Obliczenia 2 18 48 3" xfId="22945"/>
    <cellStyle name="Obliczenia 2 18 49" xfId="22946"/>
    <cellStyle name="Obliczenia 2 18 49 2" xfId="22947"/>
    <cellStyle name="Obliczenia 2 18 49 3" xfId="22948"/>
    <cellStyle name="Obliczenia 2 18 5" xfId="22949"/>
    <cellStyle name="Obliczenia 2 18 5 2" xfId="22950"/>
    <cellStyle name="Obliczenia 2 18 5 3" xfId="22951"/>
    <cellStyle name="Obliczenia 2 18 5 4" xfId="22952"/>
    <cellStyle name="Obliczenia 2 18 50" xfId="22953"/>
    <cellStyle name="Obliczenia 2 18 50 2" xfId="22954"/>
    <cellStyle name="Obliczenia 2 18 50 3" xfId="22955"/>
    <cellStyle name="Obliczenia 2 18 51" xfId="22956"/>
    <cellStyle name="Obliczenia 2 18 51 2" xfId="22957"/>
    <cellStyle name="Obliczenia 2 18 51 3" xfId="22958"/>
    <cellStyle name="Obliczenia 2 18 52" xfId="22959"/>
    <cellStyle name="Obliczenia 2 18 52 2" xfId="22960"/>
    <cellStyle name="Obliczenia 2 18 52 3" xfId="22961"/>
    <cellStyle name="Obliczenia 2 18 53" xfId="22962"/>
    <cellStyle name="Obliczenia 2 18 53 2" xfId="22963"/>
    <cellStyle name="Obliczenia 2 18 53 3" xfId="22964"/>
    <cellStyle name="Obliczenia 2 18 54" xfId="22965"/>
    <cellStyle name="Obliczenia 2 18 54 2" xfId="22966"/>
    <cellStyle name="Obliczenia 2 18 54 3" xfId="22967"/>
    <cellStyle name="Obliczenia 2 18 55" xfId="22968"/>
    <cellStyle name="Obliczenia 2 18 55 2" xfId="22969"/>
    <cellStyle name="Obliczenia 2 18 55 3" xfId="22970"/>
    <cellStyle name="Obliczenia 2 18 56" xfId="22971"/>
    <cellStyle name="Obliczenia 2 18 56 2" xfId="22972"/>
    <cellStyle name="Obliczenia 2 18 56 3" xfId="22973"/>
    <cellStyle name="Obliczenia 2 18 57" xfId="22974"/>
    <cellStyle name="Obliczenia 2 18 58" xfId="22975"/>
    <cellStyle name="Obliczenia 2 18 6" xfId="22976"/>
    <cellStyle name="Obliczenia 2 18 6 2" xfId="22977"/>
    <cellStyle name="Obliczenia 2 18 6 3" xfId="22978"/>
    <cellStyle name="Obliczenia 2 18 6 4" xfId="22979"/>
    <cellStyle name="Obliczenia 2 18 7" xfId="22980"/>
    <cellStyle name="Obliczenia 2 18 7 2" xfId="22981"/>
    <cellStyle name="Obliczenia 2 18 7 3" xfId="22982"/>
    <cellStyle name="Obliczenia 2 18 7 4" xfId="22983"/>
    <cellStyle name="Obliczenia 2 18 8" xfId="22984"/>
    <cellStyle name="Obliczenia 2 18 8 2" xfId="22985"/>
    <cellStyle name="Obliczenia 2 18 8 3" xfId="22986"/>
    <cellStyle name="Obliczenia 2 18 8 4" xfId="22987"/>
    <cellStyle name="Obliczenia 2 18 9" xfId="22988"/>
    <cellStyle name="Obliczenia 2 18 9 2" xfId="22989"/>
    <cellStyle name="Obliczenia 2 18 9 3" xfId="22990"/>
    <cellStyle name="Obliczenia 2 18 9 4" xfId="22991"/>
    <cellStyle name="Obliczenia 2 19" xfId="22992"/>
    <cellStyle name="Obliczenia 2 19 10" xfId="22993"/>
    <cellStyle name="Obliczenia 2 19 10 2" xfId="22994"/>
    <cellStyle name="Obliczenia 2 19 10 3" xfId="22995"/>
    <cellStyle name="Obliczenia 2 19 10 4" xfId="22996"/>
    <cellStyle name="Obliczenia 2 19 11" xfId="22997"/>
    <cellStyle name="Obliczenia 2 19 11 2" xfId="22998"/>
    <cellStyle name="Obliczenia 2 19 11 3" xfId="22999"/>
    <cellStyle name="Obliczenia 2 19 11 4" xfId="23000"/>
    <cellStyle name="Obliczenia 2 19 12" xfId="23001"/>
    <cellStyle name="Obliczenia 2 19 12 2" xfId="23002"/>
    <cellStyle name="Obliczenia 2 19 12 3" xfId="23003"/>
    <cellStyle name="Obliczenia 2 19 12 4" xfId="23004"/>
    <cellStyle name="Obliczenia 2 19 13" xfId="23005"/>
    <cellStyle name="Obliczenia 2 19 13 2" xfId="23006"/>
    <cellStyle name="Obliczenia 2 19 13 3" xfId="23007"/>
    <cellStyle name="Obliczenia 2 19 13 4" xfId="23008"/>
    <cellStyle name="Obliczenia 2 19 14" xfId="23009"/>
    <cellStyle name="Obliczenia 2 19 14 2" xfId="23010"/>
    <cellStyle name="Obliczenia 2 19 14 3" xfId="23011"/>
    <cellStyle name="Obliczenia 2 19 14 4" xfId="23012"/>
    <cellStyle name="Obliczenia 2 19 15" xfId="23013"/>
    <cellStyle name="Obliczenia 2 19 15 2" xfId="23014"/>
    <cellStyle name="Obliczenia 2 19 15 3" xfId="23015"/>
    <cellStyle name="Obliczenia 2 19 15 4" xfId="23016"/>
    <cellStyle name="Obliczenia 2 19 16" xfId="23017"/>
    <cellStyle name="Obliczenia 2 19 16 2" xfId="23018"/>
    <cellStyle name="Obliczenia 2 19 16 3" xfId="23019"/>
    <cellStyle name="Obliczenia 2 19 16 4" xfId="23020"/>
    <cellStyle name="Obliczenia 2 19 17" xfId="23021"/>
    <cellStyle name="Obliczenia 2 19 17 2" xfId="23022"/>
    <cellStyle name="Obliczenia 2 19 17 3" xfId="23023"/>
    <cellStyle name="Obliczenia 2 19 17 4" xfId="23024"/>
    <cellStyle name="Obliczenia 2 19 18" xfId="23025"/>
    <cellStyle name="Obliczenia 2 19 18 2" xfId="23026"/>
    <cellStyle name="Obliczenia 2 19 18 3" xfId="23027"/>
    <cellStyle name="Obliczenia 2 19 18 4" xfId="23028"/>
    <cellStyle name="Obliczenia 2 19 19" xfId="23029"/>
    <cellStyle name="Obliczenia 2 19 19 2" xfId="23030"/>
    <cellStyle name="Obliczenia 2 19 19 3" xfId="23031"/>
    <cellStyle name="Obliczenia 2 19 19 4" xfId="23032"/>
    <cellStyle name="Obliczenia 2 19 2" xfId="23033"/>
    <cellStyle name="Obliczenia 2 19 2 2" xfId="23034"/>
    <cellStyle name="Obliczenia 2 19 2 3" xfId="23035"/>
    <cellStyle name="Obliczenia 2 19 2 4" xfId="23036"/>
    <cellStyle name="Obliczenia 2 19 20" xfId="23037"/>
    <cellStyle name="Obliczenia 2 19 20 2" xfId="23038"/>
    <cellStyle name="Obliczenia 2 19 20 3" xfId="23039"/>
    <cellStyle name="Obliczenia 2 19 20 4" xfId="23040"/>
    <cellStyle name="Obliczenia 2 19 21" xfId="23041"/>
    <cellStyle name="Obliczenia 2 19 21 2" xfId="23042"/>
    <cellStyle name="Obliczenia 2 19 21 3" xfId="23043"/>
    <cellStyle name="Obliczenia 2 19 22" xfId="23044"/>
    <cellStyle name="Obliczenia 2 19 22 2" xfId="23045"/>
    <cellStyle name="Obliczenia 2 19 22 3" xfId="23046"/>
    <cellStyle name="Obliczenia 2 19 23" xfId="23047"/>
    <cellStyle name="Obliczenia 2 19 23 2" xfId="23048"/>
    <cellStyle name="Obliczenia 2 19 23 3" xfId="23049"/>
    <cellStyle name="Obliczenia 2 19 24" xfId="23050"/>
    <cellStyle name="Obliczenia 2 19 24 2" xfId="23051"/>
    <cellStyle name="Obliczenia 2 19 24 3" xfId="23052"/>
    <cellStyle name="Obliczenia 2 19 25" xfId="23053"/>
    <cellStyle name="Obliczenia 2 19 25 2" xfId="23054"/>
    <cellStyle name="Obliczenia 2 19 25 3" xfId="23055"/>
    <cellStyle name="Obliczenia 2 19 26" xfId="23056"/>
    <cellStyle name="Obliczenia 2 19 26 2" xfId="23057"/>
    <cellStyle name="Obliczenia 2 19 26 3" xfId="23058"/>
    <cellStyle name="Obliczenia 2 19 27" xfId="23059"/>
    <cellStyle name="Obliczenia 2 19 27 2" xfId="23060"/>
    <cellStyle name="Obliczenia 2 19 27 3" xfId="23061"/>
    <cellStyle name="Obliczenia 2 19 28" xfId="23062"/>
    <cellStyle name="Obliczenia 2 19 28 2" xfId="23063"/>
    <cellStyle name="Obliczenia 2 19 28 3" xfId="23064"/>
    <cellStyle name="Obliczenia 2 19 29" xfId="23065"/>
    <cellStyle name="Obliczenia 2 19 29 2" xfId="23066"/>
    <cellStyle name="Obliczenia 2 19 29 3" xfId="23067"/>
    <cellStyle name="Obliczenia 2 19 3" xfId="23068"/>
    <cellStyle name="Obliczenia 2 19 3 2" xfId="23069"/>
    <cellStyle name="Obliczenia 2 19 3 3" xfId="23070"/>
    <cellStyle name="Obliczenia 2 19 3 4" xfId="23071"/>
    <cellStyle name="Obliczenia 2 19 30" xfId="23072"/>
    <cellStyle name="Obliczenia 2 19 30 2" xfId="23073"/>
    <cellStyle name="Obliczenia 2 19 30 3" xfId="23074"/>
    <cellStyle name="Obliczenia 2 19 31" xfId="23075"/>
    <cellStyle name="Obliczenia 2 19 31 2" xfId="23076"/>
    <cellStyle name="Obliczenia 2 19 31 3" xfId="23077"/>
    <cellStyle name="Obliczenia 2 19 32" xfId="23078"/>
    <cellStyle name="Obliczenia 2 19 32 2" xfId="23079"/>
    <cellStyle name="Obliczenia 2 19 32 3" xfId="23080"/>
    <cellStyle name="Obliczenia 2 19 33" xfId="23081"/>
    <cellStyle name="Obliczenia 2 19 33 2" xfId="23082"/>
    <cellStyle name="Obliczenia 2 19 33 3" xfId="23083"/>
    <cellStyle name="Obliczenia 2 19 34" xfId="23084"/>
    <cellStyle name="Obliczenia 2 19 34 2" xfId="23085"/>
    <cellStyle name="Obliczenia 2 19 34 3" xfId="23086"/>
    <cellStyle name="Obliczenia 2 19 35" xfId="23087"/>
    <cellStyle name="Obliczenia 2 19 35 2" xfId="23088"/>
    <cellStyle name="Obliczenia 2 19 35 3" xfId="23089"/>
    <cellStyle name="Obliczenia 2 19 36" xfId="23090"/>
    <cellStyle name="Obliczenia 2 19 36 2" xfId="23091"/>
    <cellStyle name="Obliczenia 2 19 36 3" xfId="23092"/>
    <cellStyle name="Obliczenia 2 19 37" xfId="23093"/>
    <cellStyle name="Obliczenia 2 19 37 2" xfId="23094"/>
    <cellStyle name="Obliczenia 2 19 37 3" xfId="23095"/>
    <cellStyle name="Obliczenia 2 19 38" xfId="23096"/>
    <cellStyle name="Obliczenia 2 19 38 2" xfId="23097"/>
    <cellStyle name="Obliczenia 2 19 38 3" xfId="23098"/>
    <cellStyle name="Obliczenia 2 19 39" xfId="23099"/>
    <cellStyle name="Obliczenia 2 19 39 2" xfId="23100"/>
    <cellStyle name="Obliczenia 2 19 39 3" xfId="23101"/>
    <cellStyle name="Obliczenia 2 19 4" xfId="23102"/>
    <cellStyle name="Obliczenia 2 19 4 2" xfId="23103"/>
    <cellStyle name="Obliczenia 2 19 4 3" xfId="23104"/>
    <cellStyle name="Obliczenia 2 19 4 4" xfId="23105"/>
    <cellStyle name="Obliczenia 2 19 40" xfId="23106"/>
    <cellStyle name="Obliczenia 2 19 40 2" xfId="23107"/>
    <cellStyle name="Obliczenia 2 19 40 3" xfId="23108"/>
    <cellStyle name="Obliczenia 2 19 41" xfId="23109"/>
    <cellStyle name="Obliczenia 2 19 41 2" xfId="23110"/>
    <cellStyle name="Obliczenia 2 19 41 3" xfId="23111"/>
    <cellStyle name="Obliczenia 2 19 42" xfId="23112"/>
    <cellStyle name="Obliczenia 2 19 42 2" xfId="23113"/>
    <cellStyle name="Obliczenia 2 19 42 3" xfId="23114"/>
    <cellStyle name="Obliczenia 2 19 43" xfId="23115"/>
    <cellStyle name="Obliczenia 2 19 43 2" xfId="23116"/>
    <cellStyle name="Obliczenia 2 19 43 3" xfId="23117"/>
    <cellStyle name="Obliczenia 2 19 44" xfId="23118"/>
    <cellStyle name="Obliczenia 2 19 44 2" xfId="23119"/>
    <cellStyle name="Obliczenia 2 19 44 3" xfId="23120"/>
    <cellStyle name="Obliczenia 2 19 45" xfId="23121"/>
    <cellStyle name="Obliczenia 2 19 45 2" xfId="23122"/>
    <cellStyle name="Obliczenia 2 19 45 3" xfId="23123"/>
    <cellStyle name="Obliczenia 2 19 46" xfId="23124"/>
    <cellStyle name="Obliczenia 2 19 46 2" xfId="23125"/>
    <cellStyle name="Obliczenia 2 19 46 3" xfId="23126"/>
    <cellStyle name="Obliczenia 2 19 47" xfId="23127"/>
    <cellStyle name="Obliczenia 2 19 47 2" xfId="23128"/>
    <cellStyle name="Obliczenia 2 19 47 3" xfId="23129"/>
    <cellStyle name="Obliczenia 2 19 48" xfId="23130"/>
    <cellStyle name="Obliczenia 2 19 48 2" xfId="23131"/>
    <cellStyle name="Obliczenia 2 19 48 3" xfId="23132"/>
    <cellStyle name="Obliczenia 2 19 49" xfId="23133"/>
    <cellStyle name="Obliczenia 2 19 49 2" xfId="23134"/>
    <cellStyle name="Obliczenia 2 19 49 3" xfId="23135"/>
    <cellStyle name="Obliczenia 2 19 5" xfId="23136"/>
    <cellStyle name="Obliczenia 2 19 5 2" xfId="23137"/>
    <cellStyle name="Obliczenia 2 19 5 3" xfId="23138"/>
    <cellStyle name="Obliczenia 2 19 5 4" xfId="23139"/>
    <cellStyle name="Obliczenia 2 19 50" xfId="23140"/>
    <cellStyle name="Obliczenia 2 19 50 2" xfId="23141"/>
    <cellStyle name="Obliczenia 2 19 50 3" xfId="23142"/>
    <cellStyle name="Obliczenia 2 19 51" xfId="23143"/>
    <cellStyle name="Obliczenia 2 19 51 2" xfId="23144"/>
    <cellStyle name="Obliczenia 2 19 51 3" xfId="23145"/>
    <cellStyle name="Obliczenia 2 19 52" xfId="23146"/>
    <cellStyle name="Obliczenia 2 19 52 2" xfId="23147"/>
    <cellStyle name="Obliczenia 2 19 52 3" xfId="23148"/>
    <cellStyle name="Obliczenia 2 19 53" xfId="23149"/>
    <cellStyle name="Obliczenia 2 19 53 2" xfId="23150"/>
    <cellStyle name="Obliczenia 2 19 53 3" xfId="23151"/>
    <cellStyle name="Obliczenia 2 19 54" xfId="23152"/>
    <cellStyle name="Obliczenia 2 19 54 2" xfId="23153"/>
    <cellStyle name="Obliczenia 2 19 54 3" xfId="23154"/>
    <cellStyle name="Obliczenia 2 19 55" xfId="23155"/>
    <cellStyle name="Obliczenia 2 19 55 2" xfId="23156"/>
    <cellStyle name="Obliczenia 2 19 55 3" xfId="23157"/>
    <cellStyle name="Obliczenia 2 19 56" xfId="23158"/>
    <cellStyle name="Obliczenia 2 19 56 2" xfId="23159"/>
    <cellStyle name="Obliczenia 2 19 56 3" xfId="23160"/>
    <cellStyle name="Obliczenia 2 19 57" xfId="23161"/>
    <cellStyle name="Obliczenia 2 19 58" xfId="23162"/>
    <cellStyle name="Obliczenia 2 19 6" xfId="23163"/>
    <cellStyle name="Obliczenia 2 19 6 2" xfId="23164"/>
    <cellStyle name="Obliczenia 2 19 6 3" xfId="23165"/>
    <cellStyle name="Obliczenia 2 19 6 4" xfId="23166"/>
    <cellStyle name="Obliczenia 2 19 7" xfId="23167"/>
    <cellStyle name="Obliczenia 2 19 7 2" xfId="23168"/>
    <cellStyle name="Obliczenia 2 19 7 3" xfId="23169"/>
    <cellStyle name="Obliczenia 2 19 7 4" xfId="23170"/>
    <cellStyle name="Obliczenia 2 19 8" xfId="23171"/>
    <cellStyle name="Obliczenia 2 19 8 2" xfId="23172"/>
    <cellStyle name="Obliczenia 2 19 8 3" xfId="23173"/>
    <cellStyle name="Obliczenia 2 19 8 4" xfId="23174"/>
    <cellStyle name="Obliczenia 2 19 9" xfId="23175"/>
    <cellStyle name="Obliczenia 2 19 9 2" xfId="23176"/>
    <cellStyle name="Obliczenia 2 19 9 3" xfId="23177"/>
    <cellStyle name="Obliczenia 2 19 9 4" xfId="23178"/>
    <cellStyle name="Obliczenia 2 2" xfId="23179"/>
    <cellStyle name="Obliczenia 2 2 10" xfId="23180"/>
    <cellStyle name="Obliczenia 2 2 10 2" xfId="23181"/>
    <cellStyle name="Obliczenia 2 2 10 3" xfId="23182"/>
    <cellStyle name="Obliczenia 2 2 10 4" xfId="23183"/>
    <cellStyle name="Obliczenia 2 2 11" xfId="23184"/>
    <cellStyle name="Obliczenia 2 2 11 2" xfId="23185"/>
    <cellStyle name="Obliczenia 2 2 11 3" xfId="23186"/>
    <cellStyle name="Obliczenia 2 2 11 4" xfId="23187"/>
    <cellStyle name="Obliczenia 2 2 12" xfId="23188"/>
    <cellStyle name="Obliczenia 2 2 12 2" xfId="23189"/>
    <cellStyle name="Obliczenia 2 2 12 3" xfId="23190"/>
    <cellStyle name="Obliczenia 2 2 12 4" xfId="23191"/>
    <cellStyle name="Obliczenia 2 2 13" xfId="23192"/>
    <cellStyle name="Obliczenia 2 2 13 2" xfId="23193"/>
    <cellStyle name="Obliczenia 2 2 13 3" xfId="23194"/>
    <cellStyle name="Obliczenia 2 2 13 4" xfId="23195"/>
    <cellStyle name="Obliczenia 2 2 14" xfId="23196"/>
    <cellStyle name="Obliczenia 2 2 14 2" xfId="23197"/>
    <cellStyle name="Obliczenia 2 2 14 3" xfId="23198"/>
    <cellStyle name="Obliczenia 2 2 14 4" xfId="23199"/>
    <cellStyle name="Obliczenia 2 2 15" xfId="23200"/>
    <cellStyle name="Obliczenia 2 2 15 2" xfId="23201"/>
    <cellStyle name="Obliczenia 2 2 15 3" xfId="23202"/>
    <cellStyle name="Obliczenia 2 2 15 4" xfId="23203"/>
    <cellStyle name="Obliczenia 2 2 16" xfId="23204"/>
    <cellStyle name="Obliczenia 2 2 16 2" xfId="23205"/>
    <cellStyle name="Obliczenia 2 2 16 3" xfId="23206"/>
    <cellStyle name="Obliczenia 2 2 16 4" xfId="23207"/>
    <cellStyle name="Obliczenia 2 2 17" xfId="23208"/>
    <cellStyle name="Obliczenia 2 2 17 2" xfId="23209"/>
    <cellStyle name="Obliczenia 2 2 17 3" xfId="23210"/>
    <cellStyle name="Obliczenia 2 2 17 4" xfId="23211"/>
    <cellStyle name="Obliczenia 2 2 18" xfId="23212"/>
    <cellStyle name="Obliczenia 2 2 18 2" xfId="23213"/>
    <cellStyle name="Obliczenia 2 2 18 3" xfId="23214"/>
    <cellStyle name="Obliczenia 2 2 18 4" xfId="23215"/>
    <cellStyle name="Obliczenia 2 2 19" xfId="23216"/>
    <cellStyle name="Obliczenia 2 2 19 2" xfId="23217"/>
    <cellStyle name="Obliczenia 2 2 19 3" xfId="23218"/>
    <cellStyle name="Obliczenia 2 2 19 4" xfId="23219"/>
    <cellStyle name="Obliczenia 2 2 2" xfId="23220"/>
    <cellStyle name="Obliczenia 2 2 2 2" xfId="23221"/>
    <cellStyle name="Obliczenia 2 2 2 3" xfId="23222"/>
    <cellStyle name="Obliczenia 2 2 2 4" xfId="23223"/>
    <cellStyle name="Obliczenia 2 2 20" xfId="23224"/>
    <cellStyle name="Obliczenia 2 2 20 2" xfId="23225"/>
    <cellStyle name="Obliczenia 2 2 20 3" xfId="23226"/>
    <cellStyle name="Obliczenia 2 2 20 4" xfId="23227"/>
    <cellStyle name="Obliczenia 2 2 21" xfId="23228"/>
    <cellStyle name="Obliczenia 2 2 21 2" xfId="23229"/>
    <cellStyle name="Obliczenia 2 2 21 3" xfId="23230"/>
    <cellStyle name="Obliczenia 2 2 22" xfId="23231"/>
    <cellStyle name="Obliczenia 2 2 22 2" xfId="23232"/>
    <cellStyle name="Obliczenia 2 2 22 3" xfId="23233"/>
    <cellStyle name="Obliczenia 2 2 23" xfId="23234"/>
    <cellStyle name="Obliczenia 2 2 23 2" xfId="23235"/>
    <cellStyle name="Obliczenia 2 2 23 3" xfId="23236"/>
    <cellStyle name="Obliczenia 2 2 24" xfId="23237"/>
    <cellStyle name="Obliczenia 2 2 24 2" xfId="23238"/>
    <cellStyle name="Obliczenia 2 2 24 3" xfId="23239"/>
    <cellStyle name="Obliczenia 2 2 25" xfId="23240"/>
    <cellStyle name="Obliczenia 2 2 25 2" xfId="23241"/>
    <cellStyle name="Obliczenia 2 2 25 3" xfId="23242"/>
    <cellStyle name="Obliczenia 2 2 26" xfId="23243"/>
    <cellStyle name="Obliczenia 2 2 26 2" xfId="23244"/>
    <cellStyle name="Obliczenia 2 2 26 3" xfId="23245"/>
    <cellStyle name="Obliczenia 2 2 27" xfId="23246"/>
    <cellStyle name="Obliczenia 2 2 27 2" xfId="23247"/>
    <cellStyle name="Obliczenia 2 2 27 3" xfId="23248"/>
    <cellStyle name="Obliczenia 2 2 28" xfId="23249"/>
    <cellStyle name="Obliczenia 2 2 28 2" xfId="23250"/>
    <cellStyle name="Obliczenia 2 2 28 3" xfId="23251"/>
    <cellStyle name="Obliczenia 2 2 29" xfId="23252"/>
    <cellStyle name="Obliczenia 2 2 29 2" xfId="23253"/>
    <cellStyle name="Obliczenia 2 2 29 3" xfId="23254"/>
    <cellStyle name="Obliczenia 2 2 3" xfId="23255"/>
    <cellStyle name="Obliczenia 2 2 3 2" xfId="23256"/>
    <cellStyle name="Obliczenia 2 2 3 3" xfId="23257"/>
    <cellStyle name="Obliczenia 2 2 3 4" xfId="23258"/>
    <cellStyle name="Obliczenia 2 2 30" xfId="23259"/>
    <cellStyle name="Obliczenia 2 2 30 2" xfId="23260"/>
    <cellStyle name="Obliczenia 2 2 30 3" xfId="23261"/>
    <cellStyle name="Obliczenia 2 2 31" xfId="23262"/>
    <cellStyle name="Obliczenia 2 2 31 2" xfId="23263"/>
    <cellStyle name="Obliczenia 2 2 31 3" xfId="23264"/>
    <cellStyle name="Obliczenia 2 2 32" xfId="23265"/>
    <cellStyle name="Obliczenia 2 2 32 2" xfId="23266"/>
    <cellStyle name="Obliczenia 2 2 32 3" xfId="23267"/>
    <cellStyle name="Obliczenia 2 2 33" xfId="23268"/>
    <cellStyle name="Obliczenia 2 2 33 2" xfId="23269"/>
    <cellStyle name="Obliczenia 2 2 33 3" xfId="23270"/>
    <cellStyle name="Obliczenia 2 2 34" xfId="23271"/>
    <cellStyle name="Obliczenia 2 2 34 2" xfId="23272"/>
    <cellStyle name="Obliczenia 2 2 34 3" xfId="23273"/>
    <cellStyle name="Obliczenia 2 2 35" xfId="23274"/>
    <cellStyle name="Obliczenia 2 2 35 2" xfId="23275"/>
    <cellStyle name="Obliczenia 2 2 35 3" xfId="23276"/>
    <cellStyle name="Obliczenia 2 2 36" xfId="23277"/>
    <cellStyle name="Obliczenia 2 2 36 2" xfId="23278"/>
    <cellStyle name="Obliczenia 2 2 36 3" xfId="23279"/>
    <cellStyle name="Obliczenia 2 2 37" xfId="23280"/>
    <cellStyle name="Obliczenia 2 2 37 2" xfId="23281"/>
    <cellStyle name="Obliczenia 2 2 37 3" xfId="23282"/>
    <cellStyle name="Obliczenia 2 2 38" xfId="23283"/>
    <cellStyle name="Obliczenia 2 2 38 2" xfId="23284"/>
    <cellStyle name="Obliczenia 2 2 38 3" xfId="23285"/>
    <cellStyle name="Obliczenia 2 2 39" xfId="23286"/>
    <cellStyle name="Obliczenia 2 2 39 2" xfId="23287"/>
    <cellStyle name="Obliczenia 2 2 39 3" xfId="23288"/>
    <cellStyle name="Obliczenia 2 2 4" xfId="23289"/>
    <cellStyle name="Obliczenia 2 2 4 2" xfId="23290"/>
    <cellStyle name="Obliczenia 2 2 4 3" xfId="23291"/>
    <cellStyle name="Obliczenia 2 2 4 4" xfId="23292"/>
    <cellStyle name="Obliczenia 2 2 40" xfId="23293"/>
    <cellStyle name="Obliczenia 2 2 40 2" xfId="23294"/>
    <cellStyle name="Obliczenia 2 2 40 3" xfId="23295"/>
    <cellStyle name="Obliczenia 2 2 41" xfId="23296"/>
    <cellStyle name="Obliczenia 2 2 41 2" xfId="23297"/>
    <cellStyle name="Obliczenia 2 2 41 3" xfId="23298"/>
    <cellStyle name="Obliczenia 2 2 42" xfId="23299"/>
    <cellStyle name="Obliczenia 2 2 42 2" xfId="23300"/>
    <cellStyle name="Obliczenia 2 2 42 3" xfId="23301"/>
    <cellStyle name="Obliczenia 2 2 43" xfId="23302"/>
    <cellStyle name="Obliczenia 2 2 43 2" xfId="23303"/>
    <cellStyle name="Obliczenia 2 2 43 3" xfId="23304"/>
    <cellStyle name="Obliczenia 2 2 44" xfId="23305"/>
    <cellStyle name="Obliczenia 2 2 44 2" xfId="23306"/>
    <cellStyle name="Obliczenia 2 2 44 3" xfId="23307"/>
    <cellStyle name="Obliczenia 2 2 45" xfId="23308"/>
    <cellStyle name="Obliczenia 2 2 45 2" xfId="23309"/>
    <cellStyle name="Obliczenia 2 2 45 3" xfId="23310"/>
    <cellStyle name="Obliczenia 2 2 46" xfId="23311"/>
    <cellStyle name="Obliczenia 2 2 46 2" xfId="23312"/>
    <cellStyle name="Obliczenia 2 2 46 3" xfId="23313"/>
    <cellStyle name="Obliczenia 2 2 47" xfId="23314"/>
    <cellStyle name="Obliczenia 2 2 47 2" xfId="23315"/>
    <cellStyle name="Obliczenia 2 2 47 3" xfId="23316"/>
    <cellStyle name="Obliczenia 2 2 48" xfId="23317"/>
    <cellStyle name="Obliczenia 2 2 48 2" xfId="23318"/>
    <cellStyle name="Obliczenia 2 2 48 3" xfId="23319"/>
    <cellStyle name="Obliczenia 2 2 49" xfId="23320"/>
    <cellStyle name="Obliczenia 2 2 49 2" xfId="23321"/>
    <cellStyle name="Obliczenia 2 2 49 3" xfId="23322"/>
    <cellStyle name="Obliczenia 2 2 5" xfId="23323"/>
    <cellStyle name="Obliczenia 2 2 5 2" xfId="23324"/>
    <cellStyle name="Obliczenia 2 2 5 3" xfId="23325"/>
    <cellStyle name="Obliczenia 2 2 5 4" xfId="23326"/>
    <cellStyle name="Obliczenia 2 2 50" xfId="23327"/>
    <cellStyle name="Obliczenia 2 2 50 2" xfId="23328"/>
    <cellStyle name="Obliczenia 2 2 50 3" xfId="23329"/>
    <cellStyle name="Obliczenia 2 2 51" xfId="23330"/>
    <cellStyle name="Obliczenia 2 2 51 2" xfId="23331"/>
    <cellStyle name="Obliczenia 2 2 51 3" xfId="23332"/>
    <cellStyle name="Obliczenia 2 2 52" xfId="23333"/>
    <cellStyle name="Obliczenia 2 2 52 2" xfId="23334"/>
    <cellStyle name="Obliczenia 2 2 52 3" xfId="23335"/>
    <cellStyle name="Obliczenia 2 2 53" xfId="23336"/>
    <cellStyle name="Obliczenia 2 2 53 2" xfId="23337"/>
    <cellStyle name="Obliczenia 2 2 53 3" xfId="23338"/>
    <cellStyle name="Obliczenia 2 2 54" xfId="23339"/>
    <cellStyle name="Obliczenia 2 2 54 2" xfId="23340"/>
    <cellStyle name="Obliczenia 2 2 54 3" xfId="23341"/>
    <cellStyle name="Obliczenia 2 2 55" xfId="23342"/>
    <cellStyle name="Obliczenia 2 2 55 2" xfId="23343"/>
    <cellStyle name="Obliczenia 2 2 55 3" xfId="23344"/>
    <cellStyle name="Obliczenia 2 2 56" xfId="23345"/>
    <cellStyle name="Obliczenia 2 2 56 2" xfId="23346"/>
    <cellStyle name="Obliczenia 2 2 56 3" xfId="23347"/>
    <cellStyle name="Obliczenia 2 2 57" xfId="23348"/>
    <cellStyle name="Obliczenia 2 2 58" xfId="23349"/>
    <cellStyle name="Obliczenia 2 2 59" xfId="23350"/>
    <cellStyle name="Obliczenia 2 2 6" xfId="23351"/>
    <cellStyle name="Obliczenia 2 2 6 2" xfId="23352"/>
    <cellStyle name="Obliczenia 2 2 6 3" xfId="23353"/>
    <cellStyle name="Obliczenia 2 2 6 4" xfId="23354"/>
    <cellStyle name="Obliczenia 2 2 7" xfId="23355"/>
    <cellStyle name="Obliczenia 2 2 7 2" xfId="23356"/>
    <cellStyle name="Obliczenia 2 2 7 3" xfId="23357"/>
    <cellStyle name="Obliczenia 2 2 7 4" xfId="23358"/>
    <cellStyle name="Obliczenia 2 2 8" xfId="23359"/>
    <cellStyle name="Obliczenia 2 2 8 2" xfId="23360"/>
    <cellStyle name="Obliczenia 2 2 8 3" xfId="23361"/>
    <cellStyle name="Obliczenia 2 2 8 4" xfId="23362"/>
    <cellStyle name="Obliczenia 2 2 9" xfId="23363"/>
    <cellStyle name="Obliczenia 2 2 9 2" xfId="23364"/>
    <cellStyle name="Obliczenia 2 2 9 3" xfId="23365"/>
    <cellStyle name="Obliczenia 2 2 9 4" xfId="23366"/>
    <cellStyle name="Obliczenia 2 20" xfId="23367"/>
    <cellStyle name="Obliczenia 2 20 10" xfId="23368"/>
    <cellStyle name="Obliczenia 2 20 10 2" xfId="23369"/>
    <cellStyle name="Obliczenia 2 20 10 3" xfId="23370"/>
    <cellStyle name="Obliczenia 2 20 10 4" xfId="23371"/>
    <cellStyle name="Obliczenia 2 20 11" xfId="23372"/>
    <cellStyle name="Obliczenia 2 20 11 2" xfId="23373"/>
    <cellStyle name="Obliczenia 2 20 11 3" xfId="23374"/>
    <cellStyle name="Obliczenia 2 20 11 4" xfId="23375"/>
    <cellStyle name="Obliczenia 2 20 12" xfId="23376"/>
    <cellStyle name="Obliczenia 2 20 12 2" xfId="23377"/>
    <cellStyle name="Obliczenia 2 20 12 3" xfId="23378"/>
    <cellStyle name="Obliczenia 2 20 12 4" xfId="23379"/>
    <cellStyle name="Obliczenia 2 20 13" xfId="23380"/>
    <cellStyle name="Obliczenia 2 20 13 2" xfId="23381"/>
    <cellStyle name="Obliczenia 2 20 13 3" xfId="23382"/>
    <cellStyle name="Obliczenia 2 20 13 4" xfId="23383"/>
    <cellStyle name="Obliczenia 2 20 14" xfId="23384"/>
    <cellStyle name="Obliczenia 2 20 14 2" xfId="23385"/>
    <cellStyle name="Obliczenia 2 20 14 3" xfId="23386"/>
    <cellStyle name="Obliczenia 2 20 14 4" xfId="23387"/>
    <cellStyle name="Obliczenia 2 20 15" xfId="23388"/>
    <cellStyle name="Obliczenia 2 20 15 2" xfId="23389"/>
    <cellStyle name="Obliczenia 2 20 15 3" xfId="23390"/>
    <cellStyle name="Obliczenia 2 20 15 4" xfId="23391"/>
    <cellStyle name="Obliczenia 2 20 16" xfId="23392"/>
    <cellStyle name="Obliczenia 2 20 16 2" xfId="23393"/>
    <cellStyle name="Obliczenia 2 20 16 3" xfId="23394"/>
    <cellStyle name="Obliczenia 2 20 16 4" xfId="23395"/>
    <cellStyle name="Obliczenia 2 20 17" xfId="23396"/>
    <cellStyle name="Obliczenia 2 20 17 2" xfId="23397"/>
    <cellStyle name="Obliczenia 2 20 17 3" xfId="23398"/>
    <cellStyle name="Obliczenia 2 20 17 4" xfId="23399"/>
    <cellStyle name="Obliczenia 2 20 18" xfId="23400"/>
    <cellStyle name="Obliczenia 2 20 18 2" xfId="23401"/>
    <cellStyle name="Obliczenia 2 20 18 3" xfId="23402"/>
    <cellStyle name="Obliczenia 2 20 18 4" xfId="23403"/>
    <cellStyle name="Obliczenia 2 20 19" xfId="23404"/>
    <cellStyle name="Obliczenia 2 20 19 2" xfId="23405"/>
    <cellStyle name="Obliczenia 2 20 19 3" xfId="23406"/>
    <cellStyle name="Obliczenia 2 20 19 4" xfId="23407"/>
    <cellStyle name="Obliczenia 2 20 2" xfId="23408"/>
    <cellStyle name="Obliczenia 2 20 2 2" xfId="23409"/>
    <cellStyle name="Obliczenia 2 20 2 3" xfId="23410"/>
    <cellStyle name="Obliczenia 2 20 2 4" xfId="23411"/>
    <cellStyle name="Obliczenia 2 20 20" xfId="23412"/>
    <cellStyle name="Obliczenia 2 20 20 2" xfId="23413"/>
    <cellStyle name="Obliczenia 2 20 20 3" xfId="23414"/>
    <cellStyle name="Obliczenia 2 20 20 4" xfId="23415"/>
    <cellStyle name="Obliczenia 2 20 21" xfId="23416"/>
    <cellStyle name="Obliczenia 2 20 21 2" xfId="23417"/>
    <cellStyle name="Obliczenia 2 20 21 3" xfId="23418"/>
    <cellStyle name="Obliczenia 2 20 22" xfId="23419"/>
    <cellStyle name="Obliczenia 2 20 22 2" xfId="23420"/>
    <cellStyle name="Obliczenia 2 20 22 3" xfId="23421"/>
    <cellStyle name="Obliczenia 2 20 23" xfId="23422"/>
    <cellStyle name="Obliczenia 2 20 23 2" xfId="23423"/>
    <cellStyle name="Obliczenia 2 20 23 3" xfId="23424"/>
    <cellStyle name="Obliczenia 2 20 24" xfId="23425"/>
    <cellStyle name="Obliczenia 2 20 24 2" xfId="23426"/>
    <cellStyle name="Obliczenia 2 20 24 3" xfId="23427"/>
    <cellStyle name="Obliczenia 2 20 25" xfId="23428"/>
    <cellStyle name="Obliczenia 2 20 25 2" xfId="23429"/>
    <cellStyle name="Obliczenia 2 20 25 3" xfId="23430"/>
    <cellStyle name="Obliczenia 2 20 26" xfId="23431"/>
    <cellStyle name="Obliczenia 2 20 26 2" xfId="23432"/>
    <cellStyle name="Obliczenia 2 20 26 3" xfId="23433"/>
    <cellStyle name="Obliczenia 2 20 27" xfId="23434"/>
    <cellStyle name="Obliczenia 2 20 27 2" xfId="23435"/>
    <cellStyle name="Obliczenia 2 20 27 3" xfId="23436"/>
    <cellStyle name="Obliczenia 2 20 28" xfId="23437"/>
    <cellStyle name="Obliczenia 2 20 28 2" xfId="23438"/>
    <cellStyle name="Obliczenia 2 20 28 3" xfId="23439"/>
    <cellStyle name="Obliczenia 2 20 29" xfId="23440"/>
    <cellStyle name="Obliczenia 2 20 29 2" xfId="23441"/>
    <cellStyle name="Obliczenia 2 20 29 3" xfId="23442"/>
    <cellStyle name="Obliczenia 2 20 3" xfId="23443"/>
    <cellStyle name="Obliczenia 2 20 3 2" xfId="23444"/>
    <cellStyle name="Obliczenia 2 20 3 3" xfId="23445"/>
    <cellStyle name="Obliczenia 2 20 3 4" xfId="23446"/>
    <cellStyle name="Obliczenia 2 20 30" xfId="23447"/>
    <cellStyle name="Obliczenia 2 20 30 2" xfId="23448"/>
    <cellStyle name="Obliczenia 2 20 30 3" xfId="23449"/>
    <cellStyle name="Obliczenia 2 20 31" xfId="23450"/>
    <cellStyle name="Obliczenia 2 20 31 2" xfId="23451"/>
    <cellStyle name="Obliczenia 2 20 31 3" xfId="23452"/>
    <cellStyle name="Obliczenia 2 20 32" xfId="23453"/>
    <cellStyle name="Obliczenia 2 20 32 2" xfId="23454"/>
    <cellStyle name="Obliczenia 2 20 32 3" xfId="23455"/>
    <cellStyle name="Obliczenia 2 20 33" xfId="23456"/>
    <cellStyle name="Obliczenia 2 20 33 2" xfId="23457"/>
    <cellStyle name="Obliczenia 2 20 33 3" xfId="23458"/>
    <cellStyle name="Obliczenia 2 20 34" xfId="23459"/>
    <cellStyle name="Obliczenia 2 20 34 2" xfId="23460"/>
    <cellStyle name="Obliczenia 2 20 34 3" xfId="23461"/>
    <cellStyle name="Obliczenia 2 20 35" xfId="23462"/>
    <cellStyle name="Obliczenia 2 20 35 2" xfId="23463"/>
    <cellStyle name="Obliczenia 2 20 35 3" xfId="23464"/>
    <cellStyle name="Obliczenia 2 20 36" xfId="23465"/>
    <cellStyle name="Obliczenia 2 20 36 2" xfId="23466"/>
    <cellStyle name="Obliczenia 2 20 36 3" xfId="23467"/>
    <cellStyle name="Obliczenia 2 20 37" xfId="23468"/>
    <cellStyle name="Obliczenia 2 20 37 2" xfId="23469"/>
    <cellStyle name="Obliczenia 2 20 37 3" xfId="23470"/>
    <cellStyle name="Obliczenia 2 20 38" xfId="23471"/>
    <cellStyle name="Obliczenia 2 20 38 2" xfId="23472"/>
    <cellStyle name="Obliczenia 2 20 38 3" xfId="23473"/>
    <cellStyle name="Obliczenia 2 20 39" xfId="23474"/>
    <cellStyle name="Obliczenia 2 20 39 2" xfId="23475"/>
    <cellStyle name="Obliczenia 2 20 39 3" xfId="23476"/>
    <cellStyle name="Obliczenia 2 20 4" xfId="23477"/>
    <cellStyle name="Obliczenia 2 20 4 2" xfId="23478"/>
    <cellStyle name="Obliczenia 2 20 4 3" xfId="23479"/>
    <cellStyle name="Obliczenia 2 20 4 4" xfId="23480"/>
    <cellStyle name="Obliczenia 2 20 40" xfId="23481"/>
    <cellStyle name="Obliczenia 2 20 40 2" xfId="23482"/>
    <cellStyle name="Obliczenia 2 20 40 3" xfId="23483"/>
    <cellStyle name="Obliczenia 2 20 41" xfId="23484"/>
    <cellStyle name="Obliczenia 2 20 41 2" xfId="23485"/>
    <cellStyle name="Obliczenia 2 20 41 3" xfId="23486"/>
    <cellStyle name="Obliczenia 2 20 42" xfId="23487"/>
    <cellStyle name="Obliczenia 2 20 42 2" xfId="23488"/>
    <cellStyle name="Obliczenia 2 20 42 3" xfId="23489"/>
    <cellStyle name="Obliczenia 2 20 43" xfId="23490"/>
    <cellStyle name="Obliczenia 2 20 43 2" xfId="23491"/>
    <cellStyle name="Obliczenia 2 20 43 3" xfId="23492"/>
    <cellStyle name="Obliczenia 2 20 44" xfId="23493"/>
    <cellStyle name="Obliczenia 2 20 44 2" xfId="23494"/>
    <cellStyle name="Obliczenia 2 20 44 3" xfId="23495"/>
    <cellStyle name="Obliczenia 2 20 45" xfId="23496"/>
    <cellStyle name="Obliczenia 2 20 45 2" xfId="23497"/>
    <cellStyle name="Obliczenia 2 20 45 3" xfId="23498"/>
    <cellStyle name="Obliczenia 2 20 46" xfId="23499"/>
    <cellStyle name="Obliczenia 2 20 46 2" xfId="23500"/>
    <cellStyle name="Obliczenia 2 20 46 3" xfId="23501"/>
    <cellStyle name="Obliczenia 2 20 47" xfId="23502"/>
    <cellStyle name="Obliczenia 2 20 47 2" xfId="23503"/>
    <cellStyle name="Obliczenia 2 20 47 3" xfId="23504"/>
    <cellStyle name="Obliczenia 2 20 48" xfId="23505"/>
    <cellStyle name="Obliczenia 2 20 48 2" xfId="23506"/>
    <cellStyle name="Obliczenia 2 20 48 3" xfId="23507"/>
    <cellStyle name="Obliczenia 2 20 49" xfId="23508"/>
    <cellStyle name="Obliczenia 2 20 49 2" xfId="23509"/>
    <cellStyle name="Obliczenia 2 20 49 3" xfId="23510"/>
    <cellStyle name="Obliczenia 2 20 5" xfId="23511"/>
    <cellStyle name="Obliczenia 2 20 5 2" xfId="23512"/>
    <cellStyle name="Obliczenia 2 20 5 3" xfId="23513"/>
    <cellStyle name="Obliczenia 2 20 5 4" xfId="23514"/>
    <cellStyle name="Obliczenia 2 20 50" xfId="23515"/>
    <cellStyle name="Obliczenia 2 20 50 2" xfId="23516"/>
    <cellStyle name="Obliczenia 2 20 50 3" xfId="23517"/>
    <cellStyle name="Obliczenia 2 20 51" xfId="23518"/>
    <cellStyle name="Obliczenia 2 20 51 2" xfId="23519"/>
    <cellStyle name="Obliczenia 2 20 51 3" xfId="23520"/>
    <cellStyle name="Obliczenia 2 20 52" xfId="23521"/>
    <cellStyle name="Obliczenia 2 20 52 2" xfId="23522"/>
    <cellStyle name="Obliczenia 2 20 52 3" xfId="23523"/>
    <cellStyle name="Obliczenia 2 20 53" xfId="23524"/>
    <cellStyle name="Obliczenia 2 20 53 2" xfId="23525"/>
    <cellStyle name="Obliczenia 2 20 53 3" xfId="23526"/>
    <cellStyle name="Obliczenia 2 20 54" xfId="23527"/>
    <cellStyle name="Obliczenia 2 20 54 2" xfId="23528"/>
    <cellStyle name="Obliczenia 2 20 54 3" xfId="23529"/>
    <cellStyle name="Obliczenia 2 20 55" xfId="23530"/>
    <cellStyle name="Obliczenia 2 20 55 2" xfId="23531"/>
    <cellStyle name="Obliczenia 2 20 55 3" xfId="23532"/>
    <cellStyle name="Obliczenia 2 20 56" xfId="23533"/>
    <cellStyle name="Obliczenia 2 20 56 2" xfId="23534"/>
    <cellStyle name="Obliczenia 2 20 56 3" xfId="23535"/>
    <cellStyle name="Obliczenia 2 20 57" xfId="23536"/>
    <cellStyle name="Obliczenia 2 20 58" xfId="23537"/>
    <cellStyle name="Obliczenia 2 20 6" xfId="23538"/>
    <cellStyle name="Obliczenia 2 20 6 2" xfId="23539"/>
    <cellStyle name="Obliczenia 2 20 6 3" xfId="23540"/>
    <cellStyle name="Obliczenia 2 20 6 4" xfId="23541"/>
    <cellStyle name="Obliczenia 2 20 7" xfId="23542"/>
    <cellStyle name="Obliczenia 2 20 7 2" xfId="23543"/>
    <cellStyle name="Obliczenia 2 20 7 3" xfId="23544"/>
    <cellStyle name="Obliczenia 2 20 7 4" xfId="23545"/>
    <cellStyle name="Obliczenia 2 20 8" xfId="23546"/>
    <cellStyle name="Obliczenia 2 20 8 2" xfId="23547"/>
    <cellStyle name="Obliczenia 2 20 8 3" xfId="23548"/>
    <cellStyle name="Obliczenia 2 20 8 4" xfId="23549"/>
    <cellStyle name="Obliczenia 2 20 9" xfId="23550"/>
    <cellStyle name="Obliczenia 2 20 9 2" xfId="23551"/>
    <cellStyle name="Obliczenia 2 20 9 3" xfId="23552"/>
    <cellStyle name="Obliczenia 2 20 9 4" xfId="23553"/>
    <cellStyle name="Obliczenia 2 21" xfId="23554"/>
    <cellStyle name="Obliczenia 2 21 10" xfId="23555"/>
    <cellStyle name="Obliczenia 2 21 10 2" xfId="23556"/>
    <cellStyle name="Obliczenia 2 21 10 3" xfId="23557"/>
    <cellStyle name="Obliczenia 2 21 10 4" xfId="23558"/>
    <cellStyle name="Obliczenia 2 21 11" xfId="23559"/>
    <cellStyle name="Obliczenia 2 21 11 2" xfId="23560"/>
    <cellStyle name="Obliczenia 2 21 11 3" xfId="23561"/>
    <cellStyle name="Obliczenia 2 21 11 4" xfId="23562"/>
    <cellStyle name="Obliczenia 2 21 12" xfId="23563"/>
    <cellStyle name="Obliczenia 2 21 12 2" xfId="23564"/>
    <cellStyle name="Obliczenia 2 21 12 3" xfId="23565"/>
    <cellStyle name="Obliczenia 2 21 12 4" xfId="23566"/>
    <cellStyle name="Obliczenia 2 21 13" xfId="23567"/>
    <cellStyle name="Obliczenia 2 21 13 2" xfId="23568"/>
    <cellStyle name="Obliczenia 2 21 13 3" xfId="23569"/>
    <cellStyle name="Obliczenia 2 21 13 4" xfId="23570"/>
    <cellStyle name="Obliczenia 2 21 14" xfId="23571"/>
    <cellStyle name="Obliczenia 2 21 14 2" xfId="23572"/>
    <cellStyle name="Obliczenia 2 21 14 3" xfId="23573"/>
    <cellStyle name="Obliczenia 2 21 14 4" xfId="23574"/>
    <cellStyle name="Obliczenia 2 21 15" xfId="23575"/>
    <cellStyle name="Obliczenia 2 21 15 2" xfId="23576"/>
    <cellStyle name="Obliczenia 2 21 15 3" xfId="23577"/>
    <cellStyle name="Obliczenia 2 21 15 4" xfId="23578"/>
    <cellStyle name="Obliczenia 2 21 16" xfId="23579"/>
    <cellStyle name="Obliczenia 2 21 16 2" xfId="23580"/>
    <cellStyle name="Obliczenia 2 21 16 3" xfId="23581"/>
    <cellStyle name="Obliczenia 2 21 16 4" xfId="23582"/>
    <cellStyle name="Obliczenia 2 21 17" xfId="23583"/>
    <cellStyle name="Obliczenia 2 21 17 2" xfId="23584"/>
    <cellStyle name="Obliczenia 2 21 17 3" xfId="23585"/>
    <cellStyle name="Obliczenia 2 21 17 4" xfId="23586"/>
    <cellStyle name="Obliczenia 2 21 18" xfId="23587"/>
    <cellStyle name="Obliczenia 2 21 18 2" xfId="23588"/>
    <cellStyle name="Obliczenia 2 21 18 3" xfId="23589"/>
    <cellStyle name="Obliczenia 2 21 18 4" xfId="23590"/>
    <cellStyle name="Obliczenia 2 21 19" xfId="23591"/>
    <cellStyle name="Obliczenia 2 21 19 2" xfId="23592"/>
    <cellStyle name="Obliczenia 2 21 19 3" xfId="23593"/>
    <cellStyle name="Obliczenia 2 21 19 4" xfId="23594"/>
    <cellStyle name="Obliczenia 2 21 2" xfId="23595"/>
    <cellStyle name="Obliczenia 2 21 2 2" xfId="23596"/>
    <cellStyle name="Obliczenia 2 21 2 3" xfId="23597"/>
    <cellStyle name="Obliczenia 2 21 2 4" xfId="23598"/>
    <cellStyle name="Obliczenia 2 21 20" xfId="23599"/>
    <cellStyle name="Obliczenia 2 21 20 2" xfId="23600"/>
    <cellStyle name="Obliczenia 2 21 20 3" xfId="23601"/>
    <cellStyle name="Obliczenia 2 21 20 4" xfId="23602"/>
    <cellStyle name="Obliczenia 2 21 21" xfId="23603"/>
    <cellStyle name="Obliczenia 2 21 21 2" xfId="23604"/>
    <cellStyle name="Obliczenia 2 21 21 3" xfId="23605"/>
    <cellStyle name="Obliczenia 2 21 22" xfId="23606"/>
    <cellStyle name="Obliczenia 2 21 22 2" xfId="23607"/>
    <cellStyle name="Obliczenia 2 21 22 3" xfId="23608"/>
    <cellStyle name="Obliczenia 2 21 23" xfId="23609"/>
    <cellStyle name="Obliczenia 2 21 23 2" xfId="23610"/>
    <cellStyle name="Obliczenia 2 21 23 3" xfId="23611"/>
    <cellStyle name="Obliczenia 2 21 24" xfId="23612"/>
    <cellStyle name="Obliczenia 2 21 24 2" xfId="23613"/>
    <cellStyle name="Obliczenia 2 21 24 3" xfId="23614"/>
    <cellStyle name="Obliczenia 2 21 25" xfId="23615"/>
    <cellStyle name="Obliczenia 2 21 25 2" xfId="23616"/>
    <cellStyle name="Obliczenia 2 21 25 3" xfId="23617"/>
    <cellStyle name="Obliczenia 2 21 26" xfId="23618"/>
    <cellStyle name="Obliczenia 2 21 26 2" xfId="23619"/>
    <cellStyle name="Obliczenia 2 21 26 3" xfId="23620"/>
    <cellStyle name="Obliczenia 2 21 27" xfId="23621"/>
    <cellStyle name="Obliczenia 2 21 27 2" xfId="23622"/>
    <cellStyle name="Obliczenia 2 21 27 3" xfId="23623"/>
    <cellStyle name="Obliczenia 2 21 28" xfId="23624"/>
    <cellStyle name="Obliczenia 2 21 28 2" xfId="23625"/>
    <cellStyle name="Obliczenia 2 21 28 3" xfId="23626"/>
    <cellStyle name="Obliczenia 2 21 29" xfId="23627"/>
    <cellStyle name="Obliczenia 2 21 29 2" xfId="23628"/>
    <cellStyle name="Obliczenia 2 21 29 3" xfId="23629"/>
    <cellStyle name="Obliczenia 2 21 3" xfId="23630"/>
    <cellStyle name="Obliczenia 2 21 3 2" xfId="23631"/>
    <cellStyle name="Obliczenia 2 21 3 3" xfId="23632"/>
    <cellStyle name="Obliczenia 2 21 3 4" xfId="23633"/>
    <cellStyle name="Obliczenia 2 21 30" xfId="23634"/>
    <cellStyle name="Obliczenia 2 21 30 2" xfId="23635"/>
    <cellStyle name="Obliczenia 2 21 30 3" xfId="23636"/>
    <cellStyle name="Obliczenia 2 21 31" xfId="23637"/>
    <cellStyle name="Obliczenia 2 21 31 2" xfId="23638"/>
    <cellStyle name="Obliczenia 2 21 31 3" xfId="23639"/>
    <cellStyle name="Obliczenia 2 21 32" xfId="23640"/>
    <cellStyle name="Obliczenia 2 21 32 2" xfId="23641"/>
    <cellStyle name="Obliczenia 2 21 32 3" xfId="23642"/>
    <cellStyle name="Obliczenia 2 21 33" xfId="23643"/>
    <cellStyle name="Obliczenia 2 21 33 2" xfId="23644"/>
    <cellStyle name="Obliczenia 2 21 33 3" xfId="23645"/>
    <cellStyle name="Obliczenia 2 21 34" xfId="23646"/>
    <cellStyle name="Obliczenia 2 21 34 2" xfId="23647"/>
    <cellStyle name="Obliczenia 2 21 34 3" xfId="23648"/>
    <cellStyle name="Obliczenia 2 21 35" xfId="23649"/>
    <cellStyle name="Obliczenia 2 21 35 2" xfId="23650"/>
    <cellStyle name="Obliczenia 2 21 35 3" xfId="23651"/>
    <cellStyle name="Obliczenia 2 21 36" xfId="23652"/>
    <cellStyle name="Obliczenia 2 21 36 2" xfId="23653"/>
    <cellStyle name="Obliczenia 2 21 36 3" xfId="23654"/>
    <cellStyle name="Obliczenia 2 21 37" xfId="23655"/>
    <cellStyle name="Obliczenia 2 21 37 2" xfId="23656"/>
    <cellStyle name="Obliczenia 2 21 37 3" xfId="23657"/>
    <cellStyle name="Obliczenia 2 21 38" xfId="23658"/>
    <cellStyle name="Obliczenia 2 21 38 2" xfId="23659"/>
    <cellStyle name="Obliczenia 2 21 38 3" xfId="23660"/>
    <cellStyle name="Obliczenia 2 21 39" xfId="23661"/>
    <cellStyle name="Obliczenia 2 21 39 2" xfId="23662"/>
    <cellStyle name="Obliczenia 2 21 39 3" xfId="23663"/>
    <cellStyle name="Obliczenia 2 21 4" xfId="23664"/>
    <cellStyle name="Obliczenia 2 21 4 2" xfId="23665"/>
    <cellStyle name="Obliczenia 2 21 4 3" xfId="23666"/>
    <cellStyle name="Obliczenia 2 21 4 4" xfId="23667"/>
    <cellStyle name="Obliczenia 2 21 40" xfId="23668"/>
    <cellStyle name="Obliczenia 2 21 40 2" xfId="23669"/>
    <cellStyle name="Obliczenia 2 21 40 3" xfId="23670"/>
    <cellStyle name="Obliczenia 2 21 41" xfId="23671"/>
    <cellStyle name="Obliczenia 2 21 41 2" xfId="23672"/>
    <cellStyle name="Obliczenia 2 21 41 3" xfId="23673"/>
    <cellStyle name="Obliczenia 2 21 42" xfId="23674"/>
    <cellStyle name="Obliczenia 2 21 42 2" xfId="23675"/>
    <cellStyle name="Obliczenia 2 21 42 3" xfId="23676"/>
    <cellStyle name="Obliczenia 2 21 43" xfId="23677"/>
    <cellStyle name="Obliczenia 2 21 43 2" xfId="23678"/>
    <cellStyle name="Obliczenia 2 21 43 3" xfId="23679"/>
    <cellStyle name="Obliczenia 2 21 44" xfId="23680"/>
    <cellStyle name="Obliczenia 2 21 44 2" xfId="23681"/>
    <cellStyle name="Obliczenia 2 21 44 3" xfId="23682"/>
    <cellStyle name="Obliczenia 2 21 45" xfId="23683"/>
    <cellStyle name="Obliczenia 2 21 45 2" xfId="23684"/>
    <cellStyle name="Obliczenia 2 21 45 3" xfId="23685"/>
    <cellStyle name="Obliczenia 2 21 46" xfId="23686"/>
    <cellStyle name="Obliczenia 2 21 46 2" xfId="23687"/>
    <cellStyle name="Obliczenia 2 21 46 3" xfId="23688"/>
    <cellStyle name="Obliczenia 2 21 47" xfId="23689"/>
    <cellStyle name="Obliczenia 2 21 47 2" xfId="23690"/>
    <cellStyle name="Obliczenia 2 21 47 3" xfId="23691"/>
    <cellStyle name="Obliczenia 2 21 48" xfId="23692"/>
    <cellStyle name="Obliczenia 2 21 48 2" xfId="23693"/>
    <cellStyle name="Obliczenia 2 21 48 3" xfId="23694"/>
    <cellStyle name="Obliczenia 2 21 49" xfId="23695"/>
    <cellStyle name="Obliczenia 2 21 49 2" xfId="23696"/>
    <cellStyle name="Obliczenia 2 21 49 3" xfId="23697"/>
    <cellStyle name="Obliczenia 2 21 5" xfId="23698"/>
    <cellStyle name="Obliczenia 2 21 5 2" xfId="23699"/>
    <cellStyle name="Obliczenia 2 21 5 3" xfId="23700"/>
    <cellStyle name="Obliczenia 2 21 5 4" xfId="23701"/>
    <cellStyle name="Obliczenia 2 21 50" xfId="23702"/>
    <cellStyle name="Obliczenia 2 21 50 2" xfId="23703"/>
    <cellStyle name="Obliczenia 2 21 50 3" xfId="23704"/>
    <cellStyle name="Obliczenia 2 21 51" xfId="23705"/>
    <cellStyle name="Obliczenia 2 21 51 2" xfId="23706"/>
    <cellStyle name="Obliczenia 2 21 51 3" xfId="23707"/>
    <cellStyle name="Obliczenia 2 21 52" xfId="23708"/>
    <cellStyle name="Obliczenia 2 21 52 2" xfId="23709"/>
    <cellStyle name="Obliczenia 2 21 52 3" xfId="23710"/>
    <cellStyle name="Obliczenia 2 21 53" xfId="23711"/>
    <cellStyle name="Obliczenia 2 21 53 2" xfId="23712"/>
    <cellStyle name="Obliczenia 2 21 53 3" xfId="23713"/>
    <cellStyle name="Obliczenia 2 21 54" xfId="23714"/>
    <cellStyle name="Obliczenia 2 21 54 2" xfId="23715"/>
    <cellStyle name="Obliczenia 2 21 54 3" xfId="23716"/>
    <cellStyle name="Obliczenia 2 21 55" xfId="23717"/>
    <cellStyle name="Obliczenia 2 21 55 2" xfId="23718"/>
    <cellStyle name="Obliczenia 2 21 55 3" xfId="23719"/>
    <cellStyle name="Obliczenia 2 21 56" xfId="23720"/>
    <cellStyle name="Obliczenia 2 21 56 2" xfId="23721"/>
    <cellStyle name="Obliczenia 2 21 56 3" xfId="23722"/>
    <cellStyle name="Obliczenia 2 21 57" xfId="23723"/>
    <cellStyle name="Obliczenia 2 21 58" xfId="23724"/>
    <cellStyle name="Obliczenia 2 21 6" xfId="23725"/>
    <cellStyle name="Obliczenia 2 21 6 2" xfId="23726"/>
    <cellStyle name="Obliczenia 2 21 6 3" xfId="23727"/>
    <cellStyle name="Obliczenia 2 21 6 4" xfId="23728"/>
    <cellStyle name="Obliczenia 2 21 7" xfId="23729"/>
    <cellStyle name="Obliczenia 2 21 7 2" xfId="23730"/>
    <cellStyle name="Obliczenia 2 21 7 3" xfId="23731"/>
    <cellStyle name="Obliczenia 2 21 7 4" xfId="23732"/>
    <cellStyle name="Obliczenia 2 21 8" xfId="23733"/>
    <cellStyle name="Obliczenia 2 21 8 2" xfId="23734"/>
    <cellStyle name="Obliczenia 2 21 8 3" xfId="23735"/>
    <cellStyle name="Obliczenia 2 21 8 4" xfId="23736"/>
    <cellStyle name="Obliczenia 2 21 9" xfId="23737"/>
    <cellStyle name="Obliczenia 2 21 9 2" xfId="23738"/>
    <cellStyle name="Obliczenia 2 21 9 3" xfId="23739"/>
    <cellStyle name="Obliczenia 2 21 9 4" xfId="23740"/>
    <cellStyle name="Obliczenia 2 22" xfId="23741"/>
    <cellStyle name="Obliczenia 2 22 10" xfId="23742"/>
    <cellStyle name="Obliczenia 2 22 10 2" xfId="23743"/>
    <cellStyle name="Obliczenia 2 22 10 3" xfId="23744"/>
    <cellStyle name="Obliczenia 2 22 10 4" xfId="23745"/>
    <cellStyle name="Obliczenia 2 22 11" xfId="23746"/>
    <cellStyle name="Obliczenia 2 22 11 2" xfId="23747"/>
    <cellStyle name="Obliczenia 2 22 11 3" xfId="23748"/>
    <cellStyle name="Obliczenia 2 22 11 4" xfId="23749"/>
    <cellStyle name="Obliczenia 2 22 12" xfId="23750"/>
    <cellStyle name="Obliczenia 2 22 12 2" xfId="23751"/>
    <cellStyle name="Obliczenia 2 22 12 3" xfId="23752"/>
    <cellStyle name="Obliczenia 2 22 12 4" xfId="23753"/>
    <cellStyle name="Obliczenia 2 22 13" xfId="23754"/>
    <cellStyle name="Obliczenia 2 22 13 2" xfId="23755"/>
    <cellStyle name="Obliczenia 2 22 13 3" xfId="23756"/>
    <cellStyle name="Obliczenia 2 22 13 4" xfId="23757"/>
    <cellStyle name="Obliczenia 2 22 14" xfId="23758"/>
    <cellStyle name="Obliczenia 2 22 14 2" xfId="23759"/>
    <cellStyle name="Obliczenia 2 22 14 3" xfId="23760"/>
    <cellStyle name="Obliczenia 2 22 14 4" xfId="23761"/>
    <cellStyle name="Obliczenia 2 22 15" xfId="23762"/>
    <cellStyle name="Obliczenia 2 22 15 2" xfId="23763"/>
    <cellStyle name="Obliczenia 2 22 15 3" xfId="23764"/>
    <cellStyle name="Obliczenia 2 22 15 4" xfId="23765"/>
    <cellStyle name="Obliczenia 2 22 16" xfId="23766"/>
    <cellStyle name="Obliczenia 2 22 16 2" xfId="23767"/>
    <cellStyle name="Obliczenia 2 22 16 3" xfId="23768"/>
    <cellStyle name="Obliczenia 2 22 16 4" xfId="23769"/>
    <cellStyle name="Obliczenia 2 22 17" xfId="23770"/>
    <cellStyle name="Obliczenia 2 22 17 2" xfId="23771"/>
    <cellStyle name="Obliczenia 2 22 17 3" xfId="23772"/>
    <cellStyle name="Obliczenia 2 22 17 4" xfId="23773"/>
    <cellStyle name="Obliczenia 2 22 18" xfId="23774"/>
    <cellStyle name="Obliczenia 2 22 18 2" xfId="23775"/>
    <cellStyle name="Obliczenia 2 22 18 3" xfId="23776"/>
    <cellStyle name="Obliczenia 2 22 18 4" xfId="23777"/>
    <cellStyle name="Obliczenia 2 22 19" xfId="23778"/>
    <cellStyle name="Obliczenia 2 22 19 2" xfId="23779"/>
    <cellStyle name="Obliczenia 2 22 19 3" xfId="23780"/>
    <cellStyle name="Obliczenia 2 22 19 4" xfId="23781"/>
    <cellStyle name="Obliczenia 2 22 2" xfId="23782"/>
    <cellStyle name="Obliczenia 2 22 2 2" xfId="23783"/>
    <cellStyle name="Obliczenia 2 22 2 3" xfId="23784"/>
    <cellStyle name="Obliczenia 2 22 2 4" xfId="23785"/>
    <cellStyle name="Obliczenia 2 22 20" xfId="23786"/>
    <cellStyle name="Obliczenia 2 22 20 2" xfId="23787"/>
    <cellStyle name="Obliczenia 2 22 20 3" xfId="23788"/>
    <cellStyle name="Obliczenia 2 22 20 4" xfId="23789"/>
    <cellStyle name="Obliczenia 2 22 21" xfId="23790"/>
    <cellStyle name="Obliczenia 2 22 21 2" xfId="23791"/>
    <cellStyle name="Obliczenia 2 22 21 3" xfId="23792"/>
    <cellStyle name="Obliczenia 2 22 22" xfId="23793"/>
    <cellStyle name="Obliczenia 2 22 22 2" xfId="23794"/>
    <cellStyle name="Obliczenia 2 22 22 3" xfId="23795"/>
    <cellStyle name="Obliczenia 2 22 23" xfId="23796"/>
    <cellStyle name="Obliczenia 2 22 23 2" xfId="23797"/>
    <cellStyle name="Obliczenia 2 22 23 3" xfId="23798"/>
    <cellStyle name="Obliczenia 2 22 24" xfId="23799"/>
    <cellStyle name="Obliczenia 2 22 24 2" xfId="23800"/>
    <cellStyle name="Obliczenia 2 22 24 3" xfId="23801"/>
    <cellStyle name="Obliczenia 2 22 25" xfId="23802"/>
    <cellStyle name="Obliczenia 2 22 25 2" xfId="23803"/>
    <cellStyle name="Obliczenia 2 22 25 3" xfId="23804"/>
    <cellStyle name="Obliczenia 2 22 26" xfId="23805"/>
    <cellStyle name="Obliczenia 2 22 26 2" xfId="23806"/>
    <cellStyle name="Obliczenia 2 22 26 3" xfId="23807"/>
    <cellStyle name="Obliczenia 2 22 27" xfId="23808"/>
    <cellStyle name="Obliczenia 2 22 27 2" xfId="23809"/>
    <cellStyle name="Obliczenia 2 22 27 3" xfId="23810"/>
    <cellStyle name="Obliczenia 2 22 28" xfId="23811"/>
    <cellStyle name="Obliczenia 2 22 28 2" xfId="23812"/>
    <cellStyle name="Obliczenia 2 22 28 3" xfId="23813"/>
    <cellStyle name="Obliczenia 2 22 29" xfId="23814"/>
    <cellStyle name="Obliczenia 2 22 29 2" xfId="23815"/>
    <cellStyle name="Obliczenia 2 22 29 3" xfId="23816"/>
    <cellStyle name="Obliczenia 2 22 3" xfId="23817"/>
    <cellStyle name="Obliczenia 2 22 3 2" xfId="23818"/>
    <cellStyle name="Obliczenia 2 22 3 3" xfId="23819"/>
    <cellStyle name="Obliczenia 2 22 3 4" xfId="23820"/>
    <cellStyle name="Obliczenia 2 22 30" xfId="23821"/>
    <cellStyle name="Obliczenia 2 22 30 2" xfId="23822"/>
    <cellStyle name="Obliczenia 2 22 30 3" xfId="23823"/>
    <cellStyle name="Obliczenia 2 22 31" xfId="23824"/>
    <cellStyle name="Obliczenia 2 22 31 2" xfId="23825"/>
    <cellStyle name="Obliczenia 2 22 31 3" xfId="23826"/>
    <cellStyle name="Obliczenia 2 22 32" xfId="23827"/>
    <cellStyle name="Obliczenia 2 22 32 2" xfId="23828"/>
    <cellStyle name="Obliczenia 2 22 32 3" xfId="23829"/>
    <cellStyle name="Obliczenia 2 22 33" xfId="23830"/>
    <cellStyle name="Obliczenia 2 22 33 2" xfId="23831"/>
    <cellStyle name="Obliczenia 2 22 33 3" xfId="23832"/>
    <cellStyle name="Obliczenia 2 22 34" xfId="23833"/>
    <cellStyle name="Obliczenia 2 22 34 2" xfId="23834"/>
    <cellStyle name="Obliczenia 2 22 34 3" xfId="23835"/>
    <cellStyle name="Obliczenia 2 22 35" xfId="23836"/>
    <cellStyle name="Obliczenia 2 22 35 2" xfId="23837"/>
    <cellStyle name="Obliczenia 2 22 35 3" xfId="23838"/>
    <cellStyle name="Obliczenia 2 22 36" xfId="23839"/>
    <cellStyle name="Obliczenia 2 22 36 2" xfId="23840"/>
    <cellStyle name="Obliczenia 2 22 36 3" xfId="23841"/>
    <cellStyle name="Obliczenia 2 22 37" xfId="23842"/>
    <cellStyle name="Obliczenia 2 22 37 2" xfId="23843"/>
    <cellStyle name="Obliczenia 2 22 37 3" xfId="23844"/>
    <cellStyle name="Obliczenia 2 22 38" xfId="23845"/>
    <cellStyle name="Obliczenia 2 22 38 2" xfId="23846"/>
    <cellStyle name="Obliczenia 2 22 38 3" xfId="23847"/>
    <cellStyle name="Obliczenia 2 22 39" xfId="23848"/>
    <cellStyle name="Obliczenia 2 22 39 2" xfId="23849"/>
    <cellStyle name="Obliczenia 2 22 39 3" xfId="23850"/>
    <cellStyle name="Obliczenia 2 22 4" xfId="23851"/>
    <cellStyle name="Obliczenia 2 22 4 2" xfId="23852"/>
    <cellStyle name="Obliczenia 2 22 4 3" xfId="23853"/>
    <cellStyle name="Obliczenia 2 22 4 4" xfId="23854"/>
    <cellStyle name="Obliczenia 2 22 40" xfId="23855"/>
    <cellStyle name="Obliczenia 2 22 40 2" xfId="23856"/>
    <cellStyle name="Obliczenia 2 22 40 3" xfId="23857"/>
    <cellStyle name="Obliczenia 2 22 41" xfId="23858"/>
    <cellStyle name="Obliczenia 2 22 41 2" xfId="23859"/>
    <cellStyle name="Obliczenia 2 22 41 3" xfId="23860"/>
    <cellStyle name="Obliczenia 2 22 42" xfId="23861"/>
    <cellStyle name="Obliczenia 2 22 42 2" xfId="23862"/>
    <cellStyle name="Obliczenia 2 22 42 3" xfId="23863"/>
    <cellStyle name="Obliczenia 2 22 43" xfId="23864"/>
    <cellStyle name="Obliczenia 2 22 43 2" xfId="23865"/>
    <cellStyle name="Obliczenia 2 22 43 3" xfId="23866"/>
    <cellStyle name="Obliczenia 2 22 44" xfId="23867"/>
    <cellStyle name="Obliczenia 2 22 44 2" xfId="23868"/>
    <cellStyle name="Obliczenia 2 22 44 3" xfId="23869"/>
    <cellStyle name="Obliczenia 2 22 45" xfId="23870"/>
    <cellStyle name="Obliczenia 2 22 45 2" xfId="23871"/>
    <cellStyle name="Obliczenia 2 22 45 3" xfId="23872"/>
    <cellStyle name="Obliczenia 2 22 46" xfId="23873"/>
    <cellStyle name="Obliczenia 2 22 46 2" xfId="23874"/>
    <cellStyle name="Obliczenia 2 22 46 3" xfId="23875"/>
    <cellStyle name="Obliczenia 2 22 47" xfId="23876"/>
    <cellStyle name="Obliczenia 2 22 47 2" xfId="23877"/>
    <cellStyle name="Obliczenia 2 22 47 3" xfId="23878"/>
    <cellStyle name="Obliczenia 2 22 48" xfId="23879"/>
    <cellStyle name="Obliczenia 2 22 48 2" xfId="23880"/>
    <cellStyle name="Obliczenia 2 22 48 3" xfId="23881"/>
    <cellStyle name="Obliczenia 2 22 49" xfId="23882"/>
    <cellStyle name="Obliczenia 2 22 49 2" xfId="23883"/>
    <cellStyle name="Obliczenia 2 22 49 3" xfId="23884"/>
    <cellStyle name="Obliczenia 2 22 5" xfId="23885"/>
    <cellStyle name="Obliczenia 2 22 5 2" xfId="23886"/>
    <cellStyle name="Obliczenia 2 22 5 3" xfId="23887"/>
    <cellStyle name="Obliczenia 2 22 5 4" xfId="23888"/>
    <cellStyle name="Obliczenia 2 22 50" xfId="23889"/>
    <cellStyle name="Obliczenia 2 22 50 2" xfId="23890"/>
    <cellStyle name="Obliczenia 2 22 50 3" xfId="23891"/>
    <cellStyle name="Obliczenia 2 22 51" xfId="23892"/>
    <cellStyle name="Obliczenia 2 22 51 2" xfId="23893"/>
    <cellStyle name="Obliczenia 2 22 51 3" xfId="23894"/>
    <cellStyle name="Obliczenia 2 22 52" xfId="23895"/>
    <cellStyle name="Obliczenia 2 22 52 2" xfId="23896"/>
    <cellStyle name="Obliczenia 2 22 52 3" xfId="23897"/>
    <cellStyle name="Obliczenia 2 22 53" xfId="23898"/>
    <cellStyle name="Obliczenia 2 22 53 2" xfId="23899"/>
    <cellStyle name="Obliczenia 2 22 53 3" xfId="23900"/>
    <cellStyle name="Obliczenia 2 22 54" xfId="23901"/>
    <cellStyle name="Obliczenia 2 22 54 2" xfId="23902"/>
    <cellStyle name="Obliczenia 2 22 54 3" xfId="23903"/>
    <cellStyle name="Obliczenia 2 22 55" xfId="23904"/>
    <cellStyle name="Obliczenia 2 22 55 2" xfId="23905"/>
    <cellStyle name="Obliczenia 2 22 55 3" xfId="23906"/>
    <cellStyle name="Obliczenia 2 22 56" xfId="23907"/>
    <cellStyle name="Obliczenia 2 22 56 2" xfId="23908"/>
    <cellStyle name="Obliczenia 2 22 56 3" xfId="23909"/>
    <cellStyle name="Obliczenia 2 22 57" xfId="23910"/>
    <cellStyle name="Obliczenia 2 22 58" xfId="23911"/>
    <cellStyle name="Obliczenia 2 22 6" xfId="23912"/>
    <cellStyle name="Obliczenia 2 22 6 2" xfId="23913"/>
    <cellStyle name="Obliczenia 2 22 6 3" xfId="23914"/>
    <cellStyle name="Obliczenia 2 22 6 4" xfId="23915"/>
    <cellStyle name="Obliczenia 2 22 7" xfId="23916"/>
    <cellStyle name="Obliczenia 2 22 7 2" xfId="23917"/>
    <cellStyle name="Obliczenia 2 22 7 3" xfId="23918"/>
    <cellStyle name="Obliczenia 2 22 7 4" xfId="23919"/>
    <cellStyle name="Obliczenia 2 22 8" xfId="23920"/>
    <cellStyle name="Obliczenia 2 22 8 2" xfId="23921"/>
    <cellStyle name="Obliczenia 2 22 8 3" xfId="23922"/>
    <cellStyle name="Obliczenia 2 22 8 4" xfId="23923"/>
    <cellStyle name="Obliczenia 2 22 9" xfId="23924"/>
    <cellStyle name="Obliczenia 2 22 9 2" xfId="23925"/>
    <cellStyle name="Obliczenia 2 22 9 3" xfId="23926"/>
    <cellStyle name="Obliczenia 2 22 9 4" xfId="23927"/>
    <cellStyle name="Obliczenia 2 23" xfId="23928"/>
    <cellStyle name="Obliczenia 2 23 10" xfId="23929"/>
    <cellStyle name="Obliczenia 2 23 10 2" xfId="23930"/>
    <cellStyle name="Obliczenia 2 23 10 3" xfId="23931"/>
    <cellStyle name="Obliczenia 2 23 10 4" xfId="23932"/>
    <cellStyle name="Obliczenia 2 23 11" xfId="23933"/>
    <cellStyle name="Obliczenia 2 23 11 2" xfId="23934"/>
    <cellStyle name="Obliczenia 2 23 11 3" xfId="23935"/>
    <cellStyle name="Obliczenia 2 23 11 4" xfId="23936"/>
    <cellStyle name="Obliczenia 2 23 12" xfId="23937"/>
    <cellStyle name="Obliczenia 2 23 12 2" xfId="23938"/>
    <cellStyle name="Obliczenia 2 23 12 3" xfId="23939"/>
    <cellStyle name="Obliczenia 2 23 12 4" xfId="23940"/>
    <cellStyle name="Obliczenia 2 23 13" xfId="23941"/>
    <cellStyle name="Obliczenia 2 23 13 2" xfId="23942"/>
    <cellStyle name="Obliczenia 2 23 13 3" xfId="23943"/>
    <cellStyle name="Obliczenia 2 23 13 4" xfId="23944"/>
    <cellStyle name="Obliczenia 2 23 14" xfId="23945"/>
    <cellStyle name="Obliczenia 2 23 14 2" xfId="23946"/>
    <cellStyle name="Obliczenia 2 23 14 3" xfId="23947"/>
    <cellStyle name="Obliczenia 2 23 14 4" xfId="23948"/>
    <cellStyle name="Obliczenia 2 23 15" xfId="23949"/>
    <cellStyle name="Obliczenia 2 23 15 2" xfId="23950"/>
    <cellStyle name="Obliczenia 2 23 15 3" xfId="23951"/>
    <cellStyle name="Obliczenia 2 23 15 4" xfId="23952"/>
    <cellStyle name="Obliczenia 2 23 16" xfId="23953"/>
    <cellStyle name="Obliczenia 2 23 16 2" xfId="23954"/>
    <cellStyle name="Obliczenia 2 23 16 3" xfId="23955"/>
    <cellStyle name="Obliczenia 2 23 16 4" xfId="23956"/>
    <cellStyle name="Obliczenia 2 23 17" xfId="23957"/>
    <cellStyle name="Obliczenia 2 23 17 2" xfId="23958"/>
    <cellStyle name="Obliczenia 2 23 17 3" xfId="23959"/>
    <cellStyle name="Obliczenia 2 23 17 4" xfId="23960"/>
    <cellStyle name="Obliczenia 2 23 18" xfId="23961"/>
    <cellStyle name="Obliczenia 2 23 18 2" xfId="23962"/>
    <cellStyle name="Obliczenia 2 23 18 3" xfId="23963"/>
    <cellStyle name="Obliczenia 2 23 18 4" xfId="23964"/>
    <cellStyle name="Obliczenia 2 23 19" xfId="23965"/>
    <cellStyle name="Obliczenia 2 23 19 2" xfId="23966"/>
    <cellStyle name="Obliczenia 2 23 19 3" xfId="23967"/>
    <cellStyle name="Obliczenia 2 23 19 4" xfId="23968"/>
    <cellStyle name="Obliczenia 2 23 2" xfId="23969"/>
    <cellStyle name="Obliczenia 2 23 2 2" xfId="23970"/>
    <cellStyle name="Obliczenia 2 23 2 3" xfId="23971"/>
    <cellStyle name="Obliczenia 2 23 2 4" xfId="23972"/>
    <cellStyle name="Obliczenia 2 23 20" xfId="23973"/>
    <cellStyle name="Obliczenia 2 23 20 2" xfId="23974"/>
    <cellStyle name="Obliczenia 2 23 20 3" xfId="23975"/>
    <cellStyle name="Obliczenia 2 23 20 4" xfId="23976"/>
    <cellStyle name="Obliczenia 2 23 21" xfId="23977"/>
    <cellStyle name="Obliczenia 2 23 21 2" xfId="23978"/>
    <cellStyle name="Obliczenia 2 23 21 3" xfId="23979"/>
    <cellStyle name="Obliczenia 2 23 22" xfId="23980"/>
    <cellStyle name="Obliczenia 2 23 22 2" xfId="23981"/>
    <cellStyle name="Obliczenia 2 23 22 3" xfId="23982"/>
    <cellStyle name="Obliczenia 2 23 23" xfId="23983"/>
    <cellStyle name="Obliczenia 2 23 23 2" xfId="23984"/>
    <cellStyle name="Obliczenia 2 23 23 3" xfId="23985"/>
    <cellStyle name="Obliczenia 2 23 24" xfId="23986"/>
    <cellStyle name="Obliczenia 2 23 24 2" xfId="23987"/>
    <cellStyle name="Obliczenia 2 23 24 3" xfId="23988"/>
    <cellStyle name="Obliczenia 2 23 25" xfId="23989"/>
    <cellStyle name="Obliczenia 2 23 25 2" xfId="23990"/>
    <cellStyle name="Obliczenia 2 23 25 3" xfId="23991"/>
    <cellStyle name="Obliczenia 2 23 26" xfId="23992"/>
    <cellStyle name="Obliczenia 2 23 26 2" xfId="23993"/>
    <cellStyle name="Obliczenia 2 23 26 3" xfId="23994"/>
    <cellStyle name="Obliczenia 2 23 27" xfId="23995"/>
    <cellStyle name="Obliczenia 2 23 27 2" xfId="23996"/>
    <cellStyle name="Obliczenia 2 23 27 3" xfId="23997"/>
    <cellStyle name="Obliczenia 2 23 28" xfId="23998"/>
    <cellStyle name="Obliczenia 2 23 28 2" xfId="23999"/>
    <cellStyle name="Obliczenia 2 23 28 3" xfId="24000"/>
    <cellStyle name="Obliczenia 2 23 29" xfId="24001"/>
    <cellStyle name="Obliczenia 2 23 29 2" xfId="24002"/>
    <cellStyle name="Obliczenia 2 23 29 3" xfId="24003"/>
    <cellStyle name="Obliczenia 2 23 3" xfId="24004"/>
    <cellStyle name="Obliczenia 2 23 3 2" xfId="24005"/>
    <cellStyle name="Obliczenia 2 23 3 3" xfId="24006"/>
    <cellStyle name="Obliczenia 2 23 3 4" xfId="24007"/>
    <cellStyle name="Obliczenia 2 23 30" xfId="24008"/>
    <cellStyle name="Obliczenia 2 23 30 2" xfId="24009"/>
    <cellStyle name="Obliczenia 2 23 30 3" xfId="24010"/>
    <cellStyle name="Obliczenia 2 23 31" xfId="24011"/>
    <cellStyle name="Obliczenia 2 23 31 2" xfId="24012"/>
    <cellStyle name="Obliczenia 2 23 31 3" xfId="24013"/>
    <cellStyle name="Obliczenia 2 23 32" xfId="24014"/>
    <cellStyle name="Obliczenia 2 23 32 2" xfId="24015"/>
    <cellStyle name="Obliczenia 2 23 32 3" xfId="24016"/>
    <cellStyle name="Obliczenia 2 23 33" xfId="24017"/>
    <cellStyle name="Obliczenia 2 23 33 2" xfId="24018"/>
    <cellStyle name="Obliczenia 2 23 33 3" xfId="24019"/>
    <cellStyle name="Obliczenia 2 23 34" xfId="24020"/>
    <cellStyle name="Obliczenia 2 23 34 2" xfId="24021"/>
    <cellStyle name="Obliczenia 2 23 34 3" xfId="24022"/>
    <cellStyle name="Obliczenia 2 23 35" xfId="24023"/>
    <cellStyle name="Obliczenia 2 23 35 2" xfId="24024"/>
    <cellStyle name="Obliczenia 2 23 35 3" xfId="24025"/>
    <cellStyle name="Obliczenia 2 23 36" xfId="24026"/>
    <cellStyle name="Obliczenia 2 23 36 2" xfId="24027"/>
    <cellStyle name="Obliczenia 2 23 36 3" xfId="24028"/>
    <cellStyle name="Obliczenia 2 23 37" xfId="24029"/>
    <cellStyle name="Obliczenia 2 23 37 2" xfId="24030"/>
    <cellStyle name="Obliczenia 2 23 37 3" xfId="24031"/>
    <cellStyle name="Obliczenia 2 23 38" xfId="24032"/>
    <cellStyle name="Obliczenia 2 23 38 2" xfId="24033"/>
    <cellStyle name="Obliczenia 2 23 38 3" xfId="24034"/>
    <cellStyle name="Obliczenia 2 23 39" xfId="24035"/>
    <cellStyle name="Obliczenia 2 23 39 2" xfId="24036"/>
    <cellStyle name="Obliczenia 2 23 39 3" xfId="24037"/>
    <cellStyle name="Obliczenia 2 23 4" xfId="24038"/>
    <cellStyle name="Obliczenia 2 23 4 2" xfId="24039"/>
    <cellStyle name="Obliczenia 2 23 4 3" xfId="24040"/>
    <cellStyle name="Obliczenia 2 23 4 4" xfId="24041"/>
    <cellStyle name="Obliczenia 2 23 40" xfId="24042"/>
    <cellStyle name="Obliczenia 2 23 40 2" xfId="24043"/>
    <cellStyle name="Obliczenia 2 23 40 3" xfId="24044"/>
    <cellStyle name="Obliczenia 2 23 41" xfId="24045"/>
    <cellStyle name="Obliczenia 2 23 41 2" xfId="24046"/>
    <cellStyle name="Obliczenia 2 23 41 3" xfId="24047"/>
    <cellStyle name="Obliczenia 2 23 42" xfId="24048"/>
    <cellStyle name="Obliczenia 2 23 42 2" xfId="24049"/>
    <cellStyle name="Obliczenia 2 23 42 3" xfId="24050"/>
    <cellStyle name="Obliczenia 2 23 43" xfId="24051"/>
    <cellStyle name="Obliczenia 2 23 43 2" xfId="24052"/>
    <cellStyle name="Obliczenia 2 23 43 3" xfId="24053"/>
    <cellStyle name="Obliczenia 2 23 44" xfId="24054"/>
    <cellStyle name="Obliczenia 2 23 44 2" xfId="24055"/>
    <cellStyle name="Obliczenia 2 23 44 3" xfId="24056"/>
    <cellStyle name="Obliczenia 2 23 45" xfId="24057"/>
    <cellStyle name="Obliczenia 2 23 45 2" xfId="24058"/>
    <cellStyle name="Obliczenia 2 23 45 3" xfId="24059"/>
    <cellStyle name="Obliczenia 2 23 46" xfId="24060"/>
    <cellStyle name="Obliczenia 2 23 46 2" xfId="24061"/>
    <cellStyle name="Obliczenia 2 23 46 3" xfId="24062"/>
    <cellStyle name="Obliczenia 2 23 47" xfId="24063"/>
    <cellStyle name="Obliczenia 2 23 47 2" xfId="24064"/>
    <cellStyle name="Obliczenia 2 23 47 3" xfId="24065"/>
    <cellStyle name="Obliczenia 2 23 48" xfId="24066"/>
    <cellStyle name="Obliczenia 2 23 48 2" xfId="24067"/>
    <cellStyle name="Obliczenia 2 23 48 3" xfId="24068"/>
    <cellStyle name="Obliczenia 2 23 49" xfId="24069"/>
    <cellStyle name="Obliczenia 2 23 49 2" xfId="24070"/>
    <cellStyle name="Obliczenia 2 23 49 3" xfId="24071"/>
    <cellStyle name="Obliczenia 2 23 5" xfId="24072"/>
    <cellStyle name="Obliczenia 2 23 5 2" xfId="24073"/>
    <cellStyle name="Obliczenia 2 23 5 3" xfId="24074"/>
    <cellStyle name="Obliczenia 2 23 5 4" xfId="24075"/>
    <cellStyle name="Obliczenia 2 23 50" xfId="24076"/>
    <cellStyle name="Obliczenia 2 23 50 2" xfId="24077"/>
    <cellStyle name="Obliczenia 2 23 50 3" xfId="24078"/>
    <cellStyle name="Obliczenia 2 23 51" xfId="24079"/>
    <cellStyle name="Obliczenia 2 23 51 2" xfId="24080"/>
    <cellStyle name="Obliczenia 2 23 51 3" xfId="24081"/>
    <cellStyle name="Obliczenia 2 23 52" xfId="24082"/>
    <cellStyle name="Obliczenia 2 23 52 2" xfId="24083"/>
    <cellStyle name="Obliczenia 2 23 52 3" xfId="24084"/>
    <cellStyle name="Obliczenia 2 23 53" xfId="24085"/>
    <cellStyle name="Obliczenia 2 23 53 2" xfId="24086"/>
    <cellStyle name="Obliczenia 2 23 53 3" xfId="24087"/>
    <cellStyle name="Obliczenia 2 23 54" xfId="24088"/>
    <cellStyle name="Obliczenia 2 23 54 2" xfId="24089"/>
    <cellStyle name="Obliczenia 2 23 54 3" xfId="24090"/>
    <cellStyle name="Obliczenia 2 23 55" xfId="24091"/>
    <cellStyle name="Obliczenia 2 23 55 2" xfId="24092"/>
    <cellStyle name="Obliczenia 2 23 55 3" xfId="24093"/>
    <cellStyle name="Obliczenia 2 23 56" xfId="24094"/>
    <cellStyle name="Obliczenia 2 23 56 2" xfId="24095"/>
    <cellStyle name="Obliczenia 2 23 56 3" xfId="24096"/>
    <cellStyle name="Obliczenia 2 23 57" xfId="24097"/>
    <cellStyle name="Obliczenia 2 23 58" xfId="24098"/>
    <cellStyle name="Obliczenia 2 23 6" xfId="24099"/>
    <cellStyle name="Obliczenia 2 23 6 2" xfId="24100"/>
    <cellStyle name="Obliczenia 2 23 6 3" xfId="24101"/>
    <cellStyle name="Obliczenia 2 23 6 4" xfId="24102"/>
    <cellStyle name="Obliczenia 2 23 7" xfId="24103"/>
    <cellStyle name="Obliczenia 2 23 7 2" xfId="24104"/>
    <cellStyle name="Obliczenia 2 23 7 3" xfId="24105"/>
    <cellStyle name="Obliczenia 2 23 7 4" xfId="24106"/>
    <cellStyle name="Obliczenia 2 23 8" xfId="24107"/>
    <cellStyle name="Obliczenia 2 23 8 2" xfId="24108"/>
    <cellStyle name="Obliczenia 2 23 8 3" xfId="24109"/>
    <cellStyle name="Obliczenia 2 23 8 4" xfId="24110"/>
    <cellStyle name="Obliczenia 2 23 9" xfId="24111"/>
    <cellStyle name="Obliczenia 2 23 9 2" xfId="24112"/>
    <cellStyle name="Obliczenia 2 23 9 3" xfId="24113"/>
    <cellStyle name="Obliczenia 2 23 9 4" xfId="24114"/>
    <cellStyle name="Obliczenia 2 24" xfId="24115"/>
    <cellStyle name="Obliczenia 2 24 10" xfId="24116"/>
    <cellStyle name="Obliczenia 2 24 10 2" xfId="24117"/>
    <cellStyle name="Obliczenia 2 24 10 3" xfId="24118"/>
    <cellStyle name="Obliczenia 2 24 10 4" xfId="24119"/>
    <cellStyle name="Obliczenia 2 24 11" xfId="24120"/>
    <cellStyle name="Obliczenia 2 24 11 2" xfId="24121"/>
    <cellStyle name="Obliczenia 2 24 11 3" xfId="24122"/>
    <cellStyle name="Obliczenia 2 24 11 4" xfId="24123"/>
    <cellStyle name="Obliczenia 2 24 12" xfId="24124"/>
    <cellStyle name="Obliczenia 2 24 12 2" xfId="24125"/>
    <cellStyle name="Obliczenia 2 24 12 3" xfId="24126"/>
    <cellStyle name="Obliczenia 2 24 12 4" xfId="24127"/>
    <cellStyle name="Obliczenia 2 24 13" xfId="24128"/>
    <cellStyle name="Obliczenia 2 24 13 2" xfId="24129"/>
    <cellStyle name="Obliczenia 2 24 13 3" xfId="24130"/>
    <cellStyle name="Obliczenia 2 24 13 4" xfId="24131"/>
    <cellStyle name="Obliczenia 2 24 14" xfId="24132"/>
    <cellStyle name="Obliczenia 2 24 14 2" xfId="24133"/>
    <cellStyle name="Obliczenia 2 24 14 3" xfId="24134"/>
    <cellStyle name="Obliczenia 2 24 14 4" xfId="24135"/>
    <cellStyle name="Obliczenia 2 24 15" xfId="24136"/>
    <cellStyle name="Obliczenia 2 24 15 2" xfId="24137"/>
    <cellStyle name="Obliczenia 2 24 15 3" xfId="24138"/>
    <cellStyle name="Obliczenia 2 24 15 4" xfId="24139"/>
    <cellStyle name="Obliczenia 2 24 16" xfId="24140"/>
    <cellStyle name="Obliczenia 2 24 16 2" xfId="24141"/>
    <cellStyle name="Obliczenia 2 24 16 3" xfId="24142"/>
    <cellStyle name="Obliczenia 2 24 16 4" xfId="24143"/>
    <cellStyle name="Obliczenia 2 24 17" xfId="24144"/>
    <cellStyle name="Obliczenia 2 24 17 2" xfId="24145"/>
    <cellStyle name="Obliczenia 2 24 17 3" xfId="24146"/>
    <cellStyle name="Obliczenia 2 24 17 4" xfId="24147"/>
    <cellStyle name="Obliczenia 2 24 18" xfId="24148"/>
    <cellStyle name="Obliczenia 2 24 18 2" xfId="24149"/>
    <cellStyle name="Obliczenia 2 24 18 3" xfId="24150"/>
    <cellStyle name="Obliczenia 2 24 18 4" xfId="24151"/>
    <cellStyle name="Obliczenia 2 24 19" xfId="24152"/>
    <cellStyle name="Obliczenia 2 24 19 2" xfId="24153"/>
    <cellStyle name="Obliczenia 2 24 19 3" xfId="24154"/>
    <cellStyle name="Obliczenia 2 24 19 4" xfId="24155"/>
    <cellStyle name="Obliczenia 2 24 2" xfId="24156"/>
    <cellStyle name="Obliczenia 2 24 2 2" xfId="24157"/>
    <cellStyle name="Obliczenia 2 24 2 3" xfId="24158"/>
    <cellStyle name="Obliczenia 2 24 2 4" xfId="24159"/>
    <cellStyle name="Obliczenia 2 24 20" xfId="24160"/>
    <cellStyle name="Obliczenia 2 24 20 2" xfId="24161"/>
    <cellStyle name="Obliczenia 2 24 20 3" xfId="24162"/>
    <cellStyle name="Obliczenia 2 24 20 4" xfId="24163"/>
    <cellStyle name="Obliczenia 2 24 21" xfId="24164"/>
    <cellStyle name="Obliczenia 2 24 21 2" xfId="24165"/>
    <cellStyle name="Obliczenia 2 24 21 3" xfId="24166"/>
    <cellStyle name="Obliczenia 2 24 22" xfId="24167"/>
    <cellStyle name="Obliczenia 2 24 22 2" xfId="24168"/>
    <cellStyle name="Obliczenia 2 24 22 3" xfId="24169"/>
    <cellStyle name="Obliczenia 2 24 23" xfId="24170"/>
    <cellStyle name="Obliczenia 2 24 23 2" xfId="24171"/>
    <cellStyle name="Obliczenia 2 24 23 3" xfId="24172"/>
    <cellStyle name="Obliczenia 2 24 24" xfId="24173"/>
    <cellStyle name="Obliczenia 2 24 24 2" xfId="24174"/>
    <cellStyle name="Obliczenia 2 24 24 3" xfId="24175"/>
    <cellStyle name="Obliczenia 2 24 25" xfId="24176"/>
    <cellStyle name="Obliczenia 2 24 25 2" xfId="24177"/>
    <cellStyle name="Obliczenia 2 24 25 3" xfId="24178"/>
    <cellStyle name="Obliczenia 2 24 26" xfId="24179"/>
    <cellStyle name="Obliczenia 2 24 26 2" xfId="24180"/>
    <cellStyle name="Obliczenia 2 24 26 3" xfId="24181"/>
    <cellStyle name="Obliczenia 2 24 27" xfId="24182"/>
    <cellStyle name="Obliczenia 2 24 27 2" xfId="24183"/>
    <cellStyle name="Obliczenia 2 24 27 3" xfId="24184"/>
    <cellStyle name="Obliczenia 2 24 28" xfId="24185"/>
    <cellStyle name="Obliczenia 2 24 28 2" xfId="24186"/>
    <cellStyle name="Obliczenia 2 24 28 3" xfId="24187"/>
    <cellStyle name="Obliczenia 2 24 29" xfId="24188"/>
    <cellStyle name="Obliczenia 2 24 29 2" xfId="24189"/>
    <cellStyle name="Obliczenia 2 24 29 3" xfId="24190"/>
    <cellStyle name="Obliczenia 2 24 3" xfId="24191"/>
    <cellStyle name="Obliczenia 2 24 3 2" xfId="24192"/>
    <cellStyle name="Obliczenia 2 24 3 3" xfId="24193"/>
    <cellStyle name="Obliczenia 2 24 3 4" xfId="24194"/>
    <cellStyle name="Obliczenia 2 24 30" xfId="24195"/>
    <cellStyle name="Obliczenia 2 24 30 2" xfId="24196"/>
    <cellStyle name="Obliczenia 2 24 30 3" xfId="24197"/>
    <cellStyle name="Obliczenia 2 24 31" xfId="24198"/>
    <cellStyle name="Obliczenia 2 24 31 2" xfId="24199"/>
    <cellStyle name="Obliczenia 2 24 31 3" xfId="24200"/>
    <cellStyle name="Obliczenia 2 24 32" xfId="24201"/>
    <cellStyle name="Obliczenia 2 24 32 2" xfId="24202"/>
    <cellStyle name="Obliczenia 2 24 32 3" xfId="24203"/>
    <cellStyle name="Obliczenia 2 24 33" xfId="24204"/>
    <cellStyle name="Obliczenia 2 24 33 2" xfId="24205"/>
    <cellStyle name="Obliczenia 2 24 33 3" xfId="24206"/>
    <cellStyle name="Obliczenia 2 24 34" xfId="24207"/>
    <cellStyle name="Obliczenia 2 24 34 2" xfId="24208"/>
    <cellStyle name="Obliczenia 2 24 34 3" xfId="24209"/>
    <cellStyle name="Obliczenia 2 24 35" xfId="24210"/>
    <cellStyle name="Obliczenia 2 24 35 2" xfId="24211"/>
    <cellStyle name="Obliczenia 2 24 35 3" xfId="24212"/>
    <cellStyle name="Obliczenia 2 24 36" xfId="24213"/>
    <cellStyle name="Obliczenia 2 24 36 2" xfId="24214"/>
    <cellStyle name="Obliczenia 2 24 36 3" xfId="24215"/>
    <cellStyle name="Obliczenia 2 24 37" xfId="24216"/>
    <cellStyle name="Obliczenia 2 24 37 2" xfId="24217"/>
    <cellStyle name="Obliczenia 2 24 37 3" xfId="24218"/>
    <cellStyle name="Obliczenia 2 24 38" xfId="24219"/>
    <cellStyle name="Obliczenia 2 24 38 2" xfId="24220"/>
    <cellStyle name="Obliczenia 2 24 38 3" xfId="24221"/>
    <cellStyle name="Obliczenia 2 24 39" xfId="24222"/>
    <cellStyle name="Obliczenia 2 24 39 2" xfId="24223"/>
    <cellStyle name="Obliczenia 2 24 39 3" xfId="24224"/>
    <cellStyle name="Obliczenia 2 24 4" xfId="24225"/>
    <cellStyle name="Obliczenia 2 24 4 2" xfId="24226"/>
    <cellStyle name="Obliczenia 2 24 4 3" xfId="24227"/>
    <cellStyle name="Obliczenia 2 24 4 4" xfId="24228"/>
    <cellStyle name="Obliczenia 2 24 40" xfId="24229"/>
    <cellStyle name="Obliczenia 2 24 40 2" xfId="24230"/>
    <cellStyle name="Obliczenia 2 24 40 3" xfId="24231"/>
    <cellStyle name="Obliczenia 2 24 41" xfId="24232"/>
    <cellStyle name="Obliczenia 2 24 41 2" xfId="24233"/>
    <cellStyle name="Obliczenia 2 24 41 3" xfId="24234"/>
    <cellStyle name="Obliczenia 2 24 42" xfId="24235"/>
    <cellStyle name="Obliczenia 2 24 42 2" xfId="24236"/>
    <cellStyle name="Obliczenia 2 24 42 3" xfId="24237"/>
    <cellStyle name="Obliczenia 2 24 43" xfId="24238"/>
    <cellStyle name="Obliczenia 2 24 43 2" xfId="24239"/>
    <cellStyle name="Obliczenia 2 24 43 3" xfId="24240"/>
    <cellStyle name="Obliczenia 2 24 44" xfId="24241"/>
    <cellStyle name="Obliczenia 2 24 44 2" xfId="24242"/>
    <cellStyle name="Obliczenia 2 24 44 3" xfId="24243"/>
    <cellStyle name="Obliczenia 2 24 45" xfId="24244"/>
    <cellStyle name="Obliczenia 2 24 45 2" xfId="24245"/>
    <cellStyle name="Obliczenia 2 24 45 3" xfId="24246"/>
    <cellStyle name="Obliczenia 2 24 46" xfId="24247"/>
    <cellStyle name="Obliczenia 2 24 46 2" xfId="24248"/>
    <cellStyle name="Obliczenia 2 24 46 3" xfId="24249"/>
    <cellStyle name="Obliczenia 2 24 47" xfId="24250"/>
    <cellStyle name="Obliczenia 2 24 47 2" xfId="24251"/>
    <cellStyle name="Obliczenia 2 24 47 3" xfId="24252"/>
    <cellStyle name="Obliczenia 2 24 48" xfId="24253"/>
    <cellStyle name="Obliczenia 2 24 48 2" xfId="24254"/>
    <cellStyle name="Obliczenia 2 24 48 3" xfId="24255"/>
    <cellStyle name="Obliczenia 2 24 49" xfId="24256"/>
    <cellStyle name="Obliczenia 2 24 49 2" xfId="24257"/>
    <cellStyle name="Obliczenia 2 24 49 3" xfId="24258"/>
    <cellStyle name="Obliczenia 2 24 5" xfId="24259"/>
    <cellStyle name="Obliczenia 2 24 5 2" xfId="24260"/>
    <cellStyle name="Obliczenia 2 24 5 3" xfId="24261"/>
    <cellStyle name="Obliczenia 2 24 5 4" xfId="24262"/>
    <cellStyle name="Obliczenia 2 24 50" xfId="24263"/>
    <cellStyle name="Obliczenia 2 24 50 2" xfId="24264"/>
    <cellStyle name="Obliczenia 2 24 50 3" xfId="24265"/>
    <cellStyle name="Obliczenia 2 24 51" xfId="24266"/>
    <cellStyle name="Obliczenia 2 24 51 2" xfId="24267"/>
    <cellStyle name="Obliczenia 2 24 51 3" xfId="24268"/>
    <cellStyle name="Obliczenia 2 24 52" xfId="24269"/>
    <cellStyle name="Obliczenia 2 24 52 2" xfId="24270"/>
    <cellStyle name="Obliczenia 2 24 52 3" xfId="24271"/>
    <cellStyle name="Obliczenia 2 24 53" xfId="24272"/>
    <cellStyle name="Obliczenia 2 24 53 2" xfId="24273"/>
    <cellStyle name="Obliczenia 2 24 53 3" xfId="24274"/>
    <cellStyle name="Obliczenia 2 24 54" xfId="24275"/>
    <cellStyle name="Obliczenia 2 24 54 2" xfId="24276"/>
    <cellStyle name="Obliczenia 2 24 54 3" xfId="24277"/>
    <cellStyle name="Obliczenia 2 24 55" xfId="24278"/>
    <cellStyle name="Obliczenia 2 24 55 2" xfId="24279"/>
    <cellStyle name="Obliczenia 2 24 55 3" xfId="24280"/>
    <cellStyle name="Obliczenia 2 24 56" xfId="24281"/>
    <cellStyle name="Obliczenia 2 24 56 2" xfId="24282"/>
    <cellStyle name="Obliczenia 2 24 56 3" xfId="24283"/>
    <cellStyle name="Obliczenia 2 24 57" xfId="24284"/>
    <cellStyle name="Obliczenia 2 24 58" xfId="24285"/>
    <cellStyle name="Obliczenia 2 24 6" xfId="24286"/>
    <cellStyle name="Obliczenia 2 24 6 2" xfId="24287"/>
    <cellStyle name="Obliczenia 2 24 6 3" xfId="24288"/>
    <cellStyle name="Obliczenia 2 24 6 4" xfId="24289"/>
    <cellStyle name="Obliczenia 2 24 7" xfId="24290"/>
    <cellStyle name="Obliczenia 2 24 7 2" xfId="24291"/>
    <cellStyle name="Obliczenia 2 24 7 3" xfId="24292"/>
    <cellStyle name="Obliczenia 2 24 7 4" xfId="24293"/>
    <cellStyle name="Obliczenia 2 24 8" xfId="24294"/>
    <cellStyle name="Obliczenia 2 24 8 2" xfId="24295"/>
    <cellStyle name="Obliczenia 2 24 8 3" xfId="24296"/>
    <cellStyle name="Obliczenia 2 24 8 4" xfId="24297"/>
    <cellStyle name="Obliczenia 2 24 9" xfId="24298"/>
    <cellStyle name="Obliczenia 2 24 9 2" xfId="24299"/>
    <cellStyle name="Obliczenia 2 24 9 3" xfId="24300"/>
    <cellStyle name="Obliczenia 2 24 9 4" xfId="24301"/>
    <cellStyle name="Obliczenia 2 25" xfId="24302"/>
    <cellStyle name="Obliczenia 2 25 10" xfId="24303"/>
    <cellStyle name="Obliczenia 2 25 10 2" xfId="24304"/>
    <cellStyle name="Obliczenia 2 25 10 3" xfId="24305"/>
    <cellStyle name="Obliczenia 2 25 10 4" xfId="24306"/>
    <cellStyle name="Obliczenia 2 25 11" xfId="24307"/>
    <cellStyle name="Obliczenia 2 25 11 2" xfId="24308"/>
    <cellStyle name="Obliczenia 2 25 11 3" xfId="24309"/>
    <cellStyle name="Obliczenia 2 25 11 4" xfId="24310"/>
    <cellStyle name="Obliczenia 2 25 12" xfId="24311"/>
    <cellStyle name="Obliczenia 2 25 12 2" xfId="24312"/>
    <cellStyle name="Obliczenia 2 25 12 3" xfId="24313"/>
    <cellStyle name="Obliczenia 2 25 12 4" xfId="24314"/>
    <cellStyle name="Obliczenia 2 25 13" xfId="24315"/>
    <cellStyle name="Obliczenia 2 25 13 2" xfId="24316"/>
    <cellStyle name="Obliczenia 2 25 13 3" xfId="24317"/>
    <cellStyle name="Obliczenia 2 25 13 4" xfId="24318"/>
    <cellStyle name="Obliczenia 2 25 14" xfId="24319"/>
    <cellStyle name="Obliczenia 2 25 14 2" xfId="24320"/>
    <cellStyle name="Obliczenia 2 25 14 3" xfId="24321"/>
    <cellStyle name="Obliczenia 2 25 14 4" xfId="24322"/>
    <cellStyle name="Obliczenia 2 25 15" xfId="24323"/>
    <cellStyle name="Obliczenia 2 25 15 2" xfId="24324"/>
    <cellStyle name="Obliczenia 2 25 15 3" xfId="24325"/>
    <cellStyle name="Obliczenia 2 25 15 4" xfId="24326"/>
    <cellStyle name="Obliczenia 2 25 16" xfId="24327"/>
    <cellStyle name="Obliczenia 2 25 16 2" xfId="24328"/>
    <cellStyle name="Obliczenia 2 25 16 3" xfId="24329"/>
    <cellStyle name="Obliczenia 2 25 16 4" xfId="24330"/>
    <cellStyle name="Obliczenia 2 25 17" xfId="24331"/>
    <cellStyle name="Obliczenia 2 25 17 2" xfId="24332"/>
    <cellStyle name="Obliczenia 2 25 17 3" xfId="24333"/>
    <cellStyle name="Obliczenia 2 25 17 4" xfId="24334"/>
    <cellStyle name="Obliczenia 2 25 18" xfId="24335"/>
    <cellStyle name="Obliczenia 2 25 18 2" xfId="24336"/>
    <cellStyle name="Obliczenia 2 25 18 3" xfId="24337"/>
    <cellStyle name="Obliczenia 2 25 18 4" xfId="24338"/>
    <cellStyle name="Obliczenia 2 25 19" xfId="24339"/>
    <cellStyle name="Obliczenia 2 25 19 2" xfId="24340"/>
    <cellStyle name="Obliczenia 2 25 19 3" xfId="24341"/>
    <cellStyle name="Obliczenia 2 25 19 4" xfId="24342"/>
    <cellStyle name="Obliczenia 2 25 2" xfId="24343"/>
    <cellStyle name="Obliczenia 2 25 2 2" xfId="24344"/>
    <cellStyle name="Obliczenia 2 25 2 3" xfId="24345"/>
    <cellStyle name="Obliczenia 2 25 2 4" xfId="24346"/>
    <cellStyle name="Obliczenia 2 25 20" xfId="24347"/>
    <cellStyle name="Obliczenia 2 25 20 2" xfId="24348"/>
    <cellStyle name="Obliczenia 2 25 20 3" xfId="24349"/>
    <cellStyle name="Obliczenia 2 25 20 4" xfId="24350"/>
    <cellStyle name="Obliczenia 2 25 21" xfId="24351"/>
    <cellStyle name="Obliczenia 2 25 21 2" xfId="24352"/>
    <cellStyle name="Obliczenia 2 25 21 3" xfId="24353"/>
    <cellStyle name="Obliczenia 2 25 22" xfId="24354"/>
    <cellStyle name="Obliczenia 2 25 22 2" xfId="24355"/>
    <cellStyle name="Obliczenia 2 25 22 3" xfId="24356"/>
    <cellStyle name="Obliczenia 2 25 23" xfId="24357"/>
    <cellStyle name="Obliczenia 2 25 23 2" xfId="24358"/>
    <cellStyle name="Obliczenia 2 25 23 3" xfId="24359"/>
    <cellStyle name="Obliczenia 2 25 24" xfId="24360"/>
    <cellStyle name="Obliczenia 2 25 24 2" xfId="24361"/>
    <cellStyle name="Obliczenia 2 25 24 3" xfId="24362"/>
    <cellStyle name="Obliczenia 2 25 25" xfId="24363"/>
    <cellStyle name="Obliczenia 2 25 25 2" xfId="24364"/>
    <cellStyle name="Obliczenia 2 25 25 3" xfId="24365"/>
    <cellStyle name="Obliczenia 2 25 26" xfId="24366"/>
    <cellStyle name="Obliczenia 2 25 26 2" xfId="24367"/>
    <cellStyle name="Obliczenia 2 25 26 3" xfId="24368"/>
    <cellStyle name="Obliczenia 2 25 27" xfId="24369"/>
    <cellStyle name="Obliczenia 2 25 27 2" xfId="24370"/>
    <cellStyle name="Obliczenia 2 25 27 3" xfId="24371"/>
    <cellStyle name="Obliczenia 2 25 28" xfId="24372"/>
    <cellStyle name="Obliczenia 2 25 28 2" xfId="24373"/>
    <cellStyle name="Obliczenia 2 25 28 3" xfId="24374"/>
    <cellStyle name="Obliczenia 2 25 29" xfId="24375"/>
    <cellStyle name="Obliczenia 2 25 29 2" xfId="24376"/>
    <cellStyle name="Obliczenia 2 25 29 3" xfId="24377"/>
    <cellStyle name="Obliczenia 2 25 3" xfId="24378"/>
    <cellStyle name="Obliczenia 2 25 3 2" xfId="24379"/>
    <cellStyle name="Obliczenia 2 25 3 3" xfId="24380"/>
    <cellStyle name="Obliczenia 2 25 3 4" xfId="24381"/>
    <cellStyle name="Obliczenia 2 25 30" xfId="24382"/>
    <cellStyle name="Obliczenia 2 25 30 2" xfId="24383"/>
    <cellStyle name="Obliczenia 2 25 30 3" xfId="24384"/>
    <cellStyle name="Obliczenia 2 25 31" xfId="24385"/>
    <cellStyle name="Obliczenia 2 25 31 2" xfId="24386"/>
    <cellStyle name="Obliczenia 2 25 31 3" xfId="24387"/>
    <cellStyle name="Obliczenia 2 25 32" xfId="24388"/>
    <cellStyle name="Obliczenia 2 25 32 2" xfId="24389"/>
    <cellStyle name="Obliczenia 2 25 32 3" xfId="24390"/>
    <cellStyle name="Obliczenia 2 25 33" xfId="24391"/>
    <cellStyle name="Obliczenia 2 25 33 2" xfId="24392"/>
    <cellStyle name="Obliczenia 2 25 33 3" xfId="24393"/>
    <cellStyle name="Obliczenia 2 25 34" xfId="24394"/>
    <cellStyle name="Obliczenia 2 25 34 2" xfId="24395"/>
    <cellStyle name="Obliczenia 2 25 34 3" xfId="24396"/>
    <cellStyle name="Obliczenia 2 25 35" xfId="24397"/>
    <cellStyle name="Obliczenia 2 25 35 2" xfId="24398"/>
    <cellStyle name="Obliczenia 2 25 35 3" xfId="24399"/>
    <cellStyle name="Obliczenia 2 25 36" xfId="24400"/>
    <cellStyle name="Obliczenia 2 25 36 2" xfId="24401"/>
    <cellStyle name="Obliczenia 2 25 36 3" xfId="24402"/>
    <cellStyle name="Obliczenia 2 25 37" xfId="24403"/>
    <cellStyle name="Obliczenia 2 25 37 2" xfId="24404"/>
    <cellStyle name="Obliczenia 2 25 37 3" xfId="24405"/>
    <cellStyle name="Obliczenia 2 25 38" xfId="24406"/>
    <cellStyle name="Obliczenia 2 25 38 2" xfId="24407"/>
    <cellStyle name="Obliczenia 2 25 38 3" xfId="24408"/>
    <cellStyle name="Obliczenia 2 25 39" xfId="24409"/>
    <cellStyle name="Obliczenia 2 25 39 2" xfId="24410"/>
    <cellStyle name="Obliczenia 2 25 39 3" xfId="24411"/>
    <cellStyle name="Obliczenia 2 25 4" xfId="24412"/>
    <cellStyle name="Obliczenia 2 25 4 2" xfId="24413"/>
    <cellStyle name="Obliczenia 2 25 4 3" xfId="24414"/>
    <cellStyle name="Obliczenia 2 25 4 4" xfId="24415"/>
    <cellStyle name="Obliczenia 2 25 40" xfId="24416"/>
    <cellStyle name="Obliczenia 2 25 40 2" xfId="24417"/>
    <cellStyle name="Obliczenia 2 25 40 3" xfId="24418"/>
    <cellStyle name="Obliczenia 2 25 41" xfId="24419"/>
    <cellStyle name="Obliczenia 2 25 41 2" xfId="24420"/>
    <cellStyle name="Obliczenia 2 25 41 3" xfId="24421"/>
    <cellStyle name="Obliczenia 2 25 42" xfId="24422"/>
    <cellStyle name="Obliczenia 2 25 42 2" xfId="24423"/>
    <cellStyle name="Obliczenia 2 25 42 3" xfId="24424"/>
    <cellStyle name="Obliczenia 2 25 43" xfId="24425"/>
    <cellStyle name="Obliczenia 2 25 43 2" xfId="24426"/>
    <cellStyle name="Obliczenia 2 25 43 3" xfId="24427"/>
    <cellStyle name="Obliczenia 2 25 44" xfId="24428"/>
    <cellStyle name="Obliczenia 2 25 44 2" xfId="24429"/>
    <cellStyle name="Obliczenia 2 25 44 3" xfId="24430"/>
    <cellStyle name="Obliczenia 2 25 45" xfId="24431"/>
    <cellStyle name="Obliczenia 2 25 45 2" xfId="24432"/>
    <cellStyle name="Obliczenia 2 25 45 3" xfId="24433"/>
    <cellStyle name="Obliczenia 2 25 46" xfId="24434"/>
    <cellStyle name="Obliczenia 2 25 46 2" xfId="24435"/>
    <cellStyle name="Obliczenia 2 25 46 3" xfId="24436"/>
    <cellStyle name="Obliczenia 2 25 47" xfId="24437"/>
    <cellStyle name="Obliczenia 2 25 47 2" xfId="24438"/>
    <cellStyle name="Obliczenia 2 25 47 3" xfId="24439"/>
    <cellStyle name="Obliczenia 2 25 48" xfId="24440"/>
    <cellStyle name="Obliczenia 2 25 48 2" xfId="24441"/>
    <cellStyle name="Obliczenia 2 25 48 3" xfId="24442"/>
    <cellStyle name="Obliczenia 2 25 49" xfId="24443"/>
    <cellStyle name="Obliczenia 2 25 49 2" xfId="24444"/>
    <cellStyle name="Obliczenia 2 25 49 3" xfId="24445"/>
    <cellStyle name="Obliczenia 2 25 5" xfId="24446"/>
    <cellStyle name="Obliczenia 2 25 5 2" xfId="24447"/>
    <cellStyle name="Obliczenia 2 25 5 3" xfId="24448"/>
    <cellStyle name="Obliczenia 2 25 5 4" xfId="24449"/>
    <cellStyle name="Obliczenia 2 25 50" xfId="24450"/>
    <cellStyle name="Obliczenia 2 25 50 2" xfId="24451"/>
    <cellStyle name="Obliczenia 2 25 50 3" xfId="24452"/>
    <cellStyle name="Obliczenia 2 25 51" xfId="24453"/>
    <cellStyle name="Obliczenia 2 25 51 2" xfId="24454"/>
    <cellStyle name="Obliczenia 2 25 51 3" xfId="24455"/>
    <cellStyle name="Obliczenia 2 25 52" xfId="24456"/>
    <cellStyle name="Obliczenia 2 25 52 2" xfId="24457"/>
    <cellStyle name="Obliczenia 2 25 52 3" xfId="24458"/>
    <cellStyle name="Obliczenia 2 25 53" xfId="24459"/>
    <cellStyle name="Obliczenia 2 25 53 2" xfId="24460"/>
    <cellStyle name="Obliczenia 2 25 53 3" xfId="24461"/>
    <cellStyle name="Obliczenia 2 25 54" xfId="24462"/>
    <cellStyle name="Obliczenia 2 25 54 2" xfId="24463"/>
    <cellStyle name="Obliczenia 2 25 54 3" xfId="24464"/>
    <cellStyle name="Obliczenia 2 25 55" xfId="24465"/>
    <cellStyle name="Obliczenia 2 25 55 2" xfId="24466"/>
    <cellStyle name="Obliczenia 2 25 55 3" xfId="24467"/>
    <cellStyle name="Obliczenia 2 25 56" xfId="24468"/>
    <cellStyle name="Obliczenia 2 25 56 2" xfId="24469"/>
    <cellStyle name="Obliczenia 2 25 56 3" xfId="24470"/>
    <cellStyle name="Obliczenia 2 25 57" xfId="24471"/>
    <cellStyle name="Obliczenia 2 25 58" xfId="24472"/>
    <cellStyle name="Obliczenia 2 25 6" xfId="24473"/>
    <cellStyle name="Obliczenia 2 25 6 2" xfId="24474"/>
    <cellStyle name="Obliczenia 2 25 6 3" xfId="24475"/>
    <cellStyle name="Obliczenia 2 25 6 4" xfId="24476"/>
    <cellStyle name="Obliczenia 2 25 7" xfId="24477"/>
    <cellStyle name="Obliczenia 2 25 7 2" xfId="24478"/>
    <cellStyle name="Obliczenia 2 25 7 3" xfId="24479"/>
    <cellStyle name="Obliczenia 2 25 7 4" xfId="24480"/>
    <cellStyle name="Obliczenia 2 25 8" xfId="24481"/>
    <cellStyle name="Obliczenia 2 25 8 2" xfId="24482"/>
    <cellStyle name="Obliczenia 2 25 8 3" xfId="24483"/>
    <cellStyle name="Obliczenia 2 25 8 4" xfId="24484"/>
    <cellStyle name="Obliczenia 2 25 9" xfId="24485"/>
    <cellStyle name="Obliczenia 2 25 9 2" xfId="24486"/>
    <cellStyle name="Obliczenia 2 25 9 3" xfId="24487"/>
    <cellStyle name="Obliczenia 2 25 9 4" xfId="24488"/>
    <cellStyle name="Obliczenia 2 26" xfId="24489"/>
    <cellStyle name="Obliczenia 2 26 10" xfId="24490"/>
    <cellStyle name="Obliczenia 2 26 10 2" xfId="24491"/>
    <cellStyle name="Obliczenia 2 26 10 3" xfId="24492"/>
    <cellStyle name="Obliczenia 2 26 10 4" xfId="24493"/>
    <cellStyle name="Obliczenia 2 26 11" xfId="24494"/>
    <cellStyle name="Obliczenia 2 26 11 2" xfId="24495"/>
    <cellStyle name="Obliczenia 2 26 11 3" xfId="24496"/>
    <cellStyle name="Obliczenia 2 26 11 4" xfId="24497"/>
    <cellStyle name="Obliczenia 2 26 12" xfId="24498"/>
    <cellStyle name="Obliczenia 2 26 12 2" xfId="24499"/>
    <cellStyle name="Obliczenia 2 26 12 3" xfId="24500"/>
    <cellStyle name="Obliczenia 2 26 12 4" xfId="24501"/>
    <cellStyle name="Obliczenia 2 26 13" xfId="24502"/>
    <cellStyle name="Obliczenia 2 26 13 2" xfId="24503"/>
    <cellStyle name="Obliczenia 2 26 13 3" xfId="24504"/>
    <cellStyle name="Obliczenia 2 26 13 4" xfId="24505"/>
    <cellStyle name="Obliczenia 2 26 14" xfId="24506"/>
    <cellStyle name="Obliczenia 2 26 14 2" xfId="24507"/>
    <cellStyle name="Obliczenia 2 26 14 3" xfId="24508"/>
    <cellStyle name="Obliczenia 2 26 14 4" xfId="24509"/>
    <cellStyle name="Obliczenia 2 26 15" xfId="24510"/>
    <cellStyle name="Obliczenia 2 26 15 2" xfId="24511"/>
    <cellStyle name="Obliczenia 2 26 15 3" xfId="24512"/>
    <cellStyle name="Obliczenia 2 26 15 4" xfId="24513"/>
    <cellStyle name="Obliczenia 2 26 16" xfId="24514"/>
    <cellStyle name="Obliczenia 2 26 16 2" xfId="24515"/>
    <cellStyle name="Obliczenia 2 26 16 3" xfId="24516"/>
    <cellStyle name="Obliczenia 2 26 16 4" xfId="24517"/>
    <cellStyle name="Obliczenia 2 26 17" xfId="24518"/>
    <cellStyle name="Obliczenia 2 26 17 2" xfId="24519"/>
    <cellStyle name="Obliczenia 2 26 17 3" xfId="24520"/>
    <cellStyle name="Obliczenia 2 26 17 4" xfId="24521"/>
    <cellStyle name="Obliczenia 2 26 18" xfId="24522"/>
    <cellStyle name="Obliczenia 2 26 18 2" xfId="24523"/>
    <cellStyle name="Obliczenia 2 26 18 3" xfId="24524"/>
    <cellStyle name="Obliczenia 2 26 18 4" xfId="24525"/>
    <cellStyle name="Obliczenia 2 26 19" xfId="24526"/>
    <cellStyle name="Obliczenia 2 26 19 2" xfId="24527"/>
    <cellStyle name="Obliczenia 2 26 19 3" xfId="24528"/>
    <cellStyle name="Obliczenia 2 26 19 4" xfId="24529"/>
    <cellStyle name="Obliczenia 2 26 2" xfId="24530"/>
    <cellStyle name="Obliczenia 2 26 2 2" xfId="24531"/>
    <cellStyle name="Obliczenia 2 26 2 3" xfId="24532"/>
    <cellStyle name="Obliczenia 2 26 2 4" xfId="24533"/>
    <cellStyle name="Obliczenia 2 26 20" xfId="24534"/>
    <cellStyle name="Obliczenia 2 26 20 2" xfId="24535"/>
    <cellStyle name="Obliczenia 2 26 20 3" xfId="24536"/>
    <cellStyle name="Obliczenia 2 26 20 4" xfId="24537"/>
    <cellStyle name="Obliczenia 2 26 21" xfId="24538"/>
    <cellStyle name="Obliczenia 2 26 21 2" xfId="24539"/>
    <cellStyle name="Obliczenia 2 26 21 3" xfId="24540"/>
    <cellStyle name="Obliczenia 2 26 22" xfId="24541"/>
    <cellStyle name="Obliczenia 2 26 22 2" xfId="24542"/>
    <cellStyle name="Obliczenia 2 26 22 3" xfId="24543"/>
    <cellStyle name="Obliczenia 2 26 23" xfId="24544"/>
    <cellStyle name="Obliczenia 2 26 23 2" xfId="24545"/>
    <cellStyle name="Obliczenia 2 26 23 3" xfId="24546"/>
    <cellStyle name="Obliczenia 2 26 24" xfId="24547"/>
    <cellStyle name="Obliczenia 2 26 24 2" xfId="24548"/>
    <cellStyle name="Obliczenia 2 26 24 3" xfId="24549"/>
    <cellStyle name="Obliczenia 2 26 25" xfId="24550"/>
    <cellStyle name="Obliczenia 2 26 25 2" xfId="24551"/>
    <cellStyle name="Obliczenia 2 26 25 3" xfId="24552"/>
    <cellStyle name="Obliczenia 2 26 26" xfId="24553"/>
    <cellStyle name="Obliczenia 2 26 26 2" xfId="24554"/>
    <cellStyle name="Obliczenia 2 26 26 3" xfId="24555"/>
    <cellStyle name="Obliczenia 2 26 27" xfId="24556"/>
    <cellStyle name="Obliczenia 2 26 27 2" xfId="24557"/>
    <cellStyle name="Obliczenia 2 26 27 3" xfId="24558"/>
    <cellStyle name="Obliczenia 2 26 28" xfId="24559"/>
    <cellStyle name="Obliczenia 2 26 28 2" xfId="24560"/>
    <cellStyle name="Obliczenia 2 26 28 3" xfId="24561"/>
    <cellStyle name="Obliczenia 2 26 29" xfId="24562"/>
    <cellStyle name="Obliczenia 2 26 29 2" xfId="24563"/>
    <cellStyle name="Obliczenia 2 26 29 3" xfId="24564"/>
    <cellStyle name="Obliczenia 2 26 3" xfId="24565"/>
    <cellStyle name="Obliczenia 2 26 3 2" xfId="24566"/>
    <cellStyle name="Obliczenia 2 26 3 3" xfId="24567"/>
    <cellStyle name="Obliczenia 2 26 3 4" xfId="24568"/>
    <cellStyle name="Obliczenia 2 26 30" xfId="24569"/>
    <cellStyle name="Obliczenia 2 26 30 2" xfId="24570"/>
    <cellStyle name="Obliczenia 2 26 30 3" xfId="24571"/>
    <cellStyle name="Obliczenia 2 26 31" xfId="24572"/>
    <cellStyle name="Obliczenia 2 26 31 2" xfId="24573"/>
    <cellStyle name="Obliczenia 2 26 31 3" xfId="24574"/>
    <cellStyle name="Obliczenia 2 26 32" xfId="24575"/>
    <cellStyle name="Obliczenia 2 26 32 2" xfId="24576"/>
    <cellStyle name="Obliczenia 2 26 32 3" xfId="24577"/>
    <cellStyle name="Obliczenia 2 26 33" xfId="24578"/>
    <cellStyle name="Obliczenia 2 26 33 2" xfId="24579"/>
    <cellStyle name="Obliczenia 2 26 33 3" xfId="24580"/>
    <cellStyle name="Obliczenia 2 26 34" xfId="24581"/>
    <cellStyle name="Obliczenia 2 26 34 2" xfId="24582"/>
    <cellStyle name="Obliczenia 2 26 34 3" xfId="24583"/>
    <cellStyle name="Obliczenia 2 26 35" xfId="24584"/>
    <cellStyle name="Obliczenia 2 26 35 2" xfId="24585"/>
    <cellStyle name="Obliczenia 2 26 35 3" xfId="24586"/>
    <cellStyle name="Obliczenia 2 26 36" xfId="24587"/>
    <cellStyle name="Obliczenia 2 26 36 2" xfId="24588"/>
    <cellStyle name="Obliczenia 2 26 36 3" xfId="24589"/>
    <cellStyle name="Obliczenia 2 26 37" xfId="24590"/>
    <cellStyle name="Obliczenia 2 26 37 2" xfId="24591"/>
    <cellStyle name="Obliczenia 2 26 37 3" xfId="24592"/>
    <cellStyle name="Obliczenia 2 26 38" xfId="24593"/>
    <cellStyle name="Obliczenia 2 26 38 2" xfId="24594"/>
    <cellStyle name="Obliczenia 2 26 38 3" xfId="24595"/>
    <cellStyle name="Obliczenia 2 26 39" xfId="24596"/>
    <cellStyle name="Obliczenia 2 26 39 2" xfId="24597"/>
    <cellStyle name="Obliczenia 2 26 39 3" xfId="24598"/>
    <cellStyle name="Obliczenia 2 26 4" xfId="24599"/>
    <cellStyle name="Obliczenia 2 26 4 2" xfId="24600"/>
    <cellStyle name="Obliczenia 2 26 4 3" xfId="24601"/>
    <cellStyle name="Obliczenia 2 26 4 4" xfId="24602"/>
    <cellStyle name="Obliczenia 2 26 40" xfId="24603"/>
    <cellStyle name="Obliczenia 2 26 40 2" xfId="24604"/>
    <cellStyle name="Obliczenia 2 26 40 3" xfId="24605"/>
    <cellStyle name="Obliczenia 2 26 41" xfId="24606"/>
    <cellStyle name="Obliczenia 2 26 41 2" xfId="24607"/>
    <cellStyle name="Obliczenia 2 26 41 3" xfId="24608"/>
    <cellStyle name="Obliczenia 2 26 42" xfId="24609"/>
    <cellStyle name="Obliczenia 2 26 42 2" xfId="24610"/>
    <cellStyle name="Obliczenia 2 26 42 3" xfId="24611"/>
    <cellStyle name="Obliczenia 2 26 43" xfId="24612"/>
    <cellStyle name="Obliczenia 2 26 43 2" xfId="24613"/>
    <cellStyle name="Obliczenia 2 26 43 3" xfId="24614"/>
    <cellStyle name="Obliczenia 2 26 44" xfId="24615"/>
    <cellStyle name="Obliczenia 2 26 44 2" xfId="24616"/>
    <cellStyle name="Obliczenia 2 26 44 3" xfId="24617"/>
    <cellStyle name="Obliczenia 2 26 45" xfId="24618"/>
    <cellStyle name="Obliczenia 2 26 45 2" xfId="24619"/>
    <cellStyle name="Obliczenia 2 26 45 3" xfId="24620"/>
    <cellStyle name="Obliczenia 2 26 46" xfId="24621"/>
    <cellStyle name="Obliczenia 2 26 46 2" xfId="24622"/>
    <cellStyle name="Obliczenia 2 26 46 3" xfId="24623"/>
    <cellStyle name="Obliczenia 2 26 47" xfId="24624"/>
    <cellStyle name="Obliczenia 2 26 47 2" xfId="24625"/>
    <cellStyle name="Obliczenia 2 26 47 3" xfId="24626"/>
    <cellStyle name="Obliczenia 2 26 48" xfId="24627"/>
    <cellStyle name="Obliczenia 2 26 48 2" xfId="24628"/>
    <cellStyle name="Obliczenia 2 26 48 3" xfId="24629"/>
    <cellStyle name="Obliczenia 2 26 49" xfId="24630"/>
    <cellStyle name="Obliczenia 2 26 49 2" xfId="24631"/>
    <cellStyle name="Obliczenia 2 26 49 3" xfId="24632"/>
    <cellStyle name="Obliczenia 2 26 5" xfId="24633"/>
    <cellStyle name="Obliczenia 2 26 5 2" xfId="24634"/>
    <cellStyle name="Obliczenia 2 26 5 3" xfId="24635"/>
    <cellStyle name="Obliczenia 2 26 5 4" xfId="24636"/>
    <cellStyle name="Obliczenia 2 26 50" xfId="24637"/>
    <cellStyle name="Obliczenia 2 26 50 2" xfId="24638"/>
    <cellStyle name="Obliczenia 2 26 50 3" xfId="24639"/>
    <cellStyle name="Obliczenia 2 26 51" xfId="24640"/>
    <cellStyle name="Obliczenia 2 26 51 2" xfId="24641"/>
    <cellStyle name="Obliczenia 2 26 51 3" xfId="24642"/>
    <cellStyle name="Obliczenia 2 26 52" xfId="24643"/>
    <cellStyle name="Obliczenia 2 26 52 2" xfId="24644"/>
    <cellStyle name="Obliczenia 2 26 52 3" xfId="24645"/>
    <cellStyle name="Obliczenia 2 26 53" xfId="24646"/>
    <cellStyle name="Obliczenia 2 26 53 2" xfId="24647"/>
    <cellStyle name="Obliczenia 2 26 53 3" xfId="24648"/>
    <cellStyle name="Obliczenia 2 26 54" xfId="24649"/>
    <cellStyle name="Obliczenia 2 26 54 2" xfId="24650"/>
    <cellStyle name="Obliczenia 2 26 54 3" xfId="24651"/>
    <cellStyle name="Obliczenia 2 26 55" xfId="24652"/>
    <cellStyle name="Obliczenia 2 26 55 2" xfId="24653"/>
    <cellStyle name="Obliczenia 2 26 55 3" xfId="24654"/>
    <cellStyle name="Obliczenia 2 26 56" xfId="24655"/>
    <cellStyle name="Obliczenia 2 26 56 2" xfId="24656"/>
    <cellStyle name="Obliczenia 2 26 56 3" xfId="24657"/>
    <cellStyle name="Obliczenia 2 26 57" xfId="24658"/>
    <cellStyle name="Obliczenia 2 26 58" xfId="24659"/>
    <cellStyle name="Obliczenia 2 26 6" xfId="24660"/>
    <cellStyle name="Obliczenia 2 26 6 2" xfId="24661"/>
    <cellStyle name="Obliczenia 2 26 6 3" xfId="24662"/>
    <cellStyle name="Obliczenia 2 26 6 4" xfId="24663"/>
    <cellStyle name="Obliczenia 2 26 7" xfId="24664"/>
    <cellStyle name="Obliczenia 2 26 7 2" xfId="24665"/>
    <cellStyle name="Obliczenia 2 26 7 3" xfId="24666"/>
    <cellStyle name="Obliczenia 2 26 7 4" xfId="24667"/>
    <cellStyle name="Obliczenia 2 26 8" xfId="24668"/>
    <cellStyle name="Obliczenia 2 26 8 2" xfId="24669"/>
    <cellStyle name="Obliczenia 2 26 8 3" xfId="24670"/>
    <cellStyle name="Obliczenia 2 26 8 4" xfId="24671"/>
    <cellStyle name="Obliczenia 2 26 9" xfId="24672"/>
    <cellStyle name="Obliczenia 2 26 9 2" xfId="24673"/>
    <cellStyle name="Obliczenia 2 26 9 3" xfId="24674"/>
    <cellStyle name="Obliczenia 2 26 9 4" xfId="24675"/>
    <cellStyle name="Obliczenia 2 27" xfId="24676"/>
    <cellStyle name="Obliczenia 2 27 10" xfId="24677"/>
    <cellStyle name="Obliczenia 2 27 10 2" xfId="24678"/>
    <cellStyle name="Obliczenia 2 27 10 3" xfId="24679"/>
    <cellStyle name="Obliczenia 2 27 10 4" xfId="24680"/>
    <cellStyle name="Obliczenia 2 27 11" xfId="24681"/>
    <cellStyle name="Obliczenia 2 27 11 2" xfId="24682"/>
    <cellStyle name="Obliczenia 2 27 11 3" xfId="24683"/>
    <cellStyle name="Obliczenia 2 27 11 4" xfId="24684"/>
    <cellStyle name="Obliczenia 2 27 12" xfId="24685"/>
    <cellStyle name="Obliczenia 2 27 12 2" xfId="24686"/>
    <cellStyle name="Obliczenia 2 27 12 3" xfId="24687"/>
    <cellStyle name="Obliczenia 2 27 12 4" xfId="24688"/>
    <cellStyle name="Obliczenia 2 27 13" xfId="24689"/>
    <cellStyle name="Obliczenia 2 27 13 2" xfId="24690"/>
    <cellStyle name="Obliczenia 2 27 13 3" xfId="24691"/>
    <cellStyle name="Obliczenia 2 27 13 4" xfId="24692"/>
    <cellStyle name="Obliczenia 2 27 14" xfId="24693"/>
    <cellStyle name="Obliczenia 2 27 14 2" xfId="24694"/>
    <cellStyle name="Obliczenia 2 27 14 3" xfId="24695"/>
    <cellStyle name="Obliczenia 2 27 14 4" xfId="24696"/>
    <cellStyle name="Obliczenia 2 27 15" xfId="24697"/>
    <cellStyle name="Obliczenia 2 27 15 2" xfId="24698"/>
    <cellStyle name="Obliczenia 2 27 15 3" xfId="24699"/>
    <cellStyle name="Obliczenia 2 27 15 4" xfId="24700"/>
    <cellStyle name="Obliczenia 2 27 16" xfId="24701"/>
    <cellStyle name="Obliczenia 2 27 16 2" xfId="24702"/>
    <cellStyle name="Obliczenia 2 27 16 3" xfId="24703"/>
    <cellStyle name="Obliczenia 2 27 16 4" xfId="24704"/>
    <cellStyle name="Obliczenia 2 27 17" xfId="24705"/>
    <cellStyle name="Obliczenia 2 27 17 2" xfId="24706"/>
    <cellStyle name="Obliczenia 2 27 17 3" xfId="24707"/>
    <cellStyle name="Obliczenia 2 27 17 4" xfId="24708"/>
    <cellStyle name="Obliczenia 2 27 18" xfId="24709"/>
    <cellStyle name="Obliczenia 2 27 18 2" xfId="24710"/>
    <cellStyle name="Obliczenia 2 27 18 3" xfId="24711"/>
    <cellStyle name="Obliczenia 2 27 18 4" xfId="24712"/>
    <cellStyle name="Obliczenia 2 27 19" xfId="24713"/>
    <cellStyle name="Obliczenia 2 27 19 2" xfId="24714"/>
    <cellStyle name="Obliczenia 2 27 19 3" xfId="24715"/>
    <cellStyle name="Obliczenia 2 27 19 4" xfId="24716"/>
    <cellStyle name="Obliczenia 2 27 2" xfId="24717"/>
    <cellStyle name="Obliczenia 2 27 2 2" xfId="24718"/>
    <cellStyle name="Obliczenia 2 27 2 3" xfId="24719"/>
    <cellStyle name="Obliczenia 2 27 2 4" xfId="24720"/>
    <cellStyle name="Obliczenia 2 27 20" xfId="24721"/>
    <cellStyle name="Obliczenia 2 27 20 2" xfId="24722"/>
    <cellStyle name="Obliczenia 2 27 20 3" xfId="24723"/>
    <cellStyle name="Obliczenia 2 27 20 4" xfId="24724"/>
    <cellStyle name="Obliczenia 2 27 21" xfId="24725"/>
    <cellStyle name="Obliczenia 2 27 21 2" xfId="24726"/>
    <cellStyle name="Obliczenia 2 27 21 3" xfId="24727"/>
    <cellStyle name="Obliczenia 2 27 22" xfId="24728"/>
    <cellStyle name="Obliczenia 2 27 22 2" xfId="24729"/>
    <cellStyle name="Obliczenia 2 27 22 3" xfId="24730"/>
    <cellStyle name="Obliczenia 2 27 23" xfId="24731"/>
    <cellStyle name="Obliczenia 2 27 23 2" xfId="24732"/>
    <cellStyle name="Obliczenia 2 27 23 3" xfId="24733"/>
    <cellStyle name="Obliczenia 2 27 24" xfId="24734"/>
    <cellStyle name="Obliczenia 2 27 24 2" xfId="24735"/>
    <cellStyle name="Obliczenia 2 27 24 3" xfId="24736"/>
    <cellStyle name="Obliczenia 2 27 25" xfId="24737"/>
    <cellStyle name="Obliczenia 2 27 25 2" xfId="24738"/>
    <cellStyle name="Obliczenia 2 27 25 3" xfId="24739"/>
    <cellStyle name="Obliczenia 2 27 26" xfId="24740"/>
    <cellStyle name="Obliczenia 2 27 26 2" xfId="24741"/>
    <cellStyle name="Obliczenia 2 27 26 3" xfId="24742"/>
    <cellStyle name="Obliczenia 2 27 27" xfId="24743"/>
    <cellStyle name="Obliczenia 2 27 27 2" xfId="24744"/>
    <cellStyle name="Obliczenia 2 27 27 3" xfId="24745"/>
    <cellStyle name="Obliczenia 2 27 28" xfId="24746"/>
    <cellStyle name="Obliczenia 2 27 28 2" xfId="24747"/>
    <cellStyle name="Obliczenia 2 27 28 3" xfId="24748"/>
    <cellStyle name="Obliczenia 2 27 29" xfId="24749"/>
    <cellStyle name="Obliczenia 2 27 29 2" xfId="24750"/>
    <cellStyle name="Obliczenia 2 27 29 3" xfId="24751"/>
    <cellStyle name="Obliczenia 2 27 3" xfId="24752"/>
    <cellStyle name="Obliczenia 2 27 3 2" xfId="24753"/>
    <cellStyle name="Obliczenia 2 27 3 3" xfId="24754"/>
    <cellStyle name="Obliczenia 2 27 3 4" xfId="24755"/>
    <cellStyle name="Obliczenia 2 27 30" xfId="24756"/>
    <cellStyle name="Obliczenia 2 27 30 2" xfId="24757"/>
    <cellStyle name="Obliczenia 2 27 30 3" xfId="24758"/>
    <cellStyle name="Obliczenia 2 27 31" xfId="24759"/>
    <cellStyle name="Obliczenia 2 27 31 2" xfId="24760"/>
    <cellStyle name="Obliczenia 2 27 31 3" xfId="24761"/>
    <cellStyle name="Obliczenia 2 27 32" xfId="24762"/>
    <cellStyle name="Obliczenia 2 27 32 2" xfId="24763"/>
    <cellStyle name="Obliczenia 2 27 32 3" xfId="24764"/>
    <cellStyle name="Obliczenia 2 27 33" xfId="24765"/>
    <cellStyle name="Obliczenia 2 27 33 2" xfId="24766"/>
    <cellStyle name="Obliczenia 2 27 33 3" xfId="24767"/>
    <cellStyle name="Obliczenia 2 27 34" xfId="24768"/>
    <cellStyle name="Obliczenia 2 27 34 2" xfId="24769"/>
    <cellStyle name="Obliczenia 2 27 34 3" xfId="24770"/>
    <cellStyle name="Obliczenia 2 27 35" xfId="24771"/>
    <cellStyle name="Obliczenia 2 27 35 2" xfId="24772"/>
    <cellStyle name="Obliczenia 2 27 35 3" xfId="24773"/>
    <cellStyle name="Obliczenia 2 27 36" xfId="24774"/>
    <cellStyle name="Obliczenia 2 27 36 2" xfId="24775"/>
    <cellStyle name="Obliczenia 2 27 36 3" xfId="24776"/>
    <cellStyle name="Obliczenia 2 27 37" xfId="24777"/>
    <cellStyle name="Obliczenia 2 27 37 2" xfId="24778"/>
    <cellStyle name="Obliczenia 2 27 37 3" xfId="24779"/>
    <cellStyle name="Obliczenia 2 27 38" xfId="24780"/>
    <cellStyle name="Obliczenia 2 27 38 2" xfId="24781"/>
    <cellStyle name="Obliczenia 2 27 38 3" xfId="24782"/>
    <cellStyle name="Obliczenia 2 27 39" xfId="24783"/>
    <cellStyle name="Obliczenia 2 27 39 2" xfId="24784"/>
    <cellStyle name="Obliczenia 2 27 39 3" xfId="24785"/>
    <cellStyle name="Obliczenia 2 27 4" xfId="24786"/>
    <cellStyle name="Obliczenia 2 27 4 2" xfId="24787"/>
    <cellStyle name="Obliczenia 2 27 4 3" xfId="24788"/>
    <cellStyle name="Obliczenia 2 27 4 4" xfId="24789"/>
    <cellStyle name="Obliczenia 2 27 40" xfId="24790"/>
    <cellStyle name="Obliczenia 2 27 40 2" xfId="24791"/>
    <cellStyle name="Obliczenia 2 27 40 3" xfId="24792"/>
    <cellStyle name="Obliczenia 2 27 41" xfId="24793"/>
    <cellStyle name="Obliczenia 2 27 41 2" xfId="24794"/>
    <cellStyle name="Obliczenia 2 27 41 3" xfId="24795"/>
    <cellStyle name="Obliczenia 2 27 42" xfId="24796"/>
    <cellStyle name="Obliczenia 2 27 42 2" xfId="24797"/>
    <cellStyle name="Obliczenia 2 27 42 3" xfId="24798"/>
    <cellStyle name="Obliczenia 2 27 43" xfId="24799"/>
    <cellStyle name="Obliczenia 2 27 43 2" xfId="24800"/>
    <cellStyle name="Obliczenia 2 27 43 3" xfId="24801"/>
    <cellStyle name="Obliczenia 2 27 44" xfId="24802"/>
    <cellStyle name="Obliczenia 2 27 44 2" xfId="24803"/>
    <cellStyle name="Obliczenia 2 27 44 3" xfId="24804"/>
    <cellStyle name="Obliczenia 2 27 45" xfId="24805"/>
    <cellStyle name="Obliczenia 2 27 45 2" xfId="24806"/>
    <cellStyle name="Obliczenia 2 27 45 3" xfId="24807"/>
    <cellStyle name="Obliczenia 2 27 46" xfId="24808"/>
    <cellStyle name="Obliczenia 2 27 46 2" xfId="24809"/>
    <cellStyle name="Obliczenia 2 27 46 3" xfId="24810"/>
    <cellStyle name="Obliczenia 2 27 47" xfId="24811"/>
    <cellStyle name="Obliczenia 2 27 47 2" xfId="24812"/>
    <cellStyle name="Obliczenia 2 27 47 3" xfId="24813"/>
    <cellStyle name="Obliczenia 2 27 48" xfId="24814"/>
    <cellStyle name="Obliczenia 2 27 48 2" xfId="24815"/>
    <cellStyle name="Obliczenia 2 27 48 3" xfId="24816"/>
    <cellStyle name="Obliczenia 2 27 49" xfId="24817"/>
    <cellStyle name="Obliczenia 2 27 49 2" xfId="24818"/>
    <cellStyle name="Obliczenia 2 27 49 3" xfId="24819"/>
    <cellStyle name="Obliczenia 2 27 5" xfId="24820"/>
    <cellStyle name="Obliczenia 2 27 5 2" xfId="24821"/>
    <cellStyle name="Obliczenia 2 27 5 3" xfId="24822"/>
    <cellStyle name="Obliczenia 2 27 5 4" xfId="24823"/>
    <cellStyle name="Obliczenia 2 27 50" xfId="24824"/>
    <cellStyle name="Obliczenia 2 27 50 2" xfId="24825"/>
    <cellStyle name="Obliczenia 2 27 50 3" xfId="24826"/>
    <cellStyle name="Obliczenia 2 27 51" xfId="24827"/>
    <cellStyle name="Obliczenia 2 27 51 2" xfId="24828"/>
    <cellStyle name="Obliczenia 2 27 51 3" xfId="24829"/>
    <cellStyle name="Obliczenia 2 27 52" xfId="24830"/>
    <cellStyle name="Obliczenia 2 27 52 2" xfId="24831"/>
    <cellStyle name="Obliczenia 2 27 52 3" xfId="24832"/>
    <cellStyle name="Obliczenia 2 27 53" xfId="24833"/>
    <cellStyle name="Obliczenia 2 27 53 2" xfId="24834"/>
    <cellStyle name="Obliczenia 2 27 53 3" xfId="24835"/>
    <cellStyle name="Obliczenia 2 27 54" xfId="24836"/>
    <cellStyle name="Obliczenia 2 27 54 2" xfId="24837"/>
    <cellStyle name="Obliczenia 2 27 54 3" xfId="24838"/>
    <cellStyle name="Obliczenia 2 27 55" xfId="24839"/>
    <cellStyle name="Obliczenia 2 27 55 2" xfId="24840"/>
    <cellStyle name="Obliczenia 2 27 55 3" xfId="24841"/>
    <cellStyle name="Obliczenia 2 27 56" xfId="24842"/>
    <cellStyle name="Obliczenia 2 27 56 2" xfId="24843"/>
    <cellStyle name="Obliczenia 2 27 56 3" xfId="24844"/>
    <cellStyle name="Obliczenia 2 27 57" xfId="24845"/>
    <cellStyle name="Obliczenia 2 27 58" xfId="24846"/>
    <cellStyle name="Obliczenia 2 27 6" xfId="24847"/>
    <cellStyle name="Obliczenia 2 27 6 2" xfId="24848"/>
    <cellStyle name="Obliczenia 2 27 6 3" xfId="24849"/>
    <cellStyle name="Obliczenia 2 27 6 4" xfId="24850"/>
    <cellStyle name="Obliczenia 2 27 7" xfId="24851"/>
    <cellStyle name="Obliczenia 2 27 7 2" xfId="24852"/>
    <cellStyle name="Obliczenia 2 27 7 3" xfId="24853"/>
    <cellStyle name="Obliczenia 2 27 7 4" xfId="24854"/>
    <cellStyle name="Obliczenia 2 27 8" xfId="24855"/>
    <cellStyle name="Obliczenia 2 27 8 2" xfId="24856"/>
    <cellStyle name="Obliczenia 2 27 8 3" xfId="24857"/>
    <cellStyle name="Obliczenia 2 27 8 4" xfId="24858"/>
    <cellStyle name="Obliczenia 2 27 9" xfId="24859"/>
    <cellStyle name="Obliczenia 2 27 9 2" xfId="24860"/>
    <cellStyle name="Obliczenia 2 27 9 3" xfId="24861"/>
    <cellStyle name="Obliczenia 2 27 9 4" xfId="24862"/>
    <cellStyle name="Obliczenia 2 28" xfId="24863"/>
    <cellStyle name="Obliczenia 2 28 10" xfId="24864"/>
    <cellStyle name="Obliczenia 2 28 10 2" xfId="24865"/>
    <cellStyle name="Obliczenia 2 28 10 3" xfId="24866"/>
    <cellStyle name="Obliczenia 2 28 10 4" xfId="24867"/>
    <cellStyle name="Obliczenia 2 28 11" xfId="24868"/>
    <cellStyle name="Obliczenia 2 28 11 2" xfId="24869"/>
    <cellStyle name="Obliczenia 2 28 11 3" xfId="24870"/>
    <cellStyle name="Obliczenia 2 28 11 4" xfId="24871"/>
    <cellStyle name="Obliczenia 2 28 12" xfId="24872"/>
    <cellStyle name="Obliczenia 2 28 12 2" xfId="24873"/>
    <cellStyle name="Obliczenia 2 28 12 3" xfId="24874"/>
    <cellStyle name="Obliczenia 2 28 12 4" xfId="24875"/>
    <cellStyle name="Obliczenia 2 28 13" xfId="24876"/>
    <cellStyle name="Obliczenia 2 28 13 2" xfId="24877"/>
    <cellStyle name="Obliczenia 2 28 13 3" xfId="24878"/>
    <cellStyle name="Obliczenia 2 28 13 4" xfId="24879"/>
    <cellStyle name="Obliczenia 2 28 14" xfId="24880"/>
    <cellStyle name="Obliczenia 2 28 14 2" xfId="24881"/>
    <cellStyle name="Obliczenia 2 28 14 3" xfId="24882"/>
    <cellStyle name="Obliczenia 2 28 14 4" xfId="24883"/>
    <cellStyle name="Obliczenia 2 28 15" xfId="24884"/>
    <cellStyle name="Obliczenia 2 28 15 2" xfId="24885"/>
    <cellStyle name="Obliczenia 2 28 15 3" xfId="24886"/>
    <cellStyle name="Obliczenia 2 28 15 4" xfId="24887"/>
    <cellStyle name="Obliczenia 2 28 16" xfId="24888"/>
    <cellStyle name="Obliczenia 2 28 16 2" xfId="24889"/>
    <cellStyle name="Obliczenia 2 28 16 3" xfId="24890"/>
    <cellStyle name="Obliczenia 2 28 16 4" xfId="24891"/>
    <cellStyle name="Obliczenia 2 28 17" xfId="24892"/>
    <cellStyle name="Obliczenia 2 28 17 2" xfId="24893"/>
    <cellStyle name="Obliczenia 2 28 17 3" xfId="24894"/>
    <cellStyle name="Obliczenia 2 28 17 4" xfId="24895"/>
    <cellStyle name="Obliczenia 2 28 18" xfId="24896"/>
    <cellStyle name="Obliczenia 2 28 18 2" xfId="24897"/>
    <cellStyle name="Obliczenia 2 28 18 3" xfId="24898"/>
    <cellStyle name="Obliczenia 2 28 18 4" xfId="24899"/>
    <cellStyle name="Obliczenia 2 28 19" xfId="24900"/>
    <cellStyle name="Obliczenia 2 28 19 2" xfId="24901"/>
    <cellStyle name="Obliczenia 2 28 19 3" xfId="24902"/>
    <cellStyle name="Obliczenia 2 28 19 4" xfId="24903"/>
    <cellStyle name="Obliczenia 2 28 2" xfId="24904"/>
    <cellStyle name="Obliczenia 2 28 2 2" xfId="24905"/>
    <cellStyle name="Obliczenia 2 28 2 3" xfId="24906"/>
    <cellStyle name="Obliczenia 2 28 2 4" xfId="24907"/>
    <cellStyle name="Obliczenia 2 28 20" xfId="24908"/>
    <cellStyle name="Obliczenia 2 28 20 2" xfId="24909"/>
    <cellStyle name="Obliczenia 2 28 20 3" xfId="24910"/>
    <cellStyle name="Obliczenia 2 28 20 4" xfId="24911"/>
    <cellStyle name="Obliczenia 2 28 21" xfId="24912"/>
    <cellStyle name="Obliczenia 2 28 21 2" xfId="24913"/>
    <cellStyle name="Obliczenia 2 28 21 3" xfId="24914"/>
    <cellStyle name="Obliczenia 2 28 22" xfId="24915"/>
    <cellStyle name="Obliczenia 2 28 22 2" xfId="24916"/>
    <cellStyle name="Obliczenia 2 28 22 3" xfId="24917"/>
    <cellStyle name="Obliczenia 2 28 23" xfId="24918"/>
    <cellStyle name="Obliczenia 2 28 23 2" xfId="24919"/>
    <cellStyle name="Obliczenia 2 28 23 3" xfId="24920"/>
    <cellStyle name="Obliczenia 2 28 24" xfId="24921"/>
    <cellStyle name="Obliczenia 2 28 24 2" xfId="24922"/>
    <cellStyle name="Obliczenia 2 28 24 3" xfId="24923"/>
    <cellStyle name="Obliczenia 2 28 25" xfId="24924"/>
    <cellStyle name="Obliczenia 2 28 25 2" xfId="24925"/>
    <cellStyle name="Obliczenia 2 28 25 3" xfId="24926"/>
    <cellStyle name="Obliczenia 2 28 26" xfId="24927"/>
    <cellStyle name="Obliczenia 2 28 26 2" xfId="24928"/>
    <cellStyle name="Obliczenia 2 28 26 3" xfId="24929"/>
    <cellStyle name="Obliczenia 2 28 27" xfId="24930"/>
    <cellStyle name="Obliczenia 2 28 27 2" xfId="24931"/>
    <cellStyle name="Obliczenia 2 28 27 3" xfId="24932"/>
    <cellStyle name="Obliczenia 2 28 28" xfId="24933"/>
    <cellStyle name="Obliczenia 2 28 28 2" xfId="24934"/>
    <cellStyle name="Obliczenia 2 28 28 3" xfId="24935"/>
    <cellStyle name="Obliczenia 2 28 29" xfId="24936"/>
    <cellStyle name="Obliczenia 2 28 29 2" xfId="24937"/>
    <cellStyle name="Obliczenia 2 28 29 3" xfId="24938"/>
    <cellStyle name="Obliczenia 2 28 3" xfId="24939"/>
    <cellStyle name="Obliczenia 2 28 3 2" xfId="24940"/>
    <cellStyle name="Obliczenia 2 28 3 3" xfId="24941"/>
    <cellStyle name="Obliczenia 2 28 3 4" xfId="24942"/>
    <cellStyle name="Obliczenia 2 28 30" xfId="24943"/>
    <cellStyle name="Obliczenia 2 28 30 2" xfId="24944"/>
    <cellStyle name="Obliczenia 2 28 30 3" xfId="24945"/>
    <cellStyle name="Obliczenia 2 28 31" xfId="24946"/>
    <cellStyle name="Obliczenia 2 28 31 2" xfId="24947"/>
    <cellStyle name="Obliczenia 2 28 31 3" xfId="24948"/>
    <cellStyle name="Obliczenia 2 28 32" xfId="24949"/>
    <cellStyle name="Obliczenia 2 28 32 2" xfId="24950"/>
    <cellStyle name="Obliczenia 2 28 32 3" xfId="24951"/>
    <cellStyle name="Obliczenia 2 28 33" xfId="24952"/>
    <cellStyle name="Obliczenia 2 28 33 2" xfId="24953"/>
    <cellStyle name="Obliczenia 2 28 33 3" xfId="24954"/>
    <cellStyle name="Obliczenia 2 28 34" xfId="24955"/>
    <cellStyle name="Obliczenia 2 28 34 2" xfId="24956"/>
    <cellStyle name="Obliczenia 2 28 34 3" xfId="24957"/>
    <cellStyle name="Obliczenia 2 28 35" xfId="24958"/>
    <cellStyle name="Obliczenia 2 28 35 2" xfId="24959"/>
    <cellStyle name="Obliczenia 2 28 35 3" xfId="24960"/>
    <cellStyle name="Obliczenia 2 28 36" xfId="24961"/>
    <cellStyle name="Obliczenia 2 28 36 2" xfId="24962"/>
    <cellStyle name="Obliczenia 2 28 36 3" xfId="24963"/>
    <cellStyle name="Obliczenia 2 28 37" xfId="24964"/>
    <cellStyle name="Obliczenia 2 28 37 2" xfId="24965"/>
    <cellStyle name="Obliczenia 2 28 37 3" xfId="24966"/>
    <cellStyle name="Obliczenia 2 28 38" xfId="24967"/>
    <cellStyle name="Obliczenia 2 28 38 2" xfId="24968"/>
    <cellStyle name="Obliczenia 2 28 38 3" xfId="24969"/>
    <cellStyle name="Obliczenia 2 28 39" xfId="24970"/>
    <cellStyle name="Obliczenia 2 28 39 2" xfId="24971"/>
    <cellStyle name="Obliczenia 2 28 39 3" xfId="24972"/>
    <cellStyle name="Obliczenia 2 28 4" xfId="24973"/>
    <cellStyle name="Obliczenia 2 28 4 2" xfId="24974"/>
    <cellStyle name="Obliczenia 2 28 4 3" xfId="24975"/>
    <cellStyle name="Obliczenia 2 28 4 4" xfId="24976"/>
    <cellStyle name="Obliczenia 2 28 40" xfId="24977"/>
    <cellStyle name="Obliczenia 2 28 40 2" xfId="24978"/>
    <cellStyle name="Obliczenia 2 28 40 3" xfId="24979"/>
    <cellStyle name="Obliczenia 2 28 41" xfId="24980"/>
    <cellStyle name="Obliczenia 2 28 41 2" xfId="24981"/>
    <cellStyle name="Obliczenia 2 28 41 3" xfId="24982"/>
    <cellStyle name="Obliczenia 2 28 42" xfId="24983"/>
    <cellStyle name="Obliczenia 2 28 42 2" xfId="24984"/>
    <cellStyle name="Obliczenia 2 28 42 3" xfId="24985"/>
    <cellStyle name="Obliczenia 2 28 43" xfId="24986"/>
    <cellStyle name="Obliczenia 2 28 43 2" xfId="24987"/>
    <cellStyle name="Obliczenia 2 28 43 3" xfId="24988"/>
    <cellStyle name="Obliczenia 2 28 44" xfId="24989"/>
    <cellStyle name="Obliczenia 2 28 44 2" xfId="24990"/>
    <cellStyle name="Obliczenia 2 28 44 3" xfId="24991"/>
    <cellStyle name="Obliczenia 2 28 45" xfId="24992"/>
    <cellStyle name="Obliczenia 2 28 45 2" xfId="24993"/>
    <cellStyle name="Obliczenia 2 28 45 3" xfId="24994"/>
    <cellStyle name="Obliczenia 2 28 46" xfId="24995"/>
    <cellStyle name="Obliczenia 2 28 46 2" xfId="24996"/>
    <cellStyle name="Obliczenia 2 28 46 3" xfId="24997"/>
    <cellStyle name="Obliczenia 2 28 47" xfId="24998"/>
    <cellStyle name="Obliczenia 2 28 47 2" xfId="24999"/>
    <cellStyle name="Obliczenia 2 28 47 3" xfId="25000"/>
    <cellStyle name="Obliczenia 2 28 48" xfId="25001"/>
    <cellStyle name="Obliczenia 2 28 48 2" xfId="25002"/>
    <cellStyle name="Obliczenia 2 28 48 3" xfId="25003"/>
    <cellStyle name="Obliczenia 2 28 49" xfId="25004"/>
    <cellStyle name="Obliczenia 2 28 49 2" xfId="25005"/>
    <cellStyle name="Obliczenia 2 28 49 3" xfId="25006"/>
    <cellStyle name="Obliczenia 2 28 5" xfId="25007"/>
    <cellStyle name="Obliczenia 2 28 5 2" xfId="25008"/>
    <cellStyle name="Obliczenia 2 28 5 3" xfId="25009"/>
    <cellStyle name="Obliczenia 2 28 5 4" xfId="25010"/>
    <cellStyle name="Obliczenia 2 28 50" xfId="25011"/>
    <cellStyle name="Obliczenia 2 28 50 2" xfId="25012"/>
    <cellStyle name="Obliczenia 2 28 50 3" xfId="25013"/>
    <cellStyle name="Obliczenia 2 28 51" xfId="25014"/>
    <cellStyle name="Obliczenia 2 28 51 2" xfId="25015"/>
    <cellStyle name="Obliczenia 2 28 51 3" xfId="25016"/>
    <cellStyle name="Obliczenia 2 28 52" xfId="25017"/>
    <cellStyle name="Obliczenia 2 28 52 2" xfId="25018"/>
    <cellStyle name="Obliczenia 2 28 52 3" xfId="25019"/>
    <cellStyle name="Obliczenia 2 28 53" xfId="25020"/>
    <cellStyle name="Obliczenia 2 28 53 2" xfId="25021"/>
    <cellStyle name="Obliczenia 2 28 53 3" xfId="25022"/>
    <cellStyle name="Obliczenia 2 28 54" xfId="25023"/>
    <cellStyle name="Obliczenia 2 28 54 2" xfId="25024"/>
    <cellStyle name="Obliczenia 2 28 54 3" xfId="25025"/>
    <cellStyle name="Obliczenia 2 28 55" xfId="25026"/>
    <cellStyle name="Obliczenia 2 28 55 2" xfId="25027"/>
    <cellStyle name="Obliczenia 2 28 55 3" xfId="25028"/>
    <cellStyle name="Obliczenia 2 28 56" xfId="25029"/>
    <cellStyle name="Obliczenia 2 28 56 2" xfId="25030"/>
    <cellStyle name="Obliczenia 2 28 56 3" xfId="25031"/>
    <cellStyle name="Obliczenia 2 28 57" xfId="25032"/>
    <cellStyle name="Obliczenia 2 28 58" xfId="25033"/>
    <cellStyle name="Obliczenia 2 28 6" xfId="25034"/>
    <cellStyle name="Obliczenia 2 28 6 2" xfId="25035"/>
    <cellStyle name="Obliczenia 2 28 6 3" xfId="25036"/>
    <cellStyle name="Obliczenia 2 28 6 4" xfId="25037"/>
    <cellStyle name="Obliczenia 2 28 7" xfId="25038"/>
    <cellStyle name="Obliczenia 2 28 7 2" xfId="25039"/>
    <cellStyle name="Obliczenia 2 28 7 3" xfId="25040"/>
    <cellStyle name="Obliczenia 2 28 7 4" xfId="25041"/>
    <cellStyle name="Obliczenia 2 28 8" xfId="25042"/>
    <cellStyle name="Obliczenia 2 28 8 2" xfId="25043"/>
    <cellStyle name="Obliczenia 2 28 8 3" xfId="25044"/>
    <cellStyle name="Obliczenia 2 28 8 4" xfId="25045"/>
    <cellStyle name="Obliczenia 2 28 9" xfId="25046"/>
    <cellStyle name="Obliczenia 2 28 9 2" xfId="25047"/>
    <cellStyle name="Obliczenia 2 28 9 3" xfId="25048"/>
    <cellStyle name="Obliczenia 2 28 9 4" xfId="25049"/>
    <cellStyle name="Obliczenia 2 29" xfId="25050"/>
    <cellStyle name="Obliczenia 2 29 2" xfId="25051"/>
    <cellStyle name="Obliczenia 2 29 3" xfId="25052"/>
    <cellStyle name="Obliczenia 2 29 4" xfId="25053"/>
    <cellStyle name="Obliczenia 2 3" xfId="25054"/>
    <cellStyle name="Obliczenia 2 3 10" xfId="25055"/>
    <cellStyle name="Obliczenia 2 3 10 2" xfId="25056"/>
    <cellStyle name="Obliczenia 2 3 10 3" xfId="25057"/>
    <cellStyle name="Obliczenia 2 3 10 4" xfId="25058"/>
    <cellStyle name="Obliczenia 2 3 11" xfId="25059"/>
    <cellStyle name="Obliczenia 2 3 11 2" xfId="25060"/>
    <cellStyle name="Obliczenia 2 3 11 3" xfId="25061"/>
    <cellStyle name="Obliczenia 2 3 11 4" xfId="25062"/>
    <cellStyle name="Obliczenia 2 3 12" xfId="25063"/>
    <cellStyle name="Obliczenia 2 3 12 2" xfId="25064"/>
    <cellStyle name="Obliczenia 2 3 12 3" xfId="25065"/>
    <cellStyle name="Obliczenia 2 3 12 4" xfId="25066"/>
    <cellStyle name="Obliczenia 2 3 13" xfId="25067"/>
    <cellStyle name="Obliczenia 2 3 13 2" xfId="25068"/>
    <cellStyle name="Obliczenia 2 3 13 3" xfId="25069"/>
    <cellStyle name="Obliczenia 2 3 13 4" xfId="25070"/>
    <cellStyle name="Obliczenia 2 3 14" xfId="25071"/>
    <cellStyle name="Obliczenia 2 3 14 2" xfId="25072"/>
    <cellStyle name="Obliczenia 2 3 14 3" xfId="25073"/>
    <cellStyle name="Obliczenia 2 3 14 4" xfId="25074"/>
    <cellStyle name="Obliczenia 2 3 15" xfId="25075"/>
    <cellStyle name="Obliczenia 2 3 15 2" xfId="25076"/>
    <cellStyle name="Obliczenia 2 3 15 3" xfId="25077"/>
    <cellStyle name="Obliczenia 2 3 15 4" xfId="25078"/>
    <cellStyle name="Obliczenia 2 3 16" xfId="25079"/>
    <cellStyle name="Obliczenia 2 3 16 2" xfId="25080"/>
    <cellStyle name="Obliczenia 2 3 16 3" xfId="25081"/>
    <cellStyle name="Obliczenia 2 3 16 4" xfId="25082"/>
    <cellStyle name="Obliczenia 2 3 17" xfId="25083"/>
    <cellStyle name="Obliczenia 2 3 17 2" xfId="25084"/>
    <cellStyle name="Obliczenia 2 3 17 3" xfId="25085"/>
    <cellStyle name="Obliczenia 2 3 17 4" xfId="25086"/>
    <cellStyle name="Obliczenia 2 3 18" xfId="25087"/>
    <cellStyle name="Obliczenia 2 3 18 2" xfId="25088"/>
    <cellStyle name="Obliczenia 2 3 18 3" xfId="25089"/>
    <cellStyle name="Obliczenia 2 3 18 4" xfId="25090"/>
    <cellStyle name="Obliczenia 2 3 19" xfId="25091"/>
    <cellStyle name="Obliczenia 2 3 19 2" xfId="25092"/>
    <cellStyle name="Obliczenia 2 3 19 3" xfId="25093"/>
    <cellStyle name="Obliczenia 2 3 19 4" xfId="25094"/>
    <cellStyle name="Obliczenia 2 3 2" xfId="25095"/>
    <cellStyle name="Obliczenia 2 3 2 2" xfId="25096"/>
    <cellStyle name="Obliczenia 2 3 2 3" xfId="25097"/>
    <cellStyle name="Obliczenia 2 3 2 4" xfId="25098"/>
    <cellStyle name="Obliczenia 2 3 20" xfId="25099"/>
    <cellStyle name="Obliczenia 2 3 20 2" xfId="25100"/>
    <cellStyle name="Obliczenia 2 3 20 3" xfId="25101"/>
    <cellStyle name="Obliczenia 2 3 20 4" xfId="25102"/>
    <cellStyle name="Obliczenia 2 3 21" xfId="25103"/>
    <cellStyle name="Obliczenia 2 3 21 2" xfId="25104"/>
    <cellStyle name="Obliczenia 2 3 21 3" xfId="25105"/>
    <cellStyle name="Obliczenia 2 3 22" xfId="25106"/>
    <cellStyle name="Obliczenia 2 3 22 2" xfId="25107"/>
    <cellStyle name="Obliczenia 2 3 22 3" xfId="25108"/>
    <cellStyle name="Obliczenia 2 3 23" xfId="25109"/>
    <cellStyle name="Obliczenia 2 3 23 2" xfId="25110"/>
    <cellStyle name="Obliczenia 2 3 23 3" xfId="25111"/>
    <cellStyle name="Obliczenia 2 3 24" xfId="25112"/>
    <cellStyle name="Obliczenia 2 3 24 2" xfId="25113"/>
    <cellStyle name="Obliczenia 2 3 24 3" xfId="25114"/>
    <cellStyle name="Obliczenia 2 3 25" xfId="25115"/>
    <cellStyle name="Obliczenia 2 3 25 2" xfId="25116"/>
    <cellStyle name="Obliczenia 2 3 25 3" xfId="25117"/>
    <cellStyle name="Obliczenia 2 3 26" xfId="25118"/>
    <cellStyle name="Obliczenia 2 3 26 2" xfId="25119"/>
    <cellStyle name="Obliczenia 2 3 26 3" xfId="25120"/>
    <cellStyle name="Obliczenia 2 3 27" xfId="25121"/>
    <cellStyle name="Obliczenia 2 3 27 2" xfId="25122"/>
    <cellStyle name="Obliczenia 2 3 27 3" xfId="25123"/>
    <cellStyle name="Obliczenia 2 3 28" xfId="25124"/>
    <cellStyle name="Obliczenia 2 3 28 2" xfId="25125"/>
    <cellStyle name="Obliczenia 2 3 28 3" xfId="25126"/>
    <cellStyle name="Obliczenia 2 3 29" xfId="25127"/>
    <cellStyle name="Obliczenia 2 3 29 2" xfId="25128"/>
    <cellStyle name="Obliczenia 2 3 29 3" xfId="25129"/>
    <cellStyle name="Obliczenia 2 3 3" xfId="25130"/>
    <cellStyle name="Obliczenia 2 3 3 2" xfId="25131"/>
    <cellStyle name="Obliczenia 2 3 3 3" xfId="25132"/>
    <cellStyle name="Obliczenia 2 3 3 4" xfId="25133"/>
    <cellStyle name="Obliczenia 2 3 30" xfId="25134"/>
    <cellStyle name="Obliczenia 2 3 30 2" xfId="25135"/>
    <cellStyle name="Obliczenia 2 3 30 3" xfId="25136"/>
    <cellStyle name="Obliczenia 2 3 31" xfId="25137"/>
    <cellStyle name="Obliczenia 2 3 31 2" xfId="25138"/>
    <cellStyle name="Obliczenia 2 3 31 3" xfId="25139"/>
    <cellStyle name="Obliczenia 2 3 32" xfId="25140"/>
    <cellStyle name="Obliczenia 2 3 32 2" xfId="25141"/>
    <cellStyle name="Obliczenia 2 3 32 3" xfId="25142"/>
    <cellStyle name="Obliczenia 2 3 33" xfId="25143"/>
    <cellStyle name="Obliczenia 2 3 33 2" xfId="25144"/>
    <cellStyle name="Obliczenia 2 3 33 3" xfId="25145"/>
    <cellStyle name="Obliczenia 2 3 34" xfId="25146"/>
    <cellStyle name="Obliczenia 2 3 34 2" xfId="25147"/>
    <cellStyle name="Obliczenia 2 3 34 3" xfId="25148"/>
    <cellStyle name="Obliczenia 2 3 35" xfId="25149"/>
    <cellStyle name="Obliczenia 2 3 35 2" xfId="25150"/>
    <cellStyle name="Obliczenia 2 3 35 3" xfId="25151"/>
    <cellStyle name="Obliczenia 2 3 36" xfId="25152"/>
    <cellStyle name="Obliczenia 2 3 36 2" xfId="25153"/>
    <cellStyle name="Obliczenia 2 3 36 3" xfId="25154"/>
    <cellStyle name="Obliczenia 2 3 37" xfId="25155"/>
    <cellStyle name="Obliczenia 2 3 37 2" xfId="25156"/>
    <cellStyle name="Obliczenia 2 3 37 3" xfId="25157"/>
    <cellStyle name="Obliczenia 2 3 38" xfId="25158"/>
    <cellStyle name="Obliczenia 2 3 38 2" xfId="25159"/>
    <cellStyle name="Obliczenia 2 3 38 3" xfId="25160"/>
    <cellStyle name="Obliczenia 2 3 39" xfId="25161"/>
    <cellStyle name="Obliczenia 2 3 39 2" xfId="25162"/>
    <cellStyle name="Obliczenia 2 3 39 3" xfId="25163"/>
    <cellStyle name="Obliczenia 2 3 4" xfId="25164"/>
    <cellStyle name="Obliczenia 2 3 4 2" xfId="25165"/>
    <cellStyle name="Obliczenia 2 3 4 3" xfId="25166"/>
    <cellStyle name="Obliczenia 2 3 4 4" xfId="25167"/>
    <cellStyle name="Obliczenia 2 3 40" xfId="25168"/>
    <cellStyle name="Obliczenia 2 3 40 2" xfId="25169"/>
    <cellStyle name="Obliczenia 2 3 40 3" xfId="25170"/>
    <cellStyle name="Obliczenia 2 3 41" xfId="25171"/>
    <cellStyle name="Obliczenia 2 3 41 2" xfId="25172"/>
    <cellStyle name="Obliczenia 2 3 41 3" xfId="25173"/>
    <cellStyle name="Obliczenia 2 3 42" xfId="25174"/>
    <cellStyle name="Obliczenia 2 3 42 2" xfId="25175"/>
    <cellStyle name="Obliczenia 2 3 42 3" xfId="25176"/>
    <cellStyle name="Obliczenia 2 3 43" xfId="25177"/>
    <cellStyle name="Obliczenia 2 3 43 2" xfId="25178"/>
    <cellStyle name="Obliczenia 2 3 43 3" xfId="25179"/>
    <cellStyle name="Obliczenia 2 3 44" xfId="25180"/>
    <cellStyle name="Obliczenia 2 3 44 2" xfId="25181"/>
    <cellStyle name="Obliczenia 2 3 44 3" xfId="25182"/>
    <cellStyle name="Obliczenia 2 3 45" xfId="25183"/>
    <cellStyle name="Obliczenia 2 3 45 2" xfId="25184"/>
    <cellStyle name="Obliczenia 2 3 45 3" xfId="25185"/>
    <cellStyle name="Obliczenia 2 3 46" xfId="25186"/>
    <cellStyle name="Obliczenia 2 3 46 2" xfId="25187"/>
    <cellStyle name="Obliczenia 2 3 46 3" xfId="25188"/>
    <cellStyle name="Obliczenia 2 3 47" xfId="25189"/>
    <cellStyle name="Obliczenia 2 3 47 2" xfId="25190"/>
    <cellStyle name="Obliczenia 2 3 47 3" xfId="25191"/>
    <cellStyle name="Obliczenia 2 3 48" xfId="25192"/>
    <cellStyle name="Obliczenia 2 3 48 2" xfId="25193"/>
    <cellStyle name="Obliczenia 2 3 48 3" xfId="25194"/>
    <cellStyle name="Obliczenia 2 3 49" xfId="25195"/>
    <cellStyle name="Obliczenia 2 3 49 2" xfId="25196"/>
    <cellStyle name="Obliczenia 2 3 49 3" xfId="25197"/>
    <cellStyle name="Obliczenia 2 3 5" xfId="25198"/>
    <cellStyle name="Obliczenia 2 3 5 2" xfId="25199"/>
    <cellStyle name="Obliczenia 2 3 5 3" xfId="25200"/>
    <cellStyle name="Obliczenia 2 3 5 4" xfId="25201"/>
    <cellStyle name="Obliczenia 2 3 50" xfId="25202"/>
    <cellStyle name="Obliczenia 2 3 50 2" xfId="25203"/>
    <cellStyle name="Obliczenia 2 3 50 3" xfId="25204"/>
    <cellStyle name="Obliczenia 2 3 51" xfId="25205"/>
    <cellStyle name="Obliczenia 2 3 51 2" xfId="25206"/>
    <cellStyle name="Obliczenia 2 3 51 3" xfId="25207"/>
    <cellStyle name="Obliczenia 2 3 52" xfId="25208"/>
    <cellStyle name="Obliczenia 2 3 52 2" xfId="25209"/>
    <cellStyle name="Obliczenia 2 3 52 3" xfId="25210"/>
    <cellStyle name="Obliczenia 2 3 53" xfId="25211"/>
    <cellStyle name="Obliczenia 2 3 53 2" xfId="25212"/>
    <cellStyle name="Obliczenia 2 3 53 3" xfId="25213"/>
    <cellStyle name="Obliczenia 2 3 54" xfId="25214"/>
    <cellStyle name="Obliczenia 2 3 54 2" xfId="25215"/>
    <cellStyle name="Obliczenia 2 3 54 3" xfId="25216"/>
    <cellStyle name="Obliczenia 2 3 55" xfId="25217"/>
    <cellStyle name="Obliczenia 2 3 55 2" xfId="25218"/>
    <cellStyle name="Obliczenia 2 3 55 3" xfId="25219"/>
    <cellStyle name="Obliczenia 2 3 56" xfId="25220"/>
    <cellStyle name="Obliczenia 2 3 56 2" xfId="25221"/>
    <cellStyle name="Obliczenia 2 3 56 3" xfId="25222"/>
    <cellStyle name="Obliczenia 2 3 57" xfId="25223"/>
    <cellStyle name="Obliczenia 2 3 58" xfId="25224"/>
    <cellStyle name="Obliczenia 2 3 6" xfId="25225"/>
    <cellStyle name="Obliczenia 2 3 6 2" xfId="25226"/>
    <cellStyle name="Obliczenia 2 3 6 3" xfId="25227"/>
    <cellStyle name="Obliczenia 2 3 6 4" xfId="25228"/>
    <cellStyle name="Obliczenia 2 3 7" xfId="25229"/>
    <cellStyle name="Obliczenia 2 3 7 2" xfId="25230"/>
    <cellStyle name="Obliczenia 2 3 7 3" xfId="25231"/>
    <cellStyle name="Obliczenia 2 3 7 4" xfId="25232"/>
    <cellStyle name="Obliczenia 2 3 8" xfId="25233"/>
    <cellStyle name="Obliczenia 2 3 8 2" xfId="25234"/>
    <cellStyle name="Obliczenia 2 3 8 3" xfId="25235"/>
    <cellStyle name="Obliczenia 2 3 8 4" xfId="25236"/>
    <cellStyle name="Obliczenia 2 3 9" xfId="25237"/>
    <cellStyle name="Obliczenia 2 3 9 2" xfId="25238"/>
    <cellStyle name="Obliczenia 2 3 9 3" xfId="25239"/>
    <cellStyle name="Obliczenia 2 3 9 4" xfId="25240"/>
    <cellStyle name="Obliczenia 2 30" xfId="25241"/>
    <cellStyle name="Obliczenia 2 30 2" xfId="25242"/>
    <cellStyle name="Obliczenia 2 30 3" xfId="25243"/>
    <cellStyle name="Obliczenia 2 30 4" xfId="25244"/>
    <cellStyle name="Obliczenia 2 31" xfId="25245"/>
    <cellStyle name="Obliczenia 2 31 2" xfId="25246"/>
    <cellStyle name="Obliczenia 2 31 3" xfId="25247"/>
    <cellStyle name="Obliczenia 2 31 4" xfId="25248"/>
    <cellStyle name="Obliczenia 2 32" xfId="25249"/>
    <cellStyle name="Obliczenia 2 32 2" xfId="25250"/>
    <cellStyle name="Obliczenia 2 32 3" xfId="25251"/>
    <cellStyle name="Obliczenia 2 32 4" xfId="25252"/>
    <cellStyle name="Obliczenia 2 33" xfId="25253"/>
    <cellStyle name="Obliczenia 2 33 2" xfId="25254"/>
    <cellStyle name="Obliczenia 2 33 3" xfId="25255"/>
    <cellStyle name="Obliczenia 2 33 4" xfId="25256"/>
    <cellStyle name="Obliczenia 2 34" xfId="25257"/>
    <cellStyle name="Obliczenia 2 34 2" xfId="25258"/>
    <cellStyle name="Obliczenia 2 34 3" xfId="25259"/>
    <cellStyle name="Obliczenia 2 34 4" xfId="25260"/>
    <cellStyle name="Obliczenia 2 35" xfId="25261"/>
    <cellStyle name="Obliczenia 2 35 2" xfId="25262"/>
    <cellStyle name="Obliczenia 2 35 3" xfId="25263"/>
    <cellStyle name="Obliczenia 2 35 4" xfId="25264"/>
    <cellStyle name="Obliczenia 2 36" xfId="25265"/>
    <cellStyle name="Obliczenia 2 36 2" xfId="25266"/>
    <cellStyle name="Obliczenia 2 36 3" xfId="25267"/>
    <cellStyle name="Obliczenia 2 36 4" xfId="25268"/>
    <cellStyle name="Obliczenia 2 37" xfId="25269"/>
    <cellStyle name="Obliczenia 2 37 2" xfId="25270"/>
    <cellStyle name="Obliczenia 2 37 3" xfId="25271"/>
    <cellStyle name="Obliczenia 2 37 4" xfId="25272"/>
    <cellStyle name="Obliczenia 2 38" xfId="25273"/>
    <cellStyle name="Obliczenia 2 38 2" xfId="25274"/>
    <cellStyle name="Obliczenia 2 38 3" xfId="25275"/>
    <cellStyle name="Obliczenia 2 38 4" xfId="25276"/>
    <cellStyle name="Obliczenia 2 39" xfId="25277"/>
    <cellStyle name="Obliczenia 2 39 2" xfId="25278"/>
    <cellStyle name="Obliczenia 2 39 3" xfId="25279"/>
    <cellStyle name="Obliczenia 2 39 4" xfId="25280"/>
    <cellStyle name="Obliczenia 2 4" xfId="25281"/>
    <cellStyle name="Obliczenia 2 4 10" xfId="25282"/>
    <cellStyle name="Obliczenia 2 4 10 2" xfId="25283"/>
    <cellStyle name="Obliczenia 2 4 10 3" xfId="25284"/>
    <cellStyle name="Obliczenia 2 4 10 4" xfId="25285"/>
    <cellStyle name="Obliczenia 2 4 11" xfId="25286"/>
    <cellStyle name="Obliczenia 2 4 11 2" xfId="25287"/>
    <cellStyle name="Obliczenia 2 4 11 3" xfId="25288"/>
    <cellStyle name="Obliczenia 2 4 11 4" xfId="25289"/>
    <cellStyle name="Obliczenia 2 4 12" xfId="25290"/>
    <cellStyle name="Obliczenia 2 4 12 2" xfId="25291"/>
    <cellStyle name="Obliczenia 2 4 12 3" xfId="25292"/>
    <cellStyle name="Obliczenia 2 4 12 4" xfId="25293"/>
    <cellStyle name="Obliczenia 2 4 13" xfId="25294"/>
    <cellStyle name="Obliczenia 2 4 13 2" xfId="25295"/>
    <cellStyle name="Obliczenia 2 4 13 3" xfId="25296"/>
    <cellStyle name="Obliczenia 2 4 13 4" xfId="25297"/>
    <cellStyle name="Obliczenia 2 4 14" xfId="25298"/>
    <cellStyle name="Obliczenia 2 4 14 2" xfId="25299"/>
    <cellStyle name="Obliczenia 2 4 14 3" xfId="25300"/>
    <cellStyle name="Obliczenia 2 4 14 4" xfId="25301"/>
    <cellStyle name="Obliczenia 2 4 15" xfId="25302"/>
    <cellStyle name="Obliczenia 2 4 15 2" xfId="25303"/>
    <cellStyle name="Obliczenia 2 4 15 3" xfId="25304"/>
    <cellStyle name="Obliczenia 2 4 15 4" xfId="25305"/>
    <cellStyle name="Obliczenia 2 4 16" xfId="25306"/>
    <cellStyle name="Obliczenia 2 4 16 2" xfId="25307"/>
    <cellStyle name="Obliczenia 2 4 16 3" xfId="25308"/>
    <cellStyle name="Obliczenia 2 4 16 4" xfId="25309"/>
    <cellStyle name="Obliczenia 2 4 17" xfId="25310"/>
    <cellStyle name="Obliczenia 2 4 17 2" xfId="25311"/>
    <cellStyle name="Obliczenia 2 4 17 3" xfId="25312"/>
    <cellStyle name="Obliczenia 2 4 17 4" xfId="25313"/>
    <cellStyle name="Obliczenia 2 4 18" xfId="25314"/>
    <cellStyle name="Obliczenia 2 4 18 2" xfId="25315"/>
    <cellStyle name="Obliczenia 2 4 18 3" xfId="25316"/>
    <cellStyle name="Obliczenia 2 4 18 4" xfId="25317"/>
    <cellStyle name="Obliczenia 2 4 19" xfId="25318"/>
    <cellStyle name="Obliczenia 2 4 19 2" xfId="25319"/>
    <cellStyle name="Obliczenia 2 4 19 3" xfId="25320"/>
    <cellStyle name="Obliczenia 2 4 19 4" xfId="25321"/>
    <cellStyle name="Obliczenia 2 4 2" xfId="25322"/>
    <cellStyle name="Obliczenia 2 4 2 2" xfId="25323"/>
    <cellStyle name="Obliczenia 2 4 2 3" xfId="25324"/>
    <cellStyle name="Obliczenia 2 4 2 4" xfId="25325"/>
    <cellStyle name="Obliczenia 2 4 20" xfId="25326"/>
    <cellStyle name="Obliczenia 2 4 20 2" xfId="25327"/>
    <cellStyle name="Obliczenia 2 4 20 3" xfId="25328"/>
    <cellStyle name="Obliczenia 2 4 20 4" xfId="25329"/>
    <cellStyle name="Obliczenia 2 4 21" xfId="25330"/>
    <cellStyle name="Obliczenia 2 4 21 2" xfId="25331"/>
    <cellStyle name="Obliczenia 2 4 21 3" xfId="25332"/>
    <cellStyle name="Obliczenia 2 4 22" xfId="25333"/>
    <cellStyle name="Obliczenia 2 4 22 2" xfId="25334"/>
    <cellStyle name="Obliczenia 2 4 22 3" xfId="25335"/>
    <cellStyle name="Obliczenia 2 4 23" xfId="25336"/>
    <cellStyle name="Obliczenia 2 4 23 2" xfId="25337"/>
    <cellStyle name="Obliczenia 2 4 23 3" xfId="25338"/>
    <cellStyle name="Obliczenia 2 4 24" xfId="25339"/>
    <cellStyle name="Obliczenia 2 4 24 2" xfId="25340"/>
    <cellStyle name="Obliczenia 2 4 24 3" xfId="25341"/>
    <cellStyle name="Obliczenia 2 4 25" xfId="25342"/>
    <cellStyle name="Obliczenia 2 4 25 2" xfId="25343"/>
    <cellStyle name="Obliczenia 2 4 25 3" xfId="25344"/>
    <cellStyle name="Obliczenia 2 4 26" xfId="25345"/>
    <cellStyle name="Obliczenia 2 4 26 2" xfId="25346"/>
    <cellStyle name="Obliczenia 2 4 26 3" xfId="25347"/>
    <cellStyle name="Obliczenia 2 4 27" xfId="25348"/>
    <cellStyle name="Obliczenia 2 4 27 2" xfId="25349"/>
    <cellStyle name="Obliczenia 2 4 27 3" xfId="25350"/>
    <cellStyle name="Obliczenia 2 4 28" xfId="25351"/>
    <cellStyle name="Obliczenia 2 4 28 2" xfId="25352"/>
    <cellStyle name="Obliczenia 2 4 28 3" xfId="25353"/>
    <cellStyle name="Obliczenia 2 4 29" xfId="25354"/>
    <cellStyle name="Obliczenia 2 4 29 2" xfId="25355"/>
    <cellStyle name="Obliczenia 2 4 29 3" xfId="25356"/>
    <cellStyle name="Obliczenia 2 4 3" xfId="25357"/>
    <cellStyle name="Obliczenia 2 4 3 2" xfId="25358"/>
    <cellStyle name="Obliczenia 2 4 3 3" xfId="25359"/>
    <cellStyle name="Obliczenia 2 4 3 4" xfId="25360"/>
    <cellStyle name="Obliczenia 2 4 30" xfId="25361"/>
    <cellStyle name="Obliczenia 2 4 30 2" xfId="25362"/>
    <cellStyle name="Obliczenia 2 4 30 3" xfId="25363"/>
    <cellStyle name="Obliczenia 2 4 31" xfId="25364"/>
    <cellStyle name="Obliczenia 2 4 31 2" xfId="25365"/>
    <cellStyle name="Obliczenia 2 4 31 3" xfId="25366"/>
    <cellStyle name="Obliczenia 2 4 32" xfId="25367"/>
    <cellStyle name="Obliczenia 2 4 32 2" xfId="25368"/>
    <cellStyle name="Obliczenia 2 4 32 3" xfId="25369"/>
    <cellStyle name="Obliczenia 2 4 33" xfId="25370"/>
    <cellStyle name="Obliczenia 2 4 33 2" xfId="25371"/>
    <cellStyle name="Obliczenia 2 4 33 3" xfId="25372"/>
    <cellStyle name="Obliczenia 2 4 34" xfId="25373"/>
    <cellStyle name="Obliczenia 2 4 34 2" xfId="25374"/>
    <cellStyle name="Obliczenia 2 4 34 3" xfId="25375"/>
    <cellStyle name="Obliczenia 2 4 35" xfId="25376"/>
    <cellStyle name="Obliczenia 2 4 35 2" xfId="25377"/>
    <cellStyle name="Obliczenia 2 4 35 3" xfId="25378"/>
    <cellStyle name="Obliczenia 2 4 36" xfId="25379"/>
    <cellStyle name="Obliczenia 2 4 36 2" xfId="25380"/>
    <cellStyle name="Obliczenia 2 4 36 3" xfId="25381"/>
    <cellStyle name="Obliczenia 2 4 37" xfId="25382"/>
    <cellStyle name="Obliczenia 2 4 37 2" xfId="25383"/>
    <cellStyle name="Obliczenia 2 4 37 3" xfId="25384"/>
    <cellStyle name="Obliczenia 2 4 38" xfId="25385"/>
    <cellStyle name="Obliczenia 2 4 38 2" xfId="25386"/>
    <cellStyle name="Obliczenia 2 4 38 3" xfId="25387"/>
    <cellStyle name="Obliczenia 2 4 39" xfId="25388"/>
    <cellStyle name="Obliczenia 2 4 39 2" xfId="25389"/>
    <cellStyle name="Obliczenia 2 4 39 3" xfId="25390"/>
    <cellStyle name="Obliczenia 2 4 4" xfId="25391"/>
    <cellStyle name="Obliczenia 2 4 4 2" xfId="25392"/>
    <cellStyle name="Obliczenia 2 4 4 3" xfId="25393"/>
    <cellStyle name="Obliczenia 2 4 4 4" xfId="25394"/>
    <cellStyle name="Obliczenia 2 4 40" xfId="25395"/>
    <cellStyle name="Obliczenia 2 4 40 2" xfId="25396"/>
    <cellStyle name="Obliczenia 2 4 40 3" xfId="25397"/>
    <cellStyle name="Obliczenia 2 4 41" xfId="25398"/>
    <cellStyle name="Obliczenia 2 4 41 2" xfId="25399"/>
    <cellStyle name="Obliczenia 2 4 41 3" xfId="25400"/>
    <cellStyle name="Obliczenia 2 4 42" xfId="25401"/>
    <cellStyle name="Obliczenia 2 4 42 2" xfId="25402"/>
    <cellStyle name="Obliczenia 2 4 42 3" xfId="25403"/>
    <cellStyle name="Obliczenia 2 4 43" xfId="25404"/>
    <cellStyle name="Obliczenia 2 4 43 2" xfId="25405"/>
    <cellStyle name="Obliczenia 2 4 43 3" xfId="25406"/>
    <cellStyle name="Obliczenia 2 4 44" xfId="25407"/>
    <cellStyle name="Obliczenia 2 4 44 2" xfId="25408"/>
    <cellStyle name="Obliczenia 2 4 44 3" xfId="25409"/>
    <cellStyle name="Obliczenia 2 4 45" xfId="25410"/>
    <cellStyle name="Obliczenia 2 4 45 2" xfId="25411"/>
    <cellStyle name="Obliczenia 2 4 45 3" xfId="25412"/>
    <cellStyle name="Obliczenia 2 4 46" xfId="25413"/>
    <cellStyle name="Obliczenia 2 4 46 2" xfId="25414"/>
    <cellStyle name="Obliczenia 2 4 46 3" xfId="25415"/>
    <cellStyle name="Obliczenia 2 4 47" xfId="25416"/>
    <cellStyle name="Obliczenia 2 4 47 2" xfId="25417"/>
    <cellStyle name="Obliczenia 2 4 47 3" xfId="25418"/>
    <cellStyle name="Obliczenia 2 4 48" xfId="25419"/>
    <cellStyle name="Obliczenia 2 4 48 2" xfId="25420"/>
    <cellStyle name="Obliczenia 2 4 48 3" xfId="25421"/>
    <cellStyle name="Obliczenia 2 4 49" xfId="25422"/>
    <cellStyle name="Obliczenia 2 4 49 2" xfId="25423"/>
    <cellStyle name="Obliczenia 2 4 49 3" xfId="25424"/>
    <cellStyle name="Obliczenia 2 4 5" xfId="25425"/>
    <cellStyle name="Obliczenia 2 4 5 2" xfId="25426"/>
    <cellStyle name="Obliczenia 2 4 5 3" xfId="25427"/>
    <cellStyle name="Obliczenia 2 4 5 4" xfId="25428"/>
    <cellStyle name="Obliczenia 2 4 50" xfId="25429"/>
    <cellStyle name="Obliczenia 2 4 50 2" xfId="25430"/>
    <cellStyle name="Obliczenia 2 4 50 3" xfId="25431"/>
    <cellStyle name="Obliczenia 2 4 51" xfId="25432"/>
    <cellStyle name="Obliczenia 2 4 51 2" xfId="25433"/>
    <cellStyle name="Obliczenia 2 4 51 3" xfId="25434"/>
    <cellStyle name="Obliczenia 2 4 52" xfId="25435"/>
    <cellStyle name="Obliczenia 2 4 52 2" xfId="25436"/>
    <cellStyle name="Obliczenia 2 4 52 3" xfId="25437"/>
    <cellStyle name="Obliczenia 2 4 53" xfId="25438"/>
    <cellStyle name="Obliczenia 2 4 53 2" xfId="25439"/>
    <cellStyle name="Obliczenia 2 4 53 3" xfId="25440"/>
    <cellStyle name="Obliczenia 2 4 54" xfId="25441"/>
    <cellStyle name="Obliczenia 2 4 54 2" xfId="25442"/>
    <cellStyle name="Obliczenia 2 4 54 3" xfId="25443"/>
    <cellStyle name="Obliczenia 2 4 55" xfId="25444"/>
    <cellStyle name="Obliczenia 2 4 55 2" xfId="25445"/>
    <cellStyle name="Obliczenia 2 4 55 3" xfId="25446"/>
    <cellStyle name="Obliczenia 2 4 56" xfId="25447"/>
    <cellStyle name="Obliczenia 2 4 56 2" xfId="25448"/>
    <cellStyle name="Obliczenia 2 4 56 3" xfId="25449"/>
    <cellStyle name="Obliczenia 2 4 57" xfId="25450"/>
    <cellStyle name="Obliczenia 2 4 58" xfId="25451"/>
    <cellStyle name="Obliczenia 2 4 6" xfId="25452"/>
    <cellStyle name="Obliczenia 2 4 6 2" xfId="25453"/>
    <cellStyle name="Obliczenia 2 4 6 3" xfId="25454"/>
    <cellStyle name="Obliczenia 2 4 6 4" xfId="25455"/>
    <cellStyle name="Obliczenia 2 4 7" xfId="25456"/>
    <cellStyle name="Obliczenia 2 4 7 2" xfId="25457"/>
    <cellStyle name="Obliczenia 2 4 7 3" xfId="25458"/>
    <cellStyle name="Obliczenia 2 4 7 4" xfId="25459"/>
    <cellStyle name="Obliczenia 2 4 8" xfId="25460"/>
    <cellStyle name="Obliczenia 2 4 8 2" xfId="25461"/>
    <cellStyle name="Obliczenia 2 4 8 3" xfId="25462"/>
    <cellStyle name="Obliczenia 2 4 8 4" xfId="25463"/>
    <cellStyle name="Obliczenia 2 4 9" xfId="25464"/>
    <cellStyle name="Obliczenia 2 4 9 2" xfId="25465"/>
    <cellStyle name="Obliczenia 2 4 9 3" xfId="25466"/>
    <cellStyle name="Obliczenia 2 4 9 4" xfId="25467"/>
    <cellStyle name="Obliczenia 2 40" xfId="25468"/>
    <cellStyle name="Obliczenia 2 40 2" xfId="25469"/>
    <cellStyle name="Obliczenia 2 40 3" xfId="25470"/>
    <cellStyle name="Obliczenia 2 40 4" xfId="25471"/>
    <cellStyle name="Obliczenia 2 41" xfId="25472"/>
    <cellStyle name="Obliczenia 2 41 2" xfId="25473"/>
    <cellStyle name="Obliczenia 2 41 3" xfId="25474"/>
    <cellStyle name="Obliczenia 2 41 4" xfId="25475"/>
    <cellStyle name="Obliczenia 2 42" xfId="25476"/>
    <cellStyle name="Obliczenia 2 42 2" xfId="25477"/>
    <cellStyle name="Obliczenia 2 42 3" xfId="25478"/>
    <cellStyle name="Obliczenia 2 42 4" xfId="25479"/>
    <cellStyle name="Obliczenia 2 43" xfId="25480"/>
    <cellStyle name="Obliczenia 2 43 2" xfId="25481"/>
    <cellStyle name="Obliczenia 2 43 3" xfId="25482"/>
    <cellStyle name="Obliczenia 2 43 4" xfId="25483"/>
    <cellStyle name="Obliczenia 2 44" xfId="25484"/>
    <cellStyle name="Obliczenia 2 44 2" xfId="25485"/>
    <cellStyle name="Obliczenia 2 44 3" xfId="25486"/>
    <cellStyle name="Obliczenia 2 44 4" xfId="25487"/>
    <cellStyle name="Obliczenia 2 45" xfId="25488"/>
    <cellStyle name="Obliczenia 2 45 2" xfId="25489"/>
    <cellStyle name="Obliczenia 2 45 3" xfId="25490"/>
    <cellStyle name="Obliczenia 2 45 4" xfId="25491"/>
    <cellStyle name="Obliczenia 2 46" xfId="25492"/>
    <cellStyle name="Obliczenia 2 46 2" xfId="25493"/>
    <cellStyle name="Obliczenia 2 46 3" xfId="25494"/>
    <cellStyle name="Obliczenia 2 46 4" xfId="25495"/>
    <cellStyle name="Obliczenia 2 47" xfId="25496"/>
    <cellStyle name="Obliczenia 2 47 2" xfId="25497"/>
    <cellStyle name="Obliczenia 2 47 3" xfId="25498"/>
    <cellStyle name="Obliczenia 2 47 4" xfId="25499"/>
    <cellStyle name="Obliczenia 2 48" xfId="25500"/>
    <cellStyle name="Obliczenia 2 48 2" xfId="25501"/>
    <cellStyle name="Obliczenia 2 48 3" xfId="25502"/>
    <cellStyle name="Obliczenia 2 48 4" xfId="25503"/>
    <cellStyle name="Obliczenia 2 49" xfId="25504"/>
    <cellStyle name="Obliczenia 2 49 2" xfId="25505"/>
    <cellStyle name="Obliczenia 2 49 3" xfId="25506"/>
    <cellStyle name="Obliczenia 2 49 4" xfId="25507"/>
    <cellStyle name="Obliczenia 2 5" xfId="25508"/>
    <cellStyle name="Obliczenia 2 5 10" xfId="25509"/>
    <cellStyle name="Obliczenia 2 5 10 2" xfId="25510"/>
    <cellStyle name="Obliczenia 2 5 10 3" xfId="25511"/>
    <cellStyle name="Obliczenia 2 5 10 4" xfId="25512"/>
    <cellStyle name="Obliczenia 2 5 11" xfId="25513"/>
    <cellStyle name="Obliczenia 2 5 11 2" xfId="25514"/>
    <cellStyle name="Obliczenia 2 5 11 3" xfId="25515"/>
    <cellStyle name="Obliczenia 2 5 11 4" xfId="25516"/>
    <cellStyle name="Obliczenia 2 5 12" xfId="25517"/>
    <cellStyle name="Obliczenia 2 5 12 2" xfId="25518"/>
    <cellStyle name="Obliczenia 2 5 12 3" xfId="25519"/>
    <cellStyle name="Obliczenia 2 5 12 4" xfId="25520"/>
    <cellStyle name="Obliczenia 2 5 13" xfId="25521"/>
    <cellStyle name="Obliczenia 2 5 13 2" xfId="25522"/>
    <cellStyle name="Obliczenia 2 5 13 3" xfId="25523"/>
    <cellStyle name="Obliczenia 2 5 13 4" xfId="25524"/>
    <cellStyle name="Obliczenia 2 5 14" xfId="25525"/>
    <cellStyle name="Obliczenia 2 5 14 2" xfId="25526"/>
    <cellStyle name="Obliczenia 2 5 14 3" xfId="25527"/>
    <cellStyle name="Obliczenia 2 5 14 4" xfId="25528"/>
    <cellStyle name="Obliczenia 2 5 15" xfId="25529"/>
    <cellStyle name="Obliczenia 2 5 15 2" xfId="25530"/>
    <cellStyle name="Obliczenia 2 5 15 3" xfId="25531"/>
    <cellStyle name="Obliczenia 2 5 15 4" xfId="25532"/>
    <cellStyle name="Obliczenia 2 5 16" xfId="25533"/>
    <cellStyle name="Obliczenia 2 5 16 2" xfId="25534"/>
    <cellStyle name="Obliczenia 2 5 16 3" xfId="25535"/>
    <cellStyle name="Obliczenia 2 5 16 4" xfId="25536"/>
    <cellStyle name="Obliczenia 2 5 17" xfId="25537"/>
    <cellStyle name="Obliczenia 2 5 17 2" xfId="25538"/>
    <cellStyle name="Obliczenia 2 5 17 3" xfId="25539"/>
    <cellStyle name="Obliczenia 2 5 17 4" xfId="25540"/>
    <cellStyle name="Obliczenia 2 5 18" xfId="25541"/>
    <cellStyle name="Obliczenia 2 5 18 2" xfId="25542"/>
    <cellStyle name="Obliczenia 2 5 18 3" xfId="25543"/>
    <cellStyle name="Obliczenia 2 5 18 4" xfId="25544"/>
    <cellStyle name="Obliczenia 2 5 19" xfId="25545"/>
    <cellStyle name="Obliczenia 2 5 19 2" xfId="25546"/>
    <cellStyle name="Obliczenia 2 5 19 3" xfId="25547"/>
    <cellStyle name="Obliczenia 2 5 19 4" xfId="25548"/>
    <cellStyle name="Obliczenia 2 5 2" xfId="25549"/>
    <cellStyle name="Obliczenia 2 5 2 2" xfId="25550"/>
    <cellStyle name="Obliczenia 2 5 2 3" xfId="25551"/>
    <cellStyle name="Obliczenia 2 5 2 4" xfId="25552"/>
    <cellStyle name="Obliczenia 2 5 20" xfId="25553"/>
    <cellStyle name="Obliczenia 2 5 20 2" xfId="25554"/>
    <cellStyle name="Obliczenia 2 5 20 3" xfId="25555"/>
    <cellStyle name="Obliczenia 2 5 20 4" xfId="25556"/>
    <cellStyle name="Obliczenia 2 5 21" xfId="25557"/>
    <cellStyle name="Obliczenia 2 5 21 2" xfId="25558"/>
    <cellStyle name="Obliczenia 2 5 21 3" xfId="25559"/>
    <cellStyle name="Obliczenia 2 5 22" xfId="25560"/>
    <cellStyle name="Obliczenia 2 5 22 2" xfId="25561"/>
    <cellStyle name="Obliczenia 2 5 22 3" xfId="25562"/>
    <cellStyle name="Obliczenia 2 5 23" xfId="25563"/>
    <cellStyle name="Obliczenia 2 5 23 2" xfId="25564"/>
    <cellStyle name="Obliczenia 2 5 23 3" xfId="25565"/>
    <cellStyle name="Obliczenia 2 5 24" xfId="25566"/>
    <cellStyle name="Obliczenia 2 5 24 2" xfId="25567"/>
    <cellStyle name="Obliczenia 2 5 24 3" xfId="25568"/>
    <cellStyle name="Obliczenia 2 5 25" xfId="25569"/>
    <cellStyle name="Obliczenia 2 5 25 2" xfId="25570"/>
    <cellStyle name="Obliczenia 2 5 25 3" xfId="25571"/>
    <cellStyle name="Obliczenia 2 5 26" xfId="25572"/>
    <cellStyle name="Obliczenia 2 5 26 2" xfId="25573"/>
    <cellStyle name="Obliczenia 2 5 26 3" xfId="25574"/>
    <cellStyle name="Obliczenia 2 5 27" xfId="25575"/>
    <cellStyle name="Obliczenia 2 5 27 2" xfId="25576"/>
    <cellStyle name="Obliczenia 2 5 27 3" xfId="25577"/>
    <cellStyle name="Obliczenia 2 5 28" xfId="25578"/>
    <cellStyle name="Obliczenia 2 5 28 2" xfId="25579"/>
    <cellStyle name="Obliczenia 2 5 28 3" xfId="25580"/>
    <cellStyle name="Obliczenia 2 5 29" xfId="25581"/>
    <cellStyle name="Obliczenia 2 5 29 2" xfId="25582"/>
    <cellStyle name="Obliczenia 2 5 29 3" xfId="25583"/>
    <cellStyle name="Obliczenia 2 5 3" xfId="25584"/>
    <cellStyle name="Obliczenia 2 5 3 2" xfId="25585"/>
    <cellStyle name="Obliczenia 2 5 3 3" xfId="25586"/>
    <cellStyle name="Obliczenia 2 5 3 4" xfId="25587"/>
    <cellStyle name="Obliczenia 2 5 30" xfId="25588"/>
    <cellStyle name="Obliczenia 2 5 30 2" xfId="25589"/>
    <cellStyle name="Obliczenia 2 5 30 3" xfId="25590"/>
    <cellStyle name="Obliczenia 2 5 31" xfId="25591"/>
    <cellStyle name="Obliczenia 2 5 31 2" xfId="25592"/>
    <cellStyle name="Obliczenia 2 5 31 3" xfId="25593"/>
    <cellStyle name="Obliczenia 2 5 32" xfId="25594"/>
    <cellStyle name="Obliczenia 2 5 32 2" xfId="25595"/>
    <cellStyle name="Obliczenia 2 5 32 3" xfId="25596"/>
    <cellStyle name="Obliczenia 2 5 33" xfId="25597"/>
    <cellStyle name="Obliczenia 2 5 33 2" xfId="25598"/>
    <cellStyle name="Obliczenia 2 5 33 3" xfId="25599"/>
    <cellStyle name="Obliczenia 2 5 34" xfId="25600"/>
    <cellStyle name="Obliczenia 2 5 34 2" xfId="25601"/>
    <cellStyle name="Obliczenia 2 5 34 3" xfId="25602"/>
    <cellStyle name="Obliczenia 2 5 35" xfId="25603"/>
    <cellStyle name="Obliczenia 2 5 35 2" xfId="25604"/>
    <cellStyle name="Obliczenia 2 5 35 3" xfId="25605"/>
    <cellStyle name="Obliczenia 2 5 36" xfId="25606"/>
    <cellStyle name="Obliczenia 2 5 36 2" xfId="25607"/>
    <cellStyle name="Obliczenia 2 5 36 3" xfId="25608"/>
    <cellStyle name="Obliczenia 2 5 37" xfId="25609"/>
    <cellStyle name="Obliczenia 2 5 37 2" xfId="25610"/>
    <cellStyle name="Obliczenia 2 5 37 3" xfId="25611"/>
    <cellStyle name="Obliczenia 2 5 38" xfId="25612"/>
    <cellStyle name="Obliczenia 2 5 38 2" xfId="25613"/>
    <cellStyle name="Obliczenia 2 5 38 3" xfId="25614"/>
    <cellStyle name="Obliczenia 2 5 39" xfId="25615"/>
    <cellStyle name="Obliczenia 2 5 39 2" xfId="25616"/>
    <cellStyle name="Obliczenia 2 5 39 3" xfId="25617"/>
    <cellStyle name="Obliczenia 2 5 4" xfId="25618"/>
    <cellStyle name="Obliczenia 2 5 4 2" xfId="25619"/>
    <cellStyle name="Obliczenia 2 5 4 3" xfId="25620"/>
    <cellStyle name="Obliczenia 2 5 4 4" xfId="25621"/>
    <cellStyle name="Obliczenia 2 5 40" xfId="25622"/>
    <cellStyle name="Obliczenia 2 5 40 2" xfId="25623"/>
    <cellStyle name="Obliczenia 2 5 40 3" xfId="25624"/>
    <cellStyle name="Obliczenia 2 5 41" xfId="25625"/>
    <cellStyle name="Obliczenia 2 5 41 2" xfId="25626"/>
    <cellStyle name="Obliczenia 2 5 41 3" xfId="25627"/>
    <cellStyle name="Obliczenia 2 5 42" xfId="25628"/>
    <cellStyle name="Obliczenia 2 5 42 2" xfId="25629"/>
    <cellStyle name="Obliczenia 2 5 42 3" xfId="25630"/>
    <cellStyle name="Obliczenia 2 5 43" xfId="25631"/>
    <cellStyle name="Obliczenia 2 5 43 2" xfId="25632"/>
    <cellStyle name="Obliczenia 2 5 43 3" xfId="25633"/>
    <cellStyle name="Obliczenia 2 5 44" xfId="25634"/>
    <cellStyle name="Obliczenia 2 5 44 2" xfId="25635"/>
    <cellStyle name="Obliczenia 2 5 44 3" xfId="25636"/>
    <cellStyle name="Obliczenia 2 5 45" xfId="25637"/>
    <cellStyle name="Obliczenia 2 5 45 2" xfId="25638"/>
    <cellStyle name="Obliczenia 2 5 45 3" xfId="25639"/>
    <cellStyle name="Obliczenia 2 5 46" xfId="25640"/>
    <cellStyle name="Obliczenia 2 5 46 2" xfId="25641"/>
    <cellStyle name="Obliczenia 2 5 46 3" xfId="25642"/>
    <cellStyle name="Obliczenia 2 5 47" xfId="25643"/>
    <cellStyle name="Obliczenia 2 5 47 2" xfId="25644"/>
    <cellStyle name="Obliczenia 2 5 47 3" xfId="25645"/>
    <cellStyle name="Obliczenia 2 5 48" xfId="25646"/>
    <cellStyle name="Obliczenia 2 5 48 2" xfId="25647"/>
    <cellStyle name="Obliczenia 2 5 48 3" xfId="25648"/>
    <cellStyle name="Obliczenia 2 5 49" xfId="25649"/>
    <cellStyle name="Obliczenia 2 5 49 2" xfId="25650"/>
    <cellStyle name="Obliczenia 2 5 49 3" xfId="25651"/>
    <cellStyle name="Obliczenia 2 5 5" xfId="25652"/>
    <cellStyle name="Obliczenia 2 5 5 2" xfId="25653"/>
    <cellStyle name="Obliczenia 2 5 5 3" xfId="25654"/>
    <cellStyle name="Obliczenia 2 5 5 4" xfId="25655"/>
    <cellStyle name="Obliczenia 2 5 50" xfId="25656"/>
    <cellStyle name="Obliczenia 2 5 50 2" xfId="25657"/>
    <cellStyle name="Obliczenia 2 5 50 3" xfId="25658"/>
    <cellStyle name="Obliczenia 2 5 51" xfId="25659"/>
    <cellStyle name="Obliczenia 2 5 51 2" xfId="25660"/>
    <cellStyle name="Obliczenia 2 5 51 3" xfId="25661"/>
    <cellStyle name="Obliczenia 2 5 52" xfId="25662"/>
    <cellStyle name="Obliczenia 2 5 52 2" xfId="25663"/>
    <cellStyle name="Obliczenia 2 5 52 3" xfId="25664"/>
    <cellStyle name="Obliczenia 2 5 53" xfId="25665"/>
    <cellStyle name="Obliczenia 2 5 53 2" xfId="25666"/>
    <cellStyle name="Obliczenia 2 5 53 3" xfId="25667"/>
    <cellStyle name="Obliczenia 2 5 54" xfId="25668"/>
    <cellStyle name="Obliczenia 2 5 54 2" xfId="25669"/>
    <cellStyle name="Obliczenia 2 5 54 3" xfId="25670"/>
    <cellStyle name="Obliczenia 2 5 55" xfId="25671"/>
    <cellStyle name="Obliczenia 2 5 55 2" xfId="25672"/>
    <cellStyle name="Obliczenia 2 5 55 3" xfId="25673"/>
    <cellStyle name="Obliczenia 2 5 56" xfId="25674"/>
    <cellStyle name="Obliczenia 2 5 56 2" xfId="25675"/>
    <cellStyle name="Obliczenia 2 5 56 3" xfId="25676"/>
    <cellStyle name="Obliczenia 2 5 57" xfId="25677"/>
    <cellStyle name="Obliczenia 2 5 58" xfId="25678"/>
    <cellStyle name="Obliczenia 2 5 6" xfId="25679"/>
    <cellStyle name="Obliczenia 2 5 6 2" xfId="25680"/>
    <cellStyle name="Obliczenia 2 5 6 3" xfId="25681"/>
    <cellStyle name="Obliczenia 2 5 6 4" xfId="25682"/>
    <cellStyle name="Obliczenia 2 5 7" xfId="25683"/>
    <cellStyle name="Obliczenia 2 5 7 2" xfId="25684"/>
    <cellStyle name="Obliczenia 2 5 7 3" xfId="25685"/>
    <cellStyle name="Obliczenia 2 5 7 4" xfId="25686"/>
    <cellStyle name="Obliczenia 2 5 8" xfId="25687"/>
    <cellStyle name="Obliczenia 2 5 8 2" xfId="25688"/>
    <cellStyle name="Obliczenia 2 5 8 3" xfId="25689"/>
    <cellStyle name="Obliczenia 2 5 8 4" xfId="25690"/>
    <cellStyle name="Obliczenia 2 5 9" xfId="25691"/>
    <cellStyle name="Obliczenia 2 5 9 2" xfId="25692"/>
    <cellStyle name="Obliczenia 2 5 9 3" xfId="25693"/>
    <cellStyle name="Obliczenia 2 5 9 4" xfId="25694"/>
    <cellStyle name="Obliczenia 2 50" xfId="25695"/>
    <cellStyle name="Obliczenia 2 50 2" xfId="25696"/>
    <cellStyle name="Obliczenia 2 50 3" xfId="25697"/>
    <cellStyle name="Obliczenia 2 50 4" xfId="25698"/>
    <cellStyle name="Obliczenia 2 51" xfId="25699"/>
    <cellStyle name="Obliczenia 2 51 2" xfId="25700"/>
    <cellStyle name="Obliczenia 2 51 3" xfId="25701"/>
    <cellStyle name="Obliczenia 2 51 4" xfId="25702"/>
    <cellStyle name="Obliczenia 2 52" xfId="25703"/>
    <cellStyle name="Obliczenia 2 52 2" xfId="25704"/>
    <cellStyle name="Obliczenia 2 52 3" xfId="25705"/>
    <cellStyle name="Obliczenia 2 52 4" xfId="25706"/>
    <cellStyle name="Obliczenia 2 53" xfId="25707"/>
    <cellStyle name="Obliczenia 2 53 2" xfId="25708"/>
    <cellStyle name="Obliczenia 2 53 3" xfId="25709"/>
    <cellStyle name="Obliczenia 2 53 4" xfId="25710"/>
    <cellStyle name="Obliczenia 2 54" xfId="25711"/>
    <cellStyle name="Obliczenia 2 54 2" xfId="25712"/>
    <cellStyle name="Obliczenia 2 54 3" xfId="25713"/>
    <cellStyle name="Obliczenia 2 54 4" xfId="25714"/>
    <cellStyle name="Obliczenia 2 55" xfId="25715"/>
    <cellStyle name="Obliczenia 2 55 2" xfId="25716"/>
    <cellStyle name="Obliczenia 2 55 3" xfId="25717"/>
    <cellStyle name="Obliczenia 2 55 4" xfId="25718"/>
    <cellStyle name="Obliczenia 2 56" xfId="25719"/>
    <cellStyle name="Obliczenia 2 56 2" xfId="25720"/>
    <cellStyle name="Obliczenia 2 56 3" xfId="25721"/>
    <cellStyle name="Obliczenia 2 56 4" xfId="25722"/>
    <cellStyle name="Obliczenia 2 57" xfId="25723"/>
    <cellStyle name="Obliczenia 2 57 2" xfId="25724"/>
    <cellStyle name="Obliczenia 2 57 3" xfId="25725"/>
    <cellStyle name="Obliczenia 2 57 4" xfId="25726"/>
    <cellStyle name="Obliczenia 2 58" xfId="25727"/>
    <cellStyle name="Obliczenia 2 58 2" xfId="25728"/>
    <cellStyle name="Obliczenia 2 58 3" xfId="25729"/>
    <cellStyle name="Obliczenia 2 58 4" xfId="25730"/>
    <cellStyle name="Obliczenia 2 59" xfId="25731"/>
    <cellStyle name="Obliczenia 2 59 2" xfId="25732"/>
    <cellStyle name="Obliczenia 2 59 3" xfId="25733"/>
    <cellStyle name="Obliczenia 2 59 4" xfId="25734"/>
    <cellStyle name="Obliczenia 2 6" xfId="25735"/>
    <cellStyle name="Obliczenia 2 6 10" xfId="25736"/>
    <cellStyle name="Obliczenia 2 6 10 2" xfId="25737"/>
    <cellStyle name="Obliczenia 2 6 10 3" xfId="25738"/>
    <cellStyle name="Obliczenia 2 6 10 4" xfId="25739"/>
    <cellStyle name="Obliczenia 2 6 11" xfId="25740"/>
    <cellStyle name="Obliczenia 2 6 11 2" xfId="25741"/>
    <cellStyle name="Obliczenia 2 6 11 3" xfId="25742"/>
    <cellStyle name="Obliczenia 2 6 11 4" xfId="25743"/>
    <cellStyle name="Obliczenia 2 6 12" xfId="25744"/>
    <cellStyle name="Obliczenia 2 6 12 2" xfId="25745"/>
    <cellStyle name="Obliczenia 2 6 12 3" xfId="25746"/>
    <cellStyle name="Obliczenia 2 6 12 4" xfId="25747"/>
    <cellStyle name="Obliczenia 2 6 13" xfId="25748"/>
    <cellStyle name="Obliczenia 2 6 13 2" xfId="25749"/>
    <cellStyle name="Obliczenia 2 6 13 3" xfId="25750"/>
    <cellStyle name="Obliczenia 2 6 13 4" xfId="25751"/>
    <cellStyle name="Obliczenia 2 6 14" xfId="25752"/>
    <cellStyle name="Obliczenia 2 6 14 2" xfId="25753"/>
    <cellStyle name="Obliczenia 2 6 14 3" xfId="25754"/>
    <cellStyle name="Obliczenia 2 6 14 4" xfId="25755"/>
    <cellStyle name="Obliczenia 2 6 15" xfId="25756"/>
    <cellStyle name="Obliczenia 2 6 15 2" xfId="25757"/>
    <cellStyle name="Obliczenia 2 6 15 3" xfId="25758"/>
    <cellStyle name="Obliczenia 2 6 15 4" xfId="25759"/>
    <cellStyle name="Obliczenia 2 6 16" xfId="25760"/>
    <cellStyle name="Obliczenia 2 6 16 2" xfId="25761"/>
    <cellStyle name="Obliczenia 2 6 16 3" xfId="25762"/>
    <cellStyle name="Obliczenia 2 6 16 4" xfId="25763"/>
    <cellStyle name="Obliczenia 2 6 17" xfId="25764"/>
    <cellStyle name="Obliczenia 2 6 17 2" xfId="25765"/>
    <cellStyle name="Obliczenia 2 6 17 3" xfId="25766"/>
    <cellStyle name="Obliczenia 2 6 17 4" xfId="25767"/>
    <cellStyle name="Obliczenia 2 6 18" xfId="25768"/>
    <cellStyle name="Obliczenia 2 6 18 2" xfId="25769"/>
    <cellStyle name="Obliczenia 2 6 18 3" xfId="25770"/>
    <cellStyle name="Obliczenia 2 6 18 4" xfId="25771"/>
    <cellStyle name="Obliczenia 2 6 19" xfId="25772"/>
    <cellStyle name="Obliczenia 2 6 19 2" xfId="25773"/>
    <cellStyle name="Obliczenia 2 6 19 3" xfId="25774"/>
    <cellStyle name="Obliczenia 2 6 19 4" xfId="25775"/>
    <cellStyle name="Obliczenia 2 6 2" xfId="25776"/>
    <cellStyle name="Obliczenia 2 6 2 2" xfId="25777"/>
    <cellStyle name="Obliczenia 2 6 2 3" xfId="25778"/>
    <cellStyle name="Obliczenia 2 6 2 4" xfId="25779"/>
    <cellStyle name="Obliczenia 2 6 20" xfId="25780"/>
    <cellStyle name="Obliczenia 2 6 20 2" xfId="25781"/>
    <cellStyle name="Obliczenia 2 6 20 3" xfId="25782"/>
    <cellStyle name="Obliczenia 2 6 20 4" xfId="25783"/>
    <cellStyle name="Obliczenia 2 6 21" xfId="25784"/>
    <cellStyle name="Obliczenia 2 6 21 2" xfId="25785"/>
    <cellStyle name="Obliczenia 2 6 21 3" xfId="25786"/>
    <cellStyle name="Obliczenia 2 6 22" xfId="25787"/>
    <cellStyle name="Obliczenia 2 6 22 2" xfId="25788"/>
    <cellStyle name="Obliczenia 2 6 22 3" xfId="25789"/>
    <cellStyle name="Obliczenia 2 6 23" xfId="25790"/>
    <cellStyle name="Obliczenia 2 6 23 2" xfId="25791"/>
    <cellStyle name="Obliczenia 2 6 23 3" xfId="25792"/>
    <cellStyle name="Obliczenia 2 6 24" xfId="25793"/>
    <cellStyle name="Obliczenia 2 6 24 2" xfId="25794"/>
    <cellStyle name="Obliczenia 2 6 24 3" xfId="25795"/>
    <cellStyle name="Obliczenia 2 6 25" xfId="25796"/>
    <cellStyle name="Obliczenia 2 6 25 2" xfId="25797"/>
    <cellStyle name="Obliczenia 2 6 25 3" xfId="25798"/>
    <cellStyle name="Obliczenia 2 6 26" xfId="25799"/>
    <cellStyle name="Obliczenia 2 6 26 2" xfId="25800"/>
    <cellStyle name="Obliczenia 2 6 26 3" xfId="25801"/>
    <cellStyle name="Obliczenia 2 6 27" xfId="25802"/>
    <cellStyle name="Obliczenia 2 6 27 2" xfId="25803"/>
    <cellStyle name="Obliczenia 2 6 27 3" xfId="25804"/>
    <cellStyle name="Obliczenia 2 6 28" xfId="25805"/>
    <cellStyle name="Obliczenia 2 6 28 2" xfId="25806"/>
    <cellStyle name="Obliczenia 2 6 28 3" xfId="25807"/>
    <cellStyle name="Obliczenia 2 6 29" xfId="25808"/>
    <cellStyle name="Obliczenia 2 6 29 2" xfId="25809"/>
    <cellStyle name="Obliczenia 2 6 29 3" xfId="25810"/>
    <cellStyle name="Obliczenia 2 6 3" xfId="25811"/>
    <cellStyle name="Obliczenia 2 6 3 2" xfId="25812"/>
    <cellStyle name="Obliczenia 2 6 3 3" xfId="25813"/>
    <cellStyle name="Obliczenia 2 6 3 4" xfId="25814"/>
    <cellStyle name="Obliczenia 2 6 30" xfId="25815"/>
    <cellStyle name="Obliczenia 2 6 30 2" xfId="25816"/>
    <cellStyle name="Obliczenia 2 6 30 3" xfId="25817"/>
    <cellStyle name="Obliczenia 2 6 31" xfId="25818"/>
    <cellStyle name="Obliczenia 2 6 31 2" xfId="25819"/>
    <cellStyle name="Obliczenia 2 6 31 3" xfId="25820"/>
    <cellStyle name="Obliczenia 2 6 32" xfId="25821"/>
    <cellStyle name="Obliczenia 2 6 32 2" xfId="25822"/>
    <cellStyle name="Obliczenia 2 6 32 3" xfId="25823"/>
    <cellStyle name="Obliczenia 2 6 33" xfId="25824"/>
    <cellStyle name="Obliczenia 2 6 33 2" xfId="25825"/>
    <cellStyle name="Obliczenia 2 6 33 3" xfId="25826"/>
    <cellStyle name="Obliczenia 2 6 34" xfId="25827"/>
    <cellStyle name="Obliczenia 2 6 34 2" xfId="25828"/>
    <cellStyle name="Obliczenia 2 6 34 3" xfId="25829"/>
    <cellStyle name="Obliczenia 2 6 35" xfId="25830"/>
    <cellStyle name="Obliczenia 2 6 35 2" xfId="25831"/>
    <cellStyle name="Obliczenia 2 6 35 3" xfId="25832"/>
    <cellStyle name="Obliczenia 2 6 36" xfId="25833"/>
    <cellStyle name="Obliczenia 2 6 36 2" xfId="25834"/>
    <cellStyle name="Obliczenia 2 6 36 3" xfId="25835"/>
    <cellStyle name="Obliczenia 2 6 37" xfId="25836"/>
    <cellStyle name="Obliczenia 2 6 37 2" xfId="25837"/>
    <cellStyle name="Obliczenia 2 6 37 3" xfId="25838"/>
    <cellStyle name="Obliczenia 2 6 38" xfId="25839"/>
    <cellStyle name="Obliczenia 2 6 38 2" xfId="25840"/>
    <cellStyle name="Obliczenia 2 6 38 3" xfId="25841"/>
    <cellStyle name="Obliczenia 2 6 39" xfId="25842"/>
    <cellStyle name="Obliczenia 2 6 39 2" xfId="25843"/>
    <cellStyle name="Obliczenia 2 6 39 3" xfId="25844"/>
    <cellStyle name="Obliczenia 2 6 4" xfId="25845"/>
    <cellStyle name="Obliczenia 2 6 4 2" xfId="25846"/>
    <cellStyle name="Obliczenia 2 6 4 3" xfId="25847"/>
    <cellStyle name="Obliczenia 2 6 4 4" xfId="25848"/>
    <cellStyle name="Obliczenia 2 6 40" xfId="25849"/>
    <cellStyle name="Obliczenia 2 6 40 2" xfId="25850"/>
    <cellStyle name="Obliczenia 2 6 40 3" xfId="25851"/>
    <cellStyle name="Obliczenia 2 6 41" xfId="25852"/>
    <cellStyle name="Obliczenia 2 6 41 2" xfId="25853"/>
    <cellStyle name="Obliczenia 2 6 41 3" xfId="25854"/>
    <cellStyle name="Obliczenia 2 6 42" xfId="25855"/>
    <cellStyle name="Obliczenia 2 6 42 2" xfId="25856"/>
    <cellStyle name="Obliczenia 2 6 42 3" xfId="25857"/>
    <cellStyle name="Obliczenia 2 6 43" xfId="25858"/>
    <cellStyle name="Obliczenia 2 6 43 2" xfId="25859"/>
    <cellStyle name="Obliczenia 2 6 43 3" xfId="25860"/>
    <cellStyle name="Obliczenia 2 6 44" xfId="25861"/>
    <cellStyle name="Obliczenia 2 6 44 2" xfId="25862"/>
    <cellStyle name="Obliczenia 2 6 44 3" xfId="25863"/>
    <cellStyle name="Obliczenia 2 6 45" xfId="25864"/>
    <cellStyle name="Obliczenia 2 6 45 2" xfId="25865"/>
    <cellStyle name="Obliczenia 2 6 45 3" xfId="25866"/>
    <cellStyle name="Obliczenia 2 6 46" xfId="25867"/>
    <cellStyle name="Obliczenia 2 6 46 2" xfId="25868"/>
    <cellStyle name="Obliczenia 2 6 46 3" xfId="25869"/>
    <cellStyle name="Obliczenia 2 6 47" xfId="25870"/>
    <cellStyle name="Obliczenia 2 6 47 2" xfId="25871"/>
    <cellStyle name="Obliczenia 2 6 47 3" xfId="25872"/>
    <cellStyle name="Obliczenia 2 6 48" xfId="25873"/>
    <cellStyle name="Obliczenia 2 6 48 2" xfId="25874"/>
    <cellStyle name="Obliczenia 2 6 48 3" xfId="25875"/>
    <cellStyle name="Obliczenia 2 6 49" xfId="25876"/>
    <cellStyle name="Obliczenia 2 6 49 2" xfId="25877"/>
    <cellStyle name="Obliczenia 2 6 49 3" xfId="25878"/>
    <cellStyle name="Obliczenia 2 6 5" xfId="25879"/>
    <cellStyle name="Obliczenia 2 6 5 2" xfId="25880"/>
    <cellStyle name="Obliczenia 2 6 5 3" xfId="25881"/>
    <cellStyle name="Obliczenia 2 6 5 4" xfId="25882"/>
    <cellStyle name="Obliczenia 2 6 50" xfId="25883"/>
    <cellStyle name="Obliczenia 2 6 50 2" xfId="25884"/>
    <cellStyle name="Obliczenia 2 6 50 3" xfId="25885"/>
    <cellStyle name="Obliczenia 2 6 51" xfId="25886"/>
    <cellStyle name="Obliczenia 2 6 51 2" xfId="25887"/>
    <cellStyle name="Obliczenia 2 6 51 3" xfId="25888"/>
    <cellStyle name="Obliczenia 2 6 52" xfId="25889"/>
    <cellStyle name="Obliczenia 2 6 52 2" xfId="25890"/>
    <cellStyle name="Obliczenia 2 6 52 3" xfId="25891"/>
    <cellStyle name="Obliczenia 2 6 53" xfId="25892"/>
    <cellStyle name="Obliczenia 2 6 53 2" xfId="25893"/>
    <cellStyle name="Obliczenia 2 6 53 3" xfId="25894"/>
    <cellStyle name="Obliczenia 2 6 54" xfId="25895"/>
    <cellStyle name="Obliczenia 2 6 54 2" xfId="25896"/>
    <cellStyle name="Obliczenia 2 6 54 3" xfId="25897"/>
    <cellStyle name="Obliczenia 2 6 55" xfId="25898"/>
    <cellStyle name="Obliczenia 2 6 55 2" xfId="25899"/>
    <cellStyle name="Obliczenia 2 6 55 3" xfId="25900"/>
    <cellStyle name="Obliczenia 2 6 56" xfId="25901"/>
    <cellStyle name="Obliczenia 2 6 56 2" xfId="25902"/>
    <cellStyle name="Obliczenia 2 6 56 3" xfId="25903"/>
    <cellStyle name="Obliczenia 2 6 57" xfId="25904"/>
    <cellStyle name="Obliczenia 2 6 58" xfId="25905"/>
    <cellStyle name="Obliczenia 2 6 6" xfId="25906"/>
    <cellStyle name="Obliczenia 2 6 6 2" xfId="25907"/>
    <cellStyle name="Obliczenia 2 6 6 3" xfId="25908"/>
    <cellStyle name="Obliczenia 2 6 6 4" xfId="25909"/>
    <cellStyle name="Obliczenia 2 6 7" xfId="25910"/>
    <cellStyle name="Obliczenia 2 6 7 2" xfId="25911"/>
    <cellStyle name="Obliczenia 2 6 7 3" xfId="25912"/>
    <cellStyle name="Obliczenia 2 6 7 4" xfId="25913"/>
    <cellStyle name="Obliczenia 2 6 8" xfId="25914"/>
    <cellStyle name="Obliczenia 2 6 8 2" xfId="25915"/>
    <cellStyle name="Obliczenia 2 6 8 3" xfId="25916"/>
    <cellStyle name="Obliczenia 2 6 8 4" xfId="25917"/>
    <cellStyle name="Obliczenia 2 6 9" xfId="25918"/>
    <cellStyle name="Obliczenia 2 6 9 2" xfId="25919"/>
    <cellStyle name="Obliczenia 2 6 9 3" xfId="25920"/>
    <cellStyle name="Obliczenia 2 6 9 4" xfId="25921"/>
    <cellStyle name="Obliczenia 2 60" xfId="25922"/>
    <cellStyle name="Obliczenia 2 60 2" xfId="25923"/>
    <cellStyle name="Obliczenia 2 60 3" xfId="25924"/>
    <cellStyle name="Obliczenia 2 60 4" xfId="25925"/>
    <cellStyle name="Obliczenia 2 61" xfId="25926"/>
    <cellStyle name="Obliczenia 2 61 2" xfId="25927"/>
    <cellStyle name="Obliczenia 2 61 3" xfId="25928"/>
    <cellStyle name="Obliczenia 2 61 4" xfId="25929"/>
    <cellStyle name="Obliczenia 2 62" xfId="25930"/>
    <cellStyle name="Obliczenia 2 62 2" xfId="25931"/>
    <cellStyle name="Obliczenia 2 62 3" xfId="25932"/>
    <cellStyle name="Obliczenia 2 62 4" xfId="25933"/>
    <cellStyle name="Obliczenia 2 63" xfId="25934"/>
    <cellStyle name="Obliczenia 2 63 2" xfId="25935"/>
    <cellStyle name="Obliczenia 2 63 3" xfId="25936"/>
    <cellStyle name="Obliczenia 2 63 4" xfId="25937"/>
    <cellStyle name="Obliczenia 2 64" xfId="25938"/>
    <cellStyle name="Obliczenia 2 64 2" xfId="25939"/>
    <cellStyle name="Obliczenia 2 64 3" xfId="25940"/>
    <cellStyle name="Obliczenia 2 64 4" xfId="25941"/>
    <cellStyle name="Obliczenia 2 65" xfId="25942"/>
    <cellStyle name="Obliczenia 2 65 2" xfId="25943"/>
    <cellStyle name="Obliczenia 2 65 3" xfId="25944"/>
    <cellStyle name="Obliczenia 2 65 4" xfId="25945"/>
    <cellStyle name="Obliczenia 2 66" xfId="25946"/>
    <cellStyle name="Obliczenia 2 66 2" xfId="25947"/>
    <cellStyle name="Obliczenia 2 66 3" xfId="25948"/>
    <cellStyle name="Obliczenia 2 66 4" xfId="25949"/>
    <cellStyle name="Obliczenia 2 67" xfId="25950"/>
    <cellStyle name="Obliczenia 2 67 2" xfId="25951"/>
    <cellStyle name="Obliczenia 2 67 3" xfId="25952"/>
    <cellStyle name="Obliczenia 2 68" xfId="25953"/>
    <cellStyle name="Obliczenia 2 68 2" xfId="25954"/>
    <cellStyle name="Obliczenia 2 68 3" xfId="25955"/>
    <cellStyle name="Obliczenia 2 69" xfId="25956"/>
    <cellStyle name="Obliczenia 2 69 2" xfId="25957"/>
    <cellStyle name="Obliczenia 2 69 3" xfId="25958"/>
    <cellStyle name="Obliczenia 2 7" xfId="25959"/>
    <cellStyle name="Obliczenia 2 7 10" xfId="25960"/>
    <cellStyle name="Obliczenia 2 7 10 2" xfId="25961"/>
    <cellStyle name="Obliczenia 2 7 10 3" xfId="25962"/>
    <cellStyle name="Obliczenia 2 7 10 4" xfId="25963"/>
    <cellStyle name="Obliczenia 2 7 11" xfId="25964"/>
    <cellStyle name="Obliczenia 2 7 11 2" xfId="25965"/>
    <cellStyle name="Obliczenia 2 7 11 3" xfId="25966"/>
    <cellStyle name="Obliczenia 2 7 11 4" xfId="25967"/>
    <cellStyle name="Obliczenia 2 7 12" xfId="25968"/>
    <cellStyle name="Obliczenia 2 7 12 2" xfId="25969"/>
    <cellStyle name="Obliczenia 2 7 12 3" xfId="25970"/>
    <cellStyle name="Obliczenia 2 7 12 4" xfId="25971"/>
    <cellStyle name="Obliczenia 2 7 13" xfId="25972"/>
    <cellStyle name="Obliczenia 2 7 13 2" xfId="25973"/>
    <cellStyle name="Obliczenia 2 7 13 3" xfId="25974"/>
    <cellStyle name="Obliczenia 2 7 13 4" xfId="25975"/>
    <cellStyle name="Obliczenia 2 7 14" xfId="25976"/>
    <cellStyle name="Obliczenia 2 7 14 2" xfId="25977"/>
    <cellStyle name="Obliczenia 2 7 14 3" xfId="25978"/>
    <cellStyle name="Obliczenia 2 7 14 4" xfId="25979"/>
    <cellStyle name="Obliczenia 2 7 15" xfId="25980"/>
    <cellStyle name="Obliczenia 2 7 15 2" xfId="25981"/>
    <cellStyle name="Obliczenia 2 7 15 3" xfId="25982"/>
    <cellStyle name="Obliczenia 2 7 15 4" xfId="25983"/>
    <cellStyle name="Obliczenia 2 7 16" xfId="25984"/>
    <cellStyle name="Obliczenia 2 7 16 2" xfId="25985"/>
    <cellStyle name="Obliczenia 2 7 16 3" xfId="25986"/>
    <cellStyle name="Obliczenia 2 7 16 4" xfId="25987"/>
    <cellStyle name="Obliczenia 2 7 17" xfId="25988"/>
    <cellStyle name="Obliczenia 2 7 17 2" xfId="25989"/>
    <cellStyle name="Obliczenia 2 7 17 3" xfId="25990"/>
    <cellStyle name="Obliczenia 2 7 17 4" xfId="25991"/>
    <cellStyle name="Obliczenia 2 7 18" xfId="25992"/>
    <cellStyle name="Obliczenia 2 7 18 2" xfId="25993"/>
    <cellStyle name="Obliczenia 2 7 18 3" xfId="25994"/>
    <cellStyle name="Obliczenia 2 7 18 4" xfId="25995"/>
    <cellStyle name="Obliczenia 2 7 19" xfId="25996"/>
    <cellStyle name="Obliczenia 2 7 19 2" xfId="25997"/>
    <cellStyle name="Obliczenia 2 7 19 3" xfId="25998"/>
    <cellStyle name="Obliczenia 2 7 19 4" xfId="25999"/>
    <cellStyle name="Obliczenia 2 7 2" xfId="26000"/>
    <cellStyle name="Obliczenia 2 7 2 2" xfId="26001"/>
    <cellStyle name="Obliczenia 2 7 2 3" xfId="26002"/>
    <cellStyle name="Obliczenia 2 7 2 4" xfId="26003"/>
    <cellStyle name="Obliczenia 2 7 20" xfId="26004"/>
    <cellStyle name="Obliczenia 2 7 20 2" xfId="26005"/>
    <cellStyle name="Obliczenia 2 7 20 3" xfId="26006"/>
    <cellStyle name="Obliczenia 2 7 20 4" xfId="26007"/>
    <cellStyle name="Obliczenia 2 7 21" xfId="26008"/>
    <cellStyle name="Obliczenia 2 7 21 2" xfId="26009"/>
    <cellStyle name="Obliczenia 2 7 21 3" xfId="26010"/>
    <cellStyle name="Obliczenia 2 7 22" xfId="26011"/>
    <cellStyle name="Obliczenia 2 7 22 2" xfId="26012"/>
    <cellStyle name="Obliczenia 2 7 22 3" xfId="26013"/>
    <cellStyle name="Obliczenia 2 7 23" xfId="26014"/>
    <cellStyle name="Obliczenia 2 7 23 2" xfId="26015"/>
    <cellStyle name="Obliczenia 2 7 23 3" xfId="26016"/>
    <cellStyle name="Obliczenia 2 7 24" xfId="26017"/>
    <cellStyle name="Obliczenia 2 7 24 2" xfId="26018"/>
    <cellStyle name="Obliczenia 2 7 24 3" xfId="26019"/>
    <cellStyle name="Obliczenia 2 7 25" xfId="26020"/>
    <cellStyle name="Obliczenia 2 7 25 2" xfId="26021"/>
    <cellStyle name="Obliczenia 2 7 25 3" xfId="26022"/>
    <cellStyle name="Obliczenia 2 7 26" xfId="26023"/>
    <cellStyle name="Obliczenia 2 7 26 2" xfId="26024"/>
    <cellStyle name="Obliczenia 2 7 26 3" xfId="26025"/>
    <cellStyle name="Obliczenia 2 7 27" xfId="26026"/>
    <cellStyle name="Obliczenia 2 7 27 2" xfId="26027"/>
    <cellStyle name="Obliczenia 2 7 27 3" xfId="26028"/>
    <cellStyle name="Obliczenia 2 7 28" xfId="26029"/>
    <cellStyle name="Obliczenia 2 7 28 2" xfId="26030"/>
    <cellStyle name="Obliczenia 2 7 28 3" xfId="26031"/>
    <cellStyle name="Obliczenia 2 7 29" xfId="26032"/>
    <cellStyle name="Obliczenia 2 7 29 2" xfId="26033"/>
    <cellStyle name="Obliczenia 2 7 29 3" xfId="26034"/>
    <cellStyle name="Obliczenia 2 7 3" xfId="26035"/>
    <cellStyle name="Obliczenia 2 7 3 2" xfId="26036"/>
    <cellStyle name="Obliczenia 2 7 3 3" xfId="26037"/>
    <cellStyle name="Obliczenia 2 7 3 4" xfId="26038"/>
    <cellStyle name="Obliczenia 2 7 30" xfId="26039"/>
    <cellStyle name="Obliczenia 2 7 30 2" xfId="26040"/>
    <cellStyle name="Obliczenia 2 7 30 3" xfId="26041"/>
    <cellStyle name="Obliczenia 2 7 31" xfId="26042"/>
    <cellStyle name="Obliczenia 2 7 31 2" xfId="26043"/>
    <cellStyle name="Obliczenia 2 7 31 3" xfId="26044"/>
    <cellStyle name="Obliczenia 2 7 32" xfId="26045"/>
    <cellStyle name="Obliczenia 2 7 32 2" xfId="26046"/>
    <cellStyle name="Obliczenia 2 7 32 3" xfId="26047"/>
    <cellStyle name="Obliczenia 2 7 33" xfId="26048"/>
    <cellStyle name="Obliczenia 2 7 33 2" xfId="26049"/>
    <cellStyle name="Obliczenia 2 7 33 3" xfId="26050"/>
    <cellStyle name="Obliczenia 2 7 34" xfId="26051"/>
    <cellStyle name="Obliczenia 2 7 34 2" xfId="26052"/>
    <cellStyle name="Obliczenia 2 7 34 3" xfId="26053"/>
    <cellStyle name="Obliczenia 2 7 35" xfId="26054"/>
    <cellStyle name="Obliczenia 2 7 35 2" xfId="26055"/>
    <cellStyle name="Obliczenia 2 7 35 3" xfId="26056"/>
    <cellStyle name="Obliczenia 2 7 36" xfId="26057"/>
    <cellStyle name="Obliczenia 2 7 36 2" xfId="26058"/>
    <cellStyle name="Obliczenia 2 7 36 3" xfId="26059"/>
    <cellStyle name="Obliczenia 2 7 37" xfId="26060"/>
    <cellStyle name="Obliczenia 2 7 37 2" xfId="26061"/>
    <cellStyle name="Obliczenia 2 7 37 3" xfId="26062"/>
    <cellStyle name="Obliczenia 2 7 38" xfId="26063"/>
    <cellStyle name="Obliczenia 2 7 38 2" xfId="26064"/>
    <cellStyle name="Obliczenia 2 7 38 3" xfId="26065"/>
    <cellStyle name="Obliczenia 2 7 39" xfId="26066"/>
    <cellStyle name="Obliczenia 2 7 39 2" xfId="26067"/>
    <cellStyle name="Obliczenia 2 7 39 3" xfId="26068"/>
    <cellStyle name="Obliczenia 2 7 4" xfId="26069"/>
    <cellStyle name="Obliczenia 2 7 4 2" xfId="26070"/>
    <cellStyle name="Obliczenia 2 7 4 3" xfId="26071"/>
    <cellStyle name="Obliczenia 2 7 4 4" xfId="26072"/>
    <cellStyle name="Obliczenia 2 7 40" xfId="26073"/>
    <cellStyle name="Obliczenia 2 7 40 2" xfId="26074"/>
    <cellStyle name="Obliczenia 2 7 40 3" xfId="26075"/>
    <cellStyle name="Obliczenia 2 7 41" xfId="26076"/>
    <cellStyle name="Obliczenia 2 7 41 2" xfId="26077"/>
    <cellStyle name="Obliczenia 2 7 41 3" xfId="26078"/>
    <cellStyle name="Obliczenia 2 7 42" xfId="26079"/>
    <cellStyle name="Obliczenia 2 7 42 2" xfId="26080"/>
    <cellStyle name="Obliczenia 2 7 42 3" xfId="26081"/>
    <cellStyle name="Obliczenia 2 7 43" xfId="26082"/>
    <cellStyle name="Obliczenia 2 7 43 2" xfId="26083"/>
    <cellStyle name="Obliczenia 2 7 43 3" xfId="26084"/>
    <cellStyle name="Obliczenia 2 7 44" xfId="26085"/>
    <cellStyle name="Obliczenia 2 7 44 2" xfId="26086"/>
    <cellStyle name="Obliczenia 2 7 44 3" xfId="26087"/>
    <cellStyle name="Obliczenia 2 7 45" xfId="26088"/>
    <cellStyle name="Obliczenia 2 7 45 2" xfId="26089"/>
    <cellStyle name="Obliczenia 2 7 45 3" xfId="26090"/>
    <cellStyle name="Obliczenia 2 7 46" xfId="26091"/>
    <cellStyle name="Obliczenia 2 7 46 2" xfId="26092"/>
    <cellStyle name="Obliczenia 2 7 46 3" xfId="26093"/>
    <cellStyle name="Obliczenia 2 7 47" xfId="26094"/>
    <cellStyle name="Obliczenia 2 7 47 2" xfId="26095"/>
    <cellStyle name="Obliczenia 2 7 47 3" xfId="26096"/>
    <cellStyle name="Obliczenia 2 7 48" xfId="26097"/>
    <cellStyle name="Obliczenia 2 7 48 2" xfId="26098"/>
    <cellStyle name="Obliczenia 2 7 48 3" xfId="26099"/>
    <cellStyle name="Obliczenia 2 7 49" xfId="26100"/>
    <cellStyle name="Obliczenia 2 7 49 2" xfId="26101"/>
    <cellStyle name="Obliczenia 2 7 49 3" xfId="26102"/>
    <cellStyle name="Obliczenia 2 7 5" xfId="26103"/>
    <cellStyle name="Obliczenia 2 7 5 2" xfId="26104"/>
    <cellStyle name="Obliczenia 2 7 5 3" xfId="26105"/>
    <cellStyle name="Obliczenia 2 7 5 4" xfId="26106"/>
    <cellStyle name="Obliczenia 2 7 50" xfId="26107"/>
    <cellStyle name="Obliczenia 2 7 50 2" xfId="26108"/>
    <cellStyle name="Obliczenia 2 7 50 3" xfId="26109"/>
    <cellStyle name="Obliczenia 2 7 51" xfId="26110"/>
    <cellStyle name="Obliczenia 2 7 51 2" xfId="26111"/>
    <cellStyle name="Obliczenia 2 7 51 3" xfId="26112"/>
    <cellStyle name="Obliczenia 2 7 52" xfId="26113"/>
    <cellStyle name="Obliczenia 2 7 52 2" xfId="26114"/>
    <cellStyle name="Obliczenia 2 7 52 3" xfId="26115"/>
    <cellStyle name="Obliczenia 2 7 53" xfId="26116"/>
    <cellStyle name="Obliczenia 2 7 53 2" xfId="26117"/>
    <cellStyle name="Obliczenia 2 7 53 3" xfId="26118"/>
    <cellStyle name="Obliczenia 2 7 54" xfId="26119"/>
    <cellStyle name="Obliczenia 2 7 54 2" xfId="26120"/>
    <cellStyle name="Obliczenia 2 7 54 3" xfId="26121"/>
    <cellStyle name="Obliczenia 2 7 55" xfId="26122"/>
    <cellStyle name="Obliczenia 2 7 55 2" xfId="26123"/>
    <cellStyle name="Obliczenia 2 7 55 3" xfId="26124"/>
    <cellStyle name="Obliczenia 2 7 56" xfId="26125"/>
    <cellStyle name="Obliczenia 2 7 56 2" xfId="26126"/>
    <cellStyle name="Obliczenia 2 7 56 3" xfId="26127"/>
    <cellStyle name="Obliczenia 2 7 57" xfId="26128"/>
    <cellStyle name="Obliczenia 2 7 58" xfId="26129"/>
    <cellStyle name="Obliczenia 2 7 6" xfId="26130"/>
    <cellStyle name="Obliczenia 2 7 6 2" xfId="26131"/>
    <cellStyle name="Obliczenia 2 7 6 3" xfId="26132"/>
    <cellStyle name="Obliczenia 2 7 6 4" xfId="26133"/>
    <cellStyle name="Obliczenia 2 7 7" xfId="26134"/>
    <cellStyle name="Obliczenia 2 7 7 2" xfId="26135"/>
    <cellStyle name="Obliczenia 2 7 7 3" xfId="26136"/>
    <cellStyle name="Obliczenia 2 7 7 4" xfId="26137"/>
    <cellStyle name="Obliczenia 2 7 8" xfId="26138"/>
    <cellStyle name="Obliczenia 2 7 8 2" xfId="26139"/>
    <cellStyle name="Obliczenia 2 7 8 3" xfId="26140"/>
    <cellStyle name="Obliczenia 2 7 8 4" xfId="26141"/>
    <cellStyle name="Obliczenia 2 7 9" xfId="26142"/>
    <cellStyle name="Obliczenia 2 7 9 2" xfId="26143"/>
    <cellStyle name="Obliczenia 2 7 9 3" xfId="26144"/>
    <cellStyle name="Obliczenia 2 7 9 4" xfId="26145"/>
    <cellStyle name="Obliczenia 2 70" xfId="26146"/>
    <cellStyle name="Obliczenia 2 70 2" xfId="26147"/>
    <cellStyle name="Obliczenia 2 70 3" xfId="26148"/>
    <cellStyle name="Obliczenia 2 71" xfId="26149"/>
    <cellStyle name="Obliczenia 2 71 2" xfId="26150"/>
    <cellStyle name="Obliczenia 2 71 3" xfId="26151"/>
    <cellStyle name="Obliczenia 2 72" xfId="26152"/>
    <cellStyle name="Obliczenia 2 72 2" xfId="26153"/>
    <cellStyle name="Obliczenia 2 72 3" xfId="26154"/>
    <cellStyle name="Obliczenia 2 73" xfId="26155"/>
    <cellStyle name="Obliczenia 2 73 2" xfId="26156"/>
    <cellStyle name="Obliczenia 2 73 3" xfId="26157"/>
    <cellStyle name="Obliczenia 2 74" xfId="26158"/>
    <cellStyle name="Obliczenia 2 74 2" xfId="26159"/>
    <cellStyle name="Obliczenia 2 74 3" xfId="26160"/>
    <cellStyle name="Obliczenia 2 75" xfId="26161"/>
    <cellStyle name="Obliczenia 2 75 2" xfId="26162"/>
    <cellStyle name="Obliczenia 2 75 3" xfId="26163"/>
    <cellStyle name="Obliczenia 2 76" xfId="26164"/>
    <cellStyle name="Obliczenia 2 76 2" xfId="26165"/>
    <cellStyle name="Obliczenia 2 76 3" xfId="26166"/>
    <cellStyle name="Obliczenia 2 77" xfId="26167"/>
    <cellStyle name="Obliczenia 2 77 2" xfId="26168"/>
    <cellStyle name="Obliczenia 2 77 3" xfId="26169"/>
    <cellStyle name="Obliczenia 2 78" xfId="26170"/>
    <cellStyle name="Obliczenia 2 78 2" xfId="26171"/>
    <cellStyle name="Obliczenia 2 78 3" xfId="26172"/>
    <cellStyle name="Obliczenia 2 79" xfId="26173"/>
    <cellStyle name="Obliczenia 2 79 2" xfId="26174"/>
    <cellStyle name="Obliczenia 2 79 3" xfId="26175"/>
    <cellStyle name="Obliczenia 2 8" xfId="26176"/>
    <cellStyle name="Obliczenia 2 8 10" xfId="26177"/>
    <cellStyle name="Obliczenia 2 8 10 2" xfId="26178"/>
    <cellStyle name="Obliczenia 2 8 10 3" xfId="26179"/>
    <cellStyle name="Obliczenia 2 8 10 4" xfId="26180"/>
    <cellStyle name="Obliczenia 2 8 11" xfId="26181"/>
    <cellStyle name="Obliczenia 2 8 11 2" xfId="26182"/>
    <cellStyle name="Obliczenia 2 8 11 3" xfId="26183"/>
    <cellStyle name="Obliczenia 2 8 11 4" xfId="26184"/>
    <cellStyle name="Obliczenia 2 8 12" xfId="26185"/>
    <cellStyle name="Obliczenia 2 8 12 2" xfId="26186"/>
    <cellStyle name="Obliczenia 2 8 12 3" xfId="26187"/>
    <cellStyle name="Obliczenia 2 8 12 4" xfId="26188"/>
    <cellStyle name="Obliczenia 2 8 13" xfId="26189"/>
    <cellStyle name="Obliczenia 2 8 13 2" xfId="26190"/>
    <cellStyle name="Obliczenia 2 8 13 3" xfId="26191"/>
    <cellStyle name="Obliczenia 2 8 13 4" xfId="26192"/>
    <cellStyle name="Obliczenia 2 8 14" xfId="26193"/>
    <cellStyle name="Obliczenia 2 8 14 2" xfId="26194"/>
    <cellStyle name="Obliczenia 2 8 14 3" xfId="26195"/>
    <cellStyle name="Obliczenia 2 8 14 4" xfId="26196"/>
    <cellStyle name="Obliczenia 2 8 15" xfId="26197"/>
    <cellStyle name="Obliczenia 2 8 15 2" xfId="26198"/>
    <cellStyle name="Obliczenia 2 8 15 3" xfId="26199"/>
    <cellStyle name="Obliczenia 2 8 15 4" xfId="26200"/>
    <cellStyle name="Obliczenia 2 8 16" xfId="26201"/>
    <cellStyle name="Obliczenia 2 8 16 2" xfId="26202"/>
    <cellStyle name="Obliczenia 2 8 16 3" xfId="26203"/>
    <cellStyle name="Obliczenia 2 8 16 4" xfId="26204"/>
    <cellStyle name="Obliczenia 2 8 17" xfId="26205"/>
    <cellStyle name="Obliczenia 2 8 17 2" xfId="26206"/>
    <cellStyle name="Obliczenia 2 8 17 3" xfId="26207"/>
    <cellStyle name="Obliczenia 2 8 17 4" xfId="26208"/>
    <cellStyle name="Obliczenia 2 8 18" xfId="26209"/>
    <cellStyle name="Obliczenia 2 8 18 2" xfId="26210"/>
    <cellStyle name="Obliczenia 2 8 18 3" xfId="26211"/>
    <cellStyle name="Obliczenia 2 8 18 4" xfId="26212"/>
    <cellStyle name="Obliczenia 2 8 19" xfId="26213"/>
    <cellStyle name="Obliczenia 2 8 19 2" xfId="26214"/>
    <cellStyle name="Obliczenia 2 8 19 3" xfId="26215"/>
    <cellStyle name="Obliczenia 2 8 19 4" xfId="26216"/>
    <cellStyle name="Obliczenia 2 8 2" xfId="26217"/>
    <cellStyle name="Obliczenia 2 8 2 2" xfId="26218"/>
    <cellStyle name="Obliczenia 2 8 2 3" xfId="26219"/>
    <cellStyle name="Obliczenia 2 8 2 4" xfId="26220"/>
    <cellStyle name="Obliczenia 2 8 20" xfId="26221"/>
    <cellStyle name="Obliczenia 2 8 20 2" xfId="26222"/>
    <cellStyle name="Obliczenia 2 8 20 3" xfId="26223"/>
    <cellStyle name="Obliczenia 2 8 20 4" xfId="26224"/>
    <cellStyle name="Obliczenia 2 8 21" xfId="26225"/>
    <cellStyle name="Obliczenia 2 8 21 2" xfId="26226"/>
    <cellStyle name="Obliczenia 2 8 21 3" xfId="26227"/>
    <cellStyle name="Obliczenia 2 8 22" xfId="26228"/>
    <cellStyle name="Obliczenia 2 8 22 2" xfId="26229"/>
    <cellStyle name="Obliczenia 2 8 22 3" xfId="26230"/>
    <cellStyle name="Obliczenia 2 8 23" xfId="26231"/>
    <cellStyle name="Obliczenia 2 8 23 2" xfId="26232"/>
    <cellStyle name="Obliczenia 2 8 23 3" xfId="26233"/>
    <cellStyle name="Obliczenia 2 8 24" xfId="26234"/>
    <cellStyle name="Obliczenia 2 8 24 2" xfId="26235"/>
    <cellStyle name="Obliczenia 2 8 24 3" xfId="26236"/>
    <cellStyle name="Obliczenia 2 8 25" xfId="26237"/>
    <cellStyle name="Obliczenia 2 8 25 2" xfId="26238"/>
    <cellStyle name="Obliczenia 2 8 25 3" xfId="26239"/>
    <cellStyle name="Obliczenia 2 8 26" xfId="26240"/>
    <cellStyle name="Obliczenia 2 8 26 2" xfId="26241"/>
    <cellStyle name="Obliczenia 2 8 26 3" xfId="26242"/>
    <cellStyle name="Obliczenia 2 8 27" xfId="26243"/>
    <cellStyle name="Obliczenia 2 8 27 2" xfId="26244"/>
    <cellStyle name="Obliczenia 2 8 27 3" xfId="26245"/>
    <cellStyle name="Obliczenia 2 8 28" xfId="26246"/>
    <cellStyle name="Obliczenia 2 8 28 2" xfId="26247"/>
    <cellStyle name="Obliczenia 2 8 28 3" xfId="26248"/>
    <cellStyle name="Obliczenia 2 8 29" xfId="26249"/>
    <cellStyle name="Obliczenia 2 8 29 2" xfId="26250"/>
    <cellStyle name="Obliczenia 2 8 29 3" xfId="26251"/>
    <cellStyle name="Obliczenia 2 8 3" xfId="26252"/>
    <cellStyle name="Obliczenia 2 8 3 2" xfId="26253"/>
    <cellStyle name="Obliczenia 2 8 3 3" xfId="26254"/>
    <cellStyle name="Obliczenia 2 8 3 4" xfId="26255"/>
    <cellStyle name="Obliczenia 2 8 30" xfId="26256"/>
    <cellStyle name="Obliczenia 2 8 30 2" xfId="26257"/>
    <cellStyle name="Obliczenia 2 8 30 3" xfId="26258"/>
    <cellStyle name="Obliczenia 2 8 31" xfId="26259"/>
    <cellStyle name="Obliczenia 2 8 31 2" xfId="26260"/>
    <cellStyle name="Obliczenia 2 8 31 3" xfId="26261"/>
    <cellStyle name="Obliczenia 2 8 32" xfId="26262"/>
    <cellStyle name="Obliczenia 2 8 32 2" xfId="26263"/>
    <cellStyle name="Obliczenia 2 8 32 3" xfId="26264"/>
    <cellStyle name="Obliczenia 2 8 33" xfId="26265"/>
    <cellStyle name="Obliczenia 2 8 33 2" xfId="26266"/>
    <cellStyle name="Obliczenia 2 8 33 3" xfId="26267"/>
    <cellStyle name="Obliczenia 2 8 34" xfId="26268"/>
    <cellStyle name="Obliczenia 2 8 34 2" xfId="26269"/>
    <cellStyle name="Obliczenia 2 8 34 3" xfId="26270"/>
    <cellStyle name="Obliczenia 2 8 35" xfId="26271"/>
    <cellStyle name="Obliczenia 2 8 35 2" xfId="26272"/>
    <cellStyle name="Obliczenia 2 8 35 3" xfId="26273"/>
    <cellStyle name="Obliczenia 2 8 36" xfId="26274"/>
    <cellStyle name="Obliczenia 2 8 36 2" xfId="26275"/>
    <cellStyle name="Obliczenia 2 8 36 3" xfId="26276"/>
    <cellStyle name="Obliczenia 2 8 37" xfId="26277"/>
    <cellStyle name="Obliczenia 2 8 37 2" xfId="26278"/>
    <cellStyle name="Obliczenia 2 8 37 3" xfId="26279"/>
    <cellStyle name="Obliczenia 2 8 38" xfId="26280"/>
    <cellStyle name="Obliczenia 2 8 38 2" xfId="26281"/>
    <cellStyle name="Obliczenia 2 8 38 3" xfId="26282"/>
    <cellStyle name="Obliczenia 2 8 39" xfId="26283"/>
    <cellStyle name="Obliczenia 2 8 39 2" xfId="26284"/>
    <cellStyle name="Obliczenia 2 8 39 3" xfId="26285"/>
    <cellStyle name="Obliczenia 2 8 4" xfId="26286"/>
    <cellStyle name="Obliczenia 2 8 4 2" xfId="26287"/>
    <cellStyle name="Obliczenia 2 8 4 3" xfId="26288"/>
    <cellStyle name="Obliczenia 2 8 4 4" xfId="26289"/>
    <cellStyle name="Obliczenia 2 8 40" xfId="26290"/>
    <cellStyle name="Obliczenia 2 8 40 2" xfId="26291"/>
    <cellStyle name="Obliczenia 2 8 40 3" xfId="26292"/>
    <cellStyle name="Obliczenia 2 8 41" xfId="26293"/>
    <cellStyle name="Obliczenia 2 8 41 2" xfId="26294"/>
    <cellStyle name="Obliczenia 2 8 41 3" xfId="26295"/>
    <cellStyle name="Obliczenia 2 8 42" xfId="26296"/>
    <cellStyle name="Obliczenia 2 8 42 2" xfId="26297"/>
    <cellStyle name="Obliczenia 2 8 42 3" xfId="26298"/>
    <cellStyle name="Obliczenia 2 8 43" xfId="26299"/>
    <cellStyle name="Obliczenia 2 8 43 2" xfId="26300"/>
    <cellStyle name="Obliczenia 2 8 43 3" xfId="26301"/>
    <cellStyle name="Obliczenia 2 8 44" xfId="26302"/>
    <cellStyle name="Obliczenia 2 8 44 2" xfId="26303"/>
    <cellStyle name="Obliczenia 2 8 44 3" xfId="26304"/>
    <cellStyle name="Obliczenia 2 8 45" xfId="26305"/>
    <cellStyle name="Obliczenia 2 8 45 2" xfId="26306"/>
    <cellStyle name="Obliczenia 2 8 45 3" xfId="26307"/>
    <cellStyle name="Obliczenia 2 8 46" xfId="26308"/>
    <cellStyle name="Obliczenia 2 8 46 2" xfId="26309"/>
    <cellStyle name="Obliczenia 2 8 46 3" xfId="26310"/>
    <cellStyle name="Obliczenia 2 8 47" xfId="26311"/>
    <cellStyle name="Obliczenia 2 8 47 2" xfId="26312"/>
    <cellStyle name="Obliczenia 2 8 47 3" xfId="26313"/>
    <cellStyle name="Obliczenia 2 8 48" xfId="26314"/>
    <cellStyle name="Obliczenia 2 8 48 2" xfId="26315"/>
    <cellStyle name="Obliczenia 2 8 48 3" xfId="26316"/>
    <cellStyle name="Obliczenia 2 8 49" xfId="26317"/>
    <cellStyle name="Obliczenia 2 8 49 2" xfId="26318"/>
    <cellStyle name="Obliczenia 2 8 49 3" xfId="26319"/>
    <cellStyle name="Obliczenia 2 8 5" xfId="26320"/>
    <cellStyle name="Obliczenia 2 8 5 2" xfId="26321"/>
    <cellStyle name="Obliczenia 2 8 5 3" xfId="26322"/>
    <cellStyle name="Obliczenia 2 8 5 4" xfId="26323"/>
    <cellStyle name="Obliczenia 2 8 50" xfId="26324"/>
    <cellStyle name="Obliczenia 2 8 50 2" xfId="26325"/>
    <cellStyle name="Obliczenia 2 8 50 3" xfId="26326"/>
    <cellStyle name="Obliczenia 2 8 51" xfId="26327"/>
    <cellStyle name="Obliczenia 2 8 51 2" xfId="26328"/>
    <cellStyle name="Obliczenia 2 8 51 3" xfId="26329"/>
    <cellStyle name="Obliczenia 2 8 52" xfId="26330"/>
    <cellStyle name="Obliczenia 2 8 52 2" xfId="26331"/>
    <cellStyle name="Obliczenia 2 8 52 3" xfId="26332"/>
    <cellStyle name="Obliczenia 2 8 53" xfId="26333"/>
    <cellStyle name="Obliczenia 2 8 53 2" xfId="26334"/>
    <cellStyle name="Obliczenia 2 8 53 3" xfId="26335"/>
    <cellStyle name="Obliczenia 2 8 54" xfId="26336"/>
    <cellStyle name="Obliczenia 2 8 54 2" xfId="26337"/>
    <cellStyle name="Obliczenia 2 8 54 3" xfId="26338"/>
    <cellStyle name="Obliczenia 2 8 55" xfId="26339"/>
    <cellStyle name="Obliczenia 2 8 55 2" xfId="26340"/>
    <cellStyle name="Obliczenia 2 8 55 3" xfId="26341"/>
    <cellStyle name="Obliczenia 2 8 56" xfId="26342"/>
    <cellStyle name="Obliczenia 2 8 56 2" xfId="26343"/>
    <cellStyle name="Obliczenia 2 8 56 3" xfId="26344"/>
    <cellStyle name="Obliczenia 2 8 57" xfId="26345"/>
    <cellStyle name="Obliczenia 2 8 58" xfId="26346"/>
    <cellStyle name="Obliczenia 2 8 6" xfId="26347"/>
    <cellStyle name="Obliczenia 2 8 6 2" xfId="26348"/>
    <cellStyle name="Obliczenia 2 8 6 3" xfId="26349"/>
    <cellStyle name="Obliczenia 2 8 6 4" xfId="26350"/>
    <cellStyle name="Obliczenia 2 8 7" xfId="26351"/>
    <cellStyle name="Obliczenia 2 8 7 2" xfId="26352"/>
    <cellStyle name="Obliczenia 2 8 7 3" xfId="26353"/>
    <cellStyle name="Obliczenia 2 8 7 4" xfId="26354"/>
    <cellStyle name="Obliczenia 2 8 8" xfId="26355"/>
    <cellStyle name="Obliczenia 2 8 8 2" xfId="26356"/>
    <cellStyle name="Obliczenia 2 8 8 3" xfId="26357"/>
    <cellStyle name="Obliczenia 2 8 8 4" xfId="26358"/>
    <cellStyle name="Obliczenia 2 8 9" xfId="26359"/>
    <cellStyle name="Obliczenia 2 8 9 2" xfId="26360"/>
    <cellStyle name="Obliczenia 2 8 9 3" xfId="26361"/>
    <cellStyle name="Obliczenia 2 8 9 4" xfId="26362"/>
    <cellStyle name="Obliczenia 2 80" xfId="26363"/>
    <cellStyle name="Obliczenia 2 80 2" xfId="26364"/>
    <cellStyle name="Obliczenia 2 80 3" xfId="26365"/>
    <cellStyle name="Obliczenia 2 81" xfId="26366"/>
    <cellStyle name="Obliczenia 2 81 2" xfId="26367"/>
    <cellStyle name="Obliczenia 2 81 3" xfId="26368"/>
    <cellStyle name="Obliczenia 2 82" xfId="26369"/>
    <cellStyle name="Obliczenia 2 82 2" xfId="26370"/>
    <cellStyle name="Obliczenia 2 82 3" xfId="26371"/>
    <cellStyle name="Obliczenia 2 83" xfId="26372"/>
    <cellStyle name="Obliczenia 2 83 2" xfId="26373"/>
    <cellStyle name="Obliczenia 2 83 3" xfId="26374"/>
    <cellStyle name="Obliczenia 2 84" xfId="26375"/>
    <cellStyle name="Obliczenia 2 84 2" xfId="26376"/>
    <cellStyle name="Obliczenia 2 84 3" xfId="26377"/>
    <cellStyle name="Obliczenia 2 85" xfId="26378"/>
    <cellStyle name="Obliczenia 2 85 2" xfId="26379"/>
    <cellStyle name="Obliczenia 2 85 3" xfId="26380"/>
    <cellStyle name="Obliczenia 2 86" xfId="26381"/>
    <cellStyle name="Obliczenia 2 86 2" xfId="26382"/>
    <cellStyle name="Obliczenia 2 86 3" xfId="26383"/>
    <cellStyle name="Obliczenia 2 87" xfId="26384"/>
    <cellStyle name="Obliczenia 2 87 2" xfId="26385"/>
    <cellStyle name="Obliczenia 2 87 3" xfId="26386"/>
    <cellStyle name="Obliczenia 2 88" xfId="26387"/>
    <cellStyle name="Obliczenia 2 89" xfId="26388"/>
    <cellStyle name="Obliczenia 2 9" xfId="26389"/>
    <cellStyle name="Obliczenia 2 9 10" xfId="26390"/>
    <cellStyle name="Obliczenia 2 9 10 2" xfId="26391"/>
    <cellStyle name="Obliczenia 2 9 10 3" xfId="26392"/>
    <cellStyle name="Obliczenia 2 9 10 4" xfId="26393"/>
    <cellStyle name="Obliczenia 2 9 11" xfId="26394"/>
    <cellStyle name="Obliczenia 2 9 11 2" xfId="26395"/>
    <cellStyle name="Obliczenia 2 9 11 3" xfId="26396"/>
    <cellStyle name="Obliczenia 2 9 11 4" xfId="26397"/>
    <cellStyle name="Obliczenia 2 9 12" xfId="26398"/>
    <cellStyle name="Obliczenia 2 9 12 2" xfId="26399"/>
    <cellStyle name="Obliczenia 2 9 12 3" xfId="26400"/>
    <cellStyle name="Obliczenia 2 9 12 4" xfId="26401"/>
    <cellStyle name="Obliczenia 2 9 13" xfId="26402"/>
    <cellStyle name="Obliczenia 2 9 13 2" xfId="26403"/>
    <cellStyle name="Obliczenia 2 9 13 3" xfId="26404"/>
    <cellStyle name="Obliczenia 2 9 13 4" xfId="26405"/>
    <cellStyle name="Obliczenia 2 9 14" xfId="26406"/>
    <cellStyle name="Obliczenia 2 9 14 2" xfId="26407"/>
    <cellStyle name="Obliczenia 2 9 14 3" xfId="26408"/>
    <cellStyle name="Obliczenia 2 9 14 4" xfId="26409"/>
    <cellStyle name="Obliczenia 2 9 15" xfId="26410"/>
    <cellStyle name="Obliczenia 2 9 15 2" xfId="26411"/>
    <cellStyle name="Obliczenia 2 9 15 3" xfId="26412"/>
    <cellStyle name="Obliczenia 2 9 15 4" xfId="26413"/>
    <cellStyle name="Obliczenia 2 9 16" xfId="26414"/>
    <cellStyle name="Obliczenia 2 9 16 2" xfId="26415"/>
    <cellStyle name="Obliczenia 2 9 16 3" xfId="26416"/>
    <cellStyle name="Obliczenia 2 9 16 4" xfId="26417"/>
    <cellStyle name="Obliczenia 2 9 17" xfId="26418"/>
    <cellStyle name="Obliczenia 2 9 17 2" xfId="26419"/>
    <cellStyle name="Obliczenia 2 9 17 3" xfId="26420"/>
    <cellStyle name="Obliczenia 2 9 17 4" xfId="26421"/>
    <cellStyle name="Obliczenia 2 9 18" xfId="26422"/>
    <cellStyle name="Obliczenia 2 9 18 2" xfId="26423"/>
    <cellStyle name="Obliczenia 2 9 18 3" xfId="26424"/>
    <cellStyle name="Obliczenia 2 9 18 4" xfId="26425"/>
    <cellStyle name="Obliczenia 2 9 19" xfId="26426"/>
    <cellStyle name="Obliczenia 2 9 19 2" xfId="26427"/>
    <cellStyle name="Obliczenia 2 9 19 3" xfId="26428"/>
    <cellStyle name="Obliczenia 2 9 19 4" xfId="26429"/>
    <cellStyle name="Obliczenia 2 9 2" xfId="26430"/>
    <cellStyle name="Obliczenia 2 9 2 2" xfId="26431"/>
    <cellStyle name="Obliczenia 2 9 2 3" xfId="26432"/>
    <cellStyle name="Obliczenia 2 9 2 4" xfId="26433"/>
    <cellStyle name="Obliczenia 2 9 20" xfId="26434"/>
    <cellStyle name="Obliczenia 2 9 20 2" xfId="26435"/>
    <cellStyle name="Obliczenia 2 9 20 3" xfId="26436"/>
    <cellStyle name="Obliczenia 2 9 20 4" xfId="26437"/>
    <cellStyle name="Obliczenia 2 9 21" xfId="26438"/>
    <cellStyle name="Obliczenia 2 9 21 2" xfId="26439"/>
    <cellStyle name="Obliczenia 2 9 21 3" xfId="26440"/>
    <cellStyle name="Obliczenia 2 9 22" xfId="26441"/>
    <cellStyle name="Obliczenia 2 9 22 2" xfId="26442"/>
    <cellStyle name="Obliczenia 2 9 22 3" xfId="26443"/>
    <cellStyle name="Obliczenia 2 9 23" xfId="26444"/>
    <cellStyle name="Obliczenia 2 9 23 2" xfId="26445"/>
    <cellStyle name="Obliczenia 2 9 23 3" xfId="26446"/>
    <cellStyle name="Obliczenia 2 9 24" xfId="26447"/>
    <cellStyle name="Obliczenia 2 9 24 2" xfId="26448"/>
    <cellStyle name="Obliczenia 2 9 24 3" xfId="26449"/>
    <cellStyle name="Obliczenia 2 9 25" xfId="26450"/>
    <cellStyle name="Obliczenia 2 9 25 2" xfId="26451"/>
    <cellStyle name="Obliczenia 2 9 25 3" xfId="26452"/>
    <cellStyle name="Obliczenia 2 9 26" xfId="26453"/>
    <cellStyle name="Obliczenia 2 9 26 2" xfId="26454"/>
    <cellStyle name="Obliczenia 2 9 26 3" xfId="26455"/>
    <cellStyle name="Obliczenia 2 9 27" xfId="26456"/>
    <cellStyle name="Obliczenia 2 9 27 2" xfId="26457"/>
    <cellStyle name="Obliczenia 2 9 27 3" xfId="26458"/>
    <cellStyle name="Obliczenia 2 9 28" xfId="26459"/>
    <cellStyle name="Obliczenia 2 9 28 2" xfId="26460"/>
    <cellStyle name="Obliczenia 2 9 28 3" xfId="26461"/>
    <cellStyle name="Obliczenia 2 9 29" xfId="26462"/>
    <cellStyle name="Obliczenia 2 9 29 2" xfId="26463"/>
    <cellStyle name="Obliczenia 2 9 29 3" xfId="26464"/>
    <cellStyle name="Obliczenia 2 9 3" xfId="26465"/>
    <cellStyle name="Obliczenia 2 9 3 2" xfId="26466"/>
    <cellStyle name="Obliczenia 2 9 3 3" xfId="26467"/>
    <cellStyle name="Obliczenia 2 9 3 4" xfId="26468"/>
    <cellStyle name="Obliczenia 2 9 30" xfId="26469"/>
    <cellStyle name="Obliczenia 2 9 30 2" xfId="26470"/>
    <cellStyle name="Obliczenia 2 9 30 3" xfId="26471"/>
    <cellStyle name="Obliczenia 2 9 31" xfId="26472"/>
    <cellStyle name="Obliczenia 2 9 31 2" xfId="26473"/>
    <cellStyle name="Obliczenia 2 9 31 3" xfId="26474"/>
    <cellStyle name="Obliczenia 2 9 32" xfId="26475"/>
    <cellStyle name="Obliczenia 2 9 32 2" xfId="26476"/>
    <cellStyle name="Obliczenia 2 9 32 3" xfId="26477"/>
    <cellStyle name="Obliczenia 2 9 33" xfId="26478"/>
    <cellStyle name="Obliczenia 2 9 33 2" xfId="26479"/>
    <cellStyle name="Obliczenia 2 9 33 3" xfId="26480"/>
    <cellStyle name="Obliczenia 2 9 34" xfId="26481"/>
    <cellStyle name="Obliczenia 2 9 34 2" xfId="26482"/>
    <cellStyle name="Obliczenia 2 9 34 3" xfId="26483"/>
    <cellStyle name="Obliczenia 2 9 35" xfId="26484"/>
    <cellStyle name="Obliczenia 2 9 35 2" xfId="26485"/>
    <cellStyle name="Obliczenia 2 9 35 3" xfId="26486"/>
    <cellStyle name="Obliczenia 2 9 36" xfId="26487"/>
    <cellStyle name="Obliczenia 2 9 36 2" xfId="26488"/>
    <cellStyle name="Obliczenia 2 9 36 3" xfId="26489"/>
    <cellStyle name="Obliczenia 2 9 37" xfId="26490"/>
    <cellStyle name="Obliczenia 2 9 37 2" xfId="26491"/>
    <cellStyle name="Obliczenia 2 9 37 3" xfId="26492"/>
    <cellStyle name="Obliczenia 2 9 38" xfId="26493"/>
    <cellStyle name="Obliczenia 2 9 38 2" xfId="26494"/>
    <cellStyle name="Obliczenia 2 9 38 3" xfId="26495"/>
    <cellStyle name="Obliczenia 2 9 39" xfId="26496"/>
    <cellStyle name="Obliczenia 2 9 39 2" xfId="26497"/>
    <cellStyle name="Obliczenia 2 9 39 3" xfId="26498"/>
    <cellStyle name="Obliczenia 2 9 4" xfId="26499"/>
    <cellStyle name="Obliczenia 2 9 4 2" xfId="26500"/>
    <cellStyle name="Obliczenia 2 9 4 3" xfId="26501"/>
    <cellStyle name="Obliczenia 2 9 4 4" xfId="26502"/>
    <cellStyle name="Obliczenia 2 9 40" xfId="26503"/>
    <cellStyle name="Obliczenia 2 9 40 2" xfId="26504"/>
    <cellStyle name="Obliczenia 2 9 40 3" xfId="26505"/>
    <cellStyle name="Obliczenia 2 9 41" xfId="26506"/>
    <cellStyle name="Obliczenia 2 9 41 2" xfId="26507"/>
    <cellStyle name="Obliczenia 2 9 41 3" xfId="26508"/>
    <cellStyle name="Obliczenia 2 9 42" xfId="26509"/>
    <cellStyle name="Obliczenia 2 9 42 2" xfId="26510"/>
    <cellStyle name="Obliczenia 2 9 42 3" xfId="26511"/>
    <cellStyle name="Obliczenia 2 9 43" xfId="26512"/>
    <cellStyle name="Obliczenia 2 9 43 2" xfId="26513"/>
    <cellStyle name="Obliczenia 2 9 43 3" xfId="26514"/>
    <cellStyle name="Obliczenia 2 9 44" xfId="26515"/>
    <cellStyle name="Obliczenia 2 9 44 2" xfId="26516"/>
    <cellStyle name="Obliczenia 2 9 44 3" xfId="26517"/>
    <cellStyle name="Obliczenia 2 9 45" xfId="26518"/>
    <cellStyle name="Obliczenia 2 9 45 2" xfId="26519"/>
    <cellStyle name="Obliczenia 2 9 45 3" xfId="26520"/>
    <cellStyle name="Obliczenia 2 9 46" xfId="26521"/>
    <cellStyle name="Obliczenia 2 9 46 2" xfId="26522"/>
    <cellStyle name="Obliczenia 2 9 46 3" xfId="26523"/>
    <cellStyle name="Obliczenia 2 9 47" xfId="26524"/>
    <cellStyle name="Obliczenia 2 9 47 2" xfId="26525"/>
    <cellStyle name="Obliczenia 2 9 47 3" xfId="26526"/>
    <cellStyle name="Obliczenia 2 9 48" xfId="26527"/>
    <cellStyle name="Obliczenia 2 9 48 2" xfId="26528"/>
    <cellStyle name="Obliczenia 2 9 48 3" xfId="26529"/>
    <cellStyle name="Obliczenia 2 9 49" xfId="26530"/>
    <cellStyle name="Obliczenia 2 9 49 2" xfId="26531"/>
    <cellStyle name="Obliczenia 2 9 49 3" xfId="26532"/>
    <cellStyle name="Obliczenia 2 9 5" xfId="26533"/>
    <cellStyle name="Obliczenia 2 9 5 2" xfId="26534"/>
    <cellStyle name="Obliczenia 2 9 5 3" xfId="26535"/>
    <cellStyle name="Obliczenia 2 9 5 4" xfId="26536"/>
    <cellStyle name="Obliczenia 2 9 50" xfId="26537"/>
    <cellStyle name="Obliczenia 2 9 50 2" xfId="26538"/>
    <cellStyle name="Obliczenia 2 9 50 3" xfId="26539"/>
    <cellStyle name="Obliczenia 2 9 51" xfId="26540"/>
    <cellStyle name="Obliczenia 2 9 51 2" xfId="26541"/>
    <cellStyle name="Obliczenia 2 9 51 3" xfId="26542"/>
    <cellStyle name="Obliczenia 2 9 52" xfId="26543"/>
    <cellStyle name="Obliczenia 2 9 52 2" xfId="26544"/>
    <cellStyle name="Obliczenia 2 9 52 3" xfId="26545"/>
    <cellStyle name="Obliczenia 2 9 53" xfId="26546"/>
    <cellStyle name="Obliczenia 2 9 53 2" xfId="26547"/>
    <cellStyle name="Obliczenia 2 9 53 3" xfId="26548"/>
    <cellStyle name="Obliczenia 2 9 54" xfId="26549"/>
    <cellStyle name="Obliczenia 2 9 54 2" xfId="26550"/>
    <cellStyle name="Obliczenia 2 9 54 3" xfId="26551"/>
    <cellStyle name="Obliczenia 2 9 55" xfId="26552"/>
    <cellStyle name="Obliczenia 2 9 55 2" xfId="26553"/>
    <cellStyle name="Obliczenia 2 9 55 3" xfId="26554"/>
    <cellStyle name="Obliczenia 2 9 56" xfId="26555"/>
    <cellStyle name="Obliczenia 2 9 56 2" xfId="26556"/>
    <cellStyle name="Obliczenia 2 9 56 3" xfId="26557"/>
    <cellStyle name="Obliczenia 2 9 57" xfId="26558"/>
    <cellStyle name="Obliczenia 2 9 58" xfId="26559"/>
    <cellStyle name="Obliczenia 2 9 6" xfId="26560"/>
    <cellStyle name="Obliczenia 2 9 6 2" xfId="26561"/>
    <cellStyle name="Obliczenia 2 9 6 3" xfId="26562"/>
    <cellStyle name="Obliczenia 2 9 6 4" xfId="26563"/>
    <cellStyle name="Obliczenia 2 9 7" xfId="26564"/>
    <cellStyle name="Obliczenia 2 9 7 2" xfId="26565"/>
    <cellStyle name="Obliczenia 2 9 7 3" xfId="26566"/>
    <cellStyle name="Obliczenia 2 9 7 4" xfId="26567"/>
    <cellStyle name="Obliczenia 2 9 8" xfId="26568"/>
    <cellStyle name="Obliczenia 2 9 8 2" xfId="26569"/>
    <cellStyle name="Obliczenia 2 9 8 3" xfId="26570"/>
    <cellStyle name="Obliczenia 2 9 8 4" xfId="26571"/>
    <cellStyle name="Obliczenia 2 9 9" xfId="26572"/>
    <cellStyle name="Obliczenia 2 9 9 2" xfId="26573"/>
    <cellStyle name="Obliczenia 2 9 9 3" xfId="26574"/>
    <cellStyle name="Obliczenia 2 9 9 4" xfId="26575"/>
    <cellStyle name="Obliczenia 3" xfId="26576"/>
    <cellStyle name="Obliczenia 3 2" xfId="26577"/>
    <cellStyle name="Obliczenia 3 2 2" xfId="26578"/>
    <cellStyle name="Obliczenia 3 3" xfId="26579"/>
    <cellStyle name="Obliczenia 3 4" xfId="26580"/>
    <cellStyle name="Obliczenia 3 5" xfId="26581"/>
    <cellStyle name="Obliczenia 3 6" xfId="26582"/>
    <cellStyle name="Obliczenia 3 7" xfId="26583"/>
    <cellStyle name="Obliczenia 3 8" xfId="26584"/>
    <cellStyle name="Obliczenia 3 9" xfId="26585"/>
    <cellStyle name="Obliczenia 4" xfId="26586"/>
    <cellStyle name="Obliczenia 4 2" xfId="26587"/>
    <cellStyle name="Obliczenia 4 3" xfId="26588"/>
    <cellStyle name="Obliczenia 4 4" xfId="26589"/>
    <cellStyle name="Obliczenia 4 5" xfId="26590"/>
    <cellStyle name="Obliczenia 4 6" xfId="26591"/>
    <cellStyle name="Obliczenia 4 7" xfId="26592"/>
    <cellStyle name="Obliczenia 4 8" xfId="26593"/>
    <cellStyle name="Obliczenia 4 9" xfId="26594"/>
    <cellStyle name="Obliczenia 5" xfId="26595"/>
    <cellStyle name="Obliczenia 5 2" xfId="26596"/>
    <cellStyle name="Obliczenia 5 3" xfId="26597"/>
    <cellStyle name="Obliczenia 6" xfId="26598"/>
    <cellStyle name="Obliczenia 6 2" xfId="26599"/>
    <cellStyle name="Obliczenia 7" xfId="26600"/>
    <cellStyle name="Option" xfId="26601"/>
    <cellStyle name="Output Amounts" xfId="26602"/>
    <cellStyle name="Output Column Headings" xfId="26603"/>
    <cellStyle name="Output Line Items" xfId="26604"/>
    <cellStyle name="Output Report Heading" xfId="26605"/>
    <cellStyle name="Output Report Title" xfId="26606"/>
    <cellStyle name="Pénznem [0]_cb-fr" xfId="26607"/>
    <cellStyle name="Pénznem_cb-fr" xfId="26608"/>
    <cellStyle name="Percent [2]" xfId="26609"/>
    <cellStyle name="Percent 2" xfId="26610"/>
    <cellStyle name="Pivot Table Category" xfId="26611"/>
    <cellStyle name="Pivot Table Corner" xfId="26612"/>
    <cellStyle name="Pivot Table Field" xfId="26613"/>
    <cellStyle name="Pivot Table Result" xfId="26614"/>
    <cellStyle name="Pivot Table Title" xfId="26615"/>
    <cellStyle name="Pivot Table Value" xfId="26616"/>
    <cellStyle name="pole" xfId="26617"/>
    <cellStyle name="Price" xfId="26618"/>
    <cellStyle name="Procentowy 10" xfId="26619"/>
    <cellStyle name="Procentowy 10 2" xfId="26620"/>
    <cellStyle name="Procentowy 10 3" xfId="26621"/>
    <cellStyle name="Procentowy 10 4" xfId="26622"/>
    <cellStyle name="Procentowy 10 5" xfId="26623"/>
    <cellStyle name="Procentowy 10 6" xfId="26624"/>
    <cellStyle name="Procentowy 10 7" xfId="26625"/>
    <cellStyle name="Procentowy 11" xfId="26626"/>
    <cellStyle name="Procentowy 12" xfId="26627"/>
    <cellStyle name="Procentowy 13" xfId="42847"/>
    <cellStyle name="Procentowy 14" xfId="42850"/>
    <cellStyle name="Procentowy 2" xfId="2"/>
    <cellStyle name="Procentowy 2 10" xfId="26629"/>
    <cellStyle name="Procentowy 2 11" xfId="26630"/>
    <cellStyle name="Procentowy 2 12" xfId="26628"/>
    <cellStyle name="Procentowy 2 2" xfId="26631"/>
    <cellStyle name="Procentowy 2 2 2" xfId="26632"/>
    <cellStyle name="Procentowy 2 2 2 2" xfId="26633"/>
    <cellStyle name="Procentowy 2 2 2 3" xfId="26634"/>
    <cellStyle name="Procentowy 2 2 3" xfId="26635"/>
    <cellStyle name="Procentowy 2 2 3 2" xfId="26636"/>
    <cellStyle name="Procentowy 2 2 3 3" xfId="26637"/>
    <cellStyle name="Procentowy 2 2 4" xfId="26638"/>
    <cellStyle name="Procentowy 2 2 5" xfId="26639"/>
    <cellStyle name="Procentowy 2 2 6" xfId="26640"/>
    <cellStyle name="Procentowy 2 2 7" xfId="26641"/>
    <cellStyle name="Procentowy 2 3" xfId="26642"/>
    <cellStyle name="Procentowy 2 3 2" xfId="26643"/>
    <cellStyle name="Procentowy 2 3 3" xfId="26644"/>
    <cellStyle name="Procentowy 2 4" xfId="26645"/>
    <cellStyle name="Procentowy 2 4 2" xfId="26646"/>
    <cellStyle name="Procentowy 2 5" xfId="26647"/>
    <cellStyle name="Procentowy 2 5 2" xfId="26648"/>
    <cellStyle name="Procentowy 2 6" xfId="26649"/>
    <cellStyle name="Procentowy 2 6 2" xfId="26650"/>
    <cellStyle name="Procentowy 2 7" xfId="26651"/>
    <cellStyle name="Procentowy 2 7 2" xfId="26652"/>
    <cellStyle name="Procentowy 2 8" xfId="26653"/>
    <cellStyle name="Procentowy 2 9" xfId="26654"/>
    <cellStyle name="Procentowy 3" xfId="6"/>
    <cellStyle name="Procentowy 3 10" xfId="26656"/>
    <cellStyle name="Procentowy 3 10 10" xfId="26657"/>
    <cellStyle name="Procentowy 3 10 10 2" xfId="26658"/>
    <cellStyle name="Procentowy 3 10 11" xfId="26659"/>
    <cellStyle name="Procentowy 3 10 11 2" xfId="26660"/>
    <cellStyle name="Procentowy 3 10 12" xfId="26661"/>
    <cellStyle name="Procentowy 3 10 12 2" xfId="26662"/>
    <cellStyle name="Procentowy 3 10 13" xfId="26663"/>
    <cellStyle name="Procentowy 3 10 13 2" xfId="26664"/>
    <cellStyle name="Procentowy 3 10 14" xfId="26665"/>
    <cellStyle name="Procentowy 3 10 14 2" xfId="26666"/>
    <cellStyle name="Procentowy 3 10 15" xfId="26667"/>
    <cellStyle name="Procentowy 3 10 15 2" xfId="26668"/>
    <cellStyle name="Procentowy 3 10 16" xfId="26669"/>
    <cellStyle name="Procentowy 3 10 16 2" xfId="26670"/>
    <cellStyle name="Procentowy 3 10 17" xfId="26671"/>
    <cellStyle name="Procentowy 3 10 17 2" xfId="26672"/>
    <cellStyle name="Procentowy 3 10 18" xfId="26673"/>
    <cellStyle name="Procentowy 3 10 18 2" xfId="26674"/>
    <cellStyle name="Procentowy 3 10 19" xfId="26675"/>
    <cellStyle name="Procentowy 3 10 19 2" xfId="26676"/>
    <cellStyle name="Procentowy 3 10 2" xfId="26677"/>
    <cellStyle name="Procentowy 3 10 2 2" xfId="26678"/>
    <cellStyle name="Procentowy 3 10 2 3" xfId="26679"/>
    <cellStyle name="Procentowy 3 10 2 4" xfId="26680"/>
    <cellStyle name="Procentowy 3 10 2 5" xfId="26681"/>
    <cellStyle name="Procentowy 3 10 2 6" xfId="26682"/>
    <cellStyle name="Procentowy 3 10 2 7" xfId="26683"/>
    <cellStyle name="Procentowy 3 10 20" xfId="26684"/>
    <cellStyle name="Procentowy 3 10 20 2" xfId="26685"/>
    <cellStyle name="Procentowy 3 10 21" xfId="26686"/>
    <cellStyle name="Procentowy 3 10 21 2" xfId="26687"/>
    <cellStyle name="Procentowy 3 10 22" xfId="26688"/>
    <cellStyle name="Procentowy 3 10 22 2" xfId="26689"/>
    <cellStyle name="Procentowy 3 10 23" xfId="26690"/>
    <cellStyle name="Procentowy 3 10 23 2" xfId="26691"/>
    <cellStyle name="Procentowy 3 10 24" xfId="26692"/>
    <cellStyle name="Procentowy 3 10 24 2" xfId="26693"/>
    <cellStyle name="Procentowy 3 10 25" xfId="26694"/>
    <cellStyle name="Procentowy 3 10 25 2" xfId="26695"/>
    <cellStyle name="Procentowy 3 10 26" xfId="26696"/>
    <cellStyle name="Procentowy 3 10 26 2" xfId="26697"/>
    <cellStyle name="Procentowy 3 10 27" xfId="26698"/>
    <cellStyle name="Procentowy 3 10 27 2" xfId="26699"/>
    <cellStyle name="Procentowy 3 10 28" xfId="26700"/>
    <cellStyle name="Procentowy 3 10 28 2" xfId="26701"/>
    <cellStyle name="Procentowy 3 10 29" xfId="26702"/>
    <cellStyle name="Procentowy 3 10 29 2" xfId="26703"/>
    <cellStyle name="Procentowy 3 10 3" xfId="26704"/>
    <cellStyle name="Procentowy 3 10 3 2" xfId="26705"/>
    <cellStyle name="Procentowy 3 10 3 3" xfId="26706"/>
    <cellStyle name="Procentowy 3 10 3 4" xfId="26707"/>
    <cellStyle name="Procentowy 3 10 3 5" xfId="26708"/>
    <cellStyle name="Procentowy 3 10 3 6" xfId="26709"/>
    <cellStyle name="Procentowy 3 10 3 7" xfId="26710"/>
    <cellStyle name="Procentowy 3 10 30" xfId="26711"/>
    <cellStyle name="Procentowy 3 10 30 2" xfId="26712"/>
    <cellStyle name="Procentowy 3 10 31" xfId="26713"/>
    <cellStyle name="Procentowy 3 10 31 2" xfId="26714"/>
    <cellStyle name="Procentowy 3 10 32" xfId="26715"/>
    <cellStyle name="Procentowy 3 10 33" xfId="26716"/>
    <cellStyle name="Procentowy 3 10 34" xfId="26717"/>
    <cellStyle name="Procentowy 3 10 35" xfId="26718"/>
    <cellStyle name="Procentowy 3 10 36" xfId="26719"/>
    <cellStyle name="Procentowy 3 10 37" xfId="26720"/>
    <cellStyle name="Procentowy 3 10 38" xfId="26721"/>
    <cellStyle name="Procentowy 3 10 39" xfId="26722"/>
    <cellStyle name="Procentowy 3 10 4" xfId="26723"/>
    <cellStyle name="Procentowy 3 10 4 2" xfId="26724"/>
    <cellStyle name="Procentowy 3 10 4 3" xfId="26725"/>
    <cellStyle name="Procentowy 3 10 4 4" xfId="26726"/>
    <cellStyle name="Procentowy 3 10 4 5" xfId="26727"/>
    <cellStyle name="Procentowy 3 10 4 6" xfId="26728"/>
    <cellStyle name="Procentowy 3 10 4 7" xfId="26729"/>
    <cellStyle name="Procentowy 3 10 40" xfId="26730"/>
    <cellStyle name="Procentowy 3 10 41" xfId="26731"/>
    <cellStyle name="Procentowy 3 10 42" xfId="26732"/>
    <cellStyle name="Procentowy 3 10 43" xfId="26733"/>
    <cellStyle name="Procentowy 3 10 44" xfId="26734"/>
    <cellStyle name="Procentowy 3 10 45" xfId="26735"/>
    <cellStyle name="Procentowy 3 10 46" xfId="26736"/>
    <cellStyle name="Procentowy 3 10 47" xfId="26737"/>
    <cellStyle name="Procentowy 3 10 48" xfId="26738"/>
    <cellStyle name="Procentowy 3 10 49" xfId="26739"/>
    <cellStyle name="Procentowy 3 10 5" xfId="26740"/>
    <cellStyle name="Procentowy 3 10 5 2" xfId="26741"/>
    <cellStyle name="Procentowy 3 10 5 3" xfId="26742"/>
    <cellStyle name="Procentowy 3 10 5 4" xfId="26743"/>
    <cellStyle name="Procentowy 3 10 5 5" xfId="26744"/>
    <cellStyle name="Procentowy 3 10 5 6" xfId="26745"/>
    <cellStyle name="Procentowy 3 10 5 7" xfId="26746"/>
    <cellStyle name="Procentowy 3 10 50" xfId="26747"/>
    <cellStyle name="Procentowy 3 10 51" xfId="26748"/>
    <cellStyle name="Procentowy 3 10 52" xfId="26749"/>
    <cellStyle name="Procentowy 3 10 53" xfId="26750"/>
    <cellStyle name="Procentowy 3 10 54" xfId="26751"/>
    <cellStyle name="Procentowy 3 10 55" xfId="26752"/>
    <cellStyle name="Procentowy 3 10 56" xfId="26753"/>
    <cellStyle name="Procentowy 3 10 57" xfId="26754"/>
    <cellStyle name="Procentowy 3 10 58" xfId="26755"/>
    <cellStyle name="Procentowy 3 10 59" xfId="26756"/>
    <cellStyle name="Procentowy 3 10 6" xfId="26757"/>
    <cellStyle name="Procentowy 3 10 6 2" xfId="26758"/>
    <cellStyle name="Procentowy 3 10 60" xfId="26759"/>
    <cellStyle name="Procentowy 3 10 61" xfId="26760"/>
    <cellStyle name="Procentowy 3 10 62" xfId="26761"/>
    <cellStyle name="Procentowy 3 10 63" xfId="26762"/>
    <cellStyle name="Procentowy 3 10 64" xfId="26763"/>
    <cellStyle name="Procentowy 3 10 65" xfId="26764"/>
    <cellStyle name="Procentowy 3 10 66" xfId="26765"/>
    <cellStyle name="Procentowy 3 10 67" xfId="26766"/>
    <cellStyle name="Procentowy 3 10 68" xfId="26767"/>
    <cellStyle name="Procentowy 3 10 69" xfId="26768"/>
    <cellStyle name="Procentowy 3 10 7" xfId="26769"/>
    <cellStyle name="Procentowy 3 10 7 2" xfId="26770"/>
    <cellStyle name="Procentowy 3 10 70" xfId="26771"/>
    <cellStyle name="Procentowy 3 10 71" xfId="26772"/>
    <cellStyle name="Procentowy 3 10 72" xfId="26773"/>
    <cellStyle name="Procentowy 3 10 73" xfId="26774"/>
    <cellStyle name="Procentowy 3 10 74" xfId="26775"/>
    <cellStyle name="Procentowy 3 10 8" xfId="26776"/>
    <cellStyle name="Procentowy 3 10 8 2" xfId="26777"/>
    <cellStyle name="Procentowy 3 10 9" xfId="26778"/>
    <cellStyle name="Procentowy 3 10 9 2" xfId="26779"/>
    <cellStyle name="Procentowy 3 11" xfId="26780"/>
    <cellStyle name="Procentowy 3 11 10" xfId="26781"/>
    <cellStyle name="Procentowy 3 11 10 2" xfId="26782"/>
    <cellStyle name="Procentowy 3 11 11" xfId="26783"/>
    <cellStyle name="Procentowy 3 11 11 2" xfId="26784"/>
    <cellStyle name="Procentowy 3 11 12" xfId="26785"/>
    <cellStyle name="Procentowy 3 11 12 2" xfId="26786"/>
    <cellStyle name="Procentowy 3 11 13" xfId="26787"/>
    <cellStyle name="Procentowy 3 11 13 2" xfId="26788"/>
    <cellStyle name="Procentowy 3 11 14" xfId="26789"/>
    <cellStyle name="Procentowy 3 11 14 2" xfId="26790"/>
    <cellStyle name="Procentowy 3 11 15" xfId="26791"/>
    <cellStyle name="Procentowy 3 11 15 2" xfId="26792"/>
    <cellStyle name="Procentowy 3 11 16" xfId="26793"/>
    <cellStyle name="Procentowy 3 11 16 2" xfId="26794"/>
    <cellStyle name="Procentowy 3 11 17" xfId="26795"/>
    <cellStyle name="Procentowy 3 11 17 2" xfId="26796"/>
    <cellStyle name="Procentowy 3 11 18" xfId="26797"/>
    <cellStyle name="Procentowy 3 11 18 2" xfId="26798"/>
    <cellStyle name="Procentowy 3 11 19" xfId="26799"/>
    <cellStyle name="Procentowy 3 11 19 2" xfId="26800"/>
    <cellStyle name="Procentowy 3 11 2" xfId="26801"/>
    <cellStyle name="Procentowy 3 11 2 2" xfId="26802"/>
    <cellStyle name="Procentowy 3 11 2 3" xfId="26803"/>
    <cellStyle name="Procentowy 3 11 2 4" xfId="26804"/>
    <cellStyle name="Procentowy 3 11 2 5" xfId="26805"/>
    <cellStyle name="Procentowy 3 11 2 6" xfId="26806"/>
    <cellStyle name="Procentowy 3 11 2 7" xfId="26807"/>
    <cellStyle name="Procentowy 3 11 20" xfId="26808"/>
    <cellStyle name="Procentowy 3 11 20 2" xfId="26809"/>
    <cellStyle name="Procentowy 3 11 21" xfId="26810"/>
    <cellStyle name="Procentowy 3 11 21 2" xfId="26811"/>
    <cellStyle name="Procentowy 3 11 22" xfId="26812"/>
    <cellStyle name="Procentowy 3 11 22 2" xfId="26813"/>
    <cellStyle name="Procentowy 3 11 23" xfId="26814"/>
    <cellStyle name="Procentowy 3 11 23 2" xfId="26815"/>
    <cellStyle name="Procentowy 3 11 24" xfId="26816"/>
    <cellStyle name="Procentowy 3 11 24 2" xfId="26817"/>
    <cellStyle name="Procentowy 3 11 25" xfId="26818"/>
    <cellStyle name="Procentowy 3 11 25 2" xfId="26819"/>
    <cellStyle name="Procentowy 3 11 26" xfId="26820"/>
    <cellStyle name="Procentowy 3 11 26 2" xfId="26821"/>
    <cellStyle name="Procentowy 3 11 27" xfId="26822"/>
    <cellStyle name="Procentowy 3 11 27 2" xfId="26823"/>
    <cellStyle name="Procentowy 3 11 28" xfId="26824"/>
    <cellStyle name="Procentowy 3 11 28 2" xfId="26825"/>
    <cellStyle name="Procentowy 3 11 29" xfId="26826"/>
    <cellStyle name="Procentowy 3 11 29 2" xfId="26827"/>
    <cellStyle name="Procentowy 3 11 3" xfId="26828"/>
    <cellStyle name="Procentowy 3 11 3 2" xfId="26829"/>
    <cellStyle name="Procentowy 3 11 3 3" xfId="26830"/>
    <cellStyle name="Procentowy 3 11 3 4" xfId="26831"/>
    <cellStyle name="Procentowy 3 11 3 5" xfId="26832"/>
    <cellStyle name="Procentowy 3 11 3 6" xfId="26833"/>
    <cellStyle name="Procentowy 3 11 3 7" xfId="26834"/>
    <cellStyle name="Procentowy 3 11 30" xfId="26835"/>
    <cellStyle name="Procentowy 3 11 30 2" xfId="26836"/>
    <cellStyle name="Procentowy 3 11 31" xfId="26837"/>
    <cellStyle name="Procentowy 3 11 31 2" xfId="26838"/>
    <cellStyle name="Procentowy 3 11 32" xfId="26839"/>
    <cellStyle name="Procentowy 3 11 33" xfId="26840"/>
    <cellStyle name="Procentowy 3 11 34" xfId="26841"/>
    <cellStyle name="Procentowy 3 11 35" xfId="26842"/>
    <cellStyle name="Procentowy 3 11 36" xfId="26843"/>
    <cellStyle name="Procentowy 3 11 37" xfId="26844"/>
    <cellStyle name="Procentowy 3 11 38" xfId="26845"/>
    <cellStyle name="Procentowy 3 11 39" xfId="26846"/>
    <cellStyle name="Procentowy 3 11 4" xfId="26847"/>
    <cellStyle name="Procentowy 3 11 4 2" xfId="26848"/>
    <cellStyle name="Procentowy 3 11 4 3" xfId="26849"/>
    <cellStyle name="Procentowy 3 11 4 4" xfId="26850"/>
    <cellStyle name="Procentowy 3 11 4 5" xfId="26851"/>
    <cellStyle name="Procentowy 3 11 4 6" xfId="26852"/>
    <cellStyle name="Procentowy 3 11 4 7" xfId="26853"/>
    <cellStyle name="Procentowy 3 11 40" xfId="26854"/>
    <cellStyle name="Procentowy 3 11 41" xfId="26855"/>
    <cellStyle name="Procentowy 3 11 42" xfId="26856"/>
    <cellStyle name="Procentowy 3 11 43" xfId="26857"/>
    <cellStyle name="Procentowy 3 11 44" xfId="26858"/>
    <cellStyle name="Procentowy 3 11 45" xfId="26859"/>
    <cellStyle name="Procentowy 3 11 46" xfId="26860"/>
    <cellStyle name="Procentowy 3 11 47" xfId="26861"/>
    <cellStyle name="Procentowy 3 11 48" xfId="26862"/>
    <cellStyle name="Procentowy 3 11 49" xfId="26863"/>
    <cellStyle name="Procentowy 3 11 5" xfId="26864"/>
    <cellStyle name="Procentowy 3 11 5 2" xfId="26865"/>
    <cellStyle name="Procentowy 3 11 5 3" xfId="26866"/>
    <cellStyle name="Procentowy 3 11 5 4" xfId="26867"/>
    <cellStyle name="Procentowy 3 11 5 5" xfId="26868"/>
    <cellStyle name="Procentowy 3 11 5 6" xfId="26869"/>
    <cellStyle name="Procentowy 3 11 5 7" xfId="26870"/>
    <cellStyle name="Procentowy 3 11 50" xfId="26871"/>
    <cellStyle name="Procentowy 3 11 51" xfId="26872"/>
    <cellStyle name="Procentowy 3 11 52" xfId="26873"/>
    <cellStyle name="Procentowy 3 11 53" xfId="26874"/>
    <cellStyle name="Procentowy 3 11 54" xfId="26875"/>
    <cellStyle name="Procentowy 3 11 55" xfId="26876"/>
    <cellStyle name="Procentowy 3 11 56" xfId="26877"/>
    <cellStyle name="Procentowy 3 11 57" xfId="26878"/>
    <cellStyle name="Procentowy 3 11 58" xfId="26879"/>
    <cellStyle name="Procentowy 3 11 59" xfId="26880"/>
    <cellStyle name="Procentowy 3 11 6" xfId="26881"/>
    <cellStyle name="Procentowy 3 11 6 2" xfId="26882"/>
    <cellStyle name="Procentowy 3 11 60" xfId="26883"/>
    <cellStyle name="Procentowy 3 11 61" xfId="26884"/>
    <cellStyle name="Procentowy 3 11 62" xfId="26885"/>
    <cellStyle name="Procentowy 3 11 63" xfId="26886"/>
    <cellStyle name="Procentowy 3 11 64" xfId="26887"/>
    <cellStyle name="Procentowy 3 11 65" xfId="26888"/>
    <cellStyle name="Procentowy 3 11 66" xfId="26889"/>
    <cellStyle name="Procentowy 3 11 67" xfId="26890"/>
    <cellStyle name="Procentowy 3 11 68" xfId="26891"/>
    <cellStyle name="Procentowy 3 11 69" xfId="26892"/>
    <cellStyle name="Procentowy 3 11 7" xfId="26893"/>
    <cellStyle name="Procentowy 3 11 7 2" xfId="26894"/>
    <cellStyle name="Procentowy 3 11 70" xfId="26895"/>
    <cellStyle name="Procentowy 3 11 71" xfId="26896"/>
    <cellStyle name="Procentowy 3 11 72" xfId="26897"/>
    <cellStyle name="Procentowy 3 11 73" xfId="26898"/>
    <cellStyle name="Procentowy 3 11 74" xfId="26899"/>
    <cellStyle name="Procentowy 3 11 8" xfId="26900"/>
    <cellStyle name="Procentowy 3 11 8 2" xfId="26901"/>
    <cellStyle name="Procentowy 3 11 9" xfId="26902"/>
    <cellStyle name="Procentowy 3 11 9 2" xfId="26903"/>
    <cellStyle name="Procentowy 3 12" xfId="26904"/>
    <cellStyle name="Procentowy 3 12 10" xfId="26905"/>
    <cellStyle name="Procentowy 3 12 10 2" xfId="26906"/>
    <cellStyle name="Procentowy 3 12 11" xfId="26907"/>
    <cellStyle name="Procentowy 3 12 11 2" xfId="26908"/>
    <cellStyle name="Procentowy 3 12 12" xfId="26909"/>
    <cellStyle name="Procentowy 3 12 12 2" xfId="26910"/>
    <cellStyle name="Procentowy 3 12 13" xfId="26911"/>
    <cellStyle name="Procentowy 3 12 13 2" xfId="26912"/>
    <cellStyle name="Procentowy 3 12 14" xfId="26913"/>
    <cellStyle name="Procentowy 3 12 14 2" xfId="26914"/>
    <cellStyle name="Procentowy 3 12 15" xfId="26915"/>
    <cellStyle name="Procentowy 3 12 15 2" xfId="26916"/>
    <cellStyle name="Procentowy 3 12 16" xfId="26917"/>
    <cellStyle name="Procentowy 3 12 16 2" xfId="26918"/>
    <cellStyle name="Procentowy 3 12 17" xfId="26919"/>
    <cellStyle name="Procentowy 3 12 17 2" xfId="26920"/>
    <cellStyle name="Procentowy 3 12 18" xfId="26921"/>
    <cellStyle name="Procentowy 3 12 18 2" xfId="26922"/>
    <cellStyle name="Procentowy 3 12 19" xfId="26923"/>
    <cellStyle name="Procentowy 3 12 19 2" xfId="26924"/>
    <cellStyle name="Procentowy 3 12 2" xfId="26925"/>
    <cellStyle name="Procentowy 3 12 2 2" xfId="26926"/>
    <cellStyle name="Procentowy 3 12 2 3" xfId="26927"/>
    <cellStyle name="Procentowy 3 12 2 4" xfId="26928"/>
    <cellStyle name="Procentowy 3 12 2 5" xfId="26929"/>
    <cellStyle name="Procentowy 3 12 2 6" xfId="26930"/>
    <cellStyle name="Procentowy 3 12 2 7" xfId="26931"/>
    <cellStyle name="Procentowy 3 12 20" xfId="26932"/>
    <cellStyle name="Procentowy 3 12 20 2" xfId="26933"/>
    <cellStyle name="Procentowy 3 12 21" xfId="26934"/>
    <cellStyle name="Procentowy 3 12 21 2" xfId="26935"/>
    <cellStyle name="Procentowy 3 12 22" xfId="26936"/>
    <cellStyle name="Procentowy 3 12 22 2" xfId="26937"/>
    <cellStyle name="Procentowy 3 12 23" xfId="26938"/>
    <cellStyle name="Procentowy 3 12 23 2" xfId="26939"/>
    <cellStyle name="Procentowy 3 12 24" xfId="26940"/>
    <cellStyle name="Procentowy 3 12 24 2" xfId="26941"/>
    <cellStyle name="Procentowy 3 12 25" xfId="26942"/>
    <cellStyle name="Procentowy 3 12 25 2" xfId="26943"/>
    <cellStyle name="Procentowy 3 12 26" xfId="26944"/>
    <cellStyle name="Procentowy 3 12 26 2" xfId="26945"/>
    <cellStyle name="Procentowy 3 12 27" xfId="26946"/>
    <cellStyle name="Procentowy 3 12 27 2" xfId="26947"/>
    <cellStyle name="Procentowy 3 12 28" xfId="26948"/>
    <cellStyle name="Procentowy 3 12 28 2" xfId="26949"/>
    <cellStyle name="Procentowy 3 12 29" xfId="26950"/>
    <cellStyle name="Procentowy 3 12 29 2" xfId="26951"/>
    <cellStyle name="Procentowy 3 12 3" xfId="26952"/>
    <cellStyle name="Procentowy 3 12 3 2" xfId="26953"/>
    <cellStyle name="Procentowy 3 12 3 3" xfId="26954"/>
    <cellStyle name="Procentowy 3 12 3 4" xfId="26955"/>
    <cellStyle name="Procentowy 3 12 3 5" xfId="26956"/>
    <cellStyle name="Procentowy 3 12 3 6" xfId="26957"/>
    <cellStyle name="Procentowy 3 12 3 7" xfId="26958"/>
    <cellStyle name="Procentowy 3 12 30" xfId="26959"/>
    <cellStyle name="Procentowy 3 12 30 2" xfId="26960"/>
    <cellStyle name="Procentowy 3 12 31" xfId="26961"/>
    <cellStyle name="Procentowy 3 12 31 2" xfId="26962"/>
    <cellStyle name="Procentowy 3 12 32" xfId="26963"/>
    <cellStyle name="Procentowy 3 12 33" xfId="26964"/>
    <cellStyle name="Procentowy 3 12 34" xfId="26965"/>
    <cellStyle name="Procentowy 3 12 35" xfId="26966"/>
    <cellStyle name="Procentowy 3 12 36" xfId="26967"/>
    <cellStyle name="Procentowy 3 12 37" xfId="26968"/>
    <cellStyle name="Procentowy 3 12 38" xfId="26969"/>
    <cellStyle name="Procentowy 3 12 39" xfId="26970"/>
    <cellStyle name="Procentowy 3 12 4" xfId="26971"/>
    <cellStyle name="Procentowy 3 12 4 2" xfId="26972"/>
    <cellStyle name="Procentowy 3 12 4 3" xfId="26973"/>
    <cellStyle name="Procentowy 3 12 4 4" xfId="26974"/>
    <cellStyle name="Procentowy 3 12 4 5" xfId="26975"/>
    <cellStyle name="Procentowy 3 12 4 6" xfId="26976"/>
    <cellStyle name="Procentowy 3 12 4 7" xfId="26977"/>
    <cellStyle name="Procentowy 3 12 40" xfId="26978"/>
    <cellStyle name="Procentowy 3 12 41" xfId="26979"/>
    <cellStyle name="Procentowy 3 12 42" xfId="26980"/>
    <cellStyle name="Procentowy 3 12 43" xfId="26981"/>
    <cellStyle name="Procentowy 3 12 44" xfId="26982"/>
    <cellStyle name="Procentowy 3 12 45" xfId="26983"/>
    <cellStyle name="Procentowy 3 12 46" xfId="26984"/>
    <cellStyle name="Procentowy 3 12 47" xfId="26985"/>
    <cellStyle name="Procentowy 3 12 48" xfId="26986"/>
    <cellStyle name="Procentowy 3 12 49" xfId="26987"/>
    <cellStyle name="Procentowy 3 12 5" xfId="26988"/>
    <cellStyle name="Procentowy 3 12 5 2" xfId="26989"/>
    <cellStyle name="Procentowy 3 12 5 3" xfId="26990"/>
    <cellStyle name="Procentowy 3 12 5 4" xfId="26991"/>
    <cellStyle name="Procentowy 3 12 5 5" xfId="26992"/>
    <cellStyle name="Procentowy 3 12 5 6" xfId="26993"/>
    <cellStyle name="Procentowy 3 12 5 7" xfId="26994"/>
    <cellStyle name="Procentowy 3 12 50" xfId="26995"/>
    <cellStyle name="Procentowy 3 12 51" xfId="26996"/>
    <cellStyle name="Procentowy 3 12 52" xfId="26997"/>
    <cellStyle name="Procentowy 3 12 53" xfId="26998"/>
    <cellStyle name="Procentowy 3 12 54" xfId="26999"/>
    <cellStyle name="Procentowy 3 12 55" xfId="27000"/>
    <cellStyle name="Procentowy 3 12 56" xfId="27001"/>
    <cellStyle name="Procentowy 3 12 57" xfId="27002"/>
    <cellStyle name="Procentowy 3 12 58" xfId="27003"/>
    <cellStyle name="Procentowy 3 12 59" xfId="27004"/>
    <cellStyle name="Procentowy 3 12 6" xfId="27005"/>
    <cellStyle name="Procentowy 3 12 6 2" xfId="27006"/>
    <cellStyle name="Procentowy 3 12 60" xfId="27007"/>
    <cellStyle name="Procentowy 3 12 61" xfId="27008"/>
    <cellStyle name="Procentowy 3 12 62" xfId="27009"/>
    <cellStyle name="Procentowy 3 12 63" xfId="27010"/>
    <cellStyle name="Procentowy 3 12 64" xfId="27011"/>
    <cellStyle name="Procentowy 3 12 65" xfId="27012"/>
    <cellStyle name="Procentowy 3 12 66" xfId="27013"/>
    <cellStyle name="Procentowy 3 12 67" xfId="27014"/>
    <cellStyle name="Procentowy 3 12 68" xfId="27015"/>
    <cellStyle name="Procentowy 3 12 69" xfId="27016"/>
    <cellStyle name="Procentowy 3 12 7" xfId="27017"/>
    <cellStyle name="Procentowy 3 12 7 2" xfId="27018"/>
    <cellStyle name="Procentowy 3 12 70" xfId="27019"/>
    <cellStyle name="Procentowy 3 12 71" xfId="27020"/>
    <cellStyle name="Procentowy 3 12 72" xfId="27021"/>
    <cellStyle name="Procentowy 3 12 73" xfId="27022"/>
    <cellStyle name="Procentowy 3 12 74" xfId="27023"/>
    <cellStyle name="Procentowy 3 12 8" xfId="27024"/>
    <cellStyle name="Procentowy 3 12 8 2" xfId="27025"/>
    <cellStyle name="Procentowy 3 12 9" xfId="27026"/>
    <cellStyle name="Procentowy 3 12 9 2" xfId="27027"/>
    <cellStyle name="Procentowy 3 13" xfId="27028"/>
    <cellStyle name="Procentowy 3 13 10" xfId="27029"/>
    <cellStyle name="Procentowy 3 13 10 2" xfId="27030"/>
    <cellStyle name="Procentowy 3 13 11" xfId="27031"/>
    <cellStyle name="Procentowy 3 13 11 2" xfId="27032"/>
    <cellStyle name="Procentowy 3 13 12" xfId="27033"/>
    <cellStyle name="Procentowy 3 13 12 2" xfId="27034"/>
    <cellStyle name="Procentowy 3 13 13" xfId="27035"/>
    <cellStyle name="Procentowy 3 13 13 2" xfId="27036"/>
    <cellStyle name="Procentowy 3 13 14" xfId="27037"/>
    <cellStyle name="Procentowy 3 13 14 2" xfId="27038"/>
    <cellStyle name="Procentowy 3 13 15" xfId="27039"/>
    <cellStyle name="Procentowy 3 13 15 2" xfId="27040"/>
    <cellStyle name="Procentowy 3 13 16" xfId="27041"/>
    <cellStyle name="Procentowy 3 13 16 2" xfId="27042"/>
    <cellStyle name="Procentowy 3 13 17" xfId="27043"/>
    <cellStyle name="Procentowy 3 13 17 2" xfId="27044"/>
    <cellStyle name="Procentowy 3 13 18" xfId="27045"/>
    <cellStyle name="Procentowy 3 13 18 2" xfId="27046"/>
    <cellStyle name="Procentowy 3 13 19" xfId="27047"/>
    <cellStyle name="Procentowy 3 13 19 2" xfId="27048"/>
    <cellStyle name="Procentowy 3 13 2" xfId="27049"/>
    <cellStyle name="Procentowy 3 13 2 2" xfId="27050"/>
    <cellStyle name="Procentowy 3 13 2 3" xfId="27051"/>
    <cellStyle name="Procentowy 3 13 2 4" xfId="27052"/>
    <cellStyle name="Procentowy 3 13 2 5" xfId="27053"/>
    <cellStyle name="Procentowy 3 13 2 6" xfId="27054"/>
    <cellStyle name="Procentowy 3 13 2 7" xfId="27055"/>
    <cellStyle name="Procentowy 3 13 20" xfId="27056"/>
    <cellStyle name="Procentowy 3 13 20 2" xfId="27057"/>
    <cellStyle name="Procentowy 3 13 21" xfId="27058"/>
    <cellStyle name="Procentowy 3 13 21 2" xfId="27059"/>
    <cellStyle name="Procentowy 3 13 22" xfId="27060"/>
    <cellStyle name="Procentowy 3 13 22 2" xfId="27061"/>
    <cellStyle name="Procentowy 3 13 23" xfId="27062"/>
    <cellStyle name="Procentowy 3 13 23 2" xfId="27063"/>
    <cellStyle name="Procentowy 3 13 24" xfId="27064"/>
    <cellStyle name="Procentowy 3 13 24 2" xfId="27065"/>
    <cellStyle name="Procentowy 3 13 25" xfId="27066"/>
    <cellStyle name="Procentowy 3 13 25 2" xfId="27067"/>
    <cellStyle name="Procentowy 3 13 26" xfId="27068"/>
    <cellStyle name="Procentowy 3 13 26 2" xfId="27069"/>
    <cellStyle name="Procentowy 3 13 27" xfId="27070"/>
    <cellStyle name="Procentowy 3 13 27 2" xfId="27071"/>
    <cellStyle name="Procentowy 3 13 28" xfId="27072"/>
    <cellStyle name="Procentowy 3 13 28 2" xfId="27073"/>
    <cellStyle name="Procentowy 3 13 29" xfId="27074"/>
    <cellStyle name="Procentowy 3 13 29 2" xfId="27075"/>
    <cellStyle name="Procentowy 3 13 3" xfId="27076"/>
    <cellStyle name="Procentowy 3 13 3 2" xfId="27077"/>
    <cellStyle name="Procentowy 3 13 3 3" xfId="27078"/>
    <cellStyle name="Procentowy 3 13 3 4" xfId="27079"/>
    <cellStyle name="Procentowy 3 13 3 5" xfId="27080"/>
    <cellStyle name="Procentowy 3 13 3 6" xfId="27081"/>
    <cellStyle name="Procentowy 3 13 3 7" xfId="27082"/>
    <cellStyle name="Procentowy 3 13 30" xfId="27083"/>
    <cellStyle name="Procentowy 3 13 30 2" xfId="27084"/>
    <cellStyle name="Procentowy 3 13 31" xfId="27085"/>
    <cellStyle name="Procentowy 3 13 31 2" xfId="27086"/>
    <cellStyle name="Procentowy 3 13 32" xfId="27087"/>
    <cellStyle name="Procentowy 3 13 33" xfId="27088"/>
    <cellStyle name="Procentowy 3 13 34" xfId="27089"/>
    <cellStyle name="Procentowy 3 13 35" xfId="27090"/>
    <cellStyle name="Procentowy 3 13 36" xfId="27091"/>
    <cellStyle name="Procentowy 3 13 37" xfId="27092"/>
    <cellStyle name="Procentowy 3 13 38" xfId="27093"/>
    <cellStyle name="Procentowy 3 13 39" xfId="27094"/>
    <cellStyle name="Procentowy 3 13 4" xfId="27095"/>
    <cellStyle name="Procentowy 3 13 4 2" xfId="27096"/>
    <cellStyle name="Procentowy 3 13 4 3" xfId="27097"/>
    <cellStyle name="Procentowy 3 13 4 4" xfId="27098"/>
    <cellStyle name="Procentowy 3 13 4 5" xfId="27099"/>
    <cellStyle name="Procentowy 3 13 4 6" xfId="27100"/>
    <cellStyle name="Procentowy 3 13 4 7" xfId="27101"/>
    <cellStyle name="Procentowy 3 13 40" xfId="27102"/>
    <cellStyle name="Procentowy 3 13 41" xfId="27103"/>
    <cellStyle name="Procentowy 3 13 42" xfId="27104"/>
    <cellStyle name="Procentowy 3 13 43" xfId="27105"/>
    <cellStyle name="Procentowy 3 13 44" xfId="27106"/>
    <cellStyle name="Procentowy 3 13 45" xfId="27107"/>
    <cellStyle name="Procentowy 3 13 46" xfId="27108"/>
    <cellStyle name="Procentowy 3 13 47" xfId="27109"/>
    <cellStyle name="Procentowy 3 13 48" xfId="27110"/>
    <cellStyle name="Procentowy 3 13 49" xfId="27111"/>
    <cellStyle name="Procentowy 3 13 5" xfId="27112"/>
    <cellStyle name="Procentowy 3 13 5 2" xfId="27113"/>
    <cellStyle name="Procentowy 3 13 5 3" xfId="27114"/>
    <cellStyle name="Procentowy 3 13 5 4" xfId="27115"/>
    <cellStyle name="Procentowy 3 13 5 5" xfId="27116"/>
    <cellStyle name="Procentowy 3 13 5 6" xfId="27117"/>
    <cellStyle name="Procentowy 3 13 5 7" xfId="27118"/>
    <cellStyle name="Procentowy 3 13 50" xfId="27119"/>
    <cellStyle name="Procentowy 3 13 51" xfId="27120"/>
    <cellStyle name="Procentowy 3 13 52" xfId="27121"/>
    <cellStyle name="Procentowy 3 13 53" xfId="27122"/>
    <cellStyle name="Procentowy 3 13 54" xfId="27123"/>
    <cellStyle name="Procentowy 3 13 55" xfId="27124"/>
    <cellStyle name="Procentowy 3 13 56" xfId="27125"/>
    <cellStyle name="Procentowy 3 13 57" xfId="27126"/>
    <cellStyle name="Procentowy 3 13 58" xfId="27127"/>
    <cellStyle name="Procentowy 3 13 59" xfId="27128"/>
    <cellStyle name="Procentowy 3 13 6" xfId="27129"/>
    <cellStyle name="Procentowy 3 13 6 2" xfId="27130"/>
    <cellStyle name="Procentowy 3 13 60" xfId="27131"/>
    <cellStyle name="Procentowy 3 13 61" xfId="27132"/>
    <cellStyle name="Procentowy 3 13 62" xfId="27133"/>
    <cellStyle name="Procentowy 3 13 63" xfId="27134"/>
    <cellStyle name="Procentowy 3 13 64" xfId="27135"/>
    <cellStyle name="Procentowy 3 13 65" xfId="27136"/>
    <cellStyle name="Procentowy 3 13 66" xfId="27137"/>
    <cellStyle name="Procentowy 3 13 67" xfId="27138"/>
    <cellStyle name="Procentowy 3 13 68" xfId="27139"/>
    <cellStyle name="Procentowy 3 13 69" xfId="27140"/>
    <cellStyle name="Procentowy 3 13 7" xfId="27141"/>
    <cellStyle name="Procentowy 3 13 7 2" xfId="27142"/>
    <cellStyle name="Procentowy 3 13 70" xfId="27143"/>
    <cellStyle name="Procentowy 3 13 71" xfId="27144"/>
    <cellStyle name="Procentowy 3 13 72" xfId="27145"/>
    <cellStyle name="Procentowy 3 13 73" xfId="27146"/>
    <cellStyle name="Procentowy 3 13 74" xfId="27147"/>
    <cellStyle name="Procentowy 3 13 8" xfId="27148"/>
    <cellStyle name="Procentowy 3 13 8 2" xfId="27149"/>
    <cellStyle name="Procentowy 3 13 9" xfId="27150"/>
    <cellStyle name="Procentowy 3 13 9 2" xfId="27151"/>
    <cellStyle name="Procentowy 3 14" xfId="27152"/>
    <cellStyle name="Procentowy 3 14 10" xfId="27153"/>
    <cellStyle name="Procentowy 3 14 10 2" xfId="27154"/>
    <cellStyle name="Procentowy 3 14 11" xfId="27155"/>
    <cellStyle name="Procentowy 3 14 11 2" xfId="27156"/>
    <cellStyle name="Procentowy 3 14 12" xfId="27157"/>
    <cellStyle name="Procentowy 3 14 12 2" xfId="27158"/>
    <cellStyle name="Procentowy 3 14 13" xfId="27159"/>
    <cellStyle name="Procentowy 3 14 13 2" xfId="27160"/>
    <cellStyle name="Procentowy 3 14 14" xfId="27161"/>
    <cellStyle name="Procentowy 3 14 14 2" xfId="27162"/>
    <cellStyle name="Procentowy 3 14 15" xfId="27163"/>
    <cellStyle name="Procentowy 3 14 15 2" xfId="27164"/>
    <cellStyle name="Procentowy 3 14 16" xfId="27165"/>
    <cellStyle name="Procentowy 3 14 16 2" xfId="27166"/>
    <cellStyle name="Procentowy 3 14 17" xfId="27167"/>
    <cellStyle name="Procentowy 3 14 17 2" xfId="27168"/>
    <cellStyle name="Procentowy 3 14 18" xfId="27169"/>
    <cellStyle name="Procentowy 3 14 18 2" xfId="27170"/>
    <cellStyle name="Procentowy 3 14 19" xfId="27171"/>
    <cellStyle name="Procentowy 3 14 19 2" xfId="27172"/>
    <cellStyle name="Procentowy 3 14 2" xfId="27173"/>
    <cellStyle name="Procentowy 3 14 2 2" xfId="27174"/>
    <cellStyle name="Procentowy 3 14 2 3" xfId="27175"/>
    <cellStyle name="Procentowy 3 14 2 4" xfId="27176"/>
    <cellStyle name="Procentowy 3 14 2 5" xfId="27177"/>
    <cellStyle name="Procentowy 3 14 2 6" xfId="27178"/>
    <cellStyle name="Procentowy 3 14 2 7" xfId="27179"/>
    <cellStyle name="Procentowy 3 14 20" xfId="27180"/>
    <cellStyle name="Procentowy 3 14 20 2" xfId="27181"/>
    <cellStyle name="Procentowy 3 14 21" xfId="27182"/>
    <cellStyle name="Procentowy 3 14 21 2" xfId="27183"/>
    <cellStyle name="Procentowy 3 14 22" xfId="27184"/>
    <cellStyle name="Procentowy 3 14 22 2" xfId="27185"/>
    <cellStyle name="Procentowy 3 14 23" xfId="27186"/>
    <cellStyle name="Procentowy 3 14 23 2" xfId="27187"/>
    <cellStyle name="Procentowy 3 14 24" xfId="27188"/>
    <cellStyle name="Procentowy 3 14 24 2" xfId="27189"/>
    <cellStyle name="Procentowy 3 14 25" xfId="27190"/>
    <cellStyle name="Procentowy 3 14 25 2" xfId="27191"/>
    <cellStyle name="Procentowy 3 14 26" xfId="27192"/>
    <cellStyle name="Procentowy 3 14 26 2" xfId="27193"/>
    <cellStyle name="Procentowy 3 14 27" xfId="27194"/>
    <cellStyle name="Procentowy 3 14 27 2" xfId="27195"/>
    <cellStyle name="Procentowy 3 14 28" xfId="27196"/>
    <cellStyle name="Procentowy 3 14 28 2" xfId="27197"/>
    <cellStyle name="Procentowy 3 14 29" xfId="27198"/>
    <cellStyle name="Procentowy 3 14 29 2" xfId="27199"/>
    <cellStyle name="Procentowy 3 14 3" xfId="27200"/>
    <cellStyle name="Procentowy 3 14 3 2" xfId="27201"/>
    <cellStyle name="Procentowy 3 14 3 3" xfId="27202"/>
    <cellStyle name="Procentowy 3 14 3 4" xfId="27203"/>
    <cellStyle name="Procentowy 3 14 3 5" xfId="27204"/>
    <cellStyle name="Procentowy 3 14 3 6" xfId="27205"/>
    <cellStyle name="Procentowy 3 14 3 7" xfId="27206"/>
    <cellStyle name="Procentowy 3 14 30" xfId="27207"/>
    <cellStyle name="Procentowy 3 14 30 2" xfId="27208"/>
    <cellStyle name="Procentowy 3 14 31" xfId="27209"/>
    <cellStyle name="Procentowy 3 14 31 2" xfId="27210"/>
    <cellStyle name="Procentowy 3 14 32" xfId="27211"/>
    <cellStyle name="Procentowy 3 14 33" xfId="27212"/>
    <cellStyle name="Procentowy 3 14 34" xfId="27213"/>
    <cellStyle name="Procentowy 3 14 35" xfId="27214"/>
    <cellStyle name="Procentowy 3 14 36" xfId="27215"/>
    <cellStyle name="Procentowy 3 14 37" xfId="27216"/>
    <cellStyle name="Procentowy 3 14 38" xfId="27217"/>
    <cellStyle name="Procentowy 3 14 39" xfId="27218"/>
    <cellStyle name="Procentowy 3 14 4" xfId="27219"/>
    <cellStyle name="Procentowy 3 14 4 2" xfId="27220"/>
    <cellStyle name="Procentowy 3 14 4 3" xfId="27221"/>
    <cellStyle name="Procentowy 3 14 4 4" xfId="27222"/>
    <cellStyle name="Procentowy 3 14 4 5" xfId="27223"/>
    <cellStyle name="Procentowy 3 14 4 6" xfId="27224"/>
    <cellStyle name="Procentowy 3 14 4 7" xfId="27225"/>
    <cellStyle name="Procentowy 3 14 40" xfId="27226"/>
    <cellStyle name="Procentowy 3 14 41" xfId="27227"/>
    <cellStyle name="Procentowy 3 14 42" xfId="27228"/>
    <cellStyle name="Procentowy 3 14 43" xfId="27229"/>
    <cellStyle name="Procentowy 3 14 44" xfId="27230"/>
    <cellStyle name="Procentowy 3 14 45" xfId="27231"/>
    <cellStyle name="Procentowy 3 14 46" xfId="27232"/>
    <cellStyle name="Procentowy 3 14 47" xfId="27233"/>
    <cellStyle name="Procentowy 3 14 48" xfId="27234"/>
    <cellStyle name="Procentowy 3 14 49" xfId="27235"/>
    <cellStyle name="Procentowy 3 14 5" xfId="27236"/>
    <cellStyle name="Procentowy 3 14 5 2" xfId="27237"/>
    <cellStyle name="Procentowy 3 14 5 3" xfId="27238"/>
    <cellStyle name="Procentowy 3 14 5 4" xfId="27239"/>
    <cellStyle name="Procentowy 3 14 5 5" xfId="27240"/>
    <cellStyle name="Procentowy 3 14 5 6" xfId="27241"/>
    <cellStyle name="Procentowy 3 14 5 7" xfId="27242"/>
    <cellStyle name="Procentowy 3 14 50" xfId="27243"/>
    <cellStyle name="Procentowy 3 14 51" xfId="27244"/>
    <cellStyle name="Procentowy 3 14 52" xfId="27245"/>
    <cellStyle name="Procentowy 3 14 53" xfId="27246"/>
    <cellStyle name="Procentowy 3 14 54" xfId="27247"/>
    <cellStyle name="Procentowy 3 14 55" xfId="27248"/>
    <cellStyle name="Procentowy 3 14 56" xfId="27249"/>
    <cellStyle name="Procentowy 3 14 57" xfId="27250"/>
    <cellStyle name="Procentowy 3 14 58" xfId="27251"/>
    <cellStyle name="Procentowy 3 14 59" xfId="27252"/>
    <cellStyle name="Procentowy 3 14 6" xfId="27253"/>
    <cellStyle name="Procentowy 3 14 6 2" xfId="27254"/>
    <cellStyle name="Procentowy 3 14 60" xfId="27255"/>
    <cellStyle name="Procentowy 3 14 61" xfId="27256"/>
    <cellStyle name="Procentowy 3 14 62" xfId="27257"/>
    <cellStyle name="Procentowy 3 14 63" xfId="27258"/>
    <cellStyle name="Procentowy 3 14 64" xfId="27259"/>
    <cellStyle name="Procentowy 3 14 65" xfId="27260"/>
    <cellStyle name="Procentowy 3 14 66" xfId="27261"/>
    <cellStyle name="Procentowy 3 14 67" xfId="27262"/>
    <cellStyle name="Procentowy 3 14 68" xfId="27263"/>
    <cellStyle name="Procentowy 3 14 69" xfId="27264"/>
    <cellStyle name="Procentowy 3 14 7" xfId="27265"/>
    <cellStyle name="Procentowy 3 14 7 2" xfId="27266"/>
    <cellStyle name="Procentowy 3 14 70" xfId="27267"/>
    <cellStyle name="Procentowy 3 14 71" xfId="27268"/>
    <cellStyle name="Procentowy 3 14 72" xfId="27269"/>
    <cellStyle name="Procentowy 3 14 73" xfId="27270"/>
    <cellStyle name="Procentowy 3 14 74" xfId="27271"/>
    <cellStyle name="Procentowy 3 14 8" xfId="27272"/>
    <cellStyle name="Procentowy 3 14 8 2" xfId="27273"/>
    <cellStyle name="Procentowy 3 14 9" xfId="27274"/>
    <cellStyle name="Procentowy 3 14 9 2" xfId="27275"/>
    <cellStyle name="Procentowy 3 15" xfId="27276"/>
    <cellStyle name="Procentowy 3 15 10" xfId="27277"/>
    <cellStyle name="Procentowy 3 15 10 2" xfId="27278"/>
    <cellStyle name="Procentowy 3 15 11" xfId="27279"/>
    <cellStyle name="Procentowy 3 15 11 2" xfId="27280"/>
    <cellStyle name="Procentowy 3 15 12" xfId="27281"/>
    <cellStyle name="Procentowy 3 15 12 2" xfId="27282"/>
    <cellStyle name="Procentowy 3 15 13" xfId="27283"/>
    <cellStyle name="Procentowy 3 15 13 2" xfId="27284"/>
    <cellStyle name="Procentowy 3 15 14" xfId="27285"/>
    <cellStyle name="Procentowy 3 15 14 2" xfId="27286"/>
    <cellStyle name="Procentowy 3 15 15" xfId="27287"/>
    <cellStyle name="Procentowy 3 15 15 2" xfId="27288"/>
    <cellStyle name="Procentowy 3 15 16" xfId="27289"/>
    <cellStyle name="Procentowy 3 15 16 2" xfId="27290"/>
    <cellStyle name="Procentowy 3 15 17" xfId="27291"/>
    <cellStyle name="Procentowy 3 15 17 2" xfId="27292"/>
    <cellStyle name="Procentowy 3 15 18" xfId="27293"/>
    <cellStyle name="Procentowy 3 15 18 2" xfId="27294"/>
    <cellStyle name="Procentowy 3 15 19" xfId="27295"/>
    <cellStyle name="Procentowy 3 15 19 2" xfId="27296"/>
    <cellStyle name="Procentowy 3 15 2" xfId="27297"/>
    <cellStyle name="Procentowy 3 15 2 2" xfId="27298"/>
    <cellStyle name="Procentowy 3 15 2 3" xfId="27299"/>
    <cellStyle name="Procentowy 3 15 2 4" xfId="27300"/>
    <cellStyle name="Procentowy 3 15 2 5" xfId="27301"/>
    <cellStyle name="Procentowy 3 15 2 6" xfId="27302"/>
    <cellStyle name="Procentowy 3 15 2 7" xfId="27303"/>
    <cellStyle name="Procentowy 3 15 20" xfId="27304"/>
    <cellStyle name="Procentowy 3 15 20 2" xfId="27305"/>
    <cellStyle name="Procentowy 3 15 21" xfId="27306"/>
    <cellStyle name="Procentowy 3 15 21 2" xfId="27307"/>
    <cellStyle name="Procentowy 3 15 22" xfId="27308"/>
    <cellStyle name="Procentowy 3 15 22 2" xfId="27309"/>
    <cellStyle name="Procentowy 3 15 23" xfId="27310"/>
    <cellStyle name="Procentowy 3 15 23 2" xfId="27311"/>
    <cellStyle name="Procentowy 3 15 24" xfId="27312"/>
    <cellStyle name="Procentowy 3 15 24 2" xfId="27313"/>
    <cellStyle name="Procentowy 3 15 25" xfId="27314"/>
    <cellStyle name="Procentowy 3 15 25 2" xfId="27315"/>
    <cellStyle name="Procentowy 3 15 26" xfId="27316"/>
    <cellStyle name="Procentowy 3 15 26 2" xfId="27317"/>
    <cellStyle name="Procentowy 3 15 27" xfId="27318"/>
    <cellStyle name="Procentowy 3 15 27 2" xfId="27319"/>
    <cellStyle name="Procentowy 3 15 28" xfId="27320"/>
    <cellStyle name="Procentowy 3 15 28 2" xfId="27321"/>
    <cellStyle name="Procentowy 3 15 29" xfId="27322"/>
    <cellStyle name="Procentowy 3 15 29 2" xfId="27323"/>
    <cellStyle name="Procentowy 3 15 3" xfId="27324"/>
    <cellStyle name="Procentowy 3 15 3 2" xfId="27325"/>
    <cellStyle name="Procentowy 3 15 3 3" xfId="27326"/>
    <cellStyle name="Procentowy 3 15 3 4" xfId="27327"/>
    <cellStyle name="Procentowy 3 15 3 5" xfId="27328"/>
    <cellStyle name="Procentowy 3 15 3 6" xfId="27329"/>
    <cellStyle name="Procentowy 3 15 3 7" xfId="27330"/>
    <cellStyle name="Procentowy 3 15 30" xfId="27331"/>
    <cellStyle name="Procentowy 3 15 30 2" xfId="27332"/>
    <cellStyle name="Procentowy 3 15 31" xfId="27333"/>
    <cellStyle name="Procentowy 3 15 31 2" xfId="27334"/>
    <cellStyle name="Procentowy 3 15 32" xfId="27335"/>
    <cellStyle name="Procentowy 3 15 33" xfId="27336"/>
    <cellStyle name="Procentowy 3 15 34" xfId="27337"/>
    <cellStyle name="Procentowy 3 15 35" xfId="27338"/>
    <cellStyle name="Procentowy 3 15 36" xfId="27339"/>
    <cellStyle name="Procentowy 3 15 37" xfId="27340"/>
    <cellStyle name="Procentowy 3 15 38" xfId="27341"/>
    <cellStyle name="Procentowy 3 15 39" xfId="27342"/>
    <cellStyle name="Procentowy 3 15 4" xfId="27343"/>
    <cellStyle name="Procentowy 3 15 4 2" xfId="27344"/>
    <cellStyle name="Procentowy 3 15 4 3" xfId="27345"/>
    <cellStyle name="Procentowy 3 15 4 4" xfId="27346"/>
    <cellStyle name="Procentowy 3 15 4 5" xfId="27347"/>
    <cellStyle name="Procentowy 3 15 4 6" xfId="27348"/>
    <cellStyle name="Procentowy 3 15 4 7" xfId="27349"/>
    <cellStyle name="Procentowy 3 15 40" xfId="27350"/>
    <cellStyle name="Procentowy 3 15 41" xfId="27351"/>
    <cellStyle name="Procentowy 3 15 42" xfId="27352"/>
    <cellStyle name="Procentowy 3 15 43" xfId="27353"/>
    <cellStyle name="Procentowy 3 15 44" xfId="27354"/>
    <cellStyle name="Procentowy 3 15 45" xfId="27355"/>
    <cellStyle name="Procentowy 3 15 46" xfId="27356"/>
    <cellStyle name="Procentowy 3 15 47" xfId="27357"/>
    <cellStyle name="Procentowy 3 15 48" xfId="27358"/>
    <cellStyle name="Procentowy 3 15 49" xfId="27359"/>
    <cellStyle name="Procentowy 3 15 5" xfId="27360"/>
    <cellStyle name="Procentowy 3 15 5 2" xfId="27361"/>
    <cellStyle name="Procentowy 3 15 5 3" xfId="27362"/>
    <cellStyle name="Procentowy 3 15 5 4" xfId="27363"/>
    <cellStyle name="Procentowy 3 15 5 5" xfId="27364"/>
    <cellStyle name="Procentowy 3 15 5 6" xfId="27365"/>
    <cellStyle name="Procentowy 3 15 5 7" xfId="27366"/>
    <cellStyle name="Procentowy 3 15 50" xfId="27367"/>
    <cellStyle name="Procentowy 3 15 51" xfId="27368"/>
    <cellStyle name="Procentowy 3 15 52" xfId="27369"/>
    <cellStyle name="Procentowy 3 15 53" xfId="27370"/>
    <cellStyle name="Procentowy 3 15 54" xfId="27371"/>
    <cellStyle name="Procentowy 3 15 55" xfId="27372"/>
    <cellStyle name="Procentowy 3 15 56" xfId="27373"/>
    <cellStyle name="Procentowy 3 15 57" xfId="27374"/>
    <cellStyle name="Procentowy 3 15 58" xfId="27375"/>
    <cellStyle name="Procentowy 3 15 59" xfId="27376"/>
    <cellStyle name="Procentowy 3 15 6" xfId="27377"/>
    <cellStyle name="Procentowy 3 15 6 2" xfId="27378"/>
    <cellStyle name="Procentowy 3 15 60" xfId="27379"/>
    <cellStyle name="Procentowy 3 15 61" xfId="27380"/>
    <cellStyle name="Procentowy 3 15 62" xfId="27381"/>
    <cellStyle name="Procentowy 3 15 63" xfId="27382"/>
    <cellStyle name="Procentowy 3 15 64" xfId="27383"/>
    <cellStyle name="Procentowy 3 15 65" xfId="27384"/>
    <cellStyle name="Procentowy 3 15 66" xfId="27385"/>
    <cellStyle name="Procentowy 3 15 67" xfId="27386"/>
    <cellStyle name="Procentowy 3 15 68" xfId="27387"/>
    <cellStyle name="Procentowy 3 15 69" xfId="27388"/>
    <cellStyle name="Procentowy 3 15 7" xfId="27389"/>
    <cellStyle name="Procentowy 3 15 7 2" xfId="27390"/>
    <cellStyle name="Procentowy 3 15 70" xfId="27391"/>
    <cellStyle name="Procentowy 3 15 71" xfId="27392"/>
    <cellStyle name="Procentowy 3 15 72" xfId="27393"/>
    <cellStyle name="Procentowy 3 15 73" xfId="27394"/>
    <cellStyle name="Procentowy 3 15 74" xfId="27395"/>
    <cellStyle name="Procentowy 3 15 8" xfId="27396"/>
    <cellStyle name="Procentowy 3 15 8 2" xfId="27397"/>
    <cellStyle name="Procentowy 3 15 9" xfId="27398"/>
    <cellStyle name="Procentowy 3 15 9 2" xfId="27399"/>
    <cellStyle name="Procentowy 3 16" xfId="27400"/>
    <cellStyle name="Procentowy 3 16 10" xfId="27401"/>
    <cellStyle name="Procentowy 3 16 10 2" xfId="27402"/>
    <cellStyle name="Procentowy 3 16 11" xfId="27403"/>
    <cellStyle name="Procentowy 3 16 11 2" xfId="27404"/>
    <cellStyle name="Procentowy 3 16 12" xfId="27405"/>
    <cellStyle name="Procentowy 3 16 12 2" xfId="27406"/>
    <cellStyle name="Procentowy 3 16 13" xfId="27407"/>
    <cellStyle name="Procentowy 3 16 13 2" xfId="27408"/>
    <cellStyle name="Procentowy 3 16 14" xfId="27409"/>
    <cellStyle name="Procentowy 3 16 14 2" xfId="27410"/>
    <cellStyle name="Procentowy 3 16 15" xfId="27411"/>
    <cellStyle name="Procentowy 3 16 15 2" xfId="27412"/>
    <cellStyle name="Procentowy 3 16 16" xfId="27413"/>
    <cellStyle name="Procentowy 3 16 16 2" xfId="27414"/>
    <cellStyle name="Procentowy 3 16 17" xfId="27415"/>
    <cellStyle name="Procentowy 3 16 17 2" xfId="27416"/>
    <cellStyle name="Procentowy 3 16 18" xfId="27417"/>
    <cellStyle name="Procentowy 3 16 18 2" xfId="27418"/>
    <cellStyle name="Procentowy 3 16 19" xfId="27419"/>
    <cellStyle name="Procentowy 3 16 19 2" xfId="27420"/>
    <cellStyle name="Procentowy 3 16 2" xfId="27421"/>
    <cellStyle name="Procentowy 3 16 2 2" xfId="27422"/>
    <cellStyle name="Procentowy 3 16 2 3" xfId="27423"/>
    <cellStyle name="Procentowy 3 16 2 4" xfId="27424"/>
    <cellStyle name="Procentowy 3 16 2 5" xfId="27425"/>
    <cellStyle name="Procentowy 3 16 2 6" xfId="27426"/>
    <cellStyle name="Procentowy 3 16 2 7" xfId="27427"/>
    <cellStyle name="Procentowy 3 16 20" xfId="27428"/>
    <cellStyle name="Procentowy 3 16 20 2" xfId="27429"/>
    <cellStyle name="Procentowy 3 16 21" xfId="27430"/>
    <cellStyle name="Procentowy 3 16 21 2" xfId="27431"/>
    <cellStyle name="Procentowy 3 16 22" xfId="27432"/>
    <cellStyle name="Procentowy 3 16 22 2" xfId="27433"/>
    <cellStyle name="Procentowy 3 16 23" xfId="27434"/>
    <cellStyle name="Procentowy 3 16 23 2" xfId="27435"/>
    <cellStyle name="Procentowy 3 16 24" xfId="27436"/>
    <cellStyle name="Procentowy 3 16 24 2" xfId="27437"/>
    <cellStyle name="Procentowy 3 16 25" xfId="27438"/>
    <cellStyle name="Procentowy 3 16 25 2" xfId="27439"/>
    <cellStyle name="Procentowy 3 16 26" xfId="27440"/>
    <cellStyle name="Procentowy 3 16 26 2" xfId="27441"/>
    <cellStyle name="Procentowy 3 16 27" xfId="27442"/>
    <cellStyle name="Procentowy 3 16 27 2" xfId="27443"/>
    <cellStyle name="Procentowy 3 16 28" xfId="27444"/>
    <cellStyle name="Procentowy 3 16 28 2" xfId="27445"/>
    <cellStyle name="Procentowy 3 16 29" xfId="27446"/>
    <cellStyle name="Procentowy 3 16 29 2" xfId="27447"/>
    <cellStyle name="Procentowy 3 16 3" xfId="27448"/>
    <cellStyle name="Procentowy 3 16 3 2" xfId="27449"/>
    <cellStyle name="Procentowy 3 16 3 3" xfId="27450"/>
    <cellStyle name="Procentowy 3 16 3 4" xfId="27451"/>
    <cellStyle name="Procentowy 3 16 3 5" xfId="27452"/>
    <cellStyle name="Procentowy 3 16 3 6" xfId="27453"/>
    <cellStyle name="Procentowy 3 16 3 7" xfId="27454"/>
    <cellStyle name="Procentowy 3 16 30" xfId="27455"/>
    <cellStyle name="Procentowy 3 16 30 2" xfId="27456"/>
    <cellStyle name="Procentowy 3 16 31" xfId="27457"/>
    <cellStyle name="Procentowy 3 16 31 2" xfId="27458"/>
    <cellStyle name="Procentowy 3 16 32" xfId="27459"/>
    <cellStyle name="Procentowy 3 16 33" xfId="27460"/>
    <cellStyle name="Procentowy 3 16 34" xfId="27461"/>
    <cellStyle name="Procentowy 3 16 35" xfId="27462"/>
    <cellStyle name="Procentowy 3 16 36" xfId="27463"/>
    <cellStyle name="Procentowy 3 16 37" xfId="27464"/>
    <cellStyle name="Procentowy 3 16 38" xfId="27465"/>
    <cellStyle name="Procentowy 3 16 39" xfId="27466"/>
    <cellStyle name="Procentowy 3 16 4" xfId="27467"/>
    <cellStyle name="Procentowy 3 16 4 2" xfId="27468"/>
    <cellStyle name="Procentowy 3 16 4 3" xfId="27469"/>
    <cellStyle name="Procentowy 3 16 4 4" xfId="27470"/>
    <cellStyle name="Procentowy 3 16 4 5" xfId="27471"/>
    <cellStyle name="Procentowy 3 16 4 6" xfId="27472"/>
    <cellStyle name="Procentowy 3 16 4 7" xfId="27473"/>
    <cellStyle name="Procentowy 3 16 40" xfId="27474"/>
    <cellStyle name="Procentowy 3 16 41" xfId="27475"/>
    <cellStyle name="Procentowy 3 16 42" xfId="27476"/>
    <cellStyle name="Procentowy 3 16 43" xfId="27477"/>
    <cellStyle name="Procentowy 3 16 44" xfId="27478"/>
    <cellStyle name="Procentowy 3 16 45" xfId="27479"/>
    <cellStyle name="Procentowy 3 16 46" xfId="27480"/>
    <cellStyle name="Procentowy 3 16 47" xfId="27481"/>
    <cellStyle name="Procentowy 3 16 48" xfId="27482"/>
    <cellStyle name="Procentowy 3 16 49" xfId="27483"/>
    <cellStyle name="Procentowy 3 16 5" xfId="27484"/>
    <cellStyle name="Procentowy 3 16 5 2" xfId="27485"/>
    <cellStyle name="Procentowy 3 16 5 3" xfId="27486"/>
    <cellStyle name="Procentowy 3 16 5 4" xfId="27487"/>
    <cellStyle name="Procentowy 3 16 5 5" xfId="27488"/>
    <cellStyle name="Procentowy 3 16 5 6" xfId="27489"/>
    <cellStyle name="Procentowy 3 16 5 7" xfId="27490"/>
    <cellStyle name="Procentowy 3 16 50" xfId="27491"/>
    <cellStyle name="Procentowy 3 16 51" xfId="27492"/>
    <cellStyle name="Procentowy 3 16 52" xfId="27493"/>
    <cellStyle name="Procentowy 3 16 53" xfId="27494"/>
    <cellStyle name="Procentowy 3 16 54" xfId="27495"/>
    <cellStyle name="Procentowy 3 16 55" xfId="27496"/>
    <cellStyle name="Procentowy 3 16 56" xfId="27497"/>
    <cellStyle name="Procentowy 3 16 57" xfId="27498"/>
    <cellStyle name="Procentowy 3 16 58" xfId="27499"/>
    <cellStyle name="Procentowy 3 16 59" xfId="27500"/>
    <cellStyle name="Procentowy 3 16 6" xfId="27501"/>
    <cellStyle name="Procentowy 3 16 6 2" xfId="27502"/>
    <cellStyle name="Procentowy 3 16 60" xfId="27503"/>
    <cellStyle name="Procentowy 3 16 61" xfId="27504"/>
    <cellStyle name="Procentowy 3 16 62" xfId="27505"/>
    <cellStyle name="Procentowy 3 16 63" xfId="27506"/>
    <cellStyle name="Procentowy 3 16 64" xfId="27507"/>
    <cellStyle name="Procentowy 3 16 65" xfId="27508"/>
    <cellStyle name="Procentowy 3 16 66" xfId="27509"/>
    <cellStyle name="Procentowy 3 16 67" xfId="27510"/>
    <cellStyle name="Procentowy 3 16 68" xfId="27511"/>
    <cellStyle name="Procentowy 3 16 69" xfId="27512"/>
    <cellStyle name="Procentowy 3 16 7" xfId="27513"/>
    <cellStyle name="Procentowy 3 16 7 2" xfId="27514"/>
    <cellStyle name="Procentowy 3 16 70" xfId="27515"/>
    <cellStyle name="Procentowy 3 16 71" xfId="27516"/>
    <cellStyle name="Procentowy 3 16 72" xfId="27517"/>
    <cellStyle name="Procentowy 3 16 73" xfId="27518"/>
    <cellStyle name="Procentowy 3 16 74" xfId="27519"/>
    <cellStyle name="Procentowy 3 16 8" xfId="27520"/>
    <cellStyle name="Procentowy 3 16 8 2" xfId="27521"/>
    <cellStyle name="Procentowy 3 16 9" xfId="27522"/>
    <cellStyle name="Procentowy 3 16 9 2" xfId="27523"/>
    <cellStyle name="Procentowy 3 17" xfId="27524"/>
    <cellStyle name="Procentowy 3 17 10" xfId="27525"/>
    <cellStyle name="Procentowy 3 17 10 2" xfId="27526"/>
    <cellStyle name="Procentowy 3 17 11" xfId="27527"/>
    <cellStyle name="Procentowy 3 17 11 2" xfId="27528"/>
    <cellStyle name="Procentowy 3 17 12" xfId="27529"/>
    <cellStyle name="Procentowy 3 17 12 2" xfId="27530"/>
    <cellStyle name="Procentowy 3 17 13" xfId="27531"/>
    <cellStyle name="Procentowy 3 17 13 2" xfId="27532"/>
    <cellStyle name="Procentowy 3 17 14" xfId="27533"/>
    <cellStyle name="Procentowy 3 17 14 2" xfId="27534"/>
    <cellStyle name="Procentowy 3 17 15" xfId="27535"/>
    <cellStyle name="Procentowy 3 17 15 2" xfId="27536"/>
    <cellStyle name="Procentowy 3 17 16" xfId="27537"/>
    <cellStyle name="Procentowy 3 17 16 2" xfId="27538"/>
    <cellStyle name="Procentowy 3 17 17" xfId="27539"/>
    <cellStyle name="Procentowy 3 17 17 2" xfId="27540"/>
    <cellStyle name="Procentowy 3 17 18" xfId="27541"/>
    <cellStyle name="Procentowy 3 17 18 2" xfId="27542"/>
    <cellStyle name="Procentowy 3 17 19" xfId="27543"/>
    <cellStyle name="Procentowy 3 17 19 2" xfId="27544"/>
    <cellStyle name="Procentowy 3 17 2" xfId="27545"/>
    <cellStyle name="Procentowy 3 17 2 2" xfId="27546"/>
    <cellStyle name="Procentowy 3 17 2 3" xfId="27547"/>
    <cellStyle name="Procentowy 3 17 2 4" xfId="27548"/>
    <cellStyle name="Procentowy 3 17 2 5" xfId="27549"/>
    <cellStyle name="Procentowy 3 17 2 6" xfId="27550"/>
    <cellStyle name="Procentowy 3 17 2 7" xfId="27551"/>
    <cellStyle name="Procentowy 3 17 20" xfId="27552"/>
    <cellStyle name="Procentowy 3 17 20 2" xfId="27553"/>
    <cellStyle name="Procentowy 3 17 21" xfId="27554"/>
    <cellStyle name="Procentowy 3 17 21 2" xfId="27555"/>
    <cellStyle name="Procentowy 3 17 22" xfId="27556"/>
    <cellStyle name="Procentowy 3 17 22 2" xfId="27557"/>
    <cellStyle name="Procentowy 3 17 23" xfId="27558"/>
    <cellStyle name="Procentowy 3 17 23 2" xfId="27559"/>
    <cellStyle name="Procentowy 3 17 24" xfId="27560"/>
    <cellStyle name="Procentowy 3 17 24 2" xfId="27561"/>
    <cellStyle name="Procentowy 3 17 25" xfId="27562"/>
    <cellStyle name="Procentowy 3 17 25 2" xfId="27563"/>
    <cellStyle name="Procentowy 3 17 26" xfId="27564"/>
    <cellStyle name="Procentowy 3 17 26 2" xfId="27565"/>
    <cellStyle name="Procentowy 3 17 27" xfId="27566"/>
    <cellStyle name="Procentowy 3 17 27 2" xfId="27567"/>
    <cellStyle name="Procentowy 3 17 28" xfId="27568"/>
    <cellStyle name="Procentowy 3 17 28 2" xfId="27569"/>
    <cellStyle name="Procentowy 3 17 29" xfId="27570"/>
    <cellStyle name="Procentowy 3 17 29 2" xfId="27571"/>
    <cellStyle name="Procentowy 3 17 3" xfId="27572"/>
    <cellStyle name="Procentowy 3 17 3 2" xfId="27573"/>
    <cellStyle name="Procentowy 3 17 3 3" xfId="27574"/>
    <cellStyle name="Procentowy 3 17 3 4" xfId="27575"/>
    <cellStyle name="Procentowy 3 17 3 5" xfId="27576"/>
    <cellStyle name="Procentowy 3 17 3 6" xfId="27577"/>
    <cellStyle name="Procentowy 3 17 3 7" xfId="27578"/>
    <cellStyle name="Procentowy 3 17 30" xfId="27579"/>
    <cellStyle name="Procentowy 3 17 30 2" xfId="27580"/>
    <cellStyle name="Procentowy 3 17 31" xfId="27581"/>
    <cellStyle name="Procentowy 3 17 31 2" xfId="27582"/>
    <cellStyle name="Procentowy 3 17 32" xfId="27583"/>
    <cellStyle name="Procentowy 3 17 33" xfId="27584"/>
    <cellStyle name="Procentowy 3 17 34" xfId="27585"/>
    <cellStyle name="Procentowy 3 17 35" xfId="27586"/>
    <cellStyle name="Procentowy 3 17 36" xfId="27587"/>
    <cellStyle name="Procentowy 3 17 37" xfId="27588"/>
    <cellStyle name="Procentowy 3 17 38" xfId="27589"/>
    <cellStyle name="Procentowy 3 17 39" xfId="27590"/>
    <cellStyle name="Procentowy 3 17 4" xfId="27591"/>
    <cellStyle name="Procentowy 3 17 4 2" xfId="27592"/>
    <cellStyle name="Procentowy 3 17 4 3" xfId="27593"/>
    <cellStyle name="Procentowy 3 17 4 4" xfId="27594"/>
    <cellStyle name="Procentowy 3 17 4 5" xfId="27595"/>
    <cellStyle name="Procentowy 3 17 4 6" xfId="27596"/>
    <cellStyle name="Procentowy 3 17 4 7" xfId="27597"/>
    <cellStyle name="Procentowy 3 17 40" xfId="27598"/>
    <cellStyle name="Procentowy 3 17 41" xfId="27599"/>
    <cellStyle name="Procentowy 3 17 42" xfId="27600"/>
    <cellStyle name="Procentowy 3 17 43" xfId="27601"/>
    <cellStyle name="Procentowy 3 17 44" xfId="27602"/>
    <cellStyle name="Procentowy 3 17 45" xfId="27603"/>
    <cellStyle name="Procentowy 3 17 46" xfId="27604"/>
    <cellStyle name="Procentowy 3 17 47" xfId="27605"/>
    <cellStyle name="Procentowy 3 17 48" xfId="27606"/>
    <cellStyle name="Procentowy 3 17 49" xfId="27607"/>
    <cellStyle name="Procentowy 3 17 5" xfId="27608"/>
    <cellStyle name="Procentowy 3 17 5 2" xfId="27609"/>
    <cellStyle name="Procentowy 3 17 5 3" xfId="27610"/>
    <cellStyle name="Procentowy 3 17 5 4" xfId="27611"/>
    <cellStyle name="Procentowy 3 17 5 5" xfId="27612"/>
    <cellStyle name="Procentowy 3 17 5 6" xfId="27613"/>
    <cellStyle name="Procentowy 3 17 5 7" xfId="27614"/>
    <cellStyle name="Procentowy 3 17 50" xfId="27615"/>
    <cellStyle name="Procentowy 3 17 51" xfId="27616"/>
    <cellStyle name="Procentowy 3 17 52" xfId="27617"/>
    <cellStyle name="Procentowy 3 17 53" xfId="27618"/>
    <cellStyle name="Procentowy 3 17 54" xfId="27619"/>
    <cellStyle name="Procentowy 3 17 55" xfId="27620"/>
    <cellStyle name="Procentowy 3 17 56" xfId="27621"/>
    <cellStyle name="Procentowy 3 17 57" xfId="27622"/>
    <cellStyle name="Procentowy 3 17 58" xfId="27623"/>
    <cellStyle name="Procentowy 3 17 59" xfId="27624"/>
    <cellStyle name="Procentowy 3 17 6" xfId="27625"/>
    <cellStyle name="Procentowy 3 17 6 2" xfId="27626"/>
    <cellStyle name="Procentowy 3 17 60" xfId="27627"/>
    <cellStyle name="Procentowy 3 17 61" xfId="27628"/>
    <cellStyle name="Procentowy 3 17 62" xfId="27629"/>
    <cellStyle name="Procentowy 3 17 63" xfId="27630"/>
    <cellStyle name="Procentowy 3 17 64" xfId="27631"/>
    <cellStyle name="Procentowy 3 17 65" xfId="27632"/>
    <cellStyle name="Procentowy 3 17 66" xfId="27633"/>
    <cellStyle name="Procentowy 3 17 67" xfId="27634"/>
    <cellStyle name="Procentowy 3 17 68" xfId="27635"/>
    <cellStyle name="Procentowy 3 17 69" xfId="27636"/>
    <cellStyle name="Procentowy 3 17 7" xfId="27637"/>
    <cellStyle name="Procentowy 3 17 7 2" xfId="27638"/>
    <cellStyle name="Procentowy 3 17 70" xfId="27639"/>
    <cellStyle name="Procentowy 3 17 71" xfId="27640"/>
    <cellStyle name="Procentowy 3 17 72" xfId="27641"/>
    <cellStyle name="Procentowy 3 17 73" xfId="27642"/>
    <cellStyle name="Procentowy 3 17 74" xfId="27643"/>
    <cellStyle name="Procentowy 3 17 8" xfId="27644"/>
    <cellStyle name="Procentowy 3 17 8 2" xfId="27645"/>
    <cellStyle name="Procentowy 3 17 9" xfId="27646"/>
    <cellStyle name="Procentowy 3 17 9 2" xfId="27647"/>
    <cellStyle name="Procentowy 3 18" xfId="27648"/>
    <cellStyle name="Procentowy 3 18 10" xfId="27649"/>
    <cellStyle name="Procentowy 3 18 10 2" xfId="27650"/>
    <cellStyle name="Procentowy 3 18 11" xfId="27651"/>
    <cellStyle name="Procentowy 3 18 11 2" xfId="27652"/>
    <cellStyle name="Procentowy 3 18 12" xfId="27653"/>
    <cellStyle name="Procentowy 3 18 12 2" xfId="27654"/>
    <cellStyle name="Procentowy 3 18 13" xfId="27655"/>
    <cellStyle name="Procentowy 3 18 13 2" xfId="27656"/>
    <cellStyle name="Procentowy 3 18 14" xfId="27657"/>
    <cellStyle name="Procentowy 3 18 14 2" xfId="27658"/>
    <cellStyle name="Procentowy 3 18 15" xfId="27659"/>
    <cellStyle name="Procentowy 3 18 15 2" xfId="27660"/>
    <cellStyle name="Procentowy 3 18 16" xfId="27661"/>
    <cellStyle name="Procentowy 3 18 16 2" xfId="27662"/>
    <cellStyle name="Procentowy 3 18 17" xfId="27663"/>
    <cellStyle name="Procentowy 3 18 17 2" xfId="27664"/>
    <cellStyle name="Procentowy 3 18 18" xfId="27665"/>
    <cellStyle name="Procentowy 3 18 18 2" xfId="27666"/>
    <cellStyle name="Procentowy 3 18 19" xfId="27667"/>
    <cellStyle name="Procentowy 3 18 19 2" xfId="27668"/>
    <cellStyle name="Procentowy 3 18 2" xfId="27669"/>
    <cellStyle name="Procentowy 3 18 2 2" xfId="27670"/>
    <cellStyle name="Procentowy 3 18 2 3" xfId="27671"/>
    <cellStyle name="Procentowy 3 18 2 4" xfId="27672"/>
    <cellStyle name="Procentowy 3 18 2 5" xfId="27673"/>
    <cellStyle name="Procentowy 3 18 2 6" xfId="27674"/>
    <cellStyle name="Procentowy 3 18 2 7" xfId="27675"/>
    <cellStyle name="Procentowy 3 18 20" xfId="27676"/>
    <cellStyle name="Procentowy 3 18 20 2" xfId="27677"/>
    <cellStyle name="Procentowy 3 18 21" xfId="27678"/>
    <cellStyle name="Procentowy 3 18 21 2" xfId="27679"/>
    <cellStyle name="Procentowy 3 18 22" xfId="27680"/>
    <cellStyle name="Procentowy 3 18 22 2" xfId="27681"/>
    <cellStyle name="Procentowy 3 18 23" xfId="27682"/>
    <cellStyle name="Procentowy 3 18 23 2" xfId="27683"/>
    <cellStyle name="Procentowy 3 18 24" xfId="27684"/>
    <cellStyle name="Procentowy 3 18 24 2" xfId="27685"/>
    <cellStyle name="Procentowy 3 18 25" xfId="27686"/>
    <cellStyle name="Procentowy 3 18 25 2" xfId="27687"/>
    <cellStyle name="Procentowy 3 18 26" xfId="27688"/>
    <cellStyle name="Procentowy 3 18 26 2" xfId="27689"/>
    <cellStyle name="Procentowy 3 18 27" xfId="27690"/>
    <cellStyle name="Procentowy 3 18 27 2" xfId="27691"/>
    <cellStyle name="Procentowy 3 18 28" xfId="27692"/>
    <cellStyle name="Procentowy 3 18 28 2" xfId="27693"/>
    <cellStyle name="Procentowy 3 18 29" xfId="27694"/>
    <cellStyle name="Procentowy 3 18 29 2" xfId="27695"/>
    <cellStyle name="Procentowy 3 18 3" xfId="27696"/>
    <cellStyle name="Procentowy 3 18 3 2" xfId="27697"/>
    <cellStyle name="Procentowy 3 18 3 3" xfId="27698"/>
    <cellStyle name="Procentowy 3 18 3 4" xfId="27699"/>
    <cellStyle name="Procentowy 3 18 3 5" xfId="27700"/>
    <cellStyle name="Procentowy 3 18 3 6" xfId="27701"/>
    <cellStyle name="Procentowy 3 18 3 7" xfId="27702"/>
    <cellStyle name="Procentowy 3 18 30" xfId="27703"/>
    <cellStyle name="Procentowy 3 18 30 2" xfId="27704"/>
    <cellStyle name="Procentowy 3 18 31" xfId="27705"/>
    <cellStyle name="Procentowy 3 18 31 2" xfId="27706"/>
    <cellStyle name="Procentowy 3 18 32" xfId="27707"/>
    <cellStyle name="Procentowy 3 18 33" xfId="27708"/>
    <cellStyle name="Procentowy 3 18 34" xfId="27709"/>
    <cellStyle name="Procentowy 3 18 35" xfId="27710"/>
    <cellStyle name="Procentowy 3 18 36" xfId="27711"/>
    <cellStyle name="Procentowy 3 18 37" xfId="27712"/>
    <cellStyle name="Procentowy 3 18 38" xfId="27713"/>
    <cellStyle name="Procentowy 3 18 39" xfId="27714"/>
    <cellStyle name="Procentowy 3 18 4" xfId="27715"/>
    <cellStyle name="Procentowy 3 18 4 2" xfId="27716"/>
    <cellStyle name="Procentowy 3 18 4 3" xfId="27717"/>
    <cellStyle name="Procentowy 3 18 4 4" xfId="27718"/>
    <cellStyle name="Procentowy 3 18 4 5" xfId="27719"/>
    <cellStyle name="Procentowy 3 18 4 6" xfId="27720"/>
    <cellStyle name="Procentowy 3 18 4 7" xfId="27721"/>
    <cellStyle name="Procentowy 3 18 40" xfId="27722"/>
    <cellStyle name="Procentowy 3 18 41" xfId="27723"/>
    <cellStyle name="Procentowy 3 18 42" xfId="27724"/>
    <cellStyle name="Procentowy 3 18 43" xfId="27725"/>
    <cellStyle name="Procentowy 3 18 44" xfId="27726"/>
    <cellStyle name="Procentowy 3 18 45" xfId="27727"/>
    <cellStyle name="Procentowy 3 18 46" xfId="27728"/>
    <cellStyle name="Procentowy 3 18 47" xfId="27729"/>
    <cellStyle name="Procentowy 3 18 48" xfId="27730"/>
    <cellStyle name="Procentowy 3 18 49" xfId="27731"/>
    <cellStyle name="Procentowy 3 18 5" xfId="27732"/>
    <cellStyle name="Procentowy 3 18 5 2" xfId="27733"/>
    <cellStyle name="Procentowy 3 18 5 3" xfId="27734"/>
    <cellStyle name="Procentowy 3 18 5 4" xfId="27735"/>
    <cellStyle name="Procentowy 3 18 5 5" xfId="27736"/>
    <cellStyle name="Procentowy 3 18 5 6" xfId="27737"/>
    <cellStyle name="Procentowy 3 18 5 7" xfId="27738"/>
    <cellStyle name="Procentowy 3 18 50" xfId="27739"/>
    <cellStyle name="Procentowy 3 18 51" xfId="27740"/>
    <cellStyle name="Procentowy 3 18 52" xfId="27741"/>
    <cellStyle name="Procentowy 3 18 53" xfId="27742"/>
    <cellStyle name="Procentowy 3 18 54" xfId="27743"/>
    <cellStyle name="Procentowy 3 18 55" xfId="27744"/>
    <cellStyle name="Procentowy 3 18 56" xfId="27745"/>
    <cellStyle name="Procentowy 3 18 57" xfId="27746"/>
    <cellStyle name="Procentowy 3 18 58" xfId="27747"/>
    <cellStyle name="Procentowy 3 18 59" xfId="27748"/>
    <cellStyle name="Procentowy 3 18 6" xfId="27749"/>
    <cellStyle name="Procentowy 3 18 6 2" xfId="27750"/>
    <cellStyle name="Procentowy 3 18 60" xfId="27751"/>
    <cellStyle name="Procentowy 3 18 61" xfId="27752"/>
    <cellStyle name="Procentowy 3 18 62" xfId="27753"/>
    <cellStyle name="Procentowy 3 18 63" xfId="27754"/>
    <cellStyle name="Procentowy 3 18 64" xfId="27755"/>
    <cellStyle name="Procentowy 3 18 65" xfId="27756"/>
    <cellStyle name="Procentowy 3 18 66" xfId="27757"/>
    <cellStyle name="Procentowy 3 18 67" xfId="27758"/>
    <cellStyle name="Procentowy 3 18 68" xfId="27759"/>
    <cellStyle name="Procentowy 3 18 69" xfId="27760"/>
    <cellStyle name="Procentowy 3 18 7" xfId="27761"/>
    <cellStyle name="Procentowy 3 18 7 2" xfId="27762"/>
    <cellStyle name="Procentowy 3 18 70" xfId="27763"/>
    <cellStyle name="Procentowy 3 18 71" xfId="27764"/>
    <cellStyle name="Procentowy 3 18 72" xfId="27765"/>
    <cellStyle name="Procentowy 3 18 73" xfId="27766"/>
    <cellStyle name="Procentowy 3 18 74" xfId="27767"/>
    <cellStyle name="Procentowy 3 18 8" xfId="27768"/>
    <cellStyle name="Procentowy 3 18 8 2" xfId="27769"/>
    <cellStyle name="Procentowy 3 18 9" xfId="27770"/>
    <cellStyle name="Procentowy 3 18 9 2" xfId="27771"/>
    <cellStyle name="Procentowy 3 19" xfId="27772"/>
    <cellStyle name="Procentowy 3 19 10" xfId="27773"/>
    <cellStyle name="Procentowy 3 19 10 2" xfId="27774"/>
    <cellStyle name="Procentowy 3 19 11" xfId="27775"/>
    <cellStyle name="Procentowy 3 19 11 2" xfId="27776"/>
    <cellStyle name="Procentowy 3 19 12" xfId="27777"/>
    <cellStyle name="Procentowy 3 19 12 2" xfId="27778"/>
    <cellStyle name="Procentowy 3 19 13" xfId="27779"/>
    <cellStyle name="Procentowy 3 19 13 2" xfId="27780"/>
    <cellStyle name="Procentowy 3 19 14" xfId="27781"/>
    <cellStyle name="Procentowy 3 19 14 2" xfId="27782"/>
    <cellStyle name="Procentowy 3 19 15" xfId="27783"/>
    <cellStyle name="Procentowy 3 19 15 2" xfId="27784"/>
    <cellStyle name="Procentowy 3 19 16" xfId="27785"/>
    <cellStyle name="Procentowy 3 19 16 2" xfId="27786"/>
    <cellStyle name="Procentowy 3 19 17" xfId="27787"/>
    <cellStyle name="Procentowy 3 19 17 2" xfId="27788"/>
    <cellStyle name="Procentowy 3 19 18" xfId="27789"/>
    <cellStyle name="Procentowy 3 19 18 2" xfId="27790"/>
    <cellStyle name="Procentowy 3 19 19" xfId="27791"/>
    <cellStyle name="Procentowy 3 19 19 2" xfId="27792"/>
    <cellStyle name="Procentowy 3 19 2" xfId="27793"/>
    <cellStyle name="Procentowy 3 19 2 2" xfId="27794"/>
    <cellStyle name="Procentowy 3 19 2 3" xfId="27795"/>
    <cellStyle name="Procentowy 3 19 2 4" xfId="27796"/>
    <cellStyle name="Procentowy 3 19 2 5" xfId="27797"/>
    <cellStyle name="Procentowy 3 19 2 6" xfId="27798"/>
    <cellStyle name="Procentowy 3 19 2 7" xfId="27799"/>
    <cellStyle name="Procentowy 3 19 20" xfId="27800"/>
    <cellStyle name="Procentowy 3 19 20 2" xfId="27801"/>
    <cellStyle name="Procentowy 3 19 21" xfId="27802"/>
    <cellStyle name="Procentowy 3 19 21 2" xfId="27803"/>
    <cellStyle name="Procentowy 3 19 22" xfId="27804"/>
    <cellStyle name="Procentowy 3 19 22 2" xfId="27805"/>
    <cellStyle name="Procentowy 3 19 23" xfId="27806"/>
    <cellStyle name="Procentowy 3 19 23 2" xfId="27807"/>
    <cellStyle name="Procentowy 3 19 24" xfId="27808"/>
    <cellStyle name="Procentowy 3 19 24 2" xfId="27809"/>
    <cellStyle name="Procentowy 3 19 25" xfId="27810"/>
    <cellStyle name="Procentowy 3 19 25 2" xfId="27811"/>
    <cellStyle name="Procentowy 3 19 26" xfId="27812"/>
    <cellStyle name="Procentowy 3 19 26 2" xfId="27813"/>
    <cellStyle name="Procentowy 3 19 27" xfId="27814"/>
    <cellStyle name="Procentowy 3 19 27 2" xfId="27815"/>
    <cellStyle name="Procentowy 3 19 28" xfId="27816"/>
    <cellStyle name="Procentowy 3 19 28 2" xfId="27817"/>
    <cellStyle name="Procentowy 3 19 29" xfId="27818"/>
    <cellStyle name="Procentowy 3 19 29 2" xfId="27819"/>
    <cellStyle name="Procentowy 3 19 3" xfId="27820"/>
    <cellStyle name="Procentowy 3 19 3 2" xfId="27821"/>
    <cellStyle name="Procentowy 3 19 3 3" xfId="27822"/>
    <cellStyle name="Procentowy 3 19 3 4" xfId="27823"/>
    <cellStyle name="Procentowy 3 19 3 5" xfId="27824"/>
    <cellStyle name="Procentowy 3 19 3 6" xfId="27825"/>
    <cellStyle name="Procentowy 3 19 3 7" xfId="27826"/>
    <cellStyle name="Procentowy 3 19 30" xfId="27827"/>
    <cellStyle name="Procentowy 3 19 30 2" xfId="27828"/>
    <cellStyle name="Procentowy 3 19 31" xfId="27829"/>
    <cellStyle name="Procentowy 3 19 31 2" xfId="27830"/>
    <cellStyle name="Procentowy 3 19 32" xfId="27831"/>
    <cellStyle name="Procentowy 3 19 33" xfId="27832"/>
    <cellStyle name="Procentowy 3 19 34" xfId="27833"/>
    <cellStyle name="Procentowy 3 19 35" xfId="27834"/>
    <cellStyle name="Procentowy 3 19 36" xfId="27835"/>
    <cellStyle name="Procentowy 3 19 37" xfId="27836"/>
    <cellStyle name="Procentowy 3 19 38" xfId="27837"/>
    <cellStyle name="Procentowy 3 19 39" xfId="27838"/>
    <cellStyle name="Procentowy 3 19 4" xfId="27839"/>
    <cellStyle name="Procentowy 3 19 4 2" xfId="27840"/>
    <cellStyle name="Procentowy 3 19 4 3" xfId="27841"/>
    <cellStyle name="Procentowy 3 19 4 4" xfId="27842"/>
    <cellStyle name="Procentowy 3 19 4 5" xfId="27843"/>
    <cellStyle name="Procentowy 3 19 4 6" xfId="27844"/>
    <cellStyle name="Procentowy 3 19 4 7" xfId="27845"/>
    <cellStyle name="Procentowy 3 19 40" xfId="27846"/>
    <cellStyle name="Procentowy 3 19 41" xfId="27847"/>
    <cellStyle name="Procentowy 3 19 42" xfId="27848"/>
    <cellStyle name="Procentowy 3 19 43" xfId="27849"/>
    <cellStyle name="Procentowy 3 19 44" xfId="27850"/>
    <cellStyle name="Procentowy 3 19 45" xfId="27851"/>
    <cellStyle name="Procentowy 3 19 46" xfId="27852"/>
    <cellStyle name="Procentowy 3 19 47" xfId="27853"/>
    <cellStyle name="Procentowy 3 19 48" xfId="27854"/>
    <cellStyle name="Procentowy 3 19 49" xfId="27855"/>
    <cellStyle name="Procentowy 3 19 5" xfId="27856"/>
    <cellStyle name="Procentowy 3 19 5 2" xfId="27857"/>
    <cellStyle name="Procentowy 3 19 5 3" xfId="27858"/>
    <cellStyle name="Procentowy 3 19 5 4" xfId="27859"/>
    <cellStyle name="Procentowy 3 19 5 5" xfId="27860"/>
    <cellStyle name="Procentowy 3 19 5 6" xfId="27861"/>
    <cellStyle name="Procentowy 3 19 5 7" xfId="27862"/>
    <cellStyle name="Procentowy 3 19 50" xfId="27863"/>
    <cellStyle name="Procentowy 3 19 51" xfId="27864"/>
    <cellStyle name="Procentowy 3 19 52" xfId="27865"/>
    <cellStyle name="Procentowy 3 19 53" xfId="27866"/>
    <cellStyle name="Procentowy 3 19 54" xfId="27867"/>
    <cellStyle name="Procentowy 3 19 55" xfId="27868"/>
    <cellStyle name="Procentowy 3 19 56" xfId="27869"/>
    <cellStyle name="Procentowy 3 19 57" xfId="27870"/>
    <cellStyle name="Procentowy 3 19 58" xfId="27871"/>
    <cellStyle name="Procentowy 3 19 59" xfId="27872"/>
    <cellStyle name="Procentowy 3 19 6" xfId="27873"/>
    <cellStyle name="Procentowy 3 19 6 2" xfId="27874"/>
    <cellStyle name="Procentowy 3 19 60" xfId="27875"/>
    <cellStyle name="Procentowy 3 19 61" xfId="27876"/>
    <cellStyle name="Procentowy 3 19 62" xfId="27877"/>
    <cellStyle name="Procentowy 3 19 63" xfId="27878"/>
    <cellStyle name="Procentowy 3 19 64" xfId="27879"/>
    <cellStyle name="Procentowy 3 19 65" xfId="27880"/>
    <cellStyle name="Procentowy 3 19 66" xfId="27881"/>
    <cellStyle name="Procentowy 3 19 67" xfId="27882"/>
    <cellStyle name="Procentowy 3 19 68" xfId="27883"/>
    <cellStyle name="Procentowy 3 19 69" xfId="27884"/>
    <cellStyle name="Procentowy 3 19 7" xfId="27885"/>
    <cellStyle name="Procentowy 3 19 7 2" xfId="27886"/>
    <cellStyle name="Procentowy 3 19 70" xfId="27887"/>
    <cellStyle name="Procentowy 3 19 71" xfId="27888"/>
    <cellStyle name="Procentowy 3 19 72" xfId="27889"/>
    <cellStyle name="Procentowy 3 19 73" xfId="27890"/>
    <cellStyle name="Procentowy 3 19 74" xfId="27891"/>
    <cellStyle name="Procentowy 3 19 8" xfId="27892"/>
    <cellStyle name="Procentowy 3 19 8 2" xfId="27893"/>
    <cellStyle name="Procentowy 3 19 9" xfId="27894"/>
    <cellStyle name="Procentowy 3 19 9 2" xfId="27895"/>
    <cellStyle name="Procentowy 3 2" xfId="27896"/>
    <cellStyle name="Procentowy 3 2 10" xfId="27897"/>
    <cellStyle name="Procentowy 3 2 10 2" xfId="27898"/>
    <cellStyle name="Procentowy 3 2 11" xfId="27899"/>
    <cellStyle name="Procentowy 3 2 11 2" xfId="27900"/>
    <cellStyle name="Procentowy 3 2 12" xfId="27901"/>
    <cellStyle name="Procentowy 3 2 12 2" xfId="27902"/>
    <cellStyle name="Procentowy 3 2 13" xfId="27903"/>
    <cellStyle name="Procentowy 3 2 13 2" xfId="27904"/>
    <cellStyle name="Procentowy 3 2 14" xfId="27905"/>
    <cellStyle name="Procentowy 3 2 14 2" xfId="27906"/>
    <cellStyle name="Procentowy 3 2 15" xfId="27907"/>
    <cellStyle name="Procentowy 3 2 15 2" xfId="27908"/>
    <cellStyle name="Procentowy 3 2 16" xfId="27909"/>
    <cellStyle name="Procentowy 3 2 16 2" xfId="27910"/>
    <cellStyle name="Procentowy 3 2 17" xfId="27911"/>
    <cellStyle name="Procentowy 3 2 17 2" xfId="27912"/>
    <cellStyle name="Procentowy 3 2 18" xfId="27913"/>
    <cellStyle name="Procentowy 3 2 18 2" xfId="27914"/>
    <cellStyle name="Procentowy 3 2 19" xfId="27915"/>
    <cellStyle name="Procentowy 3 2 19 2" xfId="27916"/>
    <cellStyle name="Procentowy 3 2 2" xfId="27917"/>
    <cellStyle name="Procentowy 3 2 2 2" xfId="27918"/>
    <cellStyle name="Procentowy 3 2 2 2 2" xfId="27919"/>
    <cellStyle name="Procentowy 3 2 2 3" xfId="27920"/>
    <cellStyle name="Procentowy 3 2 2 4" xfId="27921"/>
    <cellStyle name="Procentowy 3 2 2 5" xfId="27922"/>
    <cellStyle name="Procentowy 3 2 2 6" xfId="27923"/>
    <cellStyle name="Procentowy 3 2 2 7" xfId="27924"/>
    <cellStyle name="Procentowy 3 2 2 8" xfId="27925"/>
    <cellStyle name="Procentowy 3 2 20" xfId="27926"/>
    <cellStyle name="Procentowy 3 2 20 2" xfId="27927"/>
    <cellStyle name="Procentowy 3 2 21" xfId="27928"/>
    <cellStyle name="Procentowy 3 2 21 2" xfId="27929"/>
    <cellStyle name="Procentowy 3 2 22" xfId="27930"/>
    <cellStyle name="Procentowy 3 2 22 2" xfId="27931"/>
    <cellStyle name="Procentowy 3 2 23" xfId="27932"/>
    <cellStyle name="Procentowy 3 2 23 2" xfId="27933"/>
    <cellStyle name="Procentowy 3 2 24" xfId="27934"/>
    <cellStyle name="Procentowy 3 2 24 2" xfId="27935"/>
    <cellStyle name="Procentowy 3 2 25" xfId="27936"/>
    <cellStyle name="Procentowy 3 2 25 2" xfId="27937"/>
    <cellStyle name="Procentowy 3 2 26" xfId="27938"/>
    <cellStyle name="Procentowy 3 2 26 2" xfId="27939"/>
    <cellStyle name="Procentowy 3 2 27" xfId="27940"/>
    <cellStyle name="Procentowy 3 2 27 2" xfId="27941"/>
    <cellStyle name="Procentowy 3 2 28" xfId="27942"/>
    <cellStyle name="Procentowy 3 2 28 2" xfId="27943"/>
    <cellStyle name="Procentowy 3 2 29" xfId="27944"/>
    <cellStyle name="Procentowy 3 2 29 2" xfId="27945"/>
    <cellStyle name="Procentowy 3 2 3" xfId="27946"/>
    <cellStyle name="Procentowy 3 2 3 2" xfId="27947"/>
    <cellStyle name="Procentowy 3 2 3 2 2" xfId="27948"/>
    <cellStyle name="Procentowy 3 2 3 3" xfId="27949"/>
    <cellStyle name="Procentowy 3 2 3 4" xfId="27950"/>
    <cellStyle name="Procentowy 3 2 3 5" xfId="27951"/>
    <cellStyle name="Procentowy 3 2 3 6" xfId="27952"/>
    <cellStyle name="Procentowy 3 2 3 7" xfId="27953"/>
    <cellStyle name="Procentowy 3 2 3 8" xfId="27954"/>
    <cellStyle name="Procentowy 3 2 30" xfId="27955"/>
    <cellStyle name="Procentowy 3 2 30 2" xfId="27956"/>
    <cellStyle name="Procentowy 3 2 31" xfId="27957"/>
    <cellStyle name="Procentowy 3 2 31 2" xfId="27958"/>
    <cellStyle name="Procentowy 3 2 32" xfId="27959"/>
    <cellStyle name="Procentowy 3 2 33" xfId="27960"/>
    <cellStyle name="Procentowy 3 2 34" xfId="27961"/>
    <cellStyle name="Procentowy 3 2 35" xfId="27962"/>
    <cellStyle name="Procentowy 3 2 36" xfId="27963"/>
    <cellStyle name="Procentowy 3 2 37" xfId="27964"/>
    <cellStyle name="Procentowy 3 2 38" xfId="27965"/>
    <cellStyle name="Procentowy 3 2 39" xfId="27966"/>
    <cellStyle name="Procentowy 3 2 4" xfId="27967"/>
    <cellStyle name="Procentowy 3 2 4 2" xfId="27968"/>
    <cellStyle name="Procentowy 3 2 4 2 2" xfId="27969"/>
    <cellStyle name="Procentowy 3 2 4 3" xfId="27970"/>
    <cellStyle name="Procentowy 3 2 4 4" xfId="27971"/>
    <cellStyle name="Procentowy 3 2 4 5" xfId="27972"/>
    <cellStyle name="Procentowy 3 2 4 6" xfId="27973"/>
    <cellStyle name="Procentowy 3 2 4 7" xfId="27974"/>
    <cellStyle name="Procentowy 3 2 4 8" xfId="27975"/>
    <cellStyle name="Procentowy 3 2 40" xfId="27976"/>
    <cellStyle name="Procentowy 3 2 41" xfId="27977"/>
    <cellStyle name="Procentowy 3 2 42" xfId="27978"/>
    <cellStyle name="Procentowy 3 2 43" xfId="27979"/>
    <cellStyle name="Procentowy 3 2 44" xfId="27980"/>
    <cellStyle name="Procentowy 3 2 45" xfId="27981"/>
    <cellStyle name="Procentowy 3 2 46" xfId="27982"/>
    <cellStyle name="Procentowy 3 2 47" xfId="27983"/>
    <cellStyle name="Procentowy 3 2 48" xfId="27984"/>
    <cellStyle name="Procentowy 3 2 49" xfId="27985"/>
    <cellStyle name="Procentowy 3 2 5" xfId="27986"/>
    <cellStyle name="Procentowy 3 2 5 2" xfId="27987"/>
    <cellStyle name="Procentowy 3 2 5 2 2" xfId="27988"/>
    <cellStyle name="Procentowy 3 2 5 3" xfId="27989"/>
    <cellStyle name="Procentowy 3 2 5 4" xfId="27990"/>
    <cellStyle name="Procentowy 3 2 5 5" xfId="27991"/>
    <cellStyle name="Procentowy 3 2 5 6" xfId="27992"/>
    <cellStyle name="Procentowy 3 2 5 7" xfId="27993"/>
    <cellStyle name="Procentowy 3 2 5 8" xfId="27994"/>
    <cellStyle name="Procentowy 3 2 50" xfId="27995"/>
    <cellStyle name="Procentowy 3 2 51" xfId="27996"/>
    <cellStyle name="Procentowy 3 2 52" xfId="27997"/>
    <cellStyle name="Procentowy 3 2 53" xfId="27998"/>
    <cellStyle name="Procentowy 3 2 54" xfId="27999"/>
    <cellStyle name="Procentowy 3 2 55" xfId="28000"/>
    <cellStyle name="Procentowy 3 2 56" xfId="28001"/>
    <cellStyle name="Procentowy 3 2 57" xfId="28002"/>
    <cellStyle name="Procentowy 3 2 58" xfId="28003"/>
    <cellStyle name="Procentowy 3 2 59" xfId="28004"/>
    <cellStyle name="Procentowy 3 2 6" xfId="28005"/>
    <cellStyle name="Procentowy 3 2 6 2" xfId="28006"/>
    <cellStyle name="Procentowy 3 2 6 3" xfId="28007"/>
    <cellStyle name="Procentowy 3 2 60" xfId="28008"/>
    <cellStyle name="Procentowy 3 2 61" xfId="28009"/>
    <cellStyle name="Procentowy 3 2 62" xfId="28010"/>
    <cellStyle name="Procentowy 3 2 63" xfId="28011"/>
    <cellStyle name="Procentowy 3 2 64" xfId="28012"/>
    <cellStyle name="Procentowy 3 2 65" xfId="28013"/>
    <cellStyle name="Procentowy 3 2 66" xfId="28014"/>
    <cellStyle name="Procentowy 3 2 67" xfId="28015"/>
    <cellStyle name="Procentowy 3 2 68" xfId="28016"/>
    <cellStyle name="Procentowy 3 2 69" xfId="28017"/>
    <cellStyle name="Procentowy 3 2 7" xfId="28018"/>
    <cellStyle name="Procentowy 3 2 7 2" xfId="28019"/>
    <cellStyle name="Procentowy 3 2 70" xfId="28020"/>
    <cellStyle name="Procentowy 3 2 71" xfId="28021"/>
    <cellStyle name="Procentowy 3 2 72" xfId="28022"/>
    <cellStyle name="Procentowy 3 2 73" xfId="28023"/>
    <cellStyle name="Procentowy 3 2 74" xfId="28024"/>
    <cellStyle name="Procentowy 3 2 75" xfId="28025"/>
    <cellStyle name="Procentowy 3 2 8" xfId="28026"/>
    <cellStyle name="Procentowy 3 2 8 2" xfId="28027"/>
    <cellStyle name="Procentowy 3 2 9" xfId="28028"/>
    <cellStyle name="Procentowy 3 2 9 2" xfId="28029"/>
    <cellStyle name="Procentowy 3 20" xfId="28030"/>
    <cellStyle name="Procentowy 3 20 10" xfId="28031"/>
    <cellStyle name="Procentowy 3 20 10 2" xfId="28032"/>
    <cellStyle name="Procentowy 3 20 11" xfId="28033"/>
    <cellStyle name="Procentowy 3 20 11 2" xfId="28034"/>
    <cellStyle name="Procentowy 3 20 12" xfId="28035"/>
    <cellStyle name="Procentowy 3 20 12 2" xfId="28036"/>
    <cellStyle name="Procentowy 3 20 13" xfId="28037"/>
    <cellStyle name="Procentowy 3 20 13 2" xfId="28038"/>
    <cellStyle name="Procentowy 3 20 14" xfId="28039"/>
    <cellStyle name="Procentowy 3 20 14 2" xfId="28040"/>
    <cellStyle name="Procentowy 3 20 15" xfId="28041"/>
    <cellStyle name="Procentowy 3 20 15 2" xfId="28042"/>
    <cellStyle name="Procentowy 3 20 16" xfId="28043"/>
    <cellStyle name="Procentowy 3 20 16 2" xfId="28044"/>
    <cellStyle name="Procentowy 3 20 17" xfId="28045"/>
    <cellStyle name="Procentowy 3 20 17 2" xfId="28046"/>
    <cellStyle name="Procentowy 3 20 18" xfId="28047"/>
    <cellStyle name="Procentowy 3 20 18 2" xfId="28048"/>
    <cellStyle name="Procentowy 3 20 19" xfId="28049"/>
    <cellStyle name="Procentowy 3 20 19 2" xfId="28050"/>
    <cellStyle name="Procentowy 3 20 2" xfId="28051"/>
    <cellStyle name="Procentowy 3 20 2 2" xfId="28052"/>
    <cellStyle name="Procentowy 3 20 2 3" xfId="28053"/>
    <cellStyle name="Procentowy 3 20 2 4" xfId="28054"/>
    <cellStyle name="Procentowy 3 20 2 5" xfId="28055"/>
    <cellStyle name="Procentowy 3 20 2 6" xfId="28056"/>
    <cellStyle name="Procentowy 3 20 2 7" xfId="28057"/>
    <cellStyle name="Procentowy 3 20 20" xfId="28058"/>
    <cellStyle name="Procentowy 3 20 20 2" xfId="28059"/>
    <cellStyle name="Procentowy 3 20 21" xfId="28060"/>
    <cellStyle name="Procentowy 3 20 21 2" xfId="28061"/>
    <cellStyle name="Procentowy 3 20 22" xfId="28062"/>
    <cellStyle name="Procentowy 3 20 22 2" xfId="28063"/>
    <cellStyle name="Procentowy 3 20 23" xfId="28064"/>
    <cellStyle name="Procentowy 3 20 23 2" xfId="28065"/>
    <cellStyle name="Procentowy 3 20 24" xfId="28066"/>
    <cellStyle name="Procentowy 3 20 24 2" xfId="28067"/>
    <cellStyle name="Procentowy 3 20 25" xfId="28068"/>
    <cellStyle name="Procentowy 3 20 25 2" xfId="28069"/>
    <cellStyle name="Procentowy 3 20 26" xfId="28070"/>
    <cellStyle name="Procentowy 3 20 26 2" xfId="28071"/>
    <cellStyle name="Procentowy 3 20 27" xfId="28072"/>
    <cellStyle name="Procentowy 3 20 27 2" xfId="28073"/>
    <cellStyle name="Procentowy 3 20 28" xfId="28074"/>
    <cellStyle name="Procentowy 3 20 28 2" xfId="28075"/>
    <cellStyle name="Procentowy 3 20 29" xfId="28076"/>
    <cellStyle name="Procentowy 3 20 29 2" xfId="28077"/>
    <cellStyle name="Procentowy 3 20 3" xfId="28078"/>
    <cellStyle name="Procentowy 3 20 3 2" xfId="28079"/>
    <cellStyle name="Procentowy 3 20 3 3" xfId="28080"/>
    <cellStyle name="Procentowy 3 20 3 4" xfId="28081"/>
    <cellStyle name="Procentowy 3 20 3 5" xfId="28082"/>
    <cellStyle name="Procentowy 3 20 3 6" xfId="28083"/>
    <cellStyle name="Procentowy 3 20 3 7" xfId="28084"/>
    <cellStyle name="Procentowy 3 20 30" xfId="28085"/>
    <cellStyle name="Procentowy 3 20 30 2" xfId="28086"/>
    <cellStyle name="Procentowy 3 20 31" xfId="28087"/>
    <cellStyle name="Procentowy 3 20 31 2" xfId="28088"/>
    <cellStyle name="Procentowy 3 20 32" xfId="28089"/>
    <cellStyle name="Procentowy 3 20 33" xfId="28090"/>
    <cellStyle name="Procentowy 3 20 34" xfId="28091"/>
    <cellStyle name="Procentowy 3 20 35" xfId="28092"/>
    <cellStyle name="Procentowy 3 20 36" xfId="28093"/>
    <cellStyle name="Procentowy 3 20 37" xfId="28094"/>
    <cellStyle name="Procentowy 3 20 38" xfId="28095"/>
    <cellStyle name="Procentowy 3 20 39" xfId="28096"/>
    <cellStyle name="Procentowy 3 20 4" xfId="28097"/>
    <cellStyle name="Procentowy 3 20 4 2" xfId="28098"/>
    <cellStyle name="Procentowy 3 20 4 3" xfId="28099"/>
    <cellStyle name="Procentowy 3 20 4 4" xfId="28100"/>
    <cellStyle name="Procentowy 3 20 4 5" xfId="28101"/>
    <cellStyle name="Procentowy 3 20 4 6" xfId="28102"/>
    <cellStyle name="Procentowy 3 20 4 7" xfId="28103"/>
    <cellStyle name="Procentowy 3 20 40" xfId="28104"/>
    <cellStyle name="Procentowy 3 20 41" xfId="28105"/>
    <cellStyle name="Procentowy 3 20 42" xfId="28106"/>
    <cellStyle name="Procentowy 3 20 43" xfId="28107"/>
    <cellStyle name="Procentowy 3 20 44" xfId="28108"/>
    <cellStyle name="Procentowy 3 20 45" xfId="28109"/>
    <cellStyle name="Procentowy 3 20 46" xfId="28110"/>
    <cellStyle name="Procentowy 3 20 47" xfId="28111"/>
    <cellStyle name="Procentowy 3 20 48" xfId="28112"/>
    <cellStyle name="Procentowy 3 20 49" xfId="28113"/>
    <cellStyle name="Procentowy 3 20 5" xfId="28114"/>
    <cellStyle name="Procentowy 3 20 5 2" xfId="28115"/>
    <cellStyle name="Procentowy 3 20 5 3" xfId="28116"/>
    <cellStyle name="Procentowy 3 20 5 4" xfId="28117"/>
    <cellStyle name="Procentowy 3 20 5 5" xfId="28118"/>
    <cellStyle name="Procentowy 3 20 5 6" xfId="28119"/>
    <cellStyle name="Procentowy 3 20 5 7" xfId="28120"/>
    <cellStyle name="Procentowy 3 20 50" xfId="28121"/>
    <cellStyle name="Procentowy 3 20 51" xfId="28122"/>
    <cellStyle name="Procentowy 3 20 52" xfId="28123"/>
    <cellStyle name="Procentowy 3 20 53" xfId="28124"/>
    <cellStyle name="Procentowy 3 20 54" xfId="28125"/>
    <cellStyle name="Procentowy 3 20 55" xfId="28126"/>
    <cellStyle name="Procentowy 3 20 56" xfId="28127"/>
    <cellStyle name="Procentowy 3 20 57" xfId="28128"/>
    <cellStyle name="Procentowy 3 20 58" xfId="28129"/>
    <cellStyle name="Procentowy 3 20 59" xfId="28130"/>
    <cellStyle name="Procentowy 3 20 6" xfId="28131"/>
    <cellStyle name="Procentowy 3 20 6 2" xfId="28132"/>
    <cellStyle name="Procentowy 3 20 60" xfId="28133"/>
    <cellStyle name="Procentowy 3 20 61" xfId="28134"/>
    <cellStyle name="Procentowy 3 20 62" xfId="28135"/>
    <cellStyle name="Procentowy 3 20 63" xfId="28136"/>
    <cellStyle name="Procentowy 3 20 64" xfId="28137"/>
    <cellStyle name="Procentowy 3 20 65" xfId="28138"/>
    <cellStyle name="Procentowy 3 20 66" xfId="28139"/>
    <cellStyle name="Procentowy 3 20 67" xfId="28140"/>
    <cellStyle name="Procentowy 3 20 68" xfId="28141"/>
    <cellStyle name="Procentowy 3 20 69" xfId="28142"/>
    <cellStyle name="Procentowy 3 20 7" xfId="28143"/>
    <cellStyle name="Procentowy 3 20 7 2" xfId="28144"/>
    <cellStyle name="Procentowy 3 20 70" xfId="28145"/>
    <cellStyle name="Procentowy 3 20 71" xfId="28146"/>
    <cellStyle name="Procentowy 3 20 72" xfId="28147"/>
    <cellStyle name="Procentowy 3 20 73" xfId="28148"/>
    <cellStyle name="Procentowy 3 20 74" xfId="28149"/>
    <cellStyle name="Procentowy 3 20 8" xfId="28150"/>
    <cellStyle name="Procentowy 3 20 8 2" xfId="28151"/>
    <cellStyle name="Procentowy 3 20 9" xfId="28152"/>
    <cellStyle name="Procentowy 3 20 9 2" xfId="28153"/>
    <cellStyle name="Procentowy 3 21" xfId="28154"/>
    <cellStyle name="Procentowy 3 21 10" xfId="28155"/>
    <cellStyle name="Procentowy 3 21 10 2" xfId="28156"/>
    <cellStyle name="Procentowy 3 21 11" xfId="28157"/>
    <cellStyle name="Procentowy 3 21 11 2" xfId="28158"/>
    <cellStyle name="Procentowy 3 21 12" xfId="28159"/>
    <cellStyle name="Procentowy 3 21 12 2" xfId="28160"/>
    <cellStyle name="Procentowy 3 21 13" xfId="28161"/>
    <cellStyle name="Procentowy 3 21 13 2" xfId="28162"/>
    <cellStyle name="Procentowy 3 21 14" xfId="28163"/>
    <cellStyle name="Procentowy 3 21 14 2" xfId="28164"/>
    <cellStyle name="Procentowy 3 21 15" xfId="28165"/>
    <cellStyle name="Procentowy 3 21 15 2" xfId="28166"/>
    <cellStyle name="Procentowy 3 21 16" xfId="28167"/>
    <cellStyle name="Procentowy 3 21 16 2" xfId="28168"/>
    <cellStyle name="Procentowy 3 21 17" xfId="28169"/>
    <cellStyle name="Procentowy 3 21 17 2" xfId="28170"/>
    <cellStyle name="Procentowy 3 21 18" xfId="28171"/>
    <cellStyle name="Procentowy 3 21 18 2" xfId="28172"/>
    <cellStyle name="Procentowy 3 21 19" xfId="28173"/>
    <cellStyle name="Procentowy 3 21 19 2" xfId="28174"/>
    <cellStyle name="Procentowy 3 21 2" xfId="28175"/>
    <cellStyle name="Procentowy 3 21 2 2" xfId="28176"/>
    <cellStyle name="Procentowy 3 21 2 3" xfId="28177"/>
    <cellStyle name="Procentowy 3 21 2 4" xfId="28178"/>
    <cellStyle name="Procentowy 3 21 2 5" xfId="28179"/>
    <cellStyle name="Procentowy 3 21 2 6" xfId="28180"/>
    <cellStyle name="Procentowy 3 21 2 7" xfId="28181"/>
    <cellStyle name="Procentowy 3 21 20" xfId="28182"/>
    <cellStyle name="Procentowy 3 21 20 2" xfId="28183"/>
    <cellStyle name="Procentowy 3 21 21" xfId="28184"/>
    <cellStyle name="Procentowy 3 21 21 2" xfId="28185"/>
    <cellStyle name="Procentowy 3 21 22" xfId="28186"/>
    <cellStyle name="Procentowy 3 21 22 2" xfId="28187"/>
    <cellStyle name="Procentowy 3 21 23" xfId="28188"/>
    <cellStyle name="Procentowy 3 21 23 2" xfId="28189"/>
    <cellStyle name="Procentowy 3 21 24" xfId="28190"/>
    <cellStyle name="Procentowy 3 21 24 2" xfId="28191"/>
    <cellStyle name="Procentowy 3 21 25" xfId="28192"/>
    <cellStyle name="Procentowy 3 21 25 2" xfId="28193"/>
    <cellStyle name="Procentowy 3 21 26" xfId="28194"/>
    <cellStyle name="Procentowy 3 21 26 2" xfId="28195"/>
    <cellStyle name="Procentowy 3 21 27" xfId="28196"/>
    <cellStyle name="Procentowy 3 21 27 2" xfId="28197"/>
    <cellStyle name="Procentowy 3 21 28" xfId="28198"/>
    <cellStyle name="Procentowy 3 21 28 2" xfId="28199"/>
    <cellStyle name="Procentowy 3 21 29" xfId="28200"/>
    <cellStyle name="Procentowy 3 21 29 2" xfId="28201"/>
    <cellStyle name="Procentowy 3 21 3" xfId="28202"/>
    <cellStyle name="Procentowy 3 21 3 2" xfId="28203"/>
    <cellStyle name="Procentowy 3 21 3 3" xfId="28204"/>
    <cellStyle name="Procentowy 3 21 3 4" xfId="28205"/>
    <cellStyle name="Procentowy 3 21 3 5" xfId="28206"/>
    <cellStyle name="Procentowy 3 21 3 6" xfId="28207"/>
    <cellStyle name="Procentowy 3 21 3 7" xfId="28208"/>
    <cellStyle name="Procentowy 3 21 30" xfId="28209"/>
    <cellStyle name="Procentowy 3 21 30 2" xfId="28210"/>
    <cellStyle name="Procentowy 3 21 31" xfId="28211"/>
    <cellStyle name="Procentowy 3 21 31 2" xfId="28212"/>
    <cellStyle name="Procentowy 3 21 32" xfId="28213"/>
    <cellStyle name="Procentowy 3 21 33" xfId="28214"/>
    <cellStyle name="Procentowy 3 21 34" xfId="28215"/>
    <cellStyle name="Procentowy 3 21 35" xfId="28216"/>
    <cellStyle name="Procentowy 3 21 36" xfId="28217"/>
    <cellStyle name="Procentowy 3 21 37" xfId="28218"/>
    <cellStyle name="Procentowy 3 21 38" xfId="28219"/>
    <cellStyle name="Procentowy 3 21 39" xfId="28220"/>
    <cellStyle name="Procentowy 3 21 4" xfId="28221"/>
    <cellStyle name="Procentowy 3 21 4 2" xfId="28222"/>
    <cellStyle name="Procentowy 3 21 4 3" xfId="28223"/>
    <cellStyle name="Procentowy 3 21 4 4" xfId="28224"/>
    <cellStyle name="Procentowy 3 21 4 5" xfId="28225"/>
    <cellStyle name="Procentowy 3 21 4 6" xfId="28226"/>
    <cellStyle name="Procentowy 3 21 4 7" xfId="28227"/>
    <cellStyle name="Procentowy 3 21 40" xfId="28228"/>
    <cellStyle name="Procentowy 3 21 41" xfId="28229"/>
    <cellStyle name="Procentowy 3 21 42" xfId="28230"/>
    <cellStyle name="Procentowy 3 21 43" xfId="28231"/>
    <cellStyle name="Procentowy 3 21 44" xfId="28232"/>
    <cellStyle name="Procentowy 3 21 45" xfId="28233"/>
    <cellStyle name="Procentowy 3 21 46" xfId="28234"/>
    <cellStyle name="Procentowy 3 21 47" xfId="28235"/>
    <cellStyle name="Procentowy 3 21 48" xfId="28236"/>
    <cellStyle name="Procentowy 3 21 49" xfId="28237"/>
    <cellStyle name="Procentowy 3 21 5" xfId="28238"/>
    <cellStyle name="Procentowy 3 21 5 2" xfId="28239"/>
    <cellStyle name="Procentowy 3 21 5 3" xfId="28240"/>
    <cellStyle name="Procentowy 3 21 5 4" xfId="28241"/>
    <cellStyle name="Procentowy 3 21 5 5" xfId="28242"/>
    <cellStyle name="Procentowy 3 21 5 6" xfId="28243"/>
    <cellStyle name="Procentowy 3 21 5 7" xfId="28244"/>
    <cellStyle name="Procentowy 3 21 50" xfId="28245"/>
    <cellStyle name="Procentowy 3 21 51" xfId="28246"/>
    <cellStyle name="Procentowy 3 21 52" xfId="28247"/>
    <cellStyle name="Procentowy 3 21 53" xfId="28248"/>
    <cellStyle name="Procentowy 3 21 54" xfId="28249"/>
    <cellStyle name="Procentowy 3 21 55" xfId="28250"/>
    <cellStyle name="Procentowy 3 21 56" xfId="28251"/>
    <cellStyle name="Procentowy 3 21 57" xfId="28252"/>
    <cellStyle name="Procentowy 3 21 58" xfId="28253"/>
    <cellStyle name="Procentowy 3 21 59" xfId="28254"/>
    <cellStyle name="Procentowy 3 21 6" xfId="28255"/>
    <cellStyle name="Procentowy 3 21 6 2" xfId="28256"/>
    <cellStyle name="Procentowy 3 21 60" xfId="28257"/>
    <cellStyle name="Procentowy 3 21 61" xfId="28258"/>
    <cellStyle name="Procentowy 3 21 62" xfId="28259"/>
    <cellStyle name="Procentowy 3 21 63" xfId="28260"/>
    <cellStyle name="Procentowy 3 21 64" xfId="28261"/>
    <cellStyle name="Procentowy 3 21 65" xfId="28262"/>
    <cellStyle name="Procentowy 3 21 66" xfId="28263"/>
    <cellStyle name="Procentowy 3 21 67" xfId="28264"/>
    <cellStyle name="Procentowy 3 21 68" xfId="28265"/>
    <cellStyle name="Procentowy 3 21 69" xfId="28266"/>
    <cellStyle name="Procentowy 3 21 7" xfId="28267"/>
    <cellStyle name="Procentowy 3 21 7 2" xfId="28268"/>
    <cellStyle name="Procentowy 3 21 70" xfId="28269"/>
    <cellStyle name="Procentowy 3 21 71" xfId="28270"/>
    <cellStyle name="Procentowy 3 21 72" xfId="28271"/>
    <cellStyle name="Procentowy 3 21 73" xfId="28272"/>
    <cellStyle name="Procentowy 3 21 74" xfId="28273"/>
    <cellStyle name="Procentowy 3 21 8" xfId="28274"/>
    <cellStyle name="Procentowy 3 21 8 2" xfId="28275"/>
    <cellStyle name="Procentowy 3 21 9" xfId="28276"/>
    <cellStyle name="Procentowy 3 21 9 2" xfId="28277"/>
    <cellStyle name="Procentowy 3 22" xfId="28278"/>
    <cellStyle name="Procentowy 3 22 10" xfId="28279"/>
    <cellStyle name="Procentowy 3 22 10 2" xfId="28280"/>
    <cellStyle name="Procentowy 3 22 11" xfId="28281"/>
    <cellStyle name="Procentowy 3 22 11 2" xfId="28282"/>
    <cellStyle name="Procentowy 3 22 12" xfId="28283"/>
    <cellStyle name="Procentowy 3 22 12 2" xfId="28284"/>
    <cellStyle name="Procentowy 3 22 13" xfId="28285"/>
    <cellStyle name="Procentowy 3 22 13 2" xfId="28286"/>
    <cellStyle name="Procentowy 3 22 14" xfId="28287"/>
    <cellStyle name="Procentowy 3 22 14 2" xfId="28288"/>
    <cellStyle name="Procentowy 3 22 15" xfId="28289"/>
    <cellStyle name="Procentowy 3 22 15 2" xfId="28290"/>
    <cellStyle name="Procentowy 3 22 16" xfId="28291"/>
    <cellStyle name="Procentowy 3 22 16 2" xfId="28292"/>
    <cellStyle name="Procentowy 3 22 17" xfId="28293"/>
    <cellStyle name="Procentowy 3 22 17 2" xfId="28294"/>
    <cellStyle name="Procentowy 3 22 18" xfId="28295"/>
    <cellStyle name="Procentowy 3 22 18 2" xfId="28296"/>
    <cellStyle name="Procentowy 3 22 19" xfId="28297"/>
    <cellStyle name="Procentowy 3 22 19 2" xfId="28298"/>
    <cellStyle name="Procentowy 3 22 2" xfId="28299"/>
    <cellStyle name="Procentowy 3 22 2 2" xfId="28300"/>
    <cellStyle name="Procentowy 3 22 2 3" xfId="28301"/>
    <cellStyle name="Procentowy 3 22 2 4" xfId="28302"/>
    <cellStyle name="Procentowy 3 22 2 5" xfId="28303"/>
    <cellStyle name="Procentowy 3 22 2 6" xfId="28304"/>
    <cellStyle name="Procentowy 3 22 2 7" xfId="28305"/>
    <cellStyle name="Procentowy 3 22 20" xfId="28306"/>
    <cellStyle name="Procentowy 3 22 20 2" xfId="28307"/>
    <cellStyle name="Procentowy 3 22 21" xfId="28308"/>
    <cellStyle name="Procentowy 3 22 21 2" xfId="28309"/>
    <cellStyle name="Procentowy 3 22 22" xfId="28310"/>
    <cellStyle name="Procentowy 3 22 22 2" xfId="28311"/>
    <cellStyle name="Procentowy 3 22 23" xfId="28312"/>
    <cellStyle name="Procentowy 3 22 23 2" xfId="28313"/>
    <cellStyle name="Procentowy 3 22 24" xfId="28314"/>
    <cellStyle name="Procentowy 3 22 24 2" xfId="28315"/>
    <cellStyle name="Procentowy 3 22 25" xfId="28316"/>
    <cellStyle name="Procentowy 3 22 25 2" xfId="28317"/>
    <cellStyle name="Procentowy 3 22 26" xfId="28318"/>
    <cellStyle name="Procentowy 3 22 26 2" xfId="28319"/>
    <cellStyle name="Procentowy 3 22 27" xfId="28320"/>
    <cellStyle name="Procentowy 3 22 27 2" xfId="28321"/>
    <cellStyle name="Procentowy 3 22 28" xfId="28322"/>
    <cellStyle name="Procentowy 3 22 28 2" xfId="28323"/>
    <cellStyle name="Procentowy 3 22 29" xfId="28324"/>
    <cellStyle name="Procentowy 3 22 29 2" xfId="28325"/>
    <cellStyle name="Procentowy 3 22 3" xfId="28326"/>
    <cellStyle name="Procentowy 3 22 3 2" xfId="28327"/>
    <cellStyle name="Procentowy 3 22 3 3" xfId="28328"/>
    <cellStyle name="Procentowy 3 22 3 4" xfId="28329"/>
    <cellStyle name="Procentowy 3 22 3 5" xfId="28330"/>
    <cellStyle name="Procentowy 3 22 3 6" xfId="28331"/>
    <cellStyle name="Procentowy 3 22 3 7" xfId="28332"/>
    <cellStyle name="Procentowy 3 22 30" xfId="28333"/>
    <cellStyle name="Procentowy 3 22 30 2" xfId="28334"/>
    <cellStyle name="Procentowy 3 22 31" xfId="28335"/>
    <cellStyle name="Procentowy 3 22 31 2" xfId="28336"/>
    <cellStyle name="Procentowy 3 22 32" xfId="28337"/>
    <cellStyle name="Procentowy 3 22 33" xfId="28338"/>
    <cellStyle name="Procentowy 3 22 34" xfId="28339"/>
    <cellStyle name="Procentowy 3 22 35" xfId="28340"/>
    <cellStyle name="Procentowy 3 22 36" xfId="28341"/>
    <cellStyle name="Procentowy 3 22 37" xfId="28342"/>
    <cellStyle name="Procentowy 3 22 38" xfId="28343"/>
    <cellStyle name="Procentowy 3 22 39" xfId="28344"/>
    <cellStyle name="Procentowy 3 22 4" xfId="28345"/>
    <cellStyle name="Procentowy 3 22 4 2" xfId="28346"/>
    <cellStyle name="Procentowy 3 22 4 3" xfId="28347"/>
    <cellStyle name="Procentowy 3 22 4 4" xfId="28348"/>
    <cellStyle name="Procentowy 3 22 4 5" xfId="28349"/>
    <cellStyle name="Procentowy 3 22 4 6" xfId="28350"/>
    <cellStyle name="Procentowy 3 22 4 7" xfId="28351"/>
    <cellStyle name="Procentowy 3 22 40" xfId="28352"/>
    <cellStyle name="Procentowy 3 22 41" xfId="28353"/>
    <cellStyle name="Procentowy 3 22 42" xfId="28354"/>
    <cellStyle name="Procentowy 3 22 43" xfId="28355"/>
    <cellStyle name="Procentowy 3 22 44" xfId="28356"/>
    <cellStyle name="Procentowy 3 22 45" xfId="28357"/>
    <cellStyle name="Procentowy 3 22 46" xfId="28358"/>
    <cellStyle name="Procentowy 3 22 47" xfId="28359"/>
    <cellStyle name="Procentowy 3 22 48" xfId="28360"/>
    <cellStyle name="Procentowy 3 22 49" xfId="28361"/>
    <cellStyle name="Procentowy 3 22 5" xfId="28362"/>
    <cellStyle name="Procentowy 3 22 5 2" xfId="28363"/>
    <cellStyle name="Procentowy 3 22 5 3" xfId="28364"/>
    <cellStyle name="Procentowy 3 22 5 4" xfId="28365"/>
    <cellStyle name="Procentowy 3 22 5 5" xfId="28366"/>
    <cellStyle name="Procentowy 3 22 5 6" xfId="28367"/>
    <cellStyle name="Procentowy 3 22 5 7" xfId="28368"/>
    <cellStyle name="Procentowy 3 22 50" xfId="28369"/>
    <cellStyle name="Procentowy 3 22 51" xfId="28370"/>
    <cellStyle name="Procentowy 3 22 52" xfId="28371"/>
    <cellStyle name="Procentowy 3 22 53" xfId="28372"/>
    <cellStyle name="Procentowy 3 22 54" xfId="28373"/>
    <cellStyle name="Procentowy 3 22 55" xfId="28374"/>
    <cellStyle name="Procentowy 3 22 56" xfId="28375"/>
    <cellStyle name="Procentowy 3 22 57" xfId="28376"/>
    <cellStyle name="Procentowy 3 22 58" xfId="28377"/>
    <cellStyle name="Procentowy 3 22 59" xfId="28378"/>
    <cellStyle name="Procentowy 3 22 6" xfId="28379"/>
    <cellStyle name="Procentowy 3 22 6 2" xfId="28380"/>
    <cellStyle name="Procentowy 3 22 60" xfId="28381"/>
    <cellStyle name="Procentowy 3 22 61" xfId="28382"/>
    <cellStyle name="Procentowy 3 22 62" xfId="28383"/>
    <cellStyle name="Procentowy 3 22 63" xfId="28384"/>
    <cellStyle name="Procentowy 3 22 64" xfId="28385"/>
    <cellStyle name="Procentowy 3 22 65" xfId="28386"/>
    <cellStyle name="Procentowy 3 22 66" xfId="28387"/>
    <cellStyle name="Procentowy 3 22 67" xfId="28388"/>
    <cellStyle name="Procentowy 3 22 68" xfId="28389"/>
    <cellStyle name="Procentowy 3 22 69" xfId="28390"/>
    <cellStyle name="Procentowy 3 22 7" xfId="28391"/>
    <cellStyle name="Procentowy 3 22 7 2" xfId="28392"/>
    <cellStyle name="Procentowy 3 22 70" xfId="28393"/>
    <cellStyle name="Procentowy 3 22 71" xfId="28394"/>
    <cellStyle name="Procentowy 3 22 72" xfId="28395"/>
    <cellStyle name="Procentowy 3 22 73" xfId="28396"/>
    <cellStyle name="Procentowy 3 22 74" xfId="28397"/>
    <cellStyle name="Procentowy 3 22 8" xfId="28398"/>
    <cellStyle name="Procentowy 3 22 8 2" xfId="28399"/>
    <cellStyle name="Procentowy 3 22 9" xfId="28400"/>
    <cellStyle name="Procentowy 3 22 9 2" xfId="28401"/>
    <cellStyle name="Procentowy 3 23" xfId="28402"/>
    <cellStyle name="Procentowy 3 23 10" xfId="28403"/>
    <cellStyle name="Procentowy 3 23 10 2" xfId="28404"/>
    <cellStyle name="Procentowy 3 23 11" xfId="28405"/>
    <cellStyle name="Procentowy 3 23 11 2" xfId="28406"/>
    <cellStyle name="Procentowy 3 23 12" xfId="28407"/>
    <cellStyle name="Procentowy 3 23 12 2" xfId="28408"/>
    <cellStyle name="Procentowy 3 23 13" xfId="28409"/>
    <cellStyle name="Procentowy 3 23 13 2" xfId="28410"/>
    <cellStyle name="Procentowy 3 23 14" xfId="28411"/>
    <cellStyle name="Procentowy 3 23 14 2" xfId="28412"/>
    <cellStyle name="Procentowy 3 23 15" xfId="28413"/>
    <cellStyle name="Procentowy 3 23 15 2" xfId="28414"/>
    <cellStyle name="Procentowy 3 23 16" xfId="28415"/>
    <cellStyle name="Procentowy 3 23 16 2" xfId="28416"/>
    <cellStyle name="Procentowy 3 23 17" xfId="28417"/>
    <cellStyle name="Procentowy 3 23 17 2" xfId="28418"/>
    <cellStyle name="Procentowy 3 23 18" xfId="28419"/>
    <cellStyle name="Procentowy 3 23 18 2" xfId="28420"/>
    <cellStyle name="Procentowy 3 23 19" xfId="28421"/>
    <cellStyle name="Procentowy 3 23 19 2" xfId="28422"/>
    <cellStyle name="Procentowy 3 23 2" xfId="28423"/>
    <cellStyle name="Procentowy 3 23 2 2" xfId="28424"/>
    <cellStyle name="Procentowy 3 23 2 3" xfId="28425"/>
    <cellStyle name="Procentowy 3 23 2 4" xfId="28426"/>
    <cellStyle name="Procentowy 3 23 2 5" xfId="28427"/>
    <cellStyle name="Procentowy 3 23 2 6" xfId="28428"/>
    <cellStyle name="Procentowy 3 23 2 7" xfId="28429"/>
    <cellStyle name="Procentowy 3 23 20" xfId="28430"/>
    <cellStyle name="Procentowy 3 23 20 2" xfId="28431"/>
    <cellStyle name="Procentowy 3 23 21" xfId="28432"/>
    <cellStyle name="Procentowy 3 23 21 2" xfId="28433"/>
    <cellStyle name="Procentowy 3 23 22" xfId="28434"/>
    <cellStyle name="Procentowy 3 23 22 2" xfId="28435"/>
    <cellStyle name="Procentowy 3 23 23" xfId="28436"/>
    <cellStyle name="Procentowy 3 23 23 2" xfId="28437"/>
    <cellStyle name="Procentowy 3 23 24" xfId="28438"/>
    <cellStyle name="Procentowy 3 23 24 2" xfId="28439"/>
    <cellStyle name="Procentowy 3 23 25" xfId="28440"/>
    <cellStyle name="Procentowy 3 23 25 2" xfId="28441"/>
    <cellStyle name="Procentowy 3 23 26" xfId="28442"/>
    <cellStyle name="Procentowy 3 23 26 2" xfId="28443"/>
    <cellStyle name="Procentowy 3 23 27" xfId="28444"/>
    <cellStyle name="Procentowy 3 23 27 2" xfId="28445"/>
    <cellStyle name="Procentowy 3 23 28" xfId="28446"/>
    <cellStyle name="Procentowy 3 23 28 2" xfId="28447"/>
    <cellStyle name="Procentowy 3 23 29" xfId="28448"/>
    <cellStyle name="Procentowy 3 23 29 2" xfId="28449"/>
    <cellStyle name="Procentowy 3 23 3" xfId="28450"/>
    <cellStyle name="Procentowy 3 23 3 2" xfId="28451"/>
    <cellStyle name="Procentowy 3 23 3 3" xfId="28452"/>
    <cellStyle name="Procentowy 3 23 3 4" xfId="28453"/>
    <cellStyle name="Procentowy 3 23 3 5" xfId="28454"/>
    <cellStyle name="Procentowy 3 23 3 6" xfId="28455"/>
    <cellStyle name="Procentowy 3 23 3 7" xfId="28456"/>
    <cellStyle name="Procentowy 3 23 30" xfId="28457"/>
    <cellStyle name="Procentowy 3 23 30 2" xfId="28458"/>
    <cellStyle name="Procentowy 3 23 31" xfId="28459"/>
    <cellStyle name="Procentowy 3 23 31 2" xfId="28460"/>
    <cellStyle name="Procentowy 3 23 32" xfId="28461"/>
    <cellStyle name="Procentowy 3 23 33" xfId="28462"/>
    <cellStyle name="Procentowy 3 23 34" xfId="28463"/>
    <cellStyle name="Procentowy 3 23 35" xfId="28464"/>
    <cellStyle name="Procentowy 3 23 36" xfId="28465"/>
    <cellStyle name="Procentowy 3 23 37" xfId="28466"/>
    <cellStyle name="Procentowy 3 23 38" xfId="28467"/>
    <cellStyle name="Procentowy 3 23 39" xfId="28468"/>
    <cellStyle name="Procentowy 3 23 4" xfId="28469"/>
    <cellStyle name="Procentowy 3 23 4 2" xfId="28470"/>
    <cellStyle name="Procentowy 3 23 4 3" xfId="28471"/>
    <cellStyle name="Procentowy 3 23 4 4" xfId="28472"/>
    <cellStyle name="Procentowy 3 23 4 5" xfId="28473"/>
    <cellStyle name="Procentowy 3 23 4 6" xfId="28474"/>
    <cellStyle name="Procentowy 3 23 4 7" xfId="28475"/>
    <cellStyle name="Procentowy 3 23 40" xfId="28476"/>
    <cellStyle name="Procentowy 3 23 41" xfId="28477"/>
    <cellStyle name="Procentowy 3 23 42" xfId="28478"/>
    <cellStyle name="Procentowy 3 23 43" xfId="28479"/>
    <cellStyle name="Procentowy 3 23 44" xfId="28480"/>
    <cellStyle name="Procentowy 3 23 45" xfId="28481"/>
    <cellStyle name="Procentowy 3 23 46" xfId="28482"/>
    <cellStyle name="Procentowy 3 23 47" xfId="28483"/>
    <cellStyle name="Procentowy 3 23 48" xfId="28484"/>
    <cellStyle name="Procentowy 3 23 49" xfId="28485"/>
    <cellStyle name="Procentowy 3 23 5" xfId="28486"/>
    <cellStyle name="Procentowy 3 23 5 2" xfId="28487"/>
    <cellStyle name="Procentowy 3 23 5 3" xfId="28488"/>
    <cellStyle name="Procentowy 3 23 5 4" xfId="28489"/>
    <cellStyle name="Procentowy 3 23 5 5" xfId="28490"/>
    <cellStyle name="Procentowy 3 23 5 6" xfId="28491"/>
    <cellStyle name="Procentowy 3 23 5 7" xfId="28492"/>
    <cellStyle name="Procentowy 3 23 50" xfId="28493"/>
    <cellStyle name="Procentowy 3 23 51" xfId="28494"/>
    <cellStyle name="Procentowy 3 23 52" xfId="28495"/>
    <cellStyle name="Procentowy 3 23 53" xfId="28496"/>
    <cellStyle name="Procentowy 3 23 54" xfId="28497"/>
    <cellStyle name="Procentowy 3 23 55" xfId="28498"/>
    <cellStyle name="Procentowy 3 23 56" xfId="28499"/>
    <cellStyle name="Procentowy 3 23 57" xfId="28500"/>
    <cellStyle name="Procentowy 3 23 58" xfId="28501"/>
    <cellStyle name="Procentowy 3 23 59" xfId="28502"/>
    <cellStyle name="Procentowy 3 23 6" xfId="28503"/>
    <cellStyle name="Procentowy 3 23 6 2" xfId="28504"/>
    <cellStyle name="Procentowy 3 23 60" xfId="28505"/>
    <cellStyle name="Procentowy 3 23 61" xfId="28506"/>
    <cellStyle name="Procentowy 3 23 62" xfId="28507"/>
    <cellStyle name="Procentowy 3 23 63" xfId="28508"/>
    <cellStyle name="Procentowy 3 23 64" xfId="28509"/>
    <cellStyle name="Procentowy 3 23 65" xfId="28510"/>
    <cellStyle name="Procentowy 3 23 66" xfId="28511"/>
    <cellStyle name="Procentowy 3 23 67" xfId="28512"/>
    <cellStyle name="Procentowy 3 23 68" xfId="28513"/>
    <cellStyle name="Procentowy 3 23 69" xfId="28514"/>
    <cellStyle name="Procentowy 3 23 7" xfId="28515"/>
    <cellStyle name="Procentowy 3 23 7 2" xfId="28516"/>
    <cellStyle name="Procentowy 3 23 70" xfId="28517"/>
    <cellStyle name="Procentowy 3 23 71" xfId="28518"/>
    <cellStyle name="Procentowy 3 23 72" xfId="28519"/>
    <cellStyle name="Procentowy 3 23 73" xfId="28520"/>
    <cellStyle name="Procentowy 3 23 74" xfId="28521"/>
    <cellStyle name="Procentowy 3 23 8" xfId="28522"/>
    <cellStyle name="Procentowy 3 23 8 2" xfId="28523"/>
    <cellStyle name="Procentowy 3 23 9" xfId="28524"/>
    <cellStyle name="Procentowy 3 23 9 2" xfId="28525"/>
    <cellStyle name="Procentowy 3 24" xfId="28526"/>
    <cellStyle name="Procentowy 3 24 10" xfId="28527"/>
    <cellStyle name="Procentowy 3 24 10 2" xfId="28528"/>
    <cellStyle name="Procentowy 3 24 11" xfId="28529"/>
    <cellStyle name="Procentowy 3 24 11 2" xfId="28530"/>
    <cellStyle name="Procentowy 3 24 12" xfId="28531"/>
    <cellStyle name="Procentowy 3 24 12 2" xfId="28532"/>
    <cellStyle name="Procentowy 3 24 13" xfId="28533"/>
    <cellStyle name="Procentowy 3 24 13 2" xfId="28534"/>
    <cellStyle name="Procentowy 3 24 14" xfId="28535"/>
    <cellStyle name="Procentowy 3 24 14 2" xfId="28536"/>
    <cellStyle name="Procentowy 3 24 15" xfId="28537"/>
    <cellStyle name="Procentowy 3 24 15 2" xfId="28538"/>
    <cellStyle name="Procentowy 3 24 16" xfId="28539"/>
    <cellStyle name="Procentowy 3 24 16 2" xfId="28540"/>
    <cellStyle name="Procentowy 3 24 17" xfId="28541"/>
    <cellStyle name="Procentowy 3 24 17 2" xfId="28542"/>
    <cellStyle name="Procentowy 3 24 18" xfId="28543"/>
    <cellStyle name="Procentowy 3 24 18 2" xfId="28544"/>
    <cellStyle name="Procentowy 3 24 19" xfId="28545"/>
    <cellStyle name="Procentowy 3 24 19 2" xfId="28546"/>
    <cellStyle name="Procentowy 3 24 2" xfId="28547"/>
    <cellStyle name="Procentowy 3 24 2 2" xfId="28548"/>
    <cellStyle name="Procentowy 3 24 2 3" xfId="28549"/>
    <cellStyle name="Procentowy 3 24 2 4" xfId="28550"/>
    <cellStyle name="Procentowy 3 24 2 5" xfId="28551"/>
    <cellStyle name="Procentowy 3 24 2 6" xfId="28552"/>
    <cellStyle name="Procentowy 3 24 2 7" xfId="28553"/>
    <cellStyle name="Procentowy 3 24 20" xfId="28554"/>
    <cellStyle name="Procentowy 3 24 20 2" xfId="28555"/>
    <cellStyle name="Procentowy 3 24 21" xfId="28556"/>
    <cellStyle name="Procentowy 3 24 21 2" xfId="28557"/>
    <cellStyle name="Procentowy 3 24 22" xfId="28558"/>
    <cellStyle name="Procentowy 3 24 22 2" xfId="28559"/>
    <cellStyle name="Procentowy 3 24 23" xfId="28560"/>
    <cellStyle name="Procentowy 3 24 23 2" xfId="28561"/>
    <cellStyle name="Procentowy 3 24 24" xfId="28562"/>
    <cellStyle name="Procentowy 3 24 24 2" xfId="28563"/>
    <cellStyle name="Procentowy 3 24 25" xfId="28564"/>
    <cellStyle name="Procentowy 3 24 25 2" xfId="28565"/>
    <cellStyle name="Procentowy 3 24 26" xfId="28566"/>
    <cellStyle name="Procentowy 3 24 26 2" xfId="28567"/>
    <cellStyle name="Procentowy 3 24 27" xfId="28568"/>
    <cellStyle name="Procentowy 3 24 27 2" xfId="28569"/>
    <cellStyle name="Procentowy 3 24 28" xfId="28570"/>
    <cellStyle name="Procentowy 3 24 28 2" xfId="28571"/>
    <cellStyle name="Procentowy 3 24 29" xfId="28572"/>
    <cellStyle name="Procentowy 3 24 29 2" xfId="28573"/>
    <cellStyle name="Procentowy 3 24 3" xfId="28574"/>
    <cellStyle name="Procentowy 3 24 3 2" xfId="28575"/>
    <cellStyle name="Procentowy 3 24 3 3" xfId="28576"/>
    <cellStyle name="Procentowy 3 24 3 4" xfId="28577"/>
    <cellStyle name="Procentowy 3 24 3 5" xfId="28578"/>
    <cellStyle name="Procentowy 3 24 3 6" xfId="28579"/>
    <cellStyle name="Procentowy 3 24 3 7" xfId="28580"/>
    <cellStyle name="Procentowy 3 24 30" xfId="28581"/>
    <cellStyle name="Procentowy 3 24 30 2" xfId="28582"/>
    <cellStyle name="Procentowy 3 24 31" xfId="28583"/>
    <cellStyle name="Procentowy 3 24 31 2" xfId="28584"/>
    <cellStyle name="Procentowy 3 24 32" xfId="28585"/>
    <cellStyle name="Procentowy 3 24 33" xfId="28586"/>
    <cellStyle name="Procentowy 3 24 34" xfId="28587"/>
    <cellStyle name="Procentowy 3 24 35" xfId="28588"/>
    <cellStyle name="Procentowy 3 24 36" xfId="28589"/>
    <cellStyle name="Procentowy 3 24 37" xfId="28590"/>
    <cellStyle name="Procentowy 3 24 38" xfId="28591"/>
    <cellStyle name="Procentowy 3 24 39" xfId="28592"/>
    <cellStyle name="Procentowy 3 24 4" xfId="28593"/>
    <cellStyle name="Procentowy 3 24 4 2" xfId="28594"/>
    <cellStyle name="Procentowy 3 24 4 3" xfId="28595"/>
    <cellStyle name="Procentowy 3 24 4 4" xfId="28596"/>
    <cellStyle name="Procentowy 3 24 4 5" xfId="28597"/>
    <cellStyle name="Procentowy 3 24 4 6" xfId="28598"/>
    <cellStyle name="Procentowy 3 24 4 7" xfId="28599"/>
    <cellStyle name="Procentowy 3 24 40" xfId="28600"/>
    <cellStyle name="Procentowy 3 24 41" xfId="28601"/>
    <cellStyle name="Procentowy 3 24 42" xfId="28602"/>
    <cellStyle name="Procentowy 3 24 43" xfId="28603"/>
    <cellStyle name="Procentowy 3 24 44" xfId="28604"/>
    <cellStyle name="Procentowy 3 24 45" xfId="28605"/>
    <cellStyle name="Procentowy 3 24 46" xfId="28606"/>
    <cellStyle name="Procentowy 3 24 47" xfId="28607"/>
    <cellStyle name="Procentowy 3 24 48" xfId="28608"/>
    <cellStyle name="Procentowy 3 24 49" xfId="28609"/>
    <cellStyle name="Procentowy 3 24 5" xfId="28610"/>
    <cellStyle name="Procentowy 3 24 5 2" xfId="28611"/>
    <cellStyle name="Procentowy 3 24 5 3" xfId="28612"/>
    <cellStyle name="Procentowy 3 24 5 4" xfId="28613"/>
    <cellStyle name="Procentowy 3 24 5 5" xfId="28614"/>
    <cellStyle name="Procentowy 3 24 5 6" xfId="28615"/>
    <cellStyle name="Procentowy 3 24 5 7" xfId="28616"/>
    <cellStyle name="Procentowy 3 24 50" xfId="28617"/>
    <cellStyle name="Procentowy 3 24 51" xfId="28618"/>
    <cellStyle name="Procentowy 3 24 52" xfId="28619"/>
    <cellStyle name="Procentowy 3 24 53" xfId="28620"/>
    <cellStyle name="Procentowy 3 24 54" xfId="28621"/>
    <cellStyle name="Procentowy 3 24 55" xfId="28622"/>
    <cellStyle name="Procentowy 3 24 56" xfId="28623"/>
    <cellStyle name="Procentowy 3 24 57" xfId="28624"/>
    <cellStyle name="Procentowy 3 24 58" xfId="28625"/>
    <cellStyle name="Procentowy 3 24 59" xfId="28626"/>
    <cellStyle name="Procentowy 3 24 6" xfId="28627"/>
    <cellStyle name="Procentowy 3 24 6 2" xfId="28628"/>
    <cellStyle name="Procentowy 3 24 60" xfId="28629"/>
    <cellStyle name="Procentowy 3 24 61" xfId="28630"/>
    <cellStyle name="Procentowy 3 24 62" xfId="28631"/>
    <cellStyle name="Procentowy 3 24 63" xfId="28632"/>
    <cellStyle name="Procentowy 3 24 64" xfId="28633"/>
    <cellStyle name="Procentowy 3 24 65" xfId="28634"/>
    <cellStyle name="Procentowy 3 24 66" xfId="28635"/>
    <cellStyle name="Procentowy 3 24 67" xfId="28636"/>
    <cellStyle name="Procentowy 3 24 68" xfId="28637"/>
    <cellStyle name="Procentowy 3 24 69" xfId="28638"/>
    <cellStyle name="Procentowy 3 24 7" xfId="28639"/>
    <cellStyle name="Procentowy 3 24 7 2" xfId="28640"/>
    <cellStyle name="Procentowy 3 24 70" xfId="28641"/>
    <cellStyle name="Procentowy 3 24 71" xfId="28642"/>
    <cellStyle name="Procentowy 3 24 72" xfId="28643"/>
    <cellStyle name="Procentowy 3 24 73" xfId="28644"/>
    <cellStyle name="Procentowy 3 24 74" xfId="28645"/>
    <cellStyle name="Procentowy 3 24 8" xfId="28646"/>
    <cellStyle name="Procentowy 3 24 8 2" xfId="28647"/>
    <cellStyle name="Procentowy 3 24 9" xfId="28648"/>
    <cellStyle name="Procentowy 3 24 9 2" xfId="28649"/>
    <cellStyle name="Procentowy 3 25" xfId="28650"/>
    <cellStyle name="Procentowy 3 25 2" xfId="28651"/>
    <cellStyle name="Procentowy 3 25 3" xfId="28652"/>
    <cellStyle name="Procentowy 3 25 4" xfId="28653"/>
    <cellStyle name="Procentowy 3 25 5" xfId="28654"/>
    <cellStyle name="Procentowy 3 25 6" xfId="28655"/>
    <cellStyle name="Procentowy 3 25 7" xfId="28656"/>
    <cellStyle name="Procentowy 3 26" xfId="28657"/>
    <cellStyle name="Procentowy 3 26 2" xfId="28658"/>
    <cellStyle name="Procentowy 3 26 3" xfId="28659"/>
    <cellStyle name="Procentowy 3 26 4" xfId="28660"/>
    <cellStyle name="Procentowy 3 26 5" xfId="28661"/>
    <cellStyle name="Procentowy 3 26 6" xfId="28662"/>
    <cellStyle name="Procentowy 3 26 7" xfId="28663"/>
    <cellStyle name="Procentowy 3 27" xfId="28664"/>
    <cellStyle name="Procentowy 3 27 2" xfId="28665"/>
    <cellStyle name="Procentowy 3 27 3" xfId="28666"/>
    <cellStyle name="Procentowy 3 27 4" xfId="28667"/>
    <cellStyle name="Procentowy 3 27 5" xfId="28668"/>
    <cellStyle name="Procentowy 3 27 6" xfId="28669"/>
    <cellStyle name="Procentowy 3 27 7" xfId="28670"/>
    <cellStyle name="Procentowy 3 28" xfId="28671"/>
    <cellStyle name="Procentowy 3 28 2" xfId="28672"/>
    <cellStyle name="Procentowy 3 28 3" xfId="28673"/>
    <cellStyle name="Procentowy 3 28 4" xfId="28674"/>
    <cellStyle name="Procentowy 3 28 5" xfId="28675"/>
    <cellStyle name="Procentowy 3 28 6" xfId="28676"/>
    <cellStyle name="Procentowy 3 28 7" xfId="28677"/>
    <cellStyle name="Procentowy 3 29" xfId="28678"/>
    <cellStyle name="Procentowy 3 29 2" xfId="28679"/>
    <cellStyle name="Procentowy 3 3" xfId="28680"/>
    <cellStyle name="Procentowy 3 3 10" xfId="28681"/>
    <cellStyle name="Procentowy 3 3 10 2" xfId="28682"/>
    <cellStyle name="Procentowy 3 3 11" xfId="28683"/>
    <cellStyle name="Procentowy 3 3 11 2" xfId="28684"/>
    <cellStyle name="Procentowy 3 3 12" xfId="28685"/>
    <cellStyle name="Procentowy 3 3 12 2" xfId="28686"/>
    <cellStyle name="Procentowy 3 3 13" xfId="28687"/>
    <cellStyle name="Procentowy 3 3 13 2" xfId="28688"/>
    <cellStyle name="Procentowy 3 3 14" xfId="28689"/>
    <cellStyle name="Procentowy 3 3 14 2" xfId="28690"/>
    <cellStyle name="Procentowy 3 3 15" xfId="28691"/>
    <cellStyle name="Procentowy 3 3 15 2" xfId="28692"/>
    <cellStyle name="Procentowy 3 3 16" xfId="28693"/>
    <cellStyle name="Procentowy 3 3 16 2" xfId="28694"/>
    <cellStyle name="Procentowy 3 3 17" xfId="28695"/>
    <cellStyle name="Procentowy 3 3 17 2" xfId="28696"/>
    <cellStyle name="Procentowy 3 3 18" xfId="28697"/>
    <cellStyle name="Procentowy 3 3 18 2" xfId="28698"/>
    <cellStyle name="Procentowy 3 3 19" xfId="28699"/>
    <cellStyle name="Procentowy 3 3 19 2" xfId="28700"/>
    <cellStyle name="Procentowy 3 3 2" xfId="28701"/>
    <cellStyle name="Procentowy 3 3 2 2" xfId="28702"/>
    <cellStyle name="Procentowy 3 3 2 3" xfId="28703"/>
    <cellStyle name="Procentowy 3 3 2 4" xfId="28704"/>
    <cellStyle name="Procentowy 3 3 2 5" xfId="28705"/>
    <cellStyle name="Procentowy 3 3 2 6" xfId="28706"/>
    <cellStyle name="Procentowy 3 3 2 7" xfId="28707"/>
    <cellStyle name="Procentowy 3 3 20" xfId="28708"/>
    <cellStyle name="Procentowy 3 3 20 2" xfId="28709"/>
    <cellStyle name="Procentowy 3 3 21" xfId="28710"/>
    <cellStyle name="Procentowy 3 3 21 2" xfId="28711"/>
    <cellStyle name="Procentowy 3 3 22" xfId="28712"/>
    <cellStyle name="Procentowy 3 3 22 2" xfId="28713"/>
    <cellStyle name="Procentowy 3 3 23" xfId="28714"/>
    <cellStyle name="Procentowy 3 3 23 2" xfId="28715"/>
    <cellStyle name="Procentowy 3 3 24" xfId="28716"/>
    <cellStyle name="Procentowy 3 3 24 2" xfId="28717"/>
    <cellStyle name="Procentowy 3 3 25" xfId="28718"/>
    <cellStyle name="Procentowy 3 3 25 2" xfId="28719"/>
    <cellStyle name="Procentowy 3 3 26" xfId="28720"/>
    <cellStyle name="Procentowy 3 3 26 2" xfId="28721"/>
    <cellStyle name="Procentowy 3 3 27" xfId="28722"/>
    <cellStyle name="Procentowy 3 3 27 2" xfId="28723"/>
    <cellStyle name="Procentowy 3 3 28" xfId="28724"/>
    <cellStyle name="Procentowy 3 3 28 2" xfId="28725"/>
    <cellStyle name="Procentowy 3 3 29" xfId="28726"/>
    <cellStyle name="Procentowy 3 3 29 2" xfId="28727"/>
    <cellStyle name="Procentowy 3 3 3" xfId="28728"/>
    <cellStyle name="Procentowy 3 3 3 2" xfId="28729"/>
    <cellStyle name="Procentowy 3 3 3 3" xfId="28730"/>
    <cellStyle name="Procentowy 3 3 3 4" xfId="28731"/>
    <cellStyle name="Procentowy 3 3 3 5" xfId="28732"/>
    <cellStyle name="Procentowy 3 3 3 6" xfId="28733"/>
    <cellStyle name="Procentowy 3 3 3 7" xfId="28734"/>
    <cellStyle name="Procentowy 3 3 30" xfId="28735"/>
    <cellStyle name="Procentowy 3 3 30 2" xfId="28736"/>
    <cellStyle name="Procentowy 3 3 31" xfId="28737"/>
    <cellStyle name="Procentowy 3 3 31 2" xfId="28738"/>
    <cellStyle name="Procentowy 3 3 32" xfId="28739"/>
    <cellStyle name="Procentowy 3 3 33" xfId="28740"/>
    <cellStyle name="Procentowy 3 3 34" xfId="28741"/>
    <cellStyle name="Procentowy 3 3 35" xfId="28742"/>
    <cellStyle name="Procentowy 3 3 36" xfId="28743"/>
    <cellStyle name="Procentowy 3 3 37" xfId="28744"/>
    <cellStyle name="Procentowy 3 3 38" xfId="28745"/>
    <cellStyle name="Procentowy 3 3 39" xfId="28746"/>
    <cellStyle name="Procentowy 3 3 4" xfId="28747"/>
    <cellStyle name="Procentowy 3 3 4 2" xfId="28748"/>
    <cellStyle name="Procentowy 3 3 4 3" xfId="28749"/>
    <cellStyle name="Procentowy 3 3 4 4" xfId="28750"/>
    <cellStyle name="Procentowy 3 3 4 5" xfId="28751"/>
    <cellStyle name="Procentowy 3 3 4 6" xfId="28752"/>
    <cellStyle name="Procentowy 3 3 4 7" xfId="28753"/>
    <cellStyle name="Procentowy 3 3 40" xfId="28754"/>
    <cellStyle name="Procentowy 3 3 41" xfId="28755"/>
    <cellStyle name="Procentowy 3 3 42" xfId="28756"/>
    <cellStyle name="Procentowy 3 3 43" xfId="28757"/>
    <cellStyle name="Procentowy 3 3 44" xfId="28758"/>
    <cellStyle name="Procentowy 3 3 45" xfId="28759"/>
    <cellStyle name="Procentowy 3 3 46" xfId="28760"/>
    <cellStyle name="Procentowy 3 3 47" xfId="28761"/>
    <cellStyle name="Procentowy 3 3 48" xfId="28762"/>
    <cellStyle name="Procentowy 3 3 49" xfId="28763"/>
    <cellStyle name="Procentowy 3 3 5" xfId="28764"/>
    <cellStyle name="Procentowy 3 3 5 2" xfId="28765"/>
    <cellStyle name="Procentowy 3 3 5 3" xfId="28766"/>
    <cellStyle name="Procentowy 3 3 5 4" xfId="28767"/>
    <cellStyle name="Procentowy 3 3 5 5" xfId="28768"/>
    <cellStyle name="Procentowy 3 3 5 6" xfId="28769"/>
    <cellStyle name="Procentowy 3 3 5 7" xfId="28770"/>
    <cellStyle name="Procentowy 3 3 50" xfId="28771"/>
    <cellStyle name="Procentowy 3 3 51" xfId="28772"/>
    <cellStyle name="Procentowy 3 3 52" xfId="28773"/>
    <cellStyle name="Procentowy 3 3 53" xfId="28774"/>
    <cellStyle name="Procentowy 3 3 54" xfId="28775"/>
    <cellStyle name="Procentowy 3 3 55" xfId="28776"/>
    <cellStyle name="Procentowy 3 3 56" xfId="28777"/>
    <cellStyle name="Procentowy 3 3 57" xfId="28778"/>
    <cellStyle name="Procentowy 3 3 58" xfId="28779"/>
    <cellStyle name="Procentowy 3 3 59" xfId="28780"/>
    <cellStyle name="Procentowy 3 3 6" xfId="28781"/>
    <cellStyle name="Procentowy 3 3 6 2" xfId="28782"/>
    <cellStyle name="Procentowy 3 3 60" xfId="28783"/>
    <cellStyle name="Procentowy 3 3 61" xfId="28784"/>
    <cellStyle name="Procentowy 3 3 62" xfId="28785"/>
    <cellStyle name="Procentowy 3 3 63" xfId="28786"/>
    <cellStyle name="Procentowy 3 3 64" xfId="28787"/>
    <cellStyle name="Procentowy 3 3 65" xfId="28788"/>
    <cellStyle name="Procentowy 3 3 66" xfId="28789"/>
    <cellStyle name="Procentowy 3 3 67" xfId="28790"/>
    <cellStyle name="Procentowy 3 3 68" xfId="28791"/>
    <cellStyle name="Procentowy 3 3 69" xfId="28792"/>
    <cellStyle name="Procentowy 3 3 7" xfId="28793"/>
    <cellStyle name="Procentowy 3 3 7 2" xfId="28794"/>
    <cellStyle name="Procentowy 3 3 70" xfId="28795"/>
    <cellStyle name="Procentowy 3 3 71" xfId="28796"/>
    <cellStyle name="Procentowy 3 3 72" xfId="28797"/>
    <cellStyle name="Procentowy 3 3 73" xfId="28798"/>
    <cellStyle name="Procentowy 3 3 74" xfId="28799"/>
    <cellStyle name="Procentowy 3 3 75" xfId="28800"/>
    <cellStyle name="Procentowy 3 3 8" xfId="28801"/>
    <cellStyle name="Procentowy 3 3 8 2" xfId="28802"/>
    <cellStyle name="Procentowy 3 3 9" xfId="28803"/>
    <cellStyle name="Procentowy 3 3 9 2" xfId="28804"/>
    <cellStyle name="Procentowy 3 30" xfId="28805"/>
    <cellStyle name="Procentowy 3 30 2" xfId="28806"/>
    <cellStyle name="Procentowy 3 31" xfId="28807"/>
    <cellStyle name="Procentowy 3 31 2" xfId="28808"/>
    <cellStyle name="Procentowy 3 32" xfId="28809"/>
    <cellStyle name="Procentowy 3 32 2" xfId="28810"/>
    <cellStyle name="Procentowy 3 33" xfId="28811"/>
    <cellStyle name="Procentowy 3 33 2" xfId="28812"/>
    <cellStyle name="Procentowy 3 34" xfId="28813"/>
    <cellStyle name="Procentowy 3 34 2" xfId="28814"/>
    <cellStyle name="Procentowy 3 35" xfId="28815"/>
    <cellStyle name="Procentowy 3 35 2" xfId="28816"/>
    <cellStyle name="Procentowy 3 36" xfId="28817"/>
    <cellStyle name="Procentowy 3 36 2" xfId="28818"/>
    <cellStyle name="Procentowy 3 37" xfId="28819"/>
    <cellStyle name="Procentowy 3 37 2" xfId="28820"/>
    <cellStyle name="Procentowy 3 38" xfId="28821"/>
    <cellStyle name="Procentowy 3 38 2" xfId="28822"/>
    <cellStyle name="Procentowy 3 39" xfId="28823"/>
    <cellStyle name="Procentowy 3 39 2" xfId="28824"/>
    <cellStyle name="Procentowy 3 4" xfId="28825"/>
    <cellStyle name="Procentowy 3 4 10" xfId="28826"/>
    <cellStyle name="Procentowy 3 4 10 2" xfId="28827"/>
    <cellStyle name="Procentowy 3 4 11" xfId="28828"/>
    <cellStyle name="Procentowy 3 4 11 2" xfId="28829"/>
    <cellStyle name="Procentowy 3 4 12" xfId="28830"/>
    <cellStyle name="Procentowy 3 4 12 2" xfId="28831"/>
    <cellStyle name="Procentowy 3 4 13" xfId="28832"/>
    <cellStyle name="Procentowy 3 4 13 2" xfId="28833"/>
    <cellStyle name="Procentowy 3 4 14" xfId="28834"/>
    <cellStyle name="Procentowy 3 4 14 2" xfId="28835"/>
    <cellStyle name="Procentowy 3 4 15" xfId="28836"/>
    <cellStyle name="Procentowy 3 4 15 2" xfId="28837"/>
    <cellStyle name="Procentowy 3 4 16" xfId="28838"/>
    <cellStyle name="Procentowy 3 4 16 2" xfId="28839"/>
    <cellStyle name="Procentowy 3 4 17" xfId="28840"/>
    <cellStyle name="Procentowy 3 4 17 2" xfId="28841"/>
    <cellStyle name="Procentowy 3 4 18" xfId="28842"/>
    <cellStyle name="Procentowy 3 4 18 2" xfId="28843"/>
    <cellStyle name="Procentowy 3 4 19" xfId="28844"/>
    <cellStyle name="Procentowy 3 4 19 2" xfId="28845"/>
    <cellStyle name="Procentowy 3 4 2" xfId="28846"/>
    <cellStyle name="Procentowy 3 4 2 2" xfId="28847"/>
    <cellStyle name="Procentowy 3 4 2 3" xfId="28848"/>
    <cellStyle name="Procentowy 3 4 2 4" xfId="28849"/>
    <cellStyle name="Procentowy 3 4 2 5" xfId="28850"/>
    <cellStyle name="Procentowy 3 4 2 6" xfId="28851"/>
    <cellStyle name="Procentowy 3 4 2 7" xfId="28852"/>
    <cellStyle name="Procentowy 3 4 20" xfId="28853"/>
    <cellStyle name="Procentowy 3 4 20 2" xfId="28854"/>
    <cellStyle name="Procentowy 3 4 21" xfId="28855"/>
    <cellStyle name="Procentowy 3 4 21 2" xfId="28856"/>
    <cellStyle name="Procentowy 3 4 22" xfId="28857"/>
    <cellStyle name="Procentowy 3 4 22 2" xfId="28858"/>
    <cellStyle name="Procentowy 3 4 23" xfId="28859"/>
    <cellStyle name="Procentowy 3 4 23 2" xfId="28860"/>
    <cellStyle name="Procentowy 3 4 24" xfId="28861"/>
    <cellStyle name="Procentowy 3 4 24 2" xfId="28862"/>
    <cellStyle name="Procentowy 3 4 25" xfId="28863"/>
    <cellStyle name="Procentowy 3 4 25 2" xfId="28864"/>
    <cellStyle name="Procentowy 3 4 26" xfId="28865"/>
    <cellStyle name="Procentowy 3 4 26 2" xfId="28866"/>
    <cellStyle name="Procentowy 3 4 27" xfId="28867"/>
    <cellStyle name="Procentowy 3 4 27 2" xfId="28868"/>
    <cellStyle name="Procentowy 3 4 28" xfId="28869"/>
    <cellStyle name="Procentowy 3 4 28 2" xfId="28870"/>
    <cellStyle name="Procentowy 3 4 29" xfId="28871"/>
    <cellStyle name="Procentowy 3 4 29 2" xfId="28872"/>
    <cellStyle name="Procentowy 3 4 3" xfId="28873"/>
    <cellStyle name="Procentowy 3 4 3 2" xfId="28874"/>
    <cellStyle name="Procentowy 3 4 3 3" xfId="28875"/>
    <cellStyle name="Procentowy 3 4 3 4" xfId="28876"/>
    <cellStyle name="Procentowy 3 4 3 5" xfId="28877"/>
    <cellStyle name="Procentowy 3 4 3 6" xfId="28878"/>
    <cellStyle name="Procentowy 3 4 3 7" xfId="28879"/>
    <cellStyle name="Procentowy 3 4 30" xfId="28880"/>
    <cellStyle name="Procentowy 3 4 30 2" xfId="28881"/>
    <cellStyle name="Procentowy 3 4 31" xfId="28882"/>
    <cellStyle name="Procentowy 3 4 31 2" xfId="28883"/>
    <cellStyle name="Procentowy 3 4 32" xfId="28884"/>
    <cellStyle name="Procentowy 3 4 33" xfId="28885"/>
    <cellStyle name="Procentowy 3 4 34" xfId="28886"/>
    <cellStyle name="Procentowy 3 4 35" xfId="28887"/>
    <cellStyle name="Procentowy 3 4 36" xfId="28888"/>
    <cellStyle name="Procentowy 3 4 37" xfId="28889"/>
    <cellStyle name="Procentowy 3 4 38" xfId="28890"/>
    <cellStyle name="Procentowy 3 4 39" xfId="28891"/>
    <cellStyle name="Procentowy 3 4 4" xfId="28892"/>
    <cellStyle name="Procentowy 3 4 4 2" xfId="28893"/>
    <cellStyle name="Procentowy 3 4 4 3" xfId="28894"/>
    <cellStyle name="Procentowy 3 4 4 4" xfId="28895"/>
    <cellStyle name="Procentowy 3 4 4 5" xfId="28896"/>
    <cellStyle name="Procentowy 3 4 4 6" xfId="28897"/>
    <cellStyle name="Procentowy 3 4 4 7" xfId="28898"/>
    <cellStyle name="Procentowy 3 4 40" xfId="28899"/>
    <cellStyle name="Procentowy 3 4 41" xfId="28900"/>
    <cellStyle name="Procentowy 3 4 42" xfId="28901"/>
    <cellStyle name="Procentowy 3 4 43" xfId="28902"/>
    <cellStyle name="Procentowy 3 4 44" xfId="28903"/>
    <cellStyle name="Procentowy 3 4 45" xfId="28904"/>
    <cellStyle name="Procentowy 3 4 46" xfId="28905"/>
    <cellStyle name="Procentowy 3 4 47" xfId="28906"/>
    <cellStyle name="Procentowy 3 4 48" xfId="28907"/>
    <cellStyle name="Procentowy 3 4 49" xfId="28908"/>
    <cellStyle name="Procentowy 3 4 5" xfId="28909"/>
    <cellStyle name="Procentowy 3 4 5 2" xfId="28910"/>
    <cellStyle name="Procentowy 3 4 5 3" xfId="28911"/>
    <cellStyle name="Procentowy 3 4 5 4" xfId="28912"/>
    <cellStyle name="Procentowy 3 4 5 5" xfId="28913"/>
    <cellStyle name="Procentowy 3 4 5 6" xfId="28914"/>
    <cellStyle name="Procentowy 3 4 5 7" xfId="28915"/>
    <cellStyle name="Procentowy 3 4 50" xfId="28916"/>
    <cellStyle name="Procentowy 3 4 51" xfId="28917"/>
    <cellStyle name="Procentowy 3 4 52" xfId="28918"/>
    <cellStyle name="Procentowy 3 4 53" xfId="28919"/>
    <cellStyle name="Procentowy 3 4 54" xfId="28920"/>
    <cellStyle name="Procentowy 3 4 55" xfId="28921"/>
    <cellStyle name="Procentowy 3 4 56" xfId="28922"/>
    <cellStyle name="Procentowy 3 4 57" xfId="28923"/>
    <cellStyle name="Procentowy 3 4 58" xfId="28924"/>
    <cellStyle name="Procentowy 3 4 59" xfId="28925"/>
    <cellStyle name="Procentowy 3 4 6" xfId="28926"/>
    <cellStyle name="Procentowy 3 4 6 2" xfId="28927"/>
    <cellStyle name="Procentowy 3 4 60" xfId="28928"/>
    <cellStyle name="Procentowy 3 4 61" xfId="28929"/>
    <cellStyle name="Procentowy 3 4 62" xfId="28930"/>
    <cellStyle name="Procentowy 3 4 63" xfId="28931"/>
    <cellStyle name="Procentowy 3 4 64" xfId="28932"/>
    <cellStyle name="Procentowy 3 4 65" xfId="28933"/>
    <cellStyle name="Procentowy 3 4 66" xfId="28934"/>
    <cellStyle name="Procentowy 3 4 67" xfId="28935"/>
    <cellStyle name="Procentowy 3 4 68" xfId="28936"/>
    <cellStyle name="Procentowy 3 4 69" xfId="28937"/>
    <cellStyle name="Procentowy 3 4 7" xfId="28938"/>
    <cellStyle name="Procentowy 3 4 7 2" xfId="28939"/>
    <cellStyle name="Procentowy 3 4 70" xfId="28940"/>
    <cellStyle name="Procentowy 3 4 71" xfId="28941"/>
    <cellStyle name="Procentowy 3 4 72" xfId="28942"/>
    <cellStyle name="Procentowy 3 4 73" xfId="28943"/>
    <cellStyle name="Procentowy 3 4 74" xfId="28944"/>
    <cellStyle name="Procentowy 3 4 75" xfId="28945"/>
    <cellStyle name="Procentowy 3 4 76" xfId="28946"/>
    <cellStyle name="Procentowy 3 4 8" xfId="28947"/>
    <cellStyle name="Procentowy 3 4 8 2" xfId="28948"/>
    <cellStyle name="Procentowy 3 4 9" xfId="28949"/>
    <cellStyle name="Procentowy 3 4 9 2" xfId="28950"/>
    <cellStyle name="Procentowy 3 40" xfId="28951"/>
    <cellStyle name="Procentowy 3 40 2" xfId="28952"/>
    <cellStyle name="Procentowy 3 41" xfId="28953"/>
    <cellStyle name="Procentowy 3 41 2" xfId="28954"/>
    <cellStyle name="Procentowy 3 42" xfId="28955"/>
    <cellStyle name="Procentowy 3 42 2" xfId="28956"/>
    <cellStyle name="Procentowy 3 43" xfId="28957"/>
    <cellStyle name="Procentowy 3 43 2" xfId="28958"/>
    <cellStyle name="Procentowy 3 44" xfId="28959"/>
    <cellStyle name="Procentowy 3 44 2" xfId="28960"/>
    <cellStyle name="Procentowy 3 45" xfId="28961"/>
    <cellStyle name="Procentowy 3 45 2" xfId="28962"/>
    <cellStyle name="Procentowy 3 46" xfId="28963"/>
    <cellStyle name="Procentowy 3 46 2" xfId="28964"/>
    <cellStyle name="Procentowy 3 47" xfId="28965"/>
    <cellStyle name="Procentowy 3 47 2" xfId="28966"/>
    <cellStyle name="Procentowy 3 48" xfId="28967"/>
    <cellStyle name="Procentowy 3 48 2" xfId="28968"/>
    <cellStyle name="Procentowy 3 49" xfId="28969"/>
    <cellStyle name="Procentowy 3 49 2" xfId="28970"/>
    <cellStyle name="Procentowy 3 5" xfId="28971"/>
    <cellStyle name="Procentowy 3 5 10" xfId="28972"/>
    <cellStyle name="Procentowy 3 5 10 2" xfId="28973"/>
    <cellStyle name="Procentowy 3 5 11" xfId="28974"/>
    <cellStyle name="Procentowy 3 5 11 2" xfId="28975"/>
    <cellStyle name="Procentowy 3 5 12" xfId="28976"/>
    <cellStyle name="Procentowy 3 5 12 2" xfId="28977"/>
    <cellStyle name="Procentowy 3 5 13" xfId="28978"/>
    <cellStyle name="Procentowy 3 5 13 2" xfId="28979"/>
    <cellStyle name="Procentowy 3 5 14" xfId="28980"/>
    <cellStyle name="Procentowy 3 5 14 2" xfId="28981"/>
    <cellStyle name="Procentowy 3 5 15" xfId="28982"/>
    <cellStyle name="Procentowy 3 5 15 2" xfId="28983"/>
    <cellStyle name="Procentowy 3 5 16" xfId="28984"/>
    <cellStyle name="Procentowy 3 5 16 2" xfId="28985"/>
    <cellStyle name="Procentowy 3 5 17" xfId="28986"/>
    <cellStyle name="Procentowy 3 5 17 2" xfId="28987"/>
    <cellStyle name="Procentowy 3 5 18" xfId="28988"/>
    <cellStyle name="Procentowy 3 5 18 2" xfId="28989"/>
    <cellStyle name="Procentowy 3 5 19" xfId="28990"/>
    <cellStyle name="Procentowy 3 5 19 2" xfId="28991"/>
    <cellStyle name="Procentowy 3 5 2" xfId="28992"/>
    <cellStyle name="Procentowy 3 5 2 2" xfId="28993"/>
    <cellStyle name="Procentowy 3 5 2 3" xfId="28994"/>
    <cellStyle name="Procentowy 3 5 2 4" xfId="28995"/>
    <cellStyle name="Procentowy 3 5 2 5" xfId="28996"/>
    <cellStyle name="Procentowy 3 5 2 6" xfId="28997"/>
    <cellStyle name="Procentowy 3 5 2 7" xfId="28998"/>
    <cellStyle name="Procentowy 3 5 20" xfId="28999"/>
    <cellStyle name="Procentowy 3 5 20 2" xfId="29000"/>
    <cellStyle name="Procentowy 3 5 21" xfId="29001"/>
    <cellStyle name="Procentowy 3 5 21 2" xfId="29002"/>
    <cellStyle name="Procentowy 3 5 22" xfId="29003"/>
    <cellStyle name="Procentowy 3 5 22 2" xfId="29004"/>
    <cellStyle name="Procentowy 3 5 23" xfId="29005"/>
    <cellStyle name="Procentowy 3 5 23 2" xfId="29006"/>
    <cellStyle name="Procentowy 3 5 24" xfId="29007"/>
    <cellStyle name="Procentowy 3 5 24 2" xfId="29008"/>
    <cellStyle name="Procentowy 3 5 25" xfId="29009"/>
    <cellStyle name="Procentowy 3 5 25 2" xfId="29010"/>
    <cellStyle name="Procentowy 3 5 26" xfId="29011"/>
    <cellStyle name="Procentowy 3 5 26 2" xfId="29012"/>
    <cellStyle name="Procentowy 3 5 27" xfId="29013"/>
    <cellStyle name="Procentowy 3 5 27 2" xfId="29014"/>
    <cellStyle name="Procentowy 3 5 28" xfId="29015"/>
    <cellStyle name="Procentowy 3 5 28 2" xfId="29016"/>
    <cellStyle name="Procentowy 3 5 29" xfId="29017"/>
    <cellStyle name="Procentowy 3 5 29 2" xfId="29018"/>
    <cellStyle name="Procentowy 3 5 3" xfId="29019"/>
    <cellStyle name="Procentowy 3 5 3 2" xfId="29020"/>
    <cellStyle name="Procentowy 3 5 3 3" xfId="29021"/>
    <cellStyle name="Procentowy 3 5 3 4" xfId="29022"/>
    <cellStyle name="Procentowy 3 5 3 5" xfId="29023"/>
    <cellStyle name="Procentowy 3 5 3 6" xfId="29024"/>
    <cellStyle name="Procentowy 3 5 3 7" xfId="29025"/>
    <cellStyle name="Procentowy 3 5 30" xfId="29026"/>
    <cellStyle name="Procentowy 3 5 30 2" xfId="29027"/>
    <cellStyle name="Procentowy 3 5 31" xfId="29028"/>
    <cellStyle name="Procentowy 3 5 31 2" xfId="29029"/>
    <cellStyle name="Procentowy 3 5 32" xfId="29030"/>
    <cellStyle name="Procentowy 3 5 33" xfId="29031"/>
    <cellStyle name="Procentowy 3 5 34" xfId="29032"/>
    <cellStyle name="Procentowy 3 5 35" xfId="29033"/>
    <cellStyle name="Procentowy 3 5 36" xfId="29034"/>
    <cellStyle name="Procentowy 3 5 37" xfId="29035"/>
    <cellStyle name="Procentowy 3 5 38" xfId="29036"/>
    <cellStyle name="Procentowy 3 5 39" xfId="29037"/>
    <cellStyle name="Procentowy 3 5 4" xfId="29038"/>
    <cellStyle name="Procentowy 3 5 4 2" xfId="29039"/>
    <cellStyle name="Procentowy 3 5 4 3" xfId="29040"/>
    <cellStyle name="Procentowy 3 5 4 4" xfId="29041"/>
    <cellStyle name="Procentowy 3 5 4 5" xfId="29042"/>
    <cellStyle name="Procentowy 3 5 4 6" xfId="29043"/>
    <cellStyle name="Procentowy 3 5 4 7" xfId="29044"/>
    <cellStyle name="Procentowy 3 5 40" xfId="29045"/>
    <cellStyle name="Procentowy 3 5 41" xfId="29046"/>
    <cellStyle name="Procentowy 3 5 42" xfId="29047"/>
    <cellStyle name="Procentowy 3 5 43" xfId="29048"/>
    <cellStyle name="Procentowy 3 5 44" xfId="29049"/>
    <cellStyle name="Procentowy 3 5 45" xfId="29050"/>
    <cellStyle name="Procentowy 3 5 46" xfId="29051"/>
    <cellStyle name="Procentowy 3 5 47" xfId="29052"/>
    <cellStyle name="Procentowy 3 5 48" xfId="29053"/>
    <cellStyle name="Procentowy 3 5 49" xfId="29054"/>
    <cellStyle name="Procentowy 3 5 5" xfId="29055"/>
    <cellStyle name="Procentowy 3 5 5 2" xfId="29056"/>
    <cellStyle name="Procentowy 3 5 5 3" xfId="29057"/>
    <cellStyle name="Procentowy 3 5 5 4" xfId="29058"/>
    <cellStyle name="Procentowy 3 5 5 5" xfId="29059"/>
    <cellStyle name="Procentowy 3 5 5 6" xfId="29060"/>
    <cellStyle name="Procentowy 3 5 5 7" xfId="29061"/>
    <cellStyle name="Procentowy 3 5 50" xfId="29062"/>
    <cellStyle name="Procentowy 3 5 51" xfId="29063"/>
    <cellStyle name="Procentowy 3 5 52" xfId="29064"/>
    <cellStyle name="Procentowy 3 5 53" xfId="29065"/>
    <cellStyle name="Procentowy 3 5 54" xfId="29066"/>
    <cellStyle name="Procentowy 3 5 55" xfId="29067"/>
    <cellStyle name="Procentowy 3 5 56" xfId="29068"/>
    <cellStyle name="Procentowy 3 5 57" xfId="29069"/>
    <cellStyle name="Procentowy 3 5 58" xfId="29070"/>
    <cellStyle name="Procentowy 3 5 59" xfId="29071"/>
    <cellStyle name="Procentowy 3 5 6" xfId="29072"/>
    <cellStyle name="Procentowy 3 5 6 2" xfId="29073"/>
    <cellStyle name="Procentowy 3 5 60" xfId="29074"/>
    <cellStyle name="Procentowy 3 5 61" xfId="29075"/>
    <cellStyle name="Procentowy 3 5 62" xfId="29076"/>
    <cellStyle name="Procentowy 3 5 63" xfId="29077"/>
    <cellStyle name="Procentowy 3 5 64" xfId="29078"/>
    <cellStyle name="Procentowy 3 5 65" xfId="29079"/>
    <cellStyle name="Procentowy 3 5 66" xfId="29080"/>
    <cellStyle name="Procentowy 3 5 67" xfId="29081"/>
    <cellStyle name="Procentowy 3 5 68" xfId="29082"/>
    <cellStyle name="Procentowy 3 5 69" xfId="29083"/>
    <cellStyle name="Procentowy 3 5 7" xfId="29084"/>
    <cellStyle name="Procentowy 3 5 7 2" xfId="29085"/>
    <cellStyle name="Procentowy 3 5 70" xfId="29086"/>
    <cellStyle name="Procentowy 3 5 71" xfId="29087"/>
    <cellStyle name="Procentowy 3 5 72" xfId="29088"/>
    <cellStyle name="Procentowy 3 5 73" xfId="29089"/>
    <cellStyle name="Procentowy 3 5 74" xfId="29090"/>
    <cellStyle name="Procentowy 3 5 8" xfId="29091"/>
    <cellStyle name="Procentowy 3 5 8 2" xfId="29092"/>
    <cellStyle name="Procentowy 3 5 9" xfId="29093"/>
    <cellStyle name="Procentowy 3 5 9 2" xfId="29094"/>
    <cellStyle name="Procentowy 3 50" xfId="29095"/>
    <cellStyle name="Procentowy 3 50 2" xfId="29096"/>
    <cellStyle name="Procentowy 3 51" xfId="29097"/>
    <cellStyle name="Procentowy 3 51 2" xfId="29098"/>
    <cellStyle name="Procentowy 3 52" xfId="29099"/>
    <cellStyle name="Procentowy 3 52 2" xfId="29100"/>
    <cellStyle name="Procentowy 3 53" xfId="29101"/>
    <cellStyle name="Procentowy 3 53 2" xfId="29102"/>
    <cellStyle name="Procentowy 3 54" xfId="29103"/>
    <cellStyle name="Procentowy 3 54 2" xfId="29104"/>
    <cellStyle name="Procentowy 3 55" xfId="29105"/>
    <cellStyle name="Procentowy 3 55 2" xfId="29106"/>
    <cellStyle name="Procentowy 3 56" xfId="29107"/>
    <cellStyle name="Procentowy 3 56 2" xfId="29108"/>
    <cellStyle name="Procentowy 3 57" xfId="29109"/>
    <cellStyle name="Procentowy 3 57 2" xfId="29110"/>
    <cellStyle name="Procentowy 3 58" xfId="29111"/>
    <cellStyle name="Procentowy 3 58 2" xfId="29112"/>
    <cellStyle name="Procentowy 3 59" xfId="29113"/>
    <cellStyle name="Procentowy 3 59 2" xfId="29114"/>
    <cellStyle name="Procentowy 3 6" xfId="29115"/>
    <cellStyle name="Procentowy 3 6 10" xfId="29116"/>
    <cellStyle name="Procentowy 3 6 10 2" xfId="29117"/>
    <cellStyle name="Procentowy 3 6 11" xfId="29118"/>
    <cellStyle name="Procentowy 3 6 11 2" xfId="29119"/>
    <cellStyle name="Procentowy 3 6 12" xfId="29120"/>
    <cellStyle name="Procentowy 3 6 12 2" xfId="29121"/>
    <cellStyle name="Procentowy 3 6 13" xfId="29122"/>
    <cellStyle name="Procentowy 3 6 13 2" xfId="29123"/>
    <cellStyle name="Procentowy 3 6 14" xfId="29124"/>
    <cellStyle name="Procentowy 3 6 14 2" xfId="29125"/>
    <cellStyle name="Procentowy 3 6 15" xfId="29126"/>
    <cellStyle name="Procentowy 3 6 15 2" xfId="29127"/>
    <cellStyle name="Procentowy 3 6 16" xfId="29128"/>
    <cellStyle name="Procentowy 3 6 16 2" xfId="29129"/>
    <cellStyle name="Procentowy 3 6 17" xfId="29130"/>
    <cellStyle name="Procentowy 3 6 17 2" xfId="29131"/>
    <cellStyle name="Procentowy 3 6 18" xfId="29132"/>
    <cellStyle name="Procentowy 3 6 18 2" xfId="29133"/>
    <cellStyle name="Procentowy 3 6 19" xfId="29134"/>
    <cellStyle name="Procentowy 3 6 19 2" xfId="29135"/>
    <cellStyle name="Procentowy 3 6 2" xfId="29136"/>
    <cellStyle name="Procentowy 3 6 2 2" xfId="29137"/>
    <cellStyle name="Procentowy 3 6 2 3" xfId="29138"/>
    <cellStyle name="Procentowy 3 6 2 4" xfId="29139"/>
    <cellStyle name="Procentowy 3 6 2 5" xfId="29140"/>
    <cellStyle name="Procentowy 3 6 2 6" xfId="29141"/>
    <cellStyle name="Procentowy 3 6 2 7" xfId="29142"/>
    <cellStyle name="Procentowy 3 6 20" xfId="29143"/>
    <cellStyle name="Procentowy 3 6 20 2" xfId="29144"/>
    <cellStyle name="Procentowy 3 6 21" xfId="29145"/>
    <cellStyle name="Procentowy 3 6 21 2" xfId="29146"/>
    <cellStyle name="Procentowy 3 6 22" xfId="29147"/>
    <cellStyle name="Procentowy 3 6 22 2" xfId="29148"/>
    <cellStyle name="Procentowy 3 6 23" xfId="29149"/>
    <cellStyle name="Procentowy 3 6 23 2" xfId="29150"/>
    <cellStyle name="Procentowy 3 6 24" xfId="29151"/>
    <cellStyle name="Procentowy 3 6 24 2" xfId="29152"/>
    <cellStyle name="Procentowy 3 6 25" xfId="29153"/>
    <cellStyle name="Procentowy 3 6 25 2" xfId="29154"/>
    <cellStyle name="Procentowy 3 6 26" xfId="29155"/>
    <cellStyle name="Procentowy 3 6 26 2" xfId="29156"/>
    <cellStyle name="Procentowy 3 6 27" xfId="29157"/>
    <cellStyle name="Procentowy 3 6 27 2" xfId="29158"/>
    <cellStyle name="Procentowy 3 6 28" xfId="29159"/>
    <cellStyle name="Procentowy 3 6 28 2" xfId="29160"/>
    <cellStyle name="Procentowy 3 6 29" xfId="29161"/>
    <cellStyle name="Procentowy 3 6 29 2" xfId="29162"/>
    <cellStyle name="Procentowy 3 6 3" xfId="29163"/>
    <cellStyle name="Procentowy 3 6 3 2" xfId="29164"/>
    <cellStyle name="Procentowy 3 6 3 3" xfId="29165"/>
    <cellStyle name="Procentowy 3 6 3 4" xfId="29166"/>
    <cellStyle name="Procentowy 3 6 3 5" xfId="29167"/>
    <cellStyle name="Procentowy 3 6 3 6" xfId="29168"/>
    <cellStyle name="Procentowy 3 6 3 7" xfId="29169"/>
    <cellStyle name="Procentowy 3 6 30" xfId="29170"/>
    <cellStyle name="Procentowy 3 6 30 2" xfId="29171"/>
    <cellStyle name="Procentowy 3 6 31" xfId="29172"/>
    <cellStyle name="Procentowy 3 6 31 2" xfId="29173"/>
    <cellStyle name="Procentowy 3 6 32" xfId="29174"/>
    <cellStyle name="Procentowy 3 6 33" xfId="29175"/>
    <cellStyle name="Procentowy 3 6 34" xfId="29176"/>
    <cellStyle name="Procentowy 3 6 35" xfId="29177"/>
    <cellStyle name="Procentowy 3 6 36" xfId="29178"/>
    <cellStyle name="Procentowy 3 6 37" xfId="29179"/>
    <cellStyle name="Procentowy 3 6 38" xfId="29180"/>
    <cellStyle name="Procentowy 3 6 39" xfId="29181"/>
    <cellStyle name="Procentowy 3 6 4" xfId="29182"/>
    <cellStyle name="Procentowy 3 6 4 2" xfId="29183"/>
    <cellStyle name="Procentowy 3 6 4 3" xfId="29184"/>
    <cellStyle name="Procentowy 3 6 4 4" xfId="29185"/>
    <cellStyle name="Procentowy 3 6 4 5" xfId="29186"/>
    <cellStyle name="Procentowy 3 6 4 6" xfId="29187"/>
    <cellStyle name="Procentowy 3 6 4 7" xfId="29188"/>
    <cellStyle name="Procentowy 3 6 40" xfId="29189"/>
    <cellStyle name="Procentowy 3 6 41" xfId="29190"/>
    <cellStyle name="Procentowy 3 6 42" xfId="29191"/>
    <cellStyle name="Procentowy 3 6 43" xfId="29192"/>
    <cellStyle name="Procentowy 3 6 44" xfId="29193"/>
    <cellStyle name="Procentowy 3 6 45" xfId="29194"/>
    <cellStyle name="Procentowy 3 6 46" xfId="29195"/>
    <cellStyle name="Procentowy 3 6 47" xfId="29196"/>
    <cellStyle name="Procentowy 3 6 48" xfId="29197"/>
    <cellStyle name="Procentowy 3 6 49" xfId="29198"/>
    <cellStyle name="Procentowy 3 6 5" xfId="29199"/>
    <cellStyle name="Procentowy 3 6 5 2" xfId="29200"/>
    <cellStyle name="Procentowy 3 6 5 3" xfId="29201"/>
    <cellStyle name="Procentowy 3 6 5 4" xfId="29202"/>
    <cellStyle name="Procentowy 3 6 5 5" xfId="29203"/>
    <cellStyle name="Procentowy 3 6 5 6" xfId="29204"/>
    <cellStyle name="Procentowy 3 6 5 7" xfId="29205"/>
    <cellStyle name="Procentowy 3 6 50" xfId="29206"/>
    <cellStyle name="Procentowy 3 6 51" xfId="29207"/>
    <cellStyle name="Procentowy 3 6 52" xfId="29208"/>
    <cellStyle name="Procentowy 3 6 53" xfId="29209"/>
    <cellStyle name="Procentowy 3 6 54" xfId="29210"/>
    <cellStyle name="Procentowy 3 6 55" xfId="29211"/>
    <cellStyle name="Procentowy 3 6 56" xfId="29212"/>
    <cellStyle name="Procentowy 3 6 57" xfId="29213"/>
    <cellStyle name="Procentowy 3 6 58" xfId="29214"/>
    <cellStyle name="Procentowy 3 6 59" xfId="29215"/>
    <cellStyle name="Procentowy 3 6 6" xfId="29216"/>
    <cellStyle name="Procentowy 3 6 6 2" xfId="29217"/>
    <cellStyle name="Procentowy 3 6 60" xfId="29218"/>
    <cellStyle name="Procentowy 3 6 61" xfId="29219"/>
    <cellStyle name="Procentowy 3 6 62" xfId="29220"/>
    <cellStyle name="Procentowy 3 6 63" xfId="29221"/>
    <cellStyle name="Procentowy 3 6 64" xfId="29222"/>
    <cellStyle name="Procentowy 3 6 65" xfId="29223"/>
    <cellStyle name="Procentowy 3 6 66" xfId="29224"/>
    <cellStyle name="Procentowy 3 6 67" xfId="29225"/>
    <cellStyle name="Procentowy 3 6 68" xfId="29226"/>
    <cellStyle name="Procentowy 3 6 69" xfId="29227"/>
    <cellStyle name="Procentowy 3 6 7" xfId="29228"/>
    <cellStyle name="Procentowy 3 6 7 2" xfId="29229"/>
    <cellStyle name="Procentowy 3 6 70" xfId="29230"/>
    <cellStyle name="Procentowy 3 6 71" xfId="29231"/>
    <cellStyle name="Procentowy 3 6 72" xfId="29232"/>
    <cellStyle name="Procentowy 3 6 73" xfId="29233"/>
    <cellStyle name="Procentowy 3 6 74" xfId="29234"/>
    <cellStyle name="Procentowy 3 6 8" xfId="29235"/>
    <cellStyle name="Procentowy 3 6 8 2" xfId="29236"/>
    <cellStyle name="Procentowy 3 6 9" xfId="29237"/>
    <cellStyle name="Procentowy 3 6 9 2" xfId="29238"/>
    <cellStyle name="Procentowy 3 60" xfId="29239"/>
    <cellStyle name="Procentowy 3 60 2" xfId="29240"/>
    <cellStyle name="Procentowy 3 61" xfId="29241"/>
    <cellStyle name="Procentowy 3 61 2" xfId="29242"/>
    <cellStyle name="Procentowy 3 62" xfId="29243"/>
    <cellStyle name="Procentowy 3 62 2" xfId="29244"/>
    <cellStyle name="Procentowy 3 63" xfId="29245"/>
    <cellStyle name="Procentowy 3 63 2" xfId="29246"/>
    <cellStyle name="Procentowy 3 64" xfId="29247"/>
    <cellStyle name="Procentowy 3 64 2" xfId="29248"/>
    <cellStyle name="Procentowy 3 65" xfId="29249"/>
    <cellStyle name="Procentowy 3 65 2" xfId="29250"/>
    <cellStyle name="Procentowy 3 66" xfId="29251"/>
    <cellStyle name="Procentowy 3 66 2" xfId="29252"/>
    <cellStyle name="Procentowy 3 67" xfId="29253"/>
    <cellStyle name="Procentowy 3 67 2" xfId="29254"/>
    <cellStyle name="Procentowy 3 68" xfId="29255"/>
    <cellStyle name="Procentowy 3 68 2" xfId="29256"/>
    <cellStyle name="Procentowy 3 69" xfId="29257"/>
    <cellStyle name="Procentowy 3 69 2" xfId="29258"/>
    <cellStyle name="Procentowy 3 7" xfId="29259"/>
    <cellStyle name="Procentowy 3 7 10" xfId="29260"/>
    <cellStyle name="Procentowy 3 7 10 2" xfId="29261"/>
    <cellStyle name="Procentowy 3 7 11" xfId="29262"/>
    <cellStyle name="Procentowy 3 7 11 2" xfId="29263"/>
    <cellStyle name="Procentowy 3 7 12" xfId="29264"/>
    <cellStyle name="Procentowy 3 7 12 2" xfId="29265"/>
    <cellStyle name="Procentowy 3 7 13" xfId="29266"/>
    <cellStyle name="Procentowy 3 7 13 2" xfId="29267"/>
    <cellStyle name="Procentowy 3 7 14" xfId="29268"/>
    <cellStyle name="Procentowy 3 7 14 2" xfId="29269"/>
    <cellStyle name="Procentowy 3 7 15" xfId="29270"/>
    <cellStyle name="Procentowy 3 7 15 2" xfId="29271"/>
    <cellStyle name="Procentowy 3 7 16" xfId="29272"/>
    <cellStyle name="Procentowy 3 7 16 2" xfId="29273"/>
    <cellStyle name="Procentowy 3 7 17" xfId="29274"/>
    <cellStyle name="Procentowy 3 7 17 2" xfId="29275"/>
    <cellStyle name="Procentowy 3 7 18" xfId="29276"/>
    <cellStyle name="Procentowy 3 7 18 2" xfId="29277"/>
    <cellStyle name="Procentowy 3 7 19" xfId="29278"/>
    <cellStyle name="Procentowy 3 7 19 2" xfId="29279"/>
    <cellStyle name="Procentowy 3 7 2" xfId="29280"/>
    <cellStyle name="Procentowy 3 7 2 2" xfId="29281"/>
    <cellStyle name="Procentowy 3 7 2 3" xfId="29282"/>
    <cellStyle name="Procentowy 3 7 2 4" xfId="29283"/>
    <cellStyle name="Procentowy 3 7 2 5" xfId="29284"/>
    <cellStyle name="Procentowy 3 7 2 6" xfId="29285"/>
    <cellStyle name="Procentowy 3 7 2 7" xfId="29286"/>
    <cellStyle name="Procentowy 3 7 20" xfId="29287"/>
    <cellStyle name="Procentowy 3 7 20 2" xfId="29288"/>
    <cellStyle name="Procentowy 3 7 21" xfId="29289"/>
    <cellStyle name="Procentowy 3 7 21 2" xfId="29290"/>
    <cellStyle name="Procentowy 3 7 22" xfId="29291"/>
    <cellStyle name="Procentowy 3 7 22 2" xfId="29292"/>
    <cellStyle name="Procentowy 3 7 23" xfId="29293"/>
    <cellStyle name="Procentowy 3 7 23 2" xfId="29294"/>
    <cellStyle name="Procentowy 3 7 24" xfId="29295"/>
    <cellStyle name="Procentowy 3 7 24 2" xfId="29296"/>
    <cellStyle name="Procentowy 3 7 25" xfId="29297"/>
    <cellStyle name="Procentowy 3 7 25 2" xfId="29298"/>
    <cellStyle name="Procentowy 3 7 26" xfId="29299"/>
    <cellStyle name="Procentowy 3 7 26 2" xfId="29300"/>
    <cellStyle name="Procentowy 3 7 27" xfId="29301"/>
    <cellStyle name="Procentowy 3 7 27 2" xfId="29302"/>
    <cellStyle name="Procentowy 3 7 28" xfId="29303"/>
    <cellStyle name="Procentowy 3 7 28 2" xfId="29304"/>
    <cellStyle name="Procentowy 3 7 29" xfId="29305"/>
    <cellStyle name="Procentowy 3 7 29 2" xfId="29306"/>
    <cellStyle name="Procentowy 3 7 3" xfId="29307"/>
    <cellStyle name="Procentowy 3 7 3 2" xfId="29308"/>
    <cellStyle name="Procentowy 3 7 3 3" xfId="29309"/>
    <cellStyle name="Procentowy 3 7 3 4" xfId="29310"/>
    <cellStyle name="Procentowy 3 7 3 5" xfId="29311"/>
    <cellStyle name="Procentowy 3 7 3 6" xfId="29312"/>
    <cellStyle name="Procentowy 3 7 3 7" xfId="29313"/>
    <cellStyle name="Procentowy 3 7 30" xfId="29314"/>
    <cellStyle name="Procentowy 3 7 30 2" xfId="29315"/>
    <cellStyle name="Procentowy 3 7 31" xfId="29316"/>
    <cellStyle name="Procentowy 3 7 31 2" xfId="29317"/>
    <cellStyle name="Procentowy 3 7 32" xfId="29318"/>
    <cellStyle name="Procentowy 3 7 33" xfId="29319"/>
    <cellStyle name="Procentowy 3 7 34" xfId="29320"/>
    <cellStyle name="Procentowy 3 7 35" xfId="29321"/>
    <cellStyle name="Procentowy 3 7 36" xfId="29322"/>
    <cellStyle name="Procentowy 3 7 37" xfId="29323"/>
    <cellStyle name="Procentowy 3 7 38" xfId="29324"/>
    <cellStyle name="Procentowy 3 7 39" xfId="29325"/>
    <cellStyle name="Procentowy 3 7 4" xfId="29326"/>
    <cellStyle name="Procentowy 3 7 4 2" xfId="29327"/>
    <cellStyle name="Procentowy 3 7 4 3" xfId="29328"/>
    <cellStyle name="Procentowy 3 7 4 4" xfId="29329"/>
    <cellStyle name="Procentowy 3 7 4 5" xfId="29330"/>
    <cellStyle name="Procentowy 3 7 4 6" xfId="29331"/>
    <cellStyle name="Procentowy 3 7 4 7" xfId="29332"/>
    <cellStyle name="Procentowy 3 7 40" xfId="29333"/>
    <cellStyle name="Procentowy 3 7 41" xfId="29334"/>
    <cellStyle name="Procentowy 3 7 42" xfId="29335"/>
    <cellStyle name="Procentowy 3 7 43" xfId="29336"/>
    <cellStyle name="Procentowy 3 7 44" xfId="29337"/>
    <cellStyle name="Procentowy 3 7 45" xfId="29338"/>
    <cellStyle name="Procentowy 3 7 46" xfId="29339"/>
    <cellStyle name="Procentowy 3 7 47" xfId="29340"/>
    <cellStyle name="Procentowy 3 7 48" xfId="29341"/>
    <cellStyle name="Procentowy 3 7 49" xfId="29342"/>
    <cellStyle name="Procentowy 3 7 5" xfId="29343"/>
    <cellStyle name="Procentowy 3 7 5 2" xfId="29344"/>
    <cellStyle name="Procentowy 3 7 5 3" xfId="29345"/>
    <cellStyle name="Procentowy 3 7 5 4" xfId="29346"/>
    <cellStyle name="Procentowy 3 7 5 5" xfId="29347"/>
    <cellStyle name="Procentowy 3 7 5 6" xfId="29348"/>
    <cellStyle name="Procentowy 3 7 5 7" xfId="29349"/>
    <cellStyle name="Procentowy 3 7 50" xfId="29350"/>
    <cellStyle name="Procentowy 3 7 51" xfId="29351"/>
    <cellStyle name="Procentowy 3 7 52" xfId="29352"/>
    <cellStyle name="Procentowy 3 7 53" xfId="29353"/>
    <cellStyle name="Procentowy 3 7 54" xfId="29354"/>
    <cellStyle name="Procentowy 3 7 55" xfId="29355"/>
    <cellStyle name="Procentowy 3 7 56" xfId="29356"/>
    <cellStyle name="Procentowy 3 7 57" xfId="29357"/>
    <cellStyle name="Procentowy 3 7 58" xfId="29358"/>
    <cellStyle name="Procentowy 3 7 59" xfId="29359"/>
    <cellStyle name="Procentowy 3 7 6" xfId="29360"/>
    <cellStyle name="Procentowy 3 7 6 2" xfId="29361"/>
    <cellStyle name="Procentowy 3 7 60" xfId="29362"/>
    <cellStyle name="Procentowy 3 7 61" xfId="29363"/>
    <cellStyle name="Procentowy 3 7 62" xfId="29364"/>
    <cellStyle name="Procentowy 3 7 63" xfId="29365"/>
    <cellStyle name="Procentowy 3 7 64" xfId="29366"/>
    <cellStyle name="Procentowy 3 7 65" xfId="29367"/>
    <cellStyle name="Procentowy 3 7 66" xfId="29368"/>
    <cellStyle name="Procentowy 3 7 67" xfId="29369"/>
    <cellStyle name="Procentowy 3 7 68" xfId="29370"/>
    <cellStyle name="Procentowy 3 7 69" xfId="29371"/>
    <cellStyle name="Procentowy 3 7 7" xfId="29372"/>
    <cellStyle name="Procentowy 3 7 7 2" xfId="29373"/>
    <cellStyle name="Procentowy 3 7 70" xfId="29374"/>
    <cellStyle name="Procentowy 3 7 71" xfId="29375"/>
    <cellStyle name="Procentowy 3 7 72" xfId="29376"/>
    <cellStyle name="Procentowy 3 7 73" xfId="29377"/>
    <cellStyle name="Procentowy 3 7 74" xfId="29378"/>
    <cellStyle name="Procentowy 3 7 8" xfId="29379"/>
    <cellStyle name="Procentowy 3 7 8 2" xfId="29380"/>
    <cellStyle name="Procentowy 3 7 9" xfId="29381"/>
    <cellStyle name="Procentowy 3 7 9 2" xfId="29382"/>
    <cellStyle name="Procentowy 3 70" xfId="29383"/>
    <cellStyle name="Procentowy 3 71" xfId="29384"/>
    <cellStyle name="Procentowy 3 72" xfId="29385"/>
    <cellStyle name="Procentowy 3 73" xfId="29386"/>
    <cellStyle name="Procentowy 3 74" xfId="29387"/>
    <cellStyle name="Procentowy 3 75" xfId="29388"/>
    <cellStyle name="Procentowy 3 76" xfId="29389"/>
    <cellStyle name="Procentowy 3 77" xfId="29390"/>
    <cellStyle name="Procentowy 3 78" xfId="29391"/>
    <cellStyle name="Procentowy 3 79" xfId="29392"/>
    <cellStyle name="Procentowy 3 8" xfId="29393"/>
    <cellStyle name="Procentowy 3 8 10" xfId="29394"/>
    <cellStyle name="Procentowy 3 8 10 2" xfId="29395"/>
    <cellStyle name="Procentowy 3 8 11" xfId="29396"/>
    <cellStyle name="Procentowy 3 8 11 2" xfId="29397"/>
    <cellStyle name="Procentowy 3 8 12" xfId="29398"/>
    <cellStyle name="Procentowy 3 8 12 2" xfId="29399"/>
    <cellStyle name="Procentowy 3 8 13" xfId="29400"/>
    <cellStyle name="Procentowy 3 8 13 2" xfId="29401"/>
    <cellStyle name="Procentowy 3 8 14" xfId="29402"/>
    <cellStyle name="Procentowy 3 8 14 2" xfId="29403"/>
    <cellStyle name="Procentowy 3 8 15" xfId="29404"/>
    <cellStyle name="Procentowy 3 8 15 2" xfId="29405"/>
    <cellStyle name="Procentowy 3 8 16" xfId="29406"/>
    <cellStyle name="Procentowy 3 8 16 2" xfId="29407"/>
    <cellStyle name="Procentowy 3 8 17" xfId="29408"/>
    <cellStyle name="Procentowy 3 8 17 2" xfId="29409"/>
    <cellStyle name="Procentowy 3 8 18" xfId="29410"/>
    <cellStyle name="Procentowy 3 8 18 2" xfId="29411"/>
    <cellStyle name="Procentowy 3 8 19" xfId="29412"/>
    <cellStyle name="Procentowy 3 8 19 2" xfId="29413"/>
    <cellStyle name="Procentowy 3 8 2" xfId="29414"/>
    <cellStyle name="Procentowy 3 8 2 2" xfId="29415"/>
    <cellStyle name="Procentowy 3 8 2 3" xfId="29416"/>
    <cellStyle name="Procentowy 3 8 2 4" xfId="29417"/>
    <cellStyle name="Procentowy 3 8 2 5" xfId="29418"/>
    <cellStyle name="Procentowy 3 8 2 6" xfId="29419"/>
    <cellStyle name="Procentowy 3 8 2 7" xfId="29420"/>
    <cellStyle name="Procentowy 3 8 20" xfId="29421"/>
    <cellStyle name="Procentowy 3 8 20 2" xfId="29422"/>
    <cellStyle name="Procentowy 3 8 21" xfId="29423"/>
    <cellStyle name="Procentowy 3 8 21 2" xfId="29424"/>
    <cellStyle name="Procentowy 3 8 22" xfId="29425"/>
    <cellStyle name="Procentowy 3 8 22 2" xfId="29426"/>
    <cellStyle name="Procentowy 3 8 23" xfId="29427"/>
    <cellStyle name="Procentowy 3 8 23 2" xfId="29428"/>
    <cellStyle name="Procentowy 3 8 24" xfId="29429"/>
    <cellStyle name="Procentowy 3 8 24 2" xfId="29430"/>
    <cellStyle name="Procentowy 3 8 25" xfId="29431"/>
    <cellStyle name="Procentowy 3 8 25 2" xfId="29432"/>
    <cellStyle name="Procentowy 3 8 26" xfId="29433"/>
    <cellStyle name="Procentowy 3 8 26 2" xfId="29434"/>
    <cellStyle name="Procentowy 3 8 27" xfId="29435"/>
    <cellStyle name="Procentowy 3 8 27 2" xfId="29436"/>
    <cellStyle name="Procentowy 3 8 28" xfId="29437"/>
    <cellStyle name="Procentowy 3 8 28 2" xfId="29438"/>
    <cellStyle name="Procentowy 3 8 29" xfId="29439"/>
    <cellStyle name="Procentowy 3 8 29 2" xfId="29440"/>
    <cellStyle name="Procentowy 3 8 3" xfId="29441"/>
    <cellStyle name="Procentowy 3 8 3 2" xfId="29442"/>
    <cellStyle name="Procentowy 3 8 3 3" xfId="29443"/>
    <cellStyle name="Procentowy 3 8 3 4" xfId="29444"/>
    <cellStyle name="Procentowy 3 8 3 5" xfId="29445"/>
    <cellStyle name="Procentowy 3 8 3 6" xfId="29446"/>
    <cellStyle name="Procentowy 3 8 3 7" xfId="29447"/>
    <cellStyle name="Procentowy 3 8 30" xfId="29448"/>
    <cellStyle name="Procentowy 3 8 30 2" xfId="29449"/>
    <cellStyle name="Procentowy 3 8 31" xfId="29450"/>
    <cellStyle name="Procentowy 3 8 31 2" xfId="29451"/>
    <cellStyle name="Procentowy 3 8 32" xfId="29452"/>
    <cellStyle name="Procentowy 3 8 33" xfId="29453"/>
    <cellStyle name="Procentowy 3 8 34" xfId="29454"/>
    <cellStyle name="Procentowy 3 8 35" xfId="29455"/>
    <cellStyle name="Procentowy 3 8 36" xfId="29456"/>
    <cellStyle name="Procentowy 3 8 37" xfId="29457"/>
    <cellStyle name="Procentowy 3 8 38" xfId="29458"/>
    <cellStyle name="Procentowy 3 8 39" xfId="29459"/>
    <cellStyle name="Procentowy 3 8 4" xfId="29460"/>
    <cellStyle name="Procentowy 3 8 4 2" xfId="29461"/>
    <cellStyle name="Procentowy 3 8 4 3" xfId="29462"/>
    <cellStyle name="Procentowy 3 8 4 4" xfId="29463"/>
    <cellStyle name="Procentowy 3 8 4 5" xfId="29464"/>
    <cellStyle name="Procentowy 3 8 4 6" xfId="29465"/>
    <cellStyle name="Procentowy 3 8 4 7" xfId="29466"/>
    <cellStyle name="Procentowy 3 8 40" xfId="29467"/>
    <cellStyle name="Procentowy 3 8 41" xfId="29468"/>
    <cellStyle name="Procentowy 3 8 42" xfId="29469"/>
    <cellStyle name="Procentowy 3 8 43" xfId="29470"/>
    <cellStyle name="Procentowy 3 8 44" xfId="29471"/>
    <cellStyle name="Procentowy 3 8 45" xfId="29472"/>
    <cellStyle name="Procentowy 3 8 46" xfId="29473"/>
    <cellStyle name="Procentowy 3 8 47" xfId="29474"/>
    <cellStyle name="Procentowy 3 8 48" xfId="29475"/>
    <cellStyle name="Procentowy 3 8 49" xfId="29476"/>
    <cellStyle name="Procentowy 3 8 5" xfId="29477"/>
    <cellStyle name="Procentowy 3 8 5 2" xfId="29478"/>
    <cellStyle name="Procentowy 3 8 5 3" xfId="29479"/>
    <cellStyle name="Procentowy 3 8 5 4" xfId="29480"/>
    <cellStyle name="Procentowy 3 8 5 5" xfId="29481"/>
    <cellStyle name="Procentowy 3 8 5 6" xfId="29482"/>
    <cellStyle name="Procentowy 3 8 5 7" xfId="29483"/>
    <cellStyle name="Procentowy 3 8 50" xfId="29484"/>
    <cellStyle name="Procentowy 3 8 51" xfId="29485"/>
    <cellStyle name="Procentowy 3 8 52" xfId="29486"/>
    <cellStyle name="Procentowy 3 8 53" xfId="29487"/>
    <cellStyle name="Procentowy 3 8 54" xfId="29488"/>
    <cellStyle name="Procentowy 3 8 55" xfId="29489"/>
    <cellStyle name="Procentowy 3 8 56" xfId="29490"/>
    <cellStyle name="Procentowy 3 8 57" xfId="29491"/>
    <cellStyle name="Procentowy 3 8 58" xfId="29492"/>
    <cellStyle name="Procentowy 3 8 59" xfId="29493"/>
    <cellStyle name="Procentowy 3 8 6" xfId="29494"/>
    <cellStyle name="Procentowy 3 8 6 2" xfId="29495"/>
    <cellStyle name="Procentowy 3 8 60" xfId="29496"/>
    <cellStyle name="Procentowy 3 8 61" xfId="29497"/>
    <cellStyle name="Procentowy 3 8 62" xfId="29498"/>
    <cellStyle name="Procentowy 3 8 63" xfId="29499"/>
    <cellStyle name="Procentowy 3 8 64" xfId="29500"/>
    <cellStyle name="Procentowy 3 8 65" xfId="29501"/>
    <cellStyle name="Procentowy 3 8 66" xfId="29502"/>
    <cellStyle name="Procentowy 3 8 67" xfId="29503"/>
    <cellStyle name="Procentowy 3 8 68" xfId="29504"/>
    <cellStyle name="Procentowy 3 8 69" xfId="29505"/>
    <cellStyle name="Procentowy 3 8 7" xfId="29506"/>
    <cellStyle name="Procentowy 3 8 7 2" xfId="29507"/>
    <cellStyle name="Procentowy 3 8 70" xfId="29508"/>
    <cellStyle name="Procentowy 3 8 71" xfId="29509"/>
    <cellStyle name="Procentowy 3 8 72" xfId="29510"/>
    <cellStyle name="Procentowy 3 8 73" xfId="29511"/>
    <cellStyle name="Procentowy 3 8 74" xfId="29512"/>
    <cellStyle name="Procentowy 3 8 8" xfId="29513"/>
    <cellStyle name="Procentowy 3 8 8 2" xfId="29514"/>
    <cellStyle name="Procentowy 3 8 9" xfId="29515"/>
    <cellStyle name="Procentowy 3 8 9 2" xfId="29516"/>
    <cellStyle name="Procentowy 3 80" xfId="29517"/>
    <cellStyle name="Procentowy 3 81" xfId="29518"/>
    <cellStyle name="Procentowy 3 82" xfId="29519"/>
    <cellStyle name="Procentowy 3 83" xfId="29520"/>
    <cellStyle name="Procentowy 3 84" xfId="29521"/>
    <cellStyle name="Procentowy 3 85" xfId="29522"/>
    <cellStyle name="Procentowy 3 86" xfId="29523"/>
    <cellStyle name="Procentowy 3 87" xfId="29524"/>
    <cellStyle name="Procentowy 3 88" xfId="29525"/>
    <cellStyle name="Procentowy 3 89" xfId="29526"/>
    <cellStyle name="Procentowy 3 9" xfId="29527"/>
    <cellStyle name="Procentowy 3 9 10" xfId="29528"/>
    <cellStyle name="Procentowy 3 9 10 2" xfId="29529"/>
    <cellStyle name="Procentowy 3 9 11" xfId="29530"/>
    <cellStyle name="Procentowy 3 9 11 2" xfId="29531"/>
    <cellStyle name="Procentowy 3 9 12" xfId="29532"/>
    <cellStyle name="Procentowy 3 9 12 2" xfId="29533"/>
    <cellStyle name="Procentowy 3 9 13" xfId="29534"/>
    <cellStyle name="Procentowy 3 9 13 2" xfId="29535"/>
    <cellStyle name="Procentowy 3 9 14" xfId="29536"/>
    <cellStyle name="Procentowy 3 9 14 2" xfId="29537"/>
    <cellStyle name="Procentowy 3 9 15" xfId="29538"/>
    <cellStyle name="Procentowy 3 9 15 2" xfId="29539"/>
    <cellStyle name="Procentowy 3 9 16" xfId="29540"/>
    <cellStyle name="Procentowy 3 9 16 2" xfId="29541"/>
    <cellStyle name="Procentowy 3 9 17" xfId="29542"/>
    <cellStyle name="Procentowy 3 9 17 2" xfId="29543"/>
    <cellStyle name="Procentowy 3 9 18" xfId="29544"/>
    <cellStyle name="Procentowy 3 9 18 2" xfId="29545"/>
    <cellStyle name="Procentowy 3 9 19" xfId="29546"/>
    <cellStyle name="Procentowy 3 9 19 2" xfId="29547"/>
    <cellStyle name="Procentowy 3 9 2" xfId="29548"/>
    <cellStyle name="Procentowy 3 9 2 2" xfId="29549"/>
    <cellStyle name="Procentowy 3 9 2 3" xfId="29550"/>
    <cellStyle name="Procentowy 3 9 2 4" xfId="29551"/>
    <cellStyle name="Procentowy 3 9 2 5" xfId="29552"/>
    <cellStyle name="Procentowy 3 9 2 6" xfId="29553"/>
    <cellStyle name="Procentowy 3 9 2 7" xfId="29554"/>
    <cellStyle name="Procentowy 3 9 20" xfId="29555"/>
    <cellStyle name="Procentowy 3 9 20 2" xfId="29556"/>
    <cellStyle name="Procentowy 3 9 21" xfId="29557"/>
    <cellStyle name="Procentowy 3 9 21 2" xfId="29558"/>
    <cellStyle name="Procentowy 3 9 22" xfId="29559"/>
    <cellStyle name="Procentowy 3 9 22 2" xfId="29560"/>
    <cellStyle name="Procentowy 3 9 23" xfId="29561"/>
    <cellStyle name="Procentowy 3 9 23 2" xfId="29562"/>
    <cellStyle name="Procentowy 3 9 24" xfId="29563"/>
    <cellStyle name="Procentowy 3 9 24 2" xfId="29564"/>
    <cellStyle name="Procentowy 3 9 25" xfId="29565"/>
    <cellStyle name="Procentowy 3 9 25 2" xfId="29566"/>
    <cellStyle name="Procentowy 3 9 26" xfId="29567"/>
    <cellStyle name="Procentowy 3 9 26 2" xfId="29568"/>
    <cellStyle name="Procentowy 3 9 27" xfId="29569"/>
    <cellStyle name="Procentowy 3 9 27 2" xfId="29570"/>
    <cellStyle name="Procentowy 3 9 28" xfId="29571"/>
    <cellStyle name="Procentowy 3 9 28 2" xfId="29572"/>
    <cellStyle name="Procentowy 3 9 29" xfId="29573"/>
    <cellStyle name="Procentowy 3 9 29 2" xfId="29574"/>
    <cellStyle name="Procentowy 3 9 3" xfId="29575"/>
    <cellStyle name="Procentowy 3 9 3 2" xfId="29576"/>
    <cellStyle name="Procentowy 3 9 3 3" xfId="29577"/>
    <cellStyle name="Procentowy 3 9 3 4" xfId="29578"/>
    <cellStyle name="Procentowy 3 9 3 5" xfId="29579"/>
    <cellStyle name="Procentowy 3 9 3 6" xfId="29580"/>
    <cellStyle name="Procentowy 3 9 3 7" xfId="29581"/>
    <cellStyle name="Procentowy 3 9 30" xfId="29582"/>
    <cellStyle name="Procentowy 3 9 30 2" xfId="29583"/>
    <cellStyle name="Procentowy 3 9 31" xfId="29584"/>
    <cellStyle name="Procentowy 3 9 31 2" xfId="29585"/>
    <cellStyle name="Procentowy 3 9 32" xfId="29586"/>
    <cellStyle name="Procentowy 3 9 33" xfId="29587"/>
    <cellStyle name="Procentowy 3 9 34" xfId="29588"/>
    <cellStyle name="Procentowy 3 9 35" xfId="29589"/>
    <cellStyle name="Procentowy 3 9 36" xfId="29590"/>
    <cellStyle name="Procentowy 3 9 37" xfId="29591"/>
    <cellStyle name="Procentowy 3 9 38" xfId="29592"/>
    <cellStyle name="Procentowy 3 9 39" xfId="29593"/>
    <cellStyle name="Procentowy 3 9 4" xfId="29594"/>
    <cellStyle name="Procentowy 3 9 4 2" xfId="29595"/>
    <cellStyle name="Procentowy 3 9 4 3" xfId="29596"/>
    <cellStyle name="Procentowy 3 9 4 4" xfId="29597"/>
    <cellStyle name="Procentowy 3 9 4 5" xfId="29598"/>
    <cellStyle name="Procentowy 3 9 4 6" xfId="29599"/>
    <cellStyle name="Procentowy 3 9 4 7" xfId="29600"/>
    <cellStyle name="Procentowy 3 9 40" xfId="29601"/>
    <cellStyle name="Procentowy 3 9 41" xfId="29602"/>
    <cellStyle name="Procentowy 3 9 42" xfId="29603"/>
    <cellStyle name="Procentowy 3 9 43" xfId="29604"/>
    <cellStyle name="Procentowy 3 9 44" xfId="29605"/>
    <cellStyle name="Procentowy 3 9 45" xfId="29606"/>
    <cellStyle name="Procentowy 3 9 46" xfId="29607"/>
    <cellStyle name="Procentowy 3 9 47" xfId="29608"/>
    <cellStyle name="Procentowy 3 9 48" xfId="29609"/>
    <cellStyle name="Procentowy 3 9 49" xfId="29610"/>
    <cellStyle name="Procentowy 3 9 5" xfId="29611"/>
    <cellStyle name="Procentowy 3 9 5 2" xfId="29612"/>
    <cellStyle name="Procentowy 3 9 5 3" xfId="29613"/>
    <cellStyle name="Procentowy 3 9 5 4" xfId="29614"/>
    <cellStyle name="Procentowy 3 9 5 5" xfId="29615"/>
    <cellStyle name="Procentowy 3 9 5 6" xfId="29616"/>
    <cellStyle name="Procentowy 3 9 5 7" xfId="29617"/>
    <cellStyle name="Procentowy 3 9 50" xfId="29618"/>
    <cellStyle name="Procentowy 3 9 51" xfId="29619"/>
    <cellStyle name="Procentowy 3 9 52" xfId="29620"/>
    <cellStyle name="Procentowy 3 9 53" xfId="29621"/>
    <cellStyle name="Procentowy 3 9 54" xfId="29622"/>
    <cellStyle name="Procentowy 3 9 55" xfId="29623"/>
    <cellStyle name="Procentowy 3 9 56" xfId="29624"/>
    <cellStyle name="Procentowy 3 9 57" xfId="29625"/>
    <cellStyle name="Procentowy 3 9 58" xfId="29626"/>
    <cellStyle name="Procentowy 3 9 59" xfId="29627"/>
    <cellStyle name="Procentowy 3 9 6" xfId="29628"/>
    <cellStyle name="Procentowy 3 9 6 2" xfId="29629"/>
    <cellStyle name="Procentowy 3 9 60" xfId="29630"/>
    <cellStyle name="Procentowy 3 9 61" xfId="29631"/>
    <cellStyle name="Procentowy 3 9 62" xfId="29632"/>
    <cellStyle name="Procentowy 3 9 63" xfId="29633"/>
    <cellStyle name="Procentowy 3 9 64" xfId="29634"/>
    <cellStyle name="Procentowy 3 9 65" xfId="29635"/>
    <cellStyle name="Procentowy 3 9 66" xfId="29636"/>
    <cellStyle name="Procentowy 3 9 67" xfId="29637"/>
    <cellStyle name="Procentowy 3 9 68" xfId="29638"/>
    <cellStyle name="Procentowy 3 9 69" xfId="29639"/>
    <cellStyle name="Procentowy 3 9 7" xfId="29640"/>
    <cellStyle name="Procentowy 3 9 7 2" xfId="29641"/>
    <cellStyle name="Procentowy 3 9 70" xfId="29642"/>
    <cellStyle name="Procentowy 3 9 71" xfId="29643"/>
    <cellStyle name="Procentowy 3 9 72" xfId="29644"/>
    <cellStyle name="Procentowy 3 9 73" xfId="29645"/>
    <cellStyle name="Procentowy 3 9 74" xfId="29646"/>
    <cellStyle name="Procentowy 3 9 8" xfId="29647"/>
    <cellStyle name="Procentowy 3 9 8 2" xfId="29648"/>
    <cellStyle name="Procentowy 3 9 9" xfId="29649"/>
    <cellStyle name="Procentowy 3 9 9 2" xfId="29650"/>
    <cellStyle name="Procentowy 3 90" xfId="29651"/>
    <cellStyle name="Procentowy 3 91" xfId="29652"/>
    <cellStyle name="Procentowy 3 92" xfId="29653"/>
    <cellStyle name="Procentowy 3 93" xfId="29654"/>
    <cellStyle name="Procentowy 3 94" xfId="29655"/>
    <cellStyle name="Procentowy 3 95" xfId="29656"/>
    <cellStyle name="Procentowy 3 96" xfId="29657"/>
    <cellStyle name="Procentowy 3 97" xfId="29658"/>
    <cellStyle name="Procentowy 3 98" xfId="29659"/>
    <cellStyle name="Procentowy 3 99" xfId="26655"/>
    <cellStyle name="Procentowy 4" xfId="29660"/>
    <cellStyle name="Procentowy 4 10" xfId="29661"/>
    <cellStyle name="Procentowy 4 11" xfId="29662"/>
    <cellStyle name="Procentowy 4 12" xfId="29663"/>
    <cellStyle name="Procentowy 4 13" xfId="29664"/>
    <cellStyle name="Procentowy 4 14" xfId="29665"/>
    <cellStyle name="Procentowy 4 15" xfId="29666"/>
    <cellStyle name="Procentowy 4 16" xfId="29667"/>
    <cellStyle name="Procentowy 4 17" xfId="29668"/>
    <cellStyle name="Procentowy 4 18" xfId="29669"/>
    <cellStyle name="Procentowy 4 2" xfId="29670"/>
    <cellStyle name="Procentowy 4 2 2" xfId="29671"/>
    <cellStyle name="Procentowy 4 3" xfId="29672"/>
    <cellStyle name="Procentowy 4 3 2" xfId="29673"/>
    <cellStyle name="Procentowy 4 4" xfId="29674"/>
    <cellStyle name="Procentowy 4 4 2" xfId="29675"/>
    <cellStyle name="Procentowy 4 4 3" xfId="29676"/>
    <cellStyle name="Procentowy 4 5" xfId="29677"/>
    <cellStyle name="Procentowy 4 6" xfId="29678"/>
    <cellStyle name="Procentowy 4 7" xfId="29679"/>
    <cellStyle name="Procentowy 4 8" xfId="29680"/>
    <cellStyle name="Procentowy 4 9" xfId="29681"/>
    <cellStyle name="Procentowy 5" xfId="29682"/>
    <cellStyle name="Procentowy 5 2" xfId="29683"/>
    <cellStyle name="Procentowy 5 2 2" xfId="29684"/>
    <cellStyle name="Procentowy 5 2 3" xfId="29685"/>
    <cellStyle name="Procentowy 5 3" xfId="29686"/>
    <cellStyle name="Procentowy 5 4" xfId="29687"/>
    <cellStyle name="Procentowy 5 5" xfId="29688"/>
    <cellStyle name="Procentowy 5 6" xfId="29689"/>
    <cellStyle name="Procentowy 5 7" xfId="29690"/>
    <cellStyle name="Procentowy 5 8" xfId="29691"/>
    <cellStyle name="Procentowy 6" xfId="29692"/>
    <cellStyle name="Procentowy 6 2" xfId="29693"/>
    <cellStyle name="Procentowy 6 3" xfId="29694"/>
    <cellStyle name="Procentowy 7" xfId="29695"/>
    <cellStyle name="Procentowy 7 2" xfId="29696"/>
    <cellStyle name="Procentowy 7 2 2" xfId="29697"/>
    <cellStyle name="Procentowy 7 3" xfId="29698"/>
    <cellStyle name="Procentowy 8" xfId="29699"/>
    <cellStyle name="Procentowy 8 2" xfId="29700"/>
    <cellStyle name="Procentowy 9" xfId="29701"/>
    <cellStyle name="Procentowy 9 2" xfId="29702"/>
    <cellStyle name="SAPBEXaggData" xfId="29703"/>
    <cellStyle name="SAPBEXaggDataEmph" xfId="29704"/>
    <cellStyle name="SAPBEXaggItem" xfId="29705"/>
    <cellStyle name="SAPBEXaggItemX" xfId="29706"/>
    <cellStyle name="SAPBEXchaText" xfId="29707"/>
    <cellStyle name="SAPBEXexcBad7" xfId="29708"/>
    <cellStyle name="SAPBEXexcBad8" xfId="29709"/>
    <cellStyle name="SAPBEXexcBad9" xfId="29710"/>
    <cellStyle name="SAPBEXexcCritical4" xfId="29711"/>
    <cellStyle name="SAPBEXexcCritical5" xfId="29712"/>
    <cellStyle name="SAPBEXexcCritical6" xfId="29713"/>
    <cellStyle name="SAPBEXexcGood1" xfId="29714"/>
    <cellStyle name="SAPBEXexcGood2" xfId="29715"/>
    <cellStyle name="SAPBEXexcGood3" xfId="29716"/>
    <cellStyle name="SAPBEXfilterDrill" xfId="29717"/>
    <cellStyle name="SAPBEXfilterItem" xfId="29718"/>
    <cellStyle name="SAPBEXfilterText" xfId="29719"/>
    <cellStyle name="SAPBEXformats" xfId="29720"/>
    <cellStyle name="SAPBEXheaderItem" xfId="29721"/>
    <cellStyle name="SAPBEXheaderText" xfId="29722"/>
    <cellStyle name="SAPBEXHLevel0" xfId="29723"/>
    <cellStyle name="SAPBEXHLevel0 2" xfId="29724"/>
    <cellStyle name="SAPBEXHLevel0 3" xfId="29725"/>
    <cellStyle name="SAPBEXHLevel0X" xfId="29726"/>
    <cellStyle name="SAPBEXHLevel0X 2" xfId="29727"/>
    <cellStyle name="SAPBEXHLevel0X 3" xfId="29728"/>
    <cellStyle name="SAPBEXHLevel1" xfId="29729"/>
    <cellStyle name="SAPBEXHLevel1 2" xfId="29730"/>
    <cellStyle name="SAPBEXHLevel1 3" xfId="29731"/>
    <cellStyle name="SAPBEXHLevel1X" xfId="29732"/>
    <cellStyle name="SAPBEXHLevel1X 2" xfId="29733"/>
    <cellStyle name="SAPBEXHLevel1X 3" xfId="29734"/>
    <cellStyle name="SAPBEXHLevel2" xfId="29735"/>
    <cellStyle name="SAPBEXHLevel2 2" xfId="29736"/>
    <cellStyle name="SAPBEXHLevel2 3" xfId="29737"/>
    <cellStyle name="SAPBEXHLevel2X" xfId="29738"/>
    <cellStyle name="SAPBEXHLevel2X 2" xfId="29739"/>
    <cellStyle name="SAPBEXHLevel2X 3" xfId="29740"/>
    <cellStyle name="SAPBEXHLevel3" xfId="29741"/>
    <cellStyle name="SAPBEXHLevel3 2" xfId="29742"/>
    <cellStyle name="SAPBEXHLevel3 3" xfId="29743"/>
    <cellStyle name="SAPBEXHLevel3X" xfId="29744"/>
    <cellStyle name="SAPBEXHLevel3X 2" xfId="29745"/>
    <cellStyle name="SAPBEXHLevel3X 3" xfId="29746"/>
    <cellStyle name="SAPBEXresData" xfId="29747"/>
    <cellStyle name="SAPBEXresDataEmph" xfId="29748"/>
    <cellStyle name="SAPBEXresItem" xfId="29749"/>
    <cellStyle name="SAPBEXresItemX" xfId="29750"/>
    <cellStyle name="SAPBEXstdData" xfId="29751"/>
    <cellStyle name="SAPBEXstdData 2" xfId="29752"/>
    <cellStyle name="SAPBEXstdDataEmph" xfId="29753"/>
    <cellStyle name="SAPBEXstdItem" xfId="29754"/>
    <cellStyle name="SAPBEXstdItemX" xfId="29755"/>
    <cellStyle name="SAPBEXtitle" xfId="29756"/>
    <cellStyle name="SAPBEXundefined" xfId="29757"/>
    <cellStyle name="Standard_internet1997" xfId="29758"/>
    <cellStyle name="Styl 1" xfId="29759"/>
    <cellStyle name="Style 1" xfId="29760"/>
    <cellStyle name="Sum" xfId="29761"/>
    <cellStyle name="Suma 2" xfId="29762"/>
    <cellStyle name="Suma 2 10" xfId="29763"/>
    <cellStyle name="Suma 2 10 10" xfId="29764"/>
    <cellStyle name="Suma 2 10 10 2" xfId="29765"/>
    <cellStyle name="Suma 2 10 10 3" xfId="29766"/>
    <cellStyle name="Suma 2 10 10 4" xfId="29767"/>
    <cellStyle name="Suma 2 10 11" xfId="29768"/>
    <cellStyle name="Suma 2 10 11 2" xfId="29769"/>
    <cellStyle name="Suma 2 10 11 3" xfId="29770"/>
    <cellStyle name="Suma 2 10 11 4" xfId="29771"/>
    <cellStyle name="Suma 2 10 12" xfId="29772"/>
    <cellStyle name="Suma 2 10 12 2" xfId="29773"/>
    <cellStyle name="Suma 2 10 12 3" xfId="29774"/>
    <cellStyle name="Suma 2 10 12 4" xfId="29775"/>
    <cellStyle name="Suma 2 10 13" xfId="29776"/>
    <cellStyle name="Suma 2 10 13 2" xfId="29777"/>
    <cellStyle name="Suma 2 10 13 3" xfId="29778"/>
    <cellStyle name="Suma 2 10 13 4" xfId="29779"/>
    <cellStyle name="Suma 2 10 14" xfId="29780"/>
    <cellStyle name="Suma 2 10 14 2" xfId="29781"/>
    <cellStyle name="Suma 2 10 14 3" xfId="29782"/>
    <cellStyle name="Suma 2 10 14 4" xfId="29783"/>
    <cellStyle name="Suma 2 10 15" xfId="29784"/>
    <cellStyle name="Suma 2 10 15 2" xfId="29785"/>
    <cellStyle name="Suma 2 10 15 3" xfId="29786"/>
    <cellStyle name="Suma 2 10 15 4" xfId="29787"/>
    <cellStyle name="Suma 2 10 16" xfId="29788"/>
    <cellStyle name="Suma 2 10 16 2" xfId="29789"/>
    <cellStyle name="Suma 2 10 16 3" xfId="29790"/>
    <cellStyle name="Suma 2 10 16 4" xfId="29791"/>
    <cellStyle name="Suma 2 10 17" xfId="29792"/>
    <cellStyle name="Suma 2 10 17 2" xfId="29793"/>
    <cellStyle name="Suma 2 10 17 3" xfId="29794"/>
    <cellStyle name="Suma 2 10 17 4" xfId="29795"/>
    <cellStyle name="Suma 2 10 18" xfId="29796"/>
    <cellStyle name="Suma 2 10 18 2" xfId="29797"/>
    <cellStyle name="Suma 2 10 18 3" xfId="29798"/>
    <cellStyle name="Suma 2 10 18 4" xfId="29799"/>
    <cellStyle name="Suma 2 10 19" xfId="29800"/>
    <cellStyle name="Suma 2 10 19 2" xfId="29801"/>
    <cellStyle name="Suma 2 10 19 3" xfId="29802"/>
    <cellStyle name="Suma 2 10 19 4" xfId="29803"/>
    <cellStyle name="Suma 2 10 2" xfId="29804"/>
    <cellStyle name="Suma 2 10 2 2" xfId="29805"/>
    <cellStyle name="Suma 2 10 2 3" xfId="29806"/>
    <cellStyle name="Suma 2 10 2 4" xfId="29807"/>
    <cellStyle name="Suma 2 10 20" xfId="29808"/>
    <cellStyle name="Suma 2 10 20 2" xfId="29809"/>
    <cellStyle name="Suma 2 10 20 3" xfId="29810"/>
    <cellStyle name="Suma 2 10 20 4" xfId="29811"/>
    <cellStyle name="Suma 2 10 21" xfId="29812"/>
    <cellStyle name="Suma 2 10 21 2" xfId="29813"/>
    <cellStyle name="Suma 2 10 21 3" xfId="29814"/>
    <cellStyle name="Suma 2 10 22" xfId="29815"/>
    <cellStyle name="Suma 2 10 22 2" xfId="29816"/>
    <cellStyle name="Suma 2 10 22 3" xfId="29817"/>
    <cellStyle name="Suma 2 10 23" xfId="29818"/>
    <cellStyle name="Suma 2 10 23 2" xfId="29819"/>
    <cellStyle name="Suma 2 10 23 3" xfId="29820"/>
    <cellStyle name="Suma 2 10 24" xfId="29821"/>
    <cellStyle name="Suma 2 10 24 2" xfId="29822"/>
    <cellStyle name="Suma 2 10 24 3" xfId="29823"/>
    <cellStyle name="Suma 2 10 25" xfId="29824"/>
    <cellStyle name="Suma 2 10 25 2" xfId="29825"/>
    <cellStyle name="Suma 2 10 25 3" xfId="29826"/>
    <cellStyle name="Suma 2 10 26" xfId="29827"/>
    <cellStyle name="Suma 2 10 26 2" xfId="29828"/>
    <cellStyle name="Suma 2 10 26 3" xfId="29829"/>
    <cellStyle name="Suma 2 10 27" xfId="29830"/>
    <cellStyle name="Suma 2 10 27 2" xfId="29831"/>
    <cellStyle name="Suma 2 10 27 3" xfId="29832"/>
    <cellStyle name="Suma 2 10 28" xfId="29833"/>
    <cellStyle name="Suma 2 10 28 2" xfId="29834"/>
    <cellStyle name="Suma 2 10 28 3" xfId="29835"/>
    <cellStyle name="Suma 2 10 29" xfId="29836"/>
    <cellStyle name="Suma 2 10 29 2" xfId="29837"/>
    <cellStyle name="Suma 2 10 29 3" xfId="29838"/>
    <cellStyle name="Suma 2 10 3" xfId="29839"/>
    <cellStyle name="Suma 2 10 3 2" xfId="29840"/>
    <cellStyle name="Suma 2 10 3 3" xfId="29841"/>
    <cellStyle name="Suma 2 10 3 4" xfId="29842"/>
    <cellStyle name="Suma 2 10 30" xfId="29843"/>
    <cellStyle name="Suma 2 10 30 2" xfId="29844"/>
    <cellStyle name="Suma 2 10 30 3" xfId="29845"/>
    <cellStyle name="Suma 2 10 31" xfId="29846"/>
    <cellStyle name="Suma 2 10 31 2" xfId="29847"/>
    <cellStyle name="Suma 2 10 31 3" xfId="29848"/>
    <cellStyle name="Suma 2 10 32" xfId="29849"/>
    <cellStyle name="Suma 2 10 32 2" xfId="29850"/>
    <cellStyle name="Suma 2 10 32 3" xfId="29851"/>
    <cellStyle name="Suma 2 10 33" xfId="29852"/>
    <cellStyle name="Suma 2 10 33 2" xfId="29853"/>
    <cellStyle name="Suma 2 10 33 3" xfId="29854"/>
    <cellStyle name="Suma 2 10 34" xfId="29855"/>
    <cellStyle name="Suma 2 10 34 2" xfId="29856"/>
    <cellStyle name="Suma 2 10 34 3" xfId="29857"/>
    <cellStyle name="Suma 2 10 35" xfId="29858"/>
    <cellStyle name="Suma 2 10 35 2" xfId="29859"/>
    <cellStyle name="Suma 2 10 35 3" xfId="29860"/>
    <cellStyle name="Suma 2 10 36" xfId="29861"/>
    <cellStyle name="Suma 2 10 36 2" xfId="29862"/>
    <cellStyle name="Suma 2 10 36 3" xfId="29863"/>
    <cellStyle name="Suma 2 10 37" xfId="29864"/>
    <cellStyle name="Suma 2 10 37 2" xfId="29865"/>
    <cellStyle name="Suma 2 10 37 3" xfId="29866"/>
    <cellStyle name="Suma 2 10 38" xfId="29867"/>
    <cellStyle name="Suma 2 10 38 2" xfId="29868"/>
    <cellStyle name="Suma 2 10 38 3" xfId="29869"/>
    <cellStyle name="Suma 2 10 39" xfId="29870"/>
    <cellStyle name="Suma 2 10 39 2" xfId="29871"/>
    <cellStyle name="Suma 2 10 39 3" xfId="29872"/>
    <cellStyle name="Suma 2 10 4" xfId="29873"/>
    <cellStyle name="Suma 2 10 4 2" xfId="29874"/>
    <cellStyle name="Suma 2 10 4 3" xfId="29875"/>
    <cellStyle name="Suma 2 10 4 4" xfId="29876"/>
    <cellStyle name="Suma 2 10 40" xfId="29877"/>
    <cellStyle name="Suma 2 10 40 2" xfId="29878"/>
    <cellStyle name="Suma 2 10 40 3" xfId="29879"/>
    <cellStyle name="Suma 2 10 41" xfId="29880"/>
    <cellStyle name="Suma 2 10 41 2" xfId="29881"/>
    <cellStyle name="Suma 2 10 41 3" xfId="29882"/>
    <cellStyle name="Suma 2 10 42" xfId="29883"/>
    <cellStyle name="Suma 2 10 42 2" xfId="29884"/>
    <cellStyle name="Suma 2 10 42 3" xfId="29885"/>
    <cellStyle name="Suma 2 10 43" xfId="29886"/>
    <cellStyle name="Suma 2 10 43 2" xfId="29887"/>
    <cellStyle name="Suma 2 10 43 3" xfId="29888"/>
    <cellStyle name="Suma 2 10 44" xfId="29889"/>
    <cellStyle name="Suma 2 10 44 2" xfId="29890"/>
    <cellStyle name="Suma 2 10 44 3" xfId="29891"/>
    <cellStyle name="Suma 2 10 45" xfId="29892"/>
    <cellStyle name="Suma 2 10 45 2" xfId="29893"/>
    <cellStyle name="Suma 2 10 45 3" xfId="29894"/>
    <cellStyle name="Suma 2 10 46" xfId="29895"/>
    <cellStyle name="Suma 2 10 46 2" xfId="29896"/>
    <cellStyle name="Suma 2 10 46 3" xfId="29897"/>
    <cellStyle name="Suma 2 10 47" xfId="29898"/>
    <cellStyle name="Suma 2 10 47 2" xfId="29899"/>
    <cellStyle name="Suma 2 10 47 3" xfId="29900"/>
    <cellStyle name="Suma 2 10 48" xfId="29901"/>
    <cellStyle name="Suma 2 10 48 2" xfId="29902"/>
    <cellStyle name="Suma 2 10 48 3" xfId="29903"/>
    <cellStyle name="Suma 2 10 49" xfId="29904"/>
    <cellStyle name="Suma 2 10 49 2" xfId="29905"/>
    <cellStyle name="Suma 2 10 49 3" xfId="29906"/>
    <cellStyle name="Suma 2 10 5" xfId="29907"/>
    <cellStyle name="Suma 2 10 5 2" xfId="29908"/>
    <cellStyle name="Suma 2 10 5 3" xfId="29909"/>
    <cellStyle name="Suma 2 10 5 4" xfId="29910"/>
    <cellStyle name="Suma 2 10 50" xfId="29911"/>
    <cellStyle name="Suma 2 10 50 2" xfId="29912"/>
    <cellStyle name="Suma 2 10 50 3" xfId="29913"/>
    <cellStyle name="Suma 2 10 51" xfId="29914"/>
    <cellStyle name="Suma 2 10 51 2" xfId="29915"/>
    <cellStyle name="Suma 2 10 51 3" xfId="29916"/>
    <cellStyle name="Suma 2 10 52" xfId="29917"/>
    <cellStyle name="Suma 2 10 52 2" xfId="29918"/>
    <cellStyle name="Suma 2 10 52 3" xfId="29919"/>
    <cellStyle name="Suma 2 10 53" xfId="29920"/>
    <cellStyle name="Suma 2 10 53 2" xfId="29921"/>
    <cellStyle name="Suma 2 10 53 3" xfId="29922"/>
    <cellStyle name="Suma 2 10 54" xfId="29923"/>
    <cellStyle name="Suma 2 10 54 2" xfId="29924"/>
    <cellStyle name="Suma 2 10 54 3" xfId="29925"/>
    <cellStyle name="Suma 2 10 55" xfId="29926"/>
    <cellStyle name="Suma 2 10 55 2" xfId="29927"/>
    <cellStyle name="Suma 2 10 55 3" xfId="29928"/>
    <cellStyle name="Suma 2 10 56" xfId="29929"/>
    <cellStyle name="Suma 2 10 56 2" xfId="29930"/>
    <cellStyle name="Suma 2 10 56 3" xfId="29931"/>
    <cellStyle name="Suma 2 10 57" xfId="29932"/>
    <cellStyle name="Suma 2 10 58" xfId="29933"/>
    <cellStyle name="Suma 2 10 6" xfId="29934"/>
    <cellStyle name="Suma 2 10 6 2" xfId="29935"/>
    <cellStyle name="Suma 2 10 6 3" xfId="29936"/>
    <cellStyle name="Suma 2 10 6 4" xfId="29937"/>
    <cellStyle name="Suma 2 10 7" xfId="29938"/>
    <cellStyle name="Suma 2 10 7 2" xfId="29939"/>
    <cellStyle name="Suma 2 10 7 3" xfId="29940"/>
    <cellStyle name="Suma 2 10 7 4" xfId="29941"/>
    <cellStyle name="Suma 2 10 8" xfId="29942"/>
    <cellStyle name="Suma 2 10 8 2" xfId="29943"/>
    <cellStyle name="Suma 2 10 8 3" xfId="29944"/>
    <cellStyle name="Suma 2 10 8 4" xfId="29945"/>
    <cellStyle name="Suma 2 10 9" xfId="29946"/>
    <cellStyle name="Suma 2 10 9 2" xfId="29947"/>
    <cellStyle name="Suma 2 10 9 3" xfId="29948"/>
    <cellStyle name="Suma 2 10 9 4" xfId="29949"/>
    <cellStyle name="Suma 2 11" xfId="29950"/>
    <cellStyle name="Suma 2 11 10" xfId="29951"/>
    <cellStyle name="Suma 2 11 10 2" xfId="29952"/>
    <cellStyle name="Suma 2 11 10 3" xfId="29953"/>
    <cellStyle name="Suma 2 11 10 4" xfId="29954"/>
    <cellStyle name="Suma 2 11 11" xfId="29955"/>
    <cellStyle name="Suma 2 11 11 2" xfId="29956"/>
    <cellStyle name="Suma 2 11 11 3" xfId="29957"/>
    <cellStyle name="Suma 2 11 11 4" xfId="29958"/>
    <cellStyle name="Suma 2 11 12" xfId="29959"/>
    <cellStyle name="Suma 2 11 12 2" xfId="29960"/>
    <cellStyle name="Suma 2 11 12 3" xfId="29961"/>
    <cellStyle name="Suma 2 11 12 4" xfId="29962"/>
    <cellStyle name="Suma 2 11 13" xfId="29963"/>
    <cellStyle name="Suma 2 11 13 2" xfId="29964"/>
    <cellStyle name="Suma 2 11 13 3" xfId="29965"/>
    <cellStyle name="Suma 2 11 13 4" xfId="29966"/>
    <cellStyle name="Suma 2 11 14" xfId="29967"/>
    <cellStyle name="Suma 2 11 14 2" xfId="29968"/>
    <cellStyle name="Suma 2 11 14 3" xfId="29969"/>
    <cellStyle name="Suma 2 11 14 4" xfId="29970"/>
    <cellStyle name="Suma 2 11 15" xfId="29971"/>
    <cellStyle name="Suma 2 11 15 2" xfId="29972"/>
    <cellStyle name="Suma 2 11 15 3" xfId="29973"/>
    <cellStyle name="Suma 2 11 15 4" xfId="29974"/>
    <cellStyle name="Suma 2 11 16" xfId="29975"/>
    <cellStyle name="Suma 2 11 16 2" xfId="29976"/>
    <cellStyle name="Suma 2 11 16 3" xfId="29977"/>
    <cellStyle name="Suma 2 11 16 4" xfId="29978"/>
    <cellStyle name="Suma 2 11 17" xfId="29979"/>
    <cellStyle name="Suma 2 11 17 2" xfId="29980"/>
    <cellStyle name="Suma 2 11 17 3" xfId="29981"/>
    <cellStyle name="Suma 2 11 17 4" xfId="29982"/>
    <cellStyle name="Suma 2 11 18" xfId="29983"/>
    <cellStyle name="Suma 2 11 18 2" xfId="29984"/>
    <cellStyle name="Suma 2 11 18 3" xfId="29985"/>
    <cellStyle name="Suma 2 11 18 4" xfId="29986"/>
    <cellStyle name="Suma 2 11 19" xfId="29987"/>
    <cellStyle name="Suma 2 11 19 2" xfId="29988"/>
    <cellStyle name="Suma 2 11 19 3" xfId="29989"/>
    <cellStyle name="Suma 2 11 19 4" xfId="29990"/>
    <cellStyle name="Suma 2 11 2" xfId="29991"/>
    <cellStyle name="Suma 2 11 2 2" xfId="29992"/>
    <cellStyle name="Suma 2 11 2 3" xfId="29993"/>
    <cellStyle name="Suma 2 11 2 4" xfId="29994"/>
    <cellStyle name="Suma 2 11 20" xfId="29995"/>
    <cellStyle name="Suma 2 11 20 2" xfId="29996"/>
    <cellStyle name="Suma 2 11 20 3" xfId="29997"/>
    <cellStyle name="Suma 2 11 20 4" xfId="29998"/>
    <cellStyle name="Suma 2 11 21" xfId="29999"/>
    <cellStyle name="Suma 2 11 21 2" xfId="30000"/>
    <cellStyle name="Suma 2 11 21 3" xfId="30001"/>
    <cellStyle name="Suma 2 11 22" xfId="30002"/>
    <cellStyle name="Suma 2 11 22 2" xfId="30003"/>
    <cellStyle name="Suma 2 11 22 3" xfId="30004"/>
    <cellStyle name="Suma 2 11 23" xfId="30005"/>
    <cellStyle name="Suma 2 11 23 2" xfId="30006"/>
    <cellStyle name="Suma 2 11 23 3" xfId="30007"/>
    <cellStyle name="Suma 2 11 24" xfId="30008"/>
    <cellStyle name="Suma 2 11 24 2" xfId="30009"/>
    <cellStyle name="Suma 2 11 24 3" xfId="30010"/>
    <cellStyle name="Suma 2 11 25" xfId="30011"/>
    <cellStyle name="Suma 2 11 25 2" xfId="30012"/>
    <cellStyle name="Suma 2 11 25 3" xfId="30013"/>
    <cellStyle name="Suma 2 11 26" xfId="30014"/>
    <cellStyle name="Suma 2 11 26 2" xfId="30015"/>
    <cellStyle name="Suma 2 11 26 3" xfId="30016"/>
    <cellStyle name="Suma 2 11 27" xfId="30017"/>
    <cellStyle name="Suma 2 11 27 2" xfId="30018"/>
    <cellStyle name="Suma 2 11 27 3" xfId="30019"/>
    <cellStyle name="Suma 2 11 28" xfId="30020"/>
    <cellStyle name="Suma 2 11 28 2" xfId="30021"/>
    <cellStyle name="Suma 2 11 28 3" xfId="30022"/>
    <cellStyle name="Suma 2 11 29" xfId="30023"/>
    <cellStyle name="Suma 2 11 29 2" xfId="30024"/>
    <cellStyle name="Suma 2 11 29 3" xfId="30025"/>
    <cellStyle name="Suma 2 11 3" xfId="30026"/>
    <cellStyle name="Suma 2 11 3 2" xfId="30027"/>
    <cellStyle name="Suma 2 11 3 3" xfId="30028"/>
    <cellStyle name="Suma 2 11 3 4" xfId="30029"/>
    <cellStyle name="Suma 2 11 30" xfId="30030"/>
    <cellStyle name="Suma 2 11 30 2" xfId="30031"/>
    <cellStyle name="Suma 2 11 30 3" xfId="30032"/>
    <cellStyle name="Suma 2 11 31" xfId="30033"/>
    <cellStyle name="Suma 2 11 31 2" xfId="30034"/>
    <cellStyle name="Suma 2 11 31 3" xfId="30035"/>
    <cellStyle name="Suma 2 11 32" xfId="30036"/>
    <cellStyle name="Suma 2 11 32 2" xfId="30037"/>
    <cellStyle name="Suma 2 11 32 3" xfId="30038"/>
    <cellStyle name="Suma 2 11 33" xfId="30039"/>
    <cellStyle name="Suma 2 11 33 2" xfId="30040"/>
    <cellStyle name="Suma 2 11 33 3" xfId="30041"/>
    <cellStyle name="Suma 2 11 34" xfId="30042"/>
    <cellStyle name="Suma 2 11 34 2" xfId="30043"/>
    <cellStyle name="Suma 2 11 34 3" xfId="30044"/>
    <cellStyle name="Suma 2 11 35" xfId="30045"/>
    <cellStyle name="Suma 2 11 35 2" xfId="30046"/>
    <cellStyle name="Suma 2 11 35 3" xfId="30047"/>
    <cellStyle name="Suma 2 11 36" xfId="30048"/>
    <cellStyle name="Suma 2 11 36 2" xfId="30049"/>
    <cellStyle name="Suma 2 11 36 3" xfId="30050"/>
    <cellStyle name="Suma 2 11 37" xfId="30051"/>
    <cellStyle name="Suma 2 11 37 2" xfId="30052"/>
    <cellStyle name="Suma 2 11 37 3" xfId="30053"/>
    <cellStyle name="Suma 2 11 38" xfId="30054"/>
    <cellStyle name="Suma 2 11 38 2" xfId="30055"/>
    <cellStyle name="Suma 2 11 38 3" xfId="30056"/>
    <cellStyle name="Suma 2 11 39" xfId="30057"/>
    <cellStyle name="Suma 2 11 39 2" xfId="30058"/>
    <cellStyle name="Suma 2 11 39 3" xfId="30059"/>
    <cellStyle name="Suma 2 11 4" xfId="30060"/>
    <cellStyle name="Suma 2 11 4 2" xfId="30061"/>
    <cellStyle name="Suma 2 11 4 3" xfId="30062"/>
    <cellStyle name="Suma 2 11 4 4" xfId="30063"/>
    <cellStyle name="Suma 2 11 40" xfId="30064"/>
    <cellStyle name="Suma 2 11 40 2" xfId="30065"/>
    <cellStyle name="Suma 2 11 40 3" xfId="30066"/>
    <cellStyle name="Suma 2 11 41" xfId="30067"/>
    <cellStyle name="Suma 2 11 41 2" xfId="30068"/>
    <cellStyle name="Suma 2 11 41 3" xfId="30069"/>
    <cellStyle name="Suma 2 11 42" xfId="30070"/>
    <cellStyle name="Suma 2 11 42 2" xfId="30071"/>
    <cellStyle name="Suma 2 11 42 3" xfId="30072"/>
    <cellStyle name="Suma 2 11 43" xfId="30073"/>
    <cellStyle name="Suma 2 11 43 2" xfId="30074"/>
    <cellStyle name="Suma 2 11 43 3" xfId="30075"/>
    <cellStyle name="Suma 2 11 44" xfId="30076"/>
    <cellStyle name="Suma 2 11 44 2" xfId="30077"/>
    <cellStyle name="Suma 2 11 44 3" xfId="30078"/>
    <cellStyle name="Suma 2 11 45" xfId="30079"/>
    <cellStyle name="Suma 2 11 45 2" xfId="30080"/>
    <cellStyle name="Suma 2 11 45 3" xfId="30081"/>
    <cellStyle name="Suma 2 11 46" xfId="30082"/>
    <cellStyle name="Suma 2 11 46 2" xfId="30083"/>
    <cellStyle name="Suma 2 11 46 3" xfId="30084"/>
    <cellStyle name="Suma 2 11 47" xfId="30085"/>
    <cellStyle name="Suma 2 11 47 2" xfId="30086"/>
    <cellStyle name="Suma 2 11 47 3" xfId="30087"/>
    <cellStyle name="Suma 2 11 48" xfId="30088"/>
    <cellStyle name="Suma 2 11 48 2" xfId="30089"/>
    <cellStyle name="Suma 2 11 48 3" xfId="30090"/>
    <cellStyle name="Suma 2 11 49" xfId="30091"/>
    <cellStyle name="Suma 2 11 49 2" xfId="30092"/>
    <cellStyle name="Suma 2 11 49 3" xfId="30093"/>
    <cellStyle name="Suma 2 11 5" xfId="30094"/>
    <cellStyle name="Suma 2 11 5 2" xfId="30095"/>
    <cellStyle name="Suma 2 11 5 3" xfId="30096"/>
    <cellStyle name="Suma 2 11 5 4" xfId="30097"/>
    <cellStyle name="Suma 2 11 50" xfId="30098"/>
    <cellStyle name="Suma 2 11 50 2" xfId="30099"/>
    <cellStyle name="Suma 2 11 50 3" xfId="30100"/>
    <cellStyle name="Suma 2 11 51" xfId="30101"/>
    <cellStyle name="Suma 2 11 51 2" xfId="30102"/>
    <cellStyle name="Suma 2 11 51 3" xfId="30103"/>
    <cellStyle name="Suma 2 11 52" xfId="30104"/>
    <cellStyle name="Suma 2 11 52 2" xfId="30105"/>
    <cellStyle name="Suma 2 11 52 3" xfId="30106"/>
    <cellStyle name="Suma 2 11 53" xfId="30107"/>
    <cellStyle name="Suma 2 11 53 2" xfId="30108"/>
    <cellStyle name="Suma 2 11 53 3" xfId="30109"/>
    <cellStyle name="Suma 2 11 54" xfId="30110"/>
    <cellStyle name="Suma 2 11 54 2" xfId="30111"/>
    <cellStyle name="Suma 2 11 54 3" xfId="30112"/>
    <cellStyle name="Suma 2 11 55" xfId="30113"/>
    <cellStyle name="Suma 2 11 55 2" xfId="30114"/>
    <cellStyle name="Suma 2 11 55 3" xfId="30115"/>
    <cellStyle name="Suma 2 11 56" xfId="30116"/>
    <cellStyle name="Suma 2 11 56 2" xfId="30117"/>
    <cellStyle name="Suma 2 11 56 3" xfId="30118"/>
    <cellStyle name="Suma 2 11 57" xfId="30119"/>
    <cellStyle name="Suma 2 11 58" xfId="30120"/>
    <cellStyle name="Suma 2 11 6" xfId="30121"/>
    <cellStyle name="Suma 2 11 6 2" xfId="30122"/>
    <cellStyle name="Suma 2 11 6 3" xfId="30123"/>
    <cellStyle name="Suma 2 11 6 4" xfId="30124"/>
    <cellStyle name="Suma 2 11 7" xfId="30125"/>
    <cellStyle name="Suma 2 11 7 2" xfId="30126"/>
    <cellStyle name="Suma 2 11 7 3" xfId="30127"/>
    <cellStyle name="Suma 2 11 7 4" xfId="30128"/>
    <cellStyle name="Suma 2 11 8" xfId="30129"/>
    <cellStyle name="Suma 2 11 8 2" xfId="30130"/>
    <cellStyle name="Suma 2 11 8 3" xfId="30131"/>
    <cellStyle name="Suma 2 11 8 4" xfId="30132"/>
    <cellStyle name="Suma 2 11 9" xfId="30133"/>
    <cellStyle name="Suma 2 11 9 2" xfId="30134"/>
    <cellStyle name="Suma 2 11 9 3" xfId="30135"/>
    <cellStyle name="Suma 2 11 9 4" xfId="30136"/>
    <cellStyle name="Suma 2 12" xfId="30137"/>
    <cellStyle name="Suma 2 12 10" xfId="30138"/>
    <cellStyle name="Suma 2 12 10 2" xfId="30139"/>
    <cellStyle name="Suma 2 12 10 3" xfId="30140"/>
    <cellStyle name="Suma 2 12 10 4" xfId="30141"/>
    <cellStyle name="Suma 2 12 11" xfId="30142"/>
    <cellStyle name="Suma 2 12 11 2" xfId="30143"/>
    <cellStyle name="Suma 2 12 11 3" xfId="30144"/>
    <cellStyle name="Suma 2 12 11 4" xfId="30145"/>
    <cellStyle name="Suma 2 12 12" xfId="30146"/>
    <cellStyle name="Suma 2 12 12 2" xfId="30147"/>
    <cellStyle name="Suma 2 12 12 3" xfId="30148"/>
    <cellStyle name="Suma 2 12 12 4" xfId="30149"/>
    <cellStyle name="Suma 2 12 13" xfId="30150"/>
    <cellStyle name="Suma 2 12 13 2" xfId="30151"/>
    <cellStyle name="Suma 2 12 13 3" xfId="30152"/>
    <cellStyle name="Suma 2 12 13 4" xfId="30153"/>
    <cellStyle name="Suma 2 12 14" xfId="30154"/>
    <cellStyle name="Suma 2 12 14 2" xfId="30155"/>
    <cellStyle name="Suma 2 12 14 3" xfId="30156"/>
    <cellStyle name="Suma 2 12 14 4" xfId="30157"/>
    <cellStyle name="Suma 2 12 15" xfId="30158"/>
    <cellStyle name="Suma 2 12 15 2" xfId="30159"/>
    <cellStyle name="Suma 2 12 15 3" xfId="30160"/>
    <cellStyle name="Suma 2 12 15 4" xfId="30161"/>
    <cellStyle name="Suma 2 12 16" xfId="30162"/>
    <cellStyle name="Suma 2 12 16 2" xfId="30163"/>
    <cellStyle name="Suma 2 12 16 3" xfId="30164"/>
    <cellStyle name="Suma 2 12 16 4" xfId="30165"/>
    <cellStyle name="Suma 2 12 17" xfId="30166"/>
    <cellStyle name="Suma 2 12 17 2" xfId="30167"/>
    <cellStyle name="Suma 2 12 17 3" xfId="30168"/>
    <cellStyle name="Suma 2 12 17 4" xfId="30169"/>
    <cellStyle name="Suma 2 12 18" xfId="30170"/>
    <cellStyle name="Suma 2 12 18 2" xfId="30171"/>
    <cellStyle name="Suma 2 12 18 3" xfId="30172"/>
    <cellStyle name="Suma 2 12 18 4" xfId="30173"/>
    <cellStyle name="Suma 2 12 19" xfId="30174"/>
    <cellStyle name="Suma 2 12 19 2" xfId="30175"/>
    <cellStyle name="Suma 2 12 19 3" xfId="30176"/>
    <cellStyle name="Suma 2 12 19 4" xfId="30177"/>
    <cellStyle name="Suma 2 12 2" xfId="30178"/>
    <cellStyle name="Suma 2 12 2 2" xfId="30179"/>
    <cellStyle name="Suma 2 12 2 3" xfId="30180"/>
    <cellStyle name="Suma 2 12 2 4" xfId="30181"/>
    <cellStyle name="Suma 2 12 20" xfId="30182"/>
    <cellStyle name="Suma 2 12 20 2" xfId="30183"/>
    <cellStyle name="Suma 2 12 20 3" xfId="30184"/>
    <cellStyle name="Suma 2 12 20 4" xfId="30185"/>
    <cellStyle name="Suma 2 12 21" xfId="30186"/>
    <cellStyle name="Suma 2 12 21 2" xfId="30187"/>
    <cellStyle name="Suma 2 12 21 3" xfId="30188"/>
    <cellStyle name="Suma 2 12 22" xfId="30189"/>
    <cellStyle name="Suma 2 12 22 2" xfId="30190"/>
    <cellStyle name="Suma 2 12 22 3" xfId="30191"/>
    <cellStyle name="Suma 2 12 23" xfId="30192"/>
    <cellStyle name="Suma 2 12 23 2" xfId="30193"/>
    <cellStyle name="Suma 2 12 23 3" xfId="30194"/>
    <cellStyle name="Suma 2 12 24" xfId="30195"/>
    <cellStyle name="Suma 2 12 24 2" xfId="30196"/>
    <cellStyle name="Suma 2 12 24 3" xfId="30197"/>
    <cellStyle name="Suma 2 12 25" xfId="30198"/>
    <cellStyle name="Suma 2 12 25 2" xfId="30199"/>
    <cellStyle name="Suma 2 12 25 3" xfId="30200"/>
    <cellStyle name="Suma 2 12 26" xfId="30201"/>
    <cellStyle name="Suma 2 12 26 2" xfId="30202"/>
    <cellStyle name="Suma 2 12 26 3" xfId="30203"/>
    <cellStyle name="Suma 2 12 27" xfId="30204"/>
    <cellStyle name="Suma 2 12 27 2" xfId="30205"/>
    <cellStyle name="Suma 2 12 27 3" xfId="30206"/>
    <cellStyle name="Suma 2 12 28" xfId="30207"/>
    <cellStyle name="Suma 2 12 28 2" xfId="30208"/>
    <cellStyle name="Suma 2 12 28 3" xfId="30209"/>
    <cellStyle name="Suma 2 12 29" xfId="30210"/>
    <cellStyle name="Suma 2 12 29 2" xfId="30211"/>
    <cellStyle name="Suma 2 12 29 3" xfId="30212"/>
    <cellStyle name="Suma 2 12 3" xfId="30213"/>
    <cellStyle name="Suma 2 12 3 2" xfId="30214"/>
    <cellStyle name="Suma 2 12 3 3" xfId="30215"/>
    <cellStyle name="Suma 2 12 3 4" xfId="30216"/>
    <cellStyle name="Suma 2 12 30" xfId="30217"/>
    <cellStyle name="Suma 2 12 30 2" xfId="30218"/>
    <cellStyle name="Suma 2 12 30 3" xfId="30219"/>
    <cellStyle name="Suma 2 12 31" xfId="30220"/>
    <cellStyle name="Suma 2 12 31 2" xfId="30221"/>
    <cellStyle name="Suma 2 12 31 3" xfId="30222"/>
    <cellStyle name="Suma 2 12 32" xfId="30223"/>
    <cellStyle name="Suma 2 12 32 2" xfId="30224"/>
    <cellStyle name="Suma 2 12 32 3" xfId="30225"/>
    <cellStyle name="Suma 2 12 33" xfId="30226"/>
    <cellStyle name="Suma 2 12 33 2" xfId="30227"/>
    <cellStyle name="Suma 2 12 33 3" xfId="30228"/>
    <cellStyle name="Suma 2 12 34" xfId="30229"/>
    <cellStyle name="Suma 2 12 34 2" xfId="30230"/>
    <cellStyle name="Suma 2 12 34 3" xfId="30231"/>
    <cellStyle name="Suma 2 12 35" xfId="30232"/>
    <cellStyle name="Suma 2 12 35 2" xfId="30233"/>
    <cellStyle name="Suma 2 12 35 3" xfId="30234"/>
    <cellStyle name="Suma 2 12 36" xfId="30235"/>
    <cellStyle name="Suma 2 12 36 2" xfId="30236"/>
    <cellStyle name="Suma 2 12 36 3" xfId="30237"/>
    <cellStyle name="Suma 2 12 37" xfId="30238"/>
    <cellStyle name="Suma 2 12 37 2" xfId="30239"/>
    <cellStyle name="Suma 2 12 37 3" xfId="30240"/>
    <cellStyle name="Suma 2 12 38" xfId="30241"/>
    <cellStyle name="Suma 2 12 38 2" xfId="30242"/>
    <cellStyle name="Suma 2 12 38 3" xfId="30243"/>
    <cellStyle name="Suma 2 12 39" xfId="30244"/>
    <cellStyle name="Suma 2 12 39 2" xfId="30245"/>
    <cellStyle name="Suma 2 12 39 3" xfId="30246"/>
    <cellStyle name="Suma 2 12 4" xfId="30247"/>
    <cellStyle name="Suma 2 12 4 2" xfId="30248"/>
    <cellStyle name="Suma 2 12 4 3" xfId="30249"/>
    <cellStyle name="Suma 2 12 4 4" xfId="30250"/>
    <cellStyle name="Suma 2 12 40" xfId="30251"/>
    <cellStyle name="Suma 2 12 40 2" xfId="30252"/>
    <cellStyle name="Suma 2 12 40 3" xfId="30253"/>
    <cellStyle name="Suma 2 12 41" xfId="30254"/>
    <cellStyle name="Suma 2 12 41 2" xfId="30255"/>
    <cellStyle name="Suma 2 12 41 3" xfId="30256"/>
    <cellStyle name="Suma 2 12 42" xfId="30257"/>
    <cellStyle name="Suma 2 12 42 2" xfId="30258"/>
    <cellStyle name="Suma 2 12 42 3" xfId="30259"/>
    <cellStyle name="Suma 2 12 43" xfId="30260"/>
    <cellStyle name="Suma 2 12 43 2" xfId="30261"/>
    <cellStyle name="Suma 2 12 43 3" xfId="30262"/>
    <cellStyle name="Suma 2 12 44" xfId="30263"/>
    <cellStyle name="Suma 2 12 44 2" xfId="30264"/>
    <cellStyle name="Suma 2 12 44 3" xfId="30265"/>
    <cellStyle name="Suma 2 12 45" xfId="30266"/>
    <cellStyle name="Suma 2 12 45 2" xfId="30267"/>
    <cellStyle name="Suma 2 12 45 3" xfId="30268"/>
    <cellStyle name="Suma 2 12 46" xfId="30269"/>
    <cellStyle name="Suma 2 12 46 2" xfId="30270"/>
    <cellStyle name="Suma 2 12 46 3" xfId="30271"/>
    <cellStyle name="Suma 2 12 47" xfId="30272"/>
    <cellStyle name="Suma 2 12 47 2" xfId="30273"/>
    <cellStyle name="Suma 2 12 47 3" xfId="30274"/>
    <cellStyle name="Suma 2 12 48" xfId="30275"/>
    <cellStyle name="Suma 2 12 48 2" xfId="30276"/>
    <cellStyle name="Suma 2 12 48 3" xfId="30277"/>
    <cellStyle name="Suma 2 12 49" xfId="30278"/>
    <cellStyle name="Suma 2 12 49 2" xfId="30279"/>
    <cellStyle name="Suma 2 12 49 3" xfId="30280"/>
    <cellStyle name="Suma 2 12 5" xfId="30281"/>
    <cellStyle name="Suma 2 12 5 2" xfId="30282"/>
    <cellStyle name="Suma 2 12 5 3" xfId="30283"/>
    <cellStyle name="Suma 2 12 5 4" xfId="30284"/>
    <cellStyle name="Suma 2 12 50" xfId="30285"/>
    <cellStyle name="Suma 2 12 50 2" xfId="30286"/>
    <cellStyle name="Suma 2 12 50 3" xfId="30287"/>
    <cellStyle name="Suma 2 12 51" xfId="30288"/>
    <cellStyle name="Suma 2 12 51 2" xfId="30289"/>
    <cellStyle name="Suma 2 12 51 3" xfId="30290"/>
    <cellStyle name="Suma 2 12 52" xfId="30291"/>
    <cellStyle name="Suma 2 12 52 2" xfId="30292"/>
    <cellStyle name="Suma 2 12 52 3" xfId="30293"/>
    <cellStyle name="Suma 2 12 53" xfId="30294"/>
    <cellStyle name="Suma 2 12 53 2" xfId="30295"/>
    <cellStyle name="Suma 2 12 53 3" xfId="30296"/>
    <cellStyle name="Suma 2 12 54" xfId="30297"/>
    <cellStyle name="Suma 2 12 54 2" xfId="30298"/>
    <cellStyle name="Suma 2 12 54 3" xfId="30299"/>
    <cellStyle name="Suma 2 12 55" xfId="30300"/>
    <cellStyle name="Suma 2 12 55 2" xfId="30301"/>
    <cellStyle name="Suma 2 12 55 3" xfId="30302"/>
    <cellStyle name="Suma 2 12 56" xfId="30303"/>
    <cellStyle name="Suma 2 12 56 2" xfId="30304"/>
    <cellStyle name="Suma 2 12 56 3" xfId="30305"/>
    <cellStyle name="Suma 2 12 57" xfId="30306"/>
    <cellStyle name="Suma 2 12 58" xfId="30307"/>
    <cellStyle name="Suma 2 12 6" xfId="30308"/>
    <cellStyle name="Suma 2 12 6 2" xfId="30309"/>
    <cellStyle name="Suma 2 12 6 3" xfId="30310"/>
    <cellStyle name="Suma 2 12 6 4" xfId="30311"/>
    <cellStyle name="Suma 2 12 7" xfId="30312"/>
    <cellStyle name="Suma 2 12 7 2" xfId="30313"/>
    <cellStyle name="Suma 2 12 7 3" xfId="30314"/>
    <cellStyle name="Suma 2 12 7 4" xfId="30315"/>
    <cellStyle name="Suma 2 12 8" xfId="30316"/>
    <cellStyle name="Suma 2 12 8 2" xfId="30317"/>
    <cellStyle name="Suma 2 12 8 3" xfId="30318"/>
    <cellStyle name="Suma 2 12 8 4" xfId="30319"/>
    <cellStyle name="Suma 2 12 9" xfId="30320"/>
    <cellStyle name="Suma 2 12 9 2" xfId="30321"/>
    <cellStyle name="Suma 2 12 9 3" xfId="30322"/>
    <cellStyle name="Suma 2 12 9 4" xfId="30323"/>
    <cellStyle name="Suma 2 13" xfId="30324"/>
    <cellStyle name="Suma 2 13 10" xfId="30325"/>
    <cellStyle name="Suma 2 13 10 2" xfId="30326"/>
    <cellStyle name="Suma 2 13 10 3" xfId="30327"/>
    <cellStyle name="Suma 2 13 10 4" xfId="30328"/>
    <cellStyle name="Suma 2 13 11" xfId="30329"/>
    <cellStyle name="Suma 2 13 11 2" xfId="30330"/>
    <cellStyle name="Suma 2 13 11 3" xfId="30331"/>
    <cellStyle name="Suma 2 13 11 4" xfId="30332"/>
    <cellStyle name="Suma 2 13 12" xfId="30333"/>
    <cellStyle name="Suma 2 13 12 2" xfId="30334"/>
    <cellStyle name="Suma 2 13 12 3" xfId="30335"/>
    <cellStyle name="Suma 2 13 12 4" xfId="30336"/>
    <cellStyle name="Suma 2 13 13" xfId="30337"/>
    <cellStyle name="Suma 2 13 13 2" xfId="30338"/>
    <cellStyle name="Suma 2 13 13 3" xfId="30339"/>
    <cellStyle name="Suma 2 13 13 4" xfId="30340"/>
    <cellStyle name="Suma 2 13 14" xfId="30341"/>
    <cellStyle name="Suma 2 13 14 2" xfId="30342"/>
    <cellStyle name="Suma 2 13 14 3" xfId="30343"/>
    <cellStyle name="Suma 2 13 14 4" xfId="30344"/>
    <cellStyle name="Suma 2 13 15" xfId="30345"/>
    <cellStyle name="Suma 2 13 15 2" xfId="30346"/>
    <cellStyle name="Suma 2 13 15 3" xfId="30347"/>
    <cellStyle name="Suma 2 13 15 4" xfId="30348"/>
    <cellStyle name="Suma 2 13 16" xfId="30349"/>
    <cellStyle name="Suma 2 13 16 2" xfId="30350"/>
    <cellStyle name="Suma 2 13 16 3" xfId="30351"/>
    <cellStyle name="Suma 2 13 16 4" xfId="30352"/>
    <cellStyle name="Suma 2 13 17" xfId="30353"/>
    <cellStyle name="Suma 2 13 17 2" xfId="30354"/>
    <cellStyle name="Suma 2 13 17 3" xfId="30355"/>
    <cellStyle name="Suma 2 13 17 4" xfId="30356"/>
    <cellStyle name="Suma 2 13 18" xfId="30357"/>
    <cellStyle name="Suma 2 13 18 2" xfId="30358"/>
    <cellStyle name="Suma 2 13 18 3" xfId="30359"/>
    <cellStyle name="Suma 2 13 18 4" xfId="30360"/>
    <cellStyle name="Suma 2 13 19" xfId="30361"/>
    <cellStyle name="Suma 2 13 19 2" xfId="30362"/>
    <cellStyle name="Suma 2 13 19 3" xfId="30363"/>
    <cellStyle name="Suma 2 13 19 4" xfId="30364"/>
    <cellStyle name="Suma 2 13 2" xfId="30365"/>
    <cellStyle name="Suma 2 13 2 2" xfId="30366"/>
    <cellStyle name="Suma 2 13 2 3" xfId="30367"/>
    <cellStyle name="Suma 2 13 2 4" xfId="30368"/>
    <cellStyle name="Suma 2 13 20" xfId="30369"/>
    <cellStyle name="Suma 2 13 20 2" xfId="30370"/>
    <cellStyle name="Suma 2 13 20 3" xfId="30371"/>
    <cellStyle name="Suma 2 13 20 4" xfId="30372"/>
    <cellStyle name="Suma 2 13 21" xfId="30373"/>
    <cellStyle name="Suma 2 13 21 2" xfId="30374"/>
    <cellStyle name="Suma 2 13 21 3" xfId="30375"/>
    <cellStyle name="Suma 2 13 22" xfId="30376"/>
    <cellStyle name="Suma 2 13 22 2" xfId="30377"/>
    <cellStyle name="Suma 2 13 22 3" xfId="30378"/>
    <cellStyle name="Suma 2 13 23" xfId="30379"/>
    <cellStyle name="Suma 2 13 23 2" xfId="30380"/>
    <cellStyle name="Suma 2 13 23 3" xfId="30381"/>
    <cellStyle name="Suma 2 13 24" xfId="30382"/>
    <cellStyle name="Suma 2 13 24 2" xfId="30383"/>
    <cellStyle name="Suma 2 13 24 3" xfId="30384"/>
    <cellStyle name="Suma 2 13 25" xfId="30385"/>
    <cellStyle name="Suma 2 13 25 2" xfId="30386"/>
    <cellStyle name="Suma 2 13 25 3" xfId="30387"/>
    <cellStyle name="Suma 2 13 26" xfId="30388"/>
    <cellStyle name="Suma 2 13 26 2" xfId="30389"/>
    <cellStyle name="Suma 2 13 26 3" xfId="30390"/>
    <cellStyle name="Suma 2 13 27" xfId="30391"/>
    <cellStyle name="Suma 2 13 27 2" xfId="30392"/>
    <cellStyle name="Suma 2 13 27 3" xfId="30393"/>
    <cellStyle name="Suma 2 13 28" xfId="30394"/>
    <cellStyle name="Suma 2 13 28 2" xfId="30395"/>
    <cellStyle name="Suma 2 13 28 3" xfId="30396"/>
    <cellStyle name="Suma 2 13 29" xfId="30397"/>
    <cellStyle name="Suma 2 13 29 2" xfId="30398"/>
    <cellStyle name="Suma 2 13 29 3" xfId="30399"/>
    <cellStyle name="Suma 2 13 3" xfId="30400"/>
    <cellStyle name="Suma 2 13 3 2" xfId="30401"/>
    <cellStyle name="Suma 2 13 3 3" xfId="30402"/>
    <cellStyle name="Suma 2 13 3 4" xfId="30403"/>
    <cellStyle name="Suma 2 13 30" xfId="30404"/>
    <cellStyle name="Suma 2 13 30 2" xfId="30405"/>
    <cellStyle name="Suma 2 13 30 3" xfId="30406"/>
    <cellStyle name="Suma 2 13 31" xfId="30407"/>
    <cellStyle name="Suma 2 13 31 2" xfId="30408"/>
    <cellStyle name="Suma 2 13 31 3" xfId="30409"/>
    <cellStyle name="Suma 2 13 32" xfId="30410"/>
    <cellStyle name="Suma 2 13 32 2" xfId="30411"/>
    <cellStyle name="Suma 2 13 32 3" xfId="30412"/>
    <cellStyle name="Suma 2 13 33" xfId="30413"/>
    <cellStyle name="Suma 2 13 33 2" xfId="30414"/>
    <cellStyle name="Suma 2 13 33 3" xfId="30415"/>
    <cellStyle name="Suma 2 13 34" xfId="30416"/>
    <cellStyle name="Suma 2 13 34 2" xfId="30417"/>
    <cellStyle name="Suma 2 13 34 3" xfId="30418"/>
    <cellStyle name="Suma 2 13 35" xfId="30419"/>
    <cellStyle name="Suma 2 13 35 2" xfId="30420"/>
    <cellStyle name="Suma 2 13 35 3" xfId="30421"/>
    <cellStyle name="Suma 2 13 36" xfId="30422"/>
    <cellStyle name="Suma 2 13 36 2" xfId="30423"/>
    <cellStyle name="Suma 2 13 36 3" xfId="30424"/>
    <cellStyle name="Suma 2 13 37" xfId="30425"/>
    <cellStyle name="Suma 2 13 37 2" xfId="30426"/>
    <cellStyle name="Suma 2 13 37 3" xfId="30427"/>
    <cellStyle name="Suma 2 13 38" xfId="30428"/>
    <cellStyle name="Suma 2 13 38 2" xfId="30429"/>
    <cellStyle name="Suma 2 13 38 3" xfId="30430"/>
    <cellStyle name="Suma 2 13 39" xfId="30431"/>
    <cellStyle name="Suma 2 13 39 2" xfId="30432"/>
    <cellStyle name="Suma 2 13 39 3" xfId="30433"/>
    <cellStyle name="Suma 2 13 4" xfId="30434"/>
    <cellStyle name="Suma 2 13 4 2" xfId="30435"/>
    <cellStyle name="Suma 2 13 4 3" xfId="30436"/>
    <cellStyle name="Suma 2 13 4 4" xfId="30437"/>
    <cellStyle name="Suma 2 13 40" xfId="30438"/>
    <cellStyle name="Suma 2 13 40 2" xfId="30439"/>
    <cellStyle name="Suma 2 13 40 3" xfId="30440"/>
    <cellStyle name="Suma 2 13 41" xfId="30441"/>
    <cellStyle name="Suma 2 13 41 2" xfId="30442"/>
    <cellStyle name="Suma 2 13 41 3" xfId="30443"/>
    <cellStyle name="Suma 2 13 42" xfId="30444"/>
    <cellStyle name="Suma 2 13 42 2" xfId="30445"/>
    <cellStyle name="Suma 2 13 42 3" xfId="30446"/>
    <cellStyle name="Suma 2 13 43" xfId="30447"/>
    <cellStyle name="Suma 2 13 43 2" xfId="30448"/>
    <cellStyle name="Suma 2 13 43 3" xfId="30449"/>
    <cellStyle name="Suma 2 13 44" xfId="30450"/>
    <cellStyle name="Suma 2 13 44 2" xfId="30451"/>
    <cellStyle name="Suma 2 13 44 3" xfId="30452"/>
    <cellStyle name="Suma 2 13 45" xfId="30453"/>
    <cellStyle name="Suma 2 13 45 2" xfId="30454"/>
    <cellStyle name="Suma 2 13 45 3" xfId="30455"/>
    <cellStyle name="Suma 2 13 46" xfId="30456"/>
    <cellStyle name="Suma 2 13 46 2" xfId="30457"/>
    <cellStyle name="Suma 2 13 46 3" xfId="30458"/>
    <cellStyle name="Suma 2 13 47" xfId="30459"/>
    <cellStyle name="Suma 2 13 47 2" xfId="30460"/>
    <cellStyle name="Suma 2 13 47 3" xfId="30461"/>
    <cellStyle name="Suma 2 13 48" xfId="30462"/>
    <cellStyle name="Suma 2 13 48 2" xfId="30463"/>
    <cellStyle name="Suma 2 13 48 3" xfId="30464"/>
    <cellStyle name="Suma 2 13 49" xfId="30465"/>
    <cellStyle name="Suma 2 13 49 2" xfId="30466"/>
    <cellStyle name="Suma 2 13 49 3" xfId="30467"/>
    <cellStyle name="Suma 2 13 5" xfId="30468"/>
    <cellStyle name="Suma 2 13 5 2" xfId="30469"/>
    <cellStyle name="Suma 2 13 5 3" xfId="30470"/>
    <cellStyle name="Suma 2 13 5 4" xfId="30471"/>
    <cellStyle name="Suma 2 13 50" xfId="30472"/>
    <cellStyle name="Suma 2 13 50 2" xfId="30473"/>
    <cellStyle name="Suma 2 13 50 3" xfId="30474"/>
    <cellStyle name="Suma 2 13 51" xfId="30475"/>
    <cellStyle name="Suma 2 13 51 2" xfId="30476"/>
    <cellStyle name="Suma 2 13 51 3" xfId="30477"/>
    <cellStyle name="Suma 2 13 52" xfId="30478"/>
    <cellStyle name="Suma 2 13 52 2" xfId="30479"/>
    <cellStyle name="Suma 2 13 52 3" xfId="30480"/>
    <cellStyle name="Suma 2 13 53" xfId="30481"/>
    <cellStyle name="Suma 2 13 53 2" xfId="30482"/>
    <cellStyle name="Suma 2 13 53 3" xfId="30483"/>
    <cellStyle name="Suma 2 13 54" xfId="30484"/>
    <cellStyle name="Suma 2 13 54 2" xfId="30485"/>
    <cellStyle name="Suma 2 13 54 3" xfId="30486"/>
    <cellStyle name="Suma 2 13 55" xfId="30487"/>
    <cellStyle name="Suma 2 13 55 2" xfId="30488"/>
    <cellStyle name="Suma 2 13 55 3" xfId="30489"/>
    <cellStyle name="Suma 2 13 56" xfId="30490"/>
    <cellStyle name="Suma 2 13 56 2" xfId="30491"/>
    <cellStyle name="Suma 2 13 56 3" xfId="30492"/>
    <cellStyle name="Suma 2 13 57" xfId="30493"/>
    <cellStyle name="Suma 2 13 58" xfId="30494"/>
    <cellStyle name="Suma 2 13 6" xfId="30495"/>
    <cellStyle name="Suma 2 13 6 2" xfId="30496"/>
    <cellStyle name="Suma 2 13 6 3" xfId="30497"/>
    <cellStyle name="Suma 2 13 6 4" xfId="30498"/>
    <cellStyle name="Suma 2 13 7" xfId="30499"/>
    <cellStyle name="Suma 2 13 7 2" xfId="30500"/>
    <cellStyle name="Suma 2 13 7 3" xfId="30501"/>
    <cellStyle name="Suma 2 13 7 4" xfId="30502"/>
    <cellStyle name="Suma 2 13 8" xfId="30503"/>
    <cellStyle name="Suma 2 13 8 2" xfId="30504"/>
    <cellStyle name="Suma 2 13 8 3" xfId="30505"/>
    <cellStyle name="Suma 2 13 8 4" xfId="30506"/>
    <cellStyle name="Suma 2 13 9" xfId="30507"/>
    <cellStyle name="Suma 2 13 9 2" xfId="30508"/>
    <cellStyle name="Suma 2 13 9 3" xfId="30509"/>
    <cellStyle name="Suma 2 13 9 4" xfId="30510"/>
    <cellStyle name="Suma 2 14" xfId="30511"/>
    <cellStyle name="Suma 2 14 10" xfId="30512"/>
    <cellStyle name="Suma 2 14 10 2" xfId="30513"/>
    <cellStyle name="Suma 2 14 10 3" xfId="30514"/>
    <cellStyle name="Suma 2 14 10 4" xfId="30515"/>
    <cellStyle name="Suma 2 14 11" xfId="30516"/>
    <cellStyle name="Suma 2 14 11 2" xfId="30517"/>
    <cellStyle name="Suma 2 14 11 3" xfId="30518"/>
    <cellStyle name="Suma 2 14 11 4" xfId="30519"/>
    <cellStyle name="Suma 2 14 12" xfId="30520"/>
    <cellStyle name="Suma 2 14 12 2" xfId="30521"/>
    <cellStyle name="Suma 2 14 12 3" xfId="30522"/>
    <cellStyle name="Suma 2 14 12 4" xfId="30523"/>
    <cellStyle name="Suma 2 14 13" xfId="30524"/>
    <cellStyle name="Suma 2 14 13 2" xfId="30525"/>
    <cellStyle name="Suma 2 14 13 3" xfId="30526"/>
    <cellStyle name="Suma 2 14 13 4" xfId="30527"/>
    <cellStyle name="Suma 2 14 14" xfId="30528"/>
    <cellStyle name="Suma 2 14 14 2" xfId="30529"/>
    <cellStyle name="Suma 2 14 14 3" xfId="30530"/>
    <cellStyle name="Suma 2 14 14 4" xfId="30531"/>
    <cellStyle name="Suma 2 14 15" xfId="30532"/>
    <cellStyle name="Suma 2 14 15 2" xfId="30533"/>
    <cellStyle name="Suma 2 14 15 3" xfId="30534"/>
    <cellStyle name="Suma 2 14 15 4" xfId="30535"/>
    <cellStyle name="Suma 2 14 16" xfId="30536"/>
    <cellStyle name="Suma 2 14 16 2" xfId="30537"/>
    <cellStyle name="Suma 2 14 16 3" xfId="30538"/>
    <cellStyle name="Suma 2 14 16 4" xfId="30539"/>
    <cellStyle name="Suma 2 14 17" xfId="30540"/>
    <cellStyle name="Suma 2 14 17 2" xfId="30541"/>
    <cellStyle name="Suma 2 14 17 3" xfId="30542"/>
    <cellStyle name="Suma 2 14 17 4" xfId="30543"/>
    <cellStyle name="Suma 2 14 18" xfId="30544"/>
    <cellStyle name="Suma 2 14 18 2" xfId="30545"/>
    <cellStyle name="Suma 2 14 18 3" xfId="30546"/>
    <cellStyle name="Suma 2 14 18 4" xfId="30547"/>
    <cellStyle name="Suma 2 14 19" xfId="30548"/>
    <cellStyle name="Suma 2 14 19 2" xfId="30549"/>
    <cellStyle name="Suma 2 14 19 3" xfId="30550"/>
    <cellStyle name="Suma 2 14 19 4" xfId="30551"/>
    <cellStyle name="Suma 2 14 2" xfId="30552"/>
    <cellStyle name="Suma 2 14 2 2" xfId="30553"/>
    <cellStyle name="Suma 2 14 2 3" xfId="30554"/>
    <cellStyle name="Suma 2 14 2 4" xfId="30555"/>
    <cellStyle name="Suma 2 14 20" xfId="30556"/>
    <cellStyle name="Suma 2 14 20 2" xfId="30557"/>
    <cellStyle name="Suma 2 14 20 3" xfId="30558"/>
    <cellStyle name="Suma 2 14 20 4" xfId="30559"/>
    <cellStyle name="Suma 2 14 21" xfId="30560"/>
    <cellStyle name="Suma 2 14 21 2" xfId="30561"/>
    <cellStyle name="Suma 2 14 21 3" xfId="30562"/>
    <cellStyle name="Suma 2 14 22" xfId="30563"/>
    <cellStyle name="Suma 2 14 22 2" xfId="30564"/>
    <cellStyle name="Suma 2 14 22 3" xfId="30565"/>
    <cellStyle name="Suma 2 14 23" xfId="30566"/>
    <cellStyle name="Suma 2 14 23 2" xfId="30567"/>
    <cellStyle name="Suma 2 14 23 3" xfId="30568"/>
    <cellStyle name="Suma 2 14 24" xfId="30569"/>
    <cellStyle name="Suma 2 14 24 2" xfId="30570"/>
    <cellStyle name="Suma 2 14 24 3" xfId="30571"/>
    <cellStyle name="Suma 2 14 25" xfId="30572"/>
    <cellStyle name="Suma 2 14 25 2" xfId="30573"/>
    <cellStyle name="Suma 2 14 25 3" xfId="30574"/>
    <cellStyle name="Suma 2 14 26" xfId="30575"/>
    <cellStyle name="Suma 2 14 26 2" xfId="30576"/>
    <cellStyle name="Suma 2 14 26 3" xfId="30577"/>
    <cellStyle name="Suma 2 14 27" xfId="30578"/>
    <cellStyle name="Suma 2 14 27 2" xfId="30579"/>
    <cellStyle name="Suma 2 14 27 3" xfId="30580"/>
    <cellStyle name="Suma 2 14 28" xfId="30581"/>
    <cellStyle name="Suma 2 14 28 2" xfId="30582"/>
    <cellStyle name="Suma 2 14 28 3" xfId="30583"/>
    <cellStyle name="Suma 2 14 29" xfId="30584"/>
    <cellStyle name="Suma 2 14 29 2" xfId="30585"/>
    <cellStyle name="Suma 2 14 29 3" xfId="30586"/>
    <cellStyle name="Suma 2 14 3" xfId="30587"/>
    <cellStyle name="Suma 2 14 3 2" xfId="30588"/>
    <cellStyle name="Suma 2 14 3 3" xfId="30589"/>
    <cellStyle name="Suma 2 14 3 4" xfId="30590"/>
    <cellStyle name="Suma 2 14 30" xfId="30591"/>
    <cellStyle name="Suma 2 14 30 2" xfId="30592"/>
    <cellStyle name="Suma 2 14 30 3" xfId="30593"/>
    <cellStyle name="Suma 2 14 31" xfId="30594"/>
    <cellStyle name="Suma 2 14 31 2" xfId="30595"/>
    <cellStyle name="Suma 2 14 31 3" xfId="30596"/>
    <cellStyle name="Suma 2 14 32" xfId="30597"/>
    <cellStyle name="Suma 2 14 32 2" xfId="30598"/>
    <cellStyle name="Suma 2 14 32 3" xfId="30599"/>
    <cellStyle name="Suma 2 14 33" xfId="30600"/>
    <cellStyle name="Suma 2 14 33 2" xfId="30601"/>
    <cellStyle name="Suma 2 14 33 3" xfId="30602"/>
    <cellStyle name="Suma 2 14 34" xfId="30603"/>
    <cellStyle name="Suma 2 14 34 2" xfId="30604"/>
    <cellStyle name="Suma 2 14 34 3" xfId="30605"/>
    <cellStyle name="Suma 2 14 35" xfId="30606"/>
    <cellStyle name="Suma 2 14 35 2" xfId="30607"/>
    <cellStyle name="Suma 2 14 35 3" xfId="30608"/>
    <cellStyle name="Suma 2 14 36" xfId="30609"/>
    <cellStyle name="Suma 2 14 36 2" xfId="30610"/>
    <cellStyle name="Suma 2 14 36 3" xfId="30611"/>
    <cellStyle name="Suma 2 14 37" xfId="30612"/>
    <cellStyle name="Suma 2 14 37 2" xfId="30613"/>
    <cellStyle name="Suma 2 14 37 3" xfId="30614"/>
    <cellStyle name="Suma 2 14 38" xfId="30615"/>
    <cellStyle name="Suma 2 14 38 2" xfId="30616"/>
    <cellStyle name="Suma 2 14 38 3" xfId="30617"/>
    <cellStyle name="Suma 2 14 39" xfId="30618"/>
    <cellStyle name="Suma 2 14 39 2" xfId="30619"/>
    <cellStyle name="Suma 2 14 39 3" xfId="30620"/>
    <cellStyle name="Suma 2 14 4" xfId="30621"/>
    <cellStyle name="Suma 2 14 4 2" xfId="30622"/>
    <cellStyle name="Suma 2 14 4 3" xfId="30623"/>
    <cellStyle name="Suma 2 14 4 4" xfId="30624"/>
    <cellStyle name="Suma 2 14 40" xfId="30625"/>
    <cellStyle name="Suma 2 14 40 2" xfId="30626"/>
    <cellStyle name="Suma 2 14 40 3" xfId="30627"/>
    <cellStyle name="Suma 2 14 41" xfId="30628"/>
    <cellStyle name="Suma 2 14 41 2" xfId="30629"/>
    <cellStyle name="Suma 2 14 41 3" xfId="30630"/>
    <cellStyle name="Suma 2 14 42" xfId="30631"/>
    <cellStyle name="Suma 2 14 42 2" xfId="30632"/>
    <cellStyle name="Suma 2 14 42 3" xfId="30633"/>
    <cellStyle name="Suma 2 14 43" xfId="30634"/>
    <cellStyle name="Suma 2 14 43 2" xfId="30635"/>
    <cellStyle name="Suma 2 14 43 3" xfId="30636"/>
    <cellStyle name="Suma 2 14 44" xfId="30637"/>
    <cellStyle name="Suma 2 14 44 2" xfId="30638"/>
    <cellStyle name="Suma 2 14 44 3" xfId="30639"/>
    <cellStyle name="Suma 2 14 45" xfId="30640"/>
    <cellStyle name="Suma 2 14 45 2" xfId="30641"/>
    <cellStyle name="Suma 2 14 45 3" xfId="30642"/>
    <cellStyle name="Suma 2 14 46" xfId="30643"/>
    <cellStyle name="Suma 2 14 46 2" xfId="30644"/>
    <cellStyle name="Suma 2 14 46 3" xfId="30645"/>
    <cellStyle name="Suma 2 14 47" xfId="30646"/>
    <cellStyle name="Suma 2 14 47 2" xfId="30647"/>
    <cellStyle name="Suma 2 14 47 3" xfId="30648"/>
    <cellStyle name="Suma 2 14 48" xfId="30649"/>
    <cellStyle name="Suma 2 14 48 2" xfId="30650"/>
    <cellStyle name="Suma 2 14 48 3" xfId="30651"/>
    <cellStyle name="Suma 2 14 49" xfId="30652"/>
    <cellStyle name="Suma 2 14 49 2" xfId="30653"/>
    <cellStyle name="Suma 2 14 49 3" xfId="30654"/>
    <cellStyle name="Suma 2 14 5" xfId="30655"/>
    <cellStyle name="Suma 2 14 5 2" xfId="30656"/>
    <cellStyle name="Suma 2 14 5 3" xfId="30657"/>
    <cellStyle name="Suma 2 14 5 4" xfId="30658"/>
    <cellStyle name="Suma 2 14 50" xfId="30659"/>
    <cellStyle name="Suma 2 14 50 2" xfId="30660"/>
    <cellStyle name="Suma 2 14 50 3" xfId="30661"/>
    <cellStyle name="Suma 2 14 51" xfId="30662"/>
    <cellStyle name="Suma 2 14 51 2" xfId="30663"/>
    <cellStyle name="Suma 2 14 51 3" xfId="30664"/>
    <cellStyle name="Suma 2 14 52" xfId="30665"/>
    <cellStyle name="Suma 2 14 52 2" xfId="30666"/>
    <cellStyle name="Suma 2 14 52 3" xfId="30667"/>
    <cellStyle name="Suma 2 14 53" xfId="30668"/>
    <cellStyle name="Suma 2 14 53 2" xfId="30669"/>
    <cellStyle name="Suma 2 14 53 3" xfId="30670"/>
    <cellStyle name="Suma 2 14 54" xfId="30671"/>
    <cellStyle name="Suma 2 14 54 2" xfId="30672"/>
    <cellStyle name="Suma 2 14 54 3" xfId="30673"/>
    <cellStyle name="Suma 2 14 55" xfId="30674"/>
    <cellStyle name="Suma 2 14 55 2" xfId="30675"/>
    <cellStyle name="Suma 2 14 55 3" xfId="30676"/>
    <cellStyle name="Suma 2 14 56" xfId="30677"/>
    <cellStyle name="Suma 2 14 56 2" xfId="30678"/>
    <cellStyle name="Suma 2 14 56 3" xfId="30679"/>
    <cellStyle name="Suma 2 14 57" xfId="30680"/>
    <cellStyle name="Suma 2 14 58" xfId="30681"/>
    <cellStyle name="Suma 2 14 6" xfId="30682"/>
    <cellStyle name="Suma 2 14 6 2" xfId="30683"/>
    <cellStyle name="Suma 2 14 6 3" xfId="30684"/>
    <cellStyle name="Suma 2 14 6 4" xfId="30685"/>
    <cellStyle name="Suma 2 14 7" xfId="30686"/>
    <cellStyle name="Suma 2 14 7 2" xfId="30687"/>
    <cellStyle name="Suma 2 14 7 3" xfId="30688"/>
    <cellStyle name="Suma 2 14 7 4" xfId="30689"/>
    <cellStyle name="Suma 2 14 8" xfId="30690"/>
    <cellStyle name="Suma 2 14 8 2" xfId="30691"/>
    <cellStyle name="Suma 2 14 8 3" xfId="30692"/>
    <cellStyle name="Suma 2 14 8 4" xfId="30693"/>
    <cellStyle name="Suma 2 14 9" xfId="30694"/>
    <cellStyle name="Suma 2 14 9 2" xfId="30695"/>
    <cellStyle name="Suma 2 14 9 3" xfId="30696"/>
    <cellStyle name="Suma 2 14 9 4" xfId="30697"/>
    <cellStyle name="Suma 2 15" xfId="30698"/>
    <cellStyle name="Suma 2 15 10" xfId="30699"/>
    <cellStyle name="Suma 2 15 10 2" xfId="30700"/>
    <cellStyle name="Suma 2 15 10 3" xfId="30701"/>
    <cellStyle name="Suma 2 15 10 4" xfId="30702"/>
    <cellStyle name="Suma 2 15 11" xfId="30703"/>
    <cellStyle name="Suma 2 15 11 2" xfId="30704"/>
    <cellStyle name="Suma 2 15 11 3" xfId="30705"/>
    <cellStyle name="Suma 2 15 11 4" xfId="30706"/>
    <cellStyle name="Suma 2 15 12" xfId="30707"/>
    <cellStyle name="Suma 2 15 12 2" xfId="30708"/>
    <cellStyle name="Suma 2 15 12 3" xfId="30709"/>
    <cellStyle name="Suma 2 15 12 4" xfId="30710"/>
    <cellStyle name="Suma 2 15 13" xfId="30711"/>
    <cellStyle name="Suma 2 15 13 2" xfId="30712"/>
    <cellStyle name="Suma 2 15 13 3" xfId="30713"/>
    <cellStyle name="Suma 2 15 13 4" xfId="30714"/>
    <cellStyle name="Suma 2 15 14" xfId="30715"/>
    <cellStyle name="Suma 2 15 14 2" xfId="30716"/>
    <cellStyle name="Suma 2 15 14 3" xfId="30717"/>
    <cellStyle name="Suma 2 15 14 4" xfId="30718"/>
    <cellStyle name="Suma 2 15 15" xfId="30719"/>
    <cellStyle name="Suma 2 15 15 2" xfId="30720"/>
    <cellStyle name="Suma 2 15 15 3" xfId="30721"/>
    <cellStyle name="Suma 2 15 15 4" xfId="30722"/>
    <cellStyle name="Suma 2 15 16" xfId="30723"/>
    <cellStyle name="Suma 2 15 16 2" xfId="30724"/>
    <cellStyle name="Suma 2 15 16 3" xfId="30725"/>
    <cellStyle name="Suma 2 15 16 4" xfId="30726"/>
    <cellStyle name="Suma 2 15 17" xfId="30727"/>
    <cellStyle name="Suma 2 15 17 2" xfId="30728"/>
    <cellStyle name="Suma 2 15 17 3" xfId="30729"/>
    <cellStyle name="Suma 2 15 17 4" xfId="30730"/>
    <cellStyle name="Suma 2 15 18" xfId="30731"/>
    <cellStyle name="Suma 2 15 18 2" xfId="30732"/>
    <cellStyle name="Suma 2 15 18 3" xfId="30733"/>
    <cellStyle name="Suma 2 15 18 4" xfId="30734"/>
    <cellStyle name="Suma 2 15 19" xfId="30735"/>
    <cellStyle name="Suma 2 15 19 2" xfId="30736"/>
    <cellStyle name="Suma 2 15 19 3" xfId="30737"/>
    <cellStyle name="Suma 2 15 19 4" xfId="30738"/>
    <cellStyle name="Suma 2 15 2" xfId="30739"/>
    <cellStyle name="Suma 2 15 2 2" xfId="30740"/>
    <cellStyle name="Suma 2 15 2 3" xfId="30741"/>
    <cellStyle name="Suma 2 15 2 4" xfId="30742"/>
    <cellStyle name="Suma 2 15 20" xfId="30743"/>
    <cellStyle name="Suma 2 15 20 2" xfId="30744"/>
    <cellStyle name="Suma 2 15 20 3" xfId="30745"/>
    <cellStyle name="Suma 2 15 20 4" xfId="30746"/>
    <cellStyle name="Suma 2 15 21" xfId="30747"/>
    <cellStyle name="Suma 2 15 21 2" xfId="30748"/>
    <cellStyle name="Suma 2 15 21 3" xfId="30749"/>
    <cellStyle name="Suma 2 15 22" xfId="30750"/>
    <cellStyle name="Suma 2 15 22 2" xfId="30751"/>
    <cellStyle name="Suma 2 15 22 3" xfId="30752"/>
    <cellStyle name="Suma 2 15 23" xfId="30753"/>
    <cellStyle name="Suma 2 15 23 2" xfId="30754"/>
    <cellStyle name="Suma 2 15 23 3" xfId="30755"/>
    <cellStyle name="Suma 2 15 24" xfId="30756"/>
    <cellStyle name="Suma 2 15 24 2" xfId="30757"/>
    <cellStyle name="Suma 2 15 24 3" xfId="30758"/>
    <cellStyle name="Suma 2 15 25" xfId="30759"/>
    <cellStyle name="Suma 2 15 25 2" xfId="30760"/>
    <cellStyle name="Suma 2 15 25 3" xfId="30761"/>
    <cellStyle name="Suma 2 15 26" xfId="30762"/>
    <cellStyle name="Suma 2 15 26 2" xfId="30763"/>
    <cellStyle name="Suma 2 15 26 3" xfId="30764"/>
    <cellStyle name="Suma 2 15 27" xfId="30765"/>
    <cellStyle name="Suma 2 15 27 2" xfId="30766"/>
    <cellStyle name="Suma 2 15 27 3" xfId="30767"/>
    <cellStyle name="Suma 2 15 28" xfId="30768"/>
    <cellStyle name="Suma 2 15 28 2" xfId="30769"/>
    <cellStyle name="Suma 2 15 28 3" xfId="30770"/>
    <cellStyle name="Suma 2 15 29" xfId="30771"/>
    <cellStyle name="Suma 2 15 29 2" xfId="30772"/>
    <cellStyle name="Suma 2 15 29 3" xfId="30773"/>
    <cellStyle name="Suma 2 15 3" xfId="30774"/>
    <cellStyle name="Suma 2 15 3 2" xfId="30775"/>
    <cellStyle name="Suma 2 15 3 3" xfId="30776"/>
    <cellStyle name="Suma 2 15 3 4" xfId="30777"/>
    <cellStyle name="Suma 2 15 30" xfId="30778"/>
    <cellStyle name="Suma 2 15 30 2" xfId="30779"/>
    <cellStyle name="Suma 2 15 30 3" xfId="30780"/>
    <cellStyle name="Suma 2 15 31" xfId="30781"/>
    <cellStyle name="Suma 2 15 31 2" xfId="30782"/>
    <cellStyle name="Suma 2 15 31 3" xfId="30783"/>
    <cellStyle name="Suma 2 15 32" xfId="30784"/>
    <cellStyle name="Suma 2 15 32 2" xfId="30785"/>
    <cellStyle name="Suma 2 15 32 3" xfId="30786"/>
    <cellStyle name="Suma 2 15 33" xfId="30787"/>
    <cellStyle name="Suma 2 15 33 2" xfId="30788"/>
    <cellStyle name="Suma 2 15 33 3" xfId="30789"/>
    <cellStyle name="Suma 2 15 34" xfId="30790"/>
    <cellStyle name="Suma 2 15 34 2" xfId="30791"/>
    <cellStyle name="Suma 2 15 34 3" xfId="30792"/>
    <cellStyle name="Suma 2 15 35" xfId="30793"/>
    <cellStyle name="Suma 2 15 35 2" xfId="30794"/>
    <cellStyle name="Suma 2 15 35 3" xfId="30795"/>
    <cellStyle name="Suma 2 15 36" xfId="30796"/>
    <cellStyle name="Suma 2 15 36 2" xfId="30797"/>
    <cellStyle name="Suma 2 15 36 3" xfId="30798"/>
    <cellStyle name="Suma 2 15 37" xfId="30799"/>
    <cellStyle name="Suma 2 15 37 2" xfId="30800"/>
    <cellStyle name="Suma 2 15 37 3" xfId="30801"/>
    <cellStyle name="Suma 2 15 38" xfId="30802"/>
    <cellStyle name="Suma 2 15 38 2" xfId="30803"/>
    <cellStyle name="Suma 2 15 38 3" xfId="30804"/>
    <cellStyle name="Suma 2 15 39" xfId="30805"/>
    <cellStyle name="Suma 2 15 39 2" xfId="30806"/>
    <cellStyle name="Suma 2 15 39 3" xfId="30807"/>
    <cellStyle name="Suma 2 15 4" xfId="30808"/>
    <cellStyle name="Suma 2 15 4 2" xfId="30809"/>
    <cellStyle name="Suma 2 15 4 3" xfId="30810"/>
    <cellStyle name="Suma 2 15 4 4" xfId="30811"/>
    <cellStyle name="Suma 2 15 40" xfId="30812"/>
    <cellStyle name="Suma 2 15 40 2" xfId="30813"/>
    <cellStyle name="Suma 2 15 40 3" xfId="30814"/>
    <cellStyle name="Suma 2 15 41" xfId="30815"/>
    <cellStyle name="Suma 2 15 41 2" xfId="30816"/>
    <cellStyle name="Suma 2 15 41 3" xfId="30817"/>
    <cellStyle name="Suma 2 15 42" xfId="30818"/>
    <cellStyle name="Suma 2 15 42 2" xfId="30819"/>
    <cellStyle name="Suma 2 15 42 3" xfId="30820"/>
    <cellStyle name="Suma 2 15 43" xfId="30821"/>
    <cellStyle name="Suma 2 15 43 2" xfId="30822"/>
    <cellStyle name="Suma 2 15 43 3" xfId="30823"/>
    <cellStyle name="Suma 2 15 44" xfId="30824"/>
    <cellStyle name="Suma 2 15 44 2" xfId="30825"/>
    <cellStyle name="Suma 2 15 44 3" xfId="30826"/>
    <cellStyle name="Suma 2 15 45" xfId="30827"/>
    <cellStyle name="Suma 2 15 45 2" xfId="30828"/>
    <cellStyle name="Suma 2 15 45 3" xfId="30829"/>
    <cellStyle name="Suma 2 15 46" xfId="30830"/>
    <cellStyle name="Suma 2 15 46 2" xfId="30831"/>
    <cellStyle name="Suma 2 15 46 3" xfId="30832"/>
    <cellStyle name="Suma 2 15 47" xfId="30833"/>
    <cellStyle name="Suma 2 15 47 2" xfId="30834"/>
    <cellStyle name="Suma 2 15 47 3" xfId="30835"/>
    <cellStyle name="Suma 2 15 48" xfId="30836"/>
    <cellStyle name="Suma 2 15 48 2" xfId="30837"/>
    <cellStyle name="Suma 2 15 48 3" xfId="30838"/>
    <cellStyle name="Suma 2 15 49" xfId="30839"/>
    <cellStyle name="Suma 2 15 49 2" xfId="30840"/>
    <cellStyle name="Suma 2 15 49 3" xfId="30841"/>
    <cellStyle name="Suma 2 15 5" xfId="30842"/>
    <cellStyle name="Suma 2 15 5 2" xfId="30843"/>
    <cellStyle name="Suma 2 15 5 3" xfId="30844"/>
    <cellStyle name="Suma 2 15 5 4" xfId="30845"/>
    <cellStyle name="Suma 2 15 50" xfId="30846"/>
    <cellStyle name="Suma 2 15 50 2" xfId="30847"/>
    <cellStyle name="Suma 2 15 50 3" xfId="30848"/>
    <cellStyle name="Suma 2 15 51" xfId="30849"/>
    <cellStyle name="Suma 2 15 51 2" xfId="30850"/>
    <cellStyle name="Suma 2 15 51 3" xfId="30851"/>
    <cellStyle name="Suma 2 15 52" xfId="30852"/>
    <cellStyle name="Suma 2 15 52 2" xfId="30853"/>
    <cellStyle name="Suma 2 15 52 3" xfId="30854"/>
    <cellStyle name="Suma 2 15 53" xfId="30855"/>
    <cellStyle name="Suma 2 15 53 2" xfId="30856"/>
    <cellStyle name="Suma 2 15 53 3" xfId="30857"/>
    <cellStyle name="Suma 2 15 54" xfId="30858"/>
    <cellStyle name="Suma 2 15 54 2" xfId="30859"/>
    <cellStyle name="Suma 2 15 54 3" xfId="30860"/>
    <cellStyle name="Suma 2 15 55" xfId="30861"/>
    <cellStyle name="Suma 2 15 55 2" xfId="30862"/>
    <cellStyle name="Suma 2 15 55 3" xfId="30863"/>
    <cellStyle name="Suma 2 15 56" xfId="30864"/>
    <cellStyle name="Suma 2 15 56 2" xfId="30865"/>
    <cellStyle name="Suma 2 15 56 3" xfId="30866"/>
    <cellStyle name="Suma 2 15 57" xfId="30867"/>
    <cellStyle name="Suma 2 15 58" xfId="30868"/>
    <cellStyle name="Suma 2 15 6" xfId="30869"/>
    <cellStyle name="Suma 2 15 6 2" xfId="30870"/>
    <cellStyle name="Suma 2 15 6 3" xfId="30871"/>
    <cellStyle name="Suma 2 15 6 4" xfId="30872"/>
    <cellStyle name="Suma 2 15 7" xfId="30873"/>
    <cellStyle name="Suma 2 15 7 2" xfId="30874"/>
    <cellStyle name="Suma 2 15 7 3" xfId="30875"/>
    <cellStyle name="Suma 2 15 7 4" xfId="30876"/>
    <cellStyle name="Suma 2 15 8" xfId="30877"/>
    <cellStyle name="Suma 2 15 8 2" xfId="30878"/>
    <cellStyle name="Suma 2 15 8 3" xfId="30879"/>
    <cellStyle name="Suma 2 15 8 4" xfId="30880"/>
    <cellStyle name="Suma 2 15 9" xfId="30881"/>
    <cellStyle name="Suma 2 15 9 2" xfId="30882"/>
    <cellStyle name="Suma 2 15 9 3" xfId="30883"/>
    <cellStyle name="Suma 2 15 9 4" xfId="30884"/>
    <cellStyle name="Suma 2 16" xfId="30885"/>
    <cellStyle name="Suma 2 16 10" xfId="30886"/>
    <cellStyle name="Suma 2 16 10 2" xfId="30887"/>
    <cellStyle name="Suma 2 16 10 3" xfId="30888"/>
    <cellStyle name="Suma 2 16 10 4" xfId="30889"/>
    <cellStyle name="Suma 2 16 11" xfId="30890"/>
    <cellStyle name="Suma 2 16 11 2" xfId="30891"/>
    <cellStyle name="Suma 2 16 11 3" xfId="30892"/>
    <cellStyle name="Suma 2 16 11 4" xfId="30893"/>
    <cellStyle name="Suma 2 16 12" xfId="30894"/>
    <cellStyle name="Suma 2 16 12 2" xfId="30895"/>
    <cellStyle name="Suma 2 16 12 3" xfId="30896"/>
    <cellStyle name="Suma 2 16 12 4" xfId="30897"/>
    <cellStyle name="Suma 2 16 13" xfId="30898"/>
    <cellStyle name="Suma 2 16 13 2" xfId="30899"/>
    <cellStyle name="Suma 2 16 13 3" xfId="30900"/>
    <cellStyle name="Suma 2 16 13 4" xfId="30901"/>
    <cellStyle name="Suma 2 16 14" xfId="30902"/>
    <cellStyle name="Suma 2 16 14 2" xfId="30903"/>
    <cellStyle name="Suma 2 16 14 3" xfId="30904"/>
    <cellStyle name="Suma 2 16 14 4" xfId="30905"/>
    <cellStyle name="Suma 2 16 15" xfId="30906"/>
    <cellStyle name="Suma 2 16 15 2" xfId="30907"/>
    <cellStyle name="Suma 2 16 15 3" xfId="30908"/>
    <cellStyle name="Suma 2 16 15 4" xfId="30909"/>
    <cellStyle name="Suma 2 16 16" xfId="30910"/>
    <cellStyle name="Suma 2 16 16 2" xfId="30911"/>
    <cellStyle name="Suma 2 16 16 3" xfId="30912"/>
    <cellStyle name="Suma 2 16 16 4" xfId="30913"/>
    <cellStyle name="Suma 2 16 17" xfId="30914"/>
    <cellStyle name="Suma 2 16 17 2" xfId="30915"/>
    <cellStyle name="Suma 2 16 17 3" xfId="30916"/>
    <cellStyle name="Suma 2 16 17 4" xfId="30917"/>
    <cellStyle name="Suma 2 16 18" xfId="30918"/>
    <cellStyle name="Suma 2 16 18 2" xfId="30919"/>
    <cellStyle name="Suma 2 16 18 3" xfId="30920"/>
    <cellStyle name="Suma 2 16 18 4" xfId="30921"/>
    <cellStyle name="Suma 2 16 19" xfId="30922"/>
    <cellStyle name="Suma 2 16 19 2" xfId="30923"/>
    <cellStyle name="Suma 2 16 19 3" xfId="30924"/>
    <cellStyle name="Suma 2 16 19 4" xfId="30925"/>
    <cellStyle name="Suma 2 16 2" xfId="30926"/>
    <cellStyle name="Suma 2 16 2 2" xfId="30927"/>
    <cellStyle name="Suma 2 16 2 3" xfId="30928"/>
    <cellStyle name="Suma 2 16 2 4" xfId="30929"/>
    <cellStyle name="Suma 2 16 20" xfId="30930"/>
    <cellStyle name="Suma 2 16 20 2" xfId="30931"/>
    <cellStyle name="Suma 2 16 20 3" xfId="30932"/>
    <cellStyle name="Suma 2 16 20 4" xfId="30933"/>
    <cellStyle name="Suma 2 16 21" xfId="30934"/>
    <cellStyle name="Suma 2 16 21 2" xfId="30935"/>
    <cellStyle name="Suma 2 16 21 3" xfId="30936"/>
    <cellStyle name="Suma 2 16 22" xfId="30937"/>
    <cellStyle name="Suma 2 16 22 2" xfId="30938"/>
    <cellStyle name="Suma 2 16 22 3" xfId="30939"/>
    <cellStyle name="Suma 2 16 23" xfId="30940"/>
    <cellStyle name="Suma 2 16 23 2" xfId="30941"/>
    <cellStyle name="Suma 2 16 23 3" xfId="30942"/>
    <cellStyle name="Suma 2 16 24" xfId="30943"/>
    <cellStyle name="Suma 2 16 24 2" xfId="30944"/>
    <cellStyle name="Suma 2 16 24 3" xfId="30945"/>
    <cellStyle name="Suma 2 16 25" xfId="30946"/>
    <cellStyle name="Suma 2 16 25 2" xfId="30947"/>
    <cellStyle name="Suma 2 16 25 3" xfId="30948"/>
    <cellStyle name="Suma 2 16 26" xfId="30949"/>
    <cellStyle name="Suma 2 16 26 2" xfId="30950"/>
    <cellStyle name="Suma 2 16 26 3" xfId="30951"/>
    <cellStyle name="Suma 2 16 27" xfId="30952"/>
    <cellStyle name="Suma 2 16 27 2" xfId="30953"/>
    <cellStyle name="Suma 2 16 27 3" xfId="30954"/>
    <cellStyle name="Suma 2 16 28" xfId="30955"/>
    <cellStyle name="Suma 2 16 28 2" xfId="30956"/>
    <cellStyle name="Suma 2 16 28 3" xfId="30957"/>
    <cellStyle name="Suma 2 16 29" xfId="30958"/>
    <cellStyle name="Suma 2 16 29 2" xfId="30959"/>
    <cellStyle name="Suma 2 16 29 3" xfId="30960"/>
    <cellStyle name="Suma 2 16 3" xfId="30961"/>
    <cellStyle name="Suma 2 16 3 2" xfId="30962"/>
    <cellStyle name="Suma 2 16 3 3" xfId="30963"/>
    <cellStyle name="Suma 2 16 3 4" xfId="30964"/>
    <cellStyle name="Suma 2 16 30" xfId="30965"/>
    <cellStyle name="Suma 2 16 30 2" xfId="30966"/>
    <cellStyle name="Suma 2 16 30 3" xfId="30967"/>
    <cellStyle name="Suma 2 16 31" xfId="30968"/>
    <cellStyle name="Suma 2 16 31 2" xfId="30969"/>
    <cellStyle name="Suma 2 16 31 3" xfId="30970"/>
    <cellStyle name="Suma 2 16 32" xfId="30971"/>
    <cellStyle name="Suma 2 16 32 2" xfId="30972"/>
    <cellStyle name="Suma 2 16 32 3" xfId="30973"/>
    <cellStyle name="Suma 2 16 33" xfId="30974"/>
    <cellStyle name="Suma 2 16 33 2" xfId="30975"/>
    <cellStyle name="Suma 2 16 33 3" xfId="30976"/>
    <cellStyle name="Suma 2 16 34" xfId="30977"/>
    <cellStyle name="Suma 2 16 34 2" xfId="30978"/>
    <cellStyle name="Suma 2 16 34 3" xfId="30979"/>
    <cellStyle name="Suma 2 16 35" xfId="30980"/>
    <cellStyle name="Suma 2 16 35 2" xfId="30981"/>
    <cellStyle name="Suma 2 16 35 3" xfId="30982"/>
    <cellStyle name="Suma 2 16 36" xfId="30983"/>
    <cellStyle name="Suma 2 16 36 2" xfId="30984"/>
    <cellStyle name="Suma 2 16 36 3" xfId="30985"/>
    <cellStyle name="Suma 2 16 37" xfId="30986"/>
    <cellStyle name="Suma 2 16 37 2" xfId="30987"/>
    <cellStyle name="Suma 2 16 37 3" xfId="30988"/>
    <cellStyle name="Suma 2 16 38" xfId="30989"/>
    <cellStyle name="Suma 2 16 38 2" xfId="30990"/>
    <cellStyle name="Suma 2 16 38 3" xfId="30991"/>
    <cellStyle name="Suma 2 16 39" xfId="30992"/>
    <cellStyle name="Suma 2 16 39 2" xfId="30993"/>
    <cellStyle name="Suma 2 16 39 3" xfId="30994"/>
    <cellStyle name="Suma 2 16 4" xfId="30995"/>
    <cellStyle name="Suma 2 16 4 2" xfId="30996"/>
    <cellStyle name="Suma 2 16 4 3" xfId="30997"/>
    <cellStyle name="Suma 2 16 4 4" xfId="30998"/>
    <cellStyle name="Suma 2 16 40" xfId="30999"/>
    <cellStyle name="Suma 2 16 40 2" xfId="31000"/>
    <cellStyle name="Suma 2 16 40 3" xfId="31001"/>
    <cellStyle name="Suma 2 16 41" xfId="31002"/>
    <cellStyle name="Suma 2 16 41 2" xfId="31003"/>
    <cellStyle name="Suma 2 16 41 3" xfId="31004"/>
    <cellStyle name="Suma 2 16 42" xfId="31005"/>
    <cellStyle name="Suma 2 16 42 2" xfId="31006"/>
    <cellStyle name="Suma 2 16 42 3" xfId="31007"/>
    <cellStyle name="Suma 2 16 43" xfId="31008"/>
    <cellStyle name="Suma 2 16 43 2" xfId="31009"/>
    <cellStyle name="Suma 2 16 43 3" xfId="31010"/>
    <cellStyle name="Suma 2 16 44" xfId="31011"/>
    <cellStyle name="Suma 2 16 44 2" xfId="31012"/>
    <cellStyle name="Suma 2 16 44 3" xfId="31013"/>
    <cellStyle name="Suma 2 16 45" xfId="31014"/>
    <cellStyle name="Suma 2 16 45 2" xfId="31015"/>
    <cellStyle name="Suma 2 16 45 3" xfId="31016"/>
    <cellStyle name="Suma 2 16 46" xfId="31017"/>
    <cellStyle name="Suma 2 16 46 2" xfId="31018"/>
    <cellStyle name="Suma 2 16 46 3" xfId="31019"/>
    <cellStyle name="Suma 2 16 47" xfId="31020"/>
    <cellStyle name="Suma 2 16 47 2" xfId="31021"/>
    <cellStyle name="Suma 2 16 47 3" xfId="31022"/>
    <cellStyle name="Suma 2 16 48" xfId="31023"/>
    <cellStyle name="Suma 2 16 48 2" xfId="31024"/>
    <cellStyle name="Suma 2 16 48 3" xfId="31025"/>
    <cellStyle name="Suma 2 16 49" xfId="31026"/>
    <cellStyle name="Suma 2 16 49 2" xfId="31027"/>
    <cellStyle name="Suma 2 16 49 3" xfId="31028"/>
    <cellStyle name="Suma 2 16 5" xfId="31029"/>
    <cellStyle name="Suma 2 16 5 2" xfId="31030"/>
    <cellStyle name="Suma 2 16 5 3" xfId="31031"/>
    <cellStyle name="Suma 2 16 5 4" xfId="31032"/>
    <cellStyle name="Suma 2 16 50" xfId="31033"/>
    <cellStyle name="Suma 2 16 50 2" xfId="31034"/>
    <cellStyle name="Suma 2 16 50 3" xfId="31035"/>
    <cellStyle name="Suma 2 16 51" xfId="31036"/>
    <cellStyle name="Suma 2 16 51 2" xfId="31037"/>
    <cellStyle name="Suma 2 16 51 3" xfId="31038"/>
    <cellStyle name="Suma 2 16 52" xfId="31039"/>
    <cellStyle name="Suma 2 16 52 2" xfId="31040"/>
    <cellStyle name="Suma 2 16 52 3" xfId="31041"/>
    <cellStyle name="Suma 2 16 53" xfId="31042"/>
    <cellStyle name="Suma 2 16 53 2" xfId="31043"/>
    <cellStyle name="Suma 2 16 53 3" xfId="31044"/>
    <cellStyle name="Suma 2 16 54" xfId="31045"/>
    <cellStyle name="Suma 2 16 54 2" xfId="31046"/>
    <cellStyle name="Suma 2 16 54 3" xfId="31047"/>
    <cellStyle name="Suma 2 16 55" xfId="31048"/>
    <cellStyle name="Suma 2 16 55 2" xfId="31049"/>
    <cellStyle name="Suma 2 16 55 3" xfId="31050"/>
    <cellStyle name="Suma 2 16 56" xfId="31051"/>
    <cellStyle name="Suma 2 16 56 2" xfId="31052"/>
    <cellStyle name="Suma 2 16 56 3" xfId="31053"/>
    <cellStyle name="Suma 2 16 57" xfId="31054"/>
    <cellStyle name="Suma 2 16 58" xfId="31055"/>
    <cellStyle name="Suma 2 16 6" xfId="31056"/>
    <cellStyle name="Suma 2 16 6 2" xfId="31057"/>
    <cellStyle name="Suma 2 16 6 3" xfId="31058"/>
    <cellStyle name="Suma 2 16 6 4" xfId="31059"/>
    <cellStyle name="Suma 2 16 7" xfId="31060"/>
    <cellStyle name="Suma 2 16 7 2" xfId="31061"/>
    <cellStyle name="Suma 2 16 7 3" xfId="31062"/>
    <cellStyle name="Suma 2 16 7 4" xfId="31063"/>
    <cellStyle name="Suma 2 16 8" xfId="31064"/>
    <cellStyle name="Suma 2 16 8 2" xfId="31065"/>
    <cellStyle name="Suma 2 16 8 3" xfId="31066"/>
    <cellStyle name="Suma 2 16 8 4" xfId="31067"/>
    <cellStyle name="Suma 2 16 9" xfId="31068"/>
    <cellStyle name="Suma 2 16 9 2" xfId="31069"/>
    <cellStyle name="Suma 2 16 9 3" xfId="31070"/>
    <cellStyle name="Suma 2 16 9 4" xfId="31071"/>
    <cellStyle name="Suma 2 17" xfId="31072"/>
    <cellStyle name="Suma 2 17 10" xfId="31073"/>
    <cellStyle name="Suma 2 17 10 2" xfId="31074"/>
    <cellStyle name="Suma 2 17 10 3" xfId="31075"/>
    <cellStyle name="Suma 2 17 10 4" xfId="31076"/>
    <cellStyle name="Suma 2 17 11" xfId="31077"/>
    <cellStyle name="Suma 2 17 11 2" xfId="31078"/>
    <cellStyle name="Suma 2 17 11 3" xfId="31079"/>
    <cellStyle name="Suma 2 17 11 4" xfId="31080"/>
    <cellStyle name="Suma 2 17 12" xfId="31081"/>
    <cellStyle name="Suma 2 17 12 2" xfId="31082"/>
    <cellStyle name="Suma 2 17 12 3" xfId="31083"/>
    <cellStyle name="Suma 2 17 12 4" xfId="31084"/>
    <cellStyle name="Suma 2 17 13" xfId="31085"/>
    <cellStyle name="Suma 2 17 13 2" xfId="31086"/>
    <cellStyle name="Suma 2 17 13 3" xfId="31087"/>
    <cellStyle name="Suma 2 17 13 4" xfId="31088"/>
    <cellStyle name="Suma 2 17 14" xfId="31089"/>
    <cellStyle name="Suma 2 17 14 2" xfId="31090"/>
    <cellStyle name="Suma 2 17 14 3" xfId="31091"/>
    <cellStyle name="Suma 2 17 14 4" xfId="31092"/>
    <cellStyle name="Suma 2 17 15" xfId="31093"/>
    <cellStyle name="Suma 2 17 15 2" xfId="31094"/>
    <cellStyle name="Suma 2 17 15 3" xfId="31095"/>
    <cellStyle name="Suma 2 17 15 4" xfId="31096"/>
    <cellStyle name="Suma 2 17 16" xfId="31097"/>
    <cellStyle name="Suma 2 17 16 2" xfId="31098"/>
    <cellStyle name="Suma 2 17 16 3" xfId="31099"/>
    <cellStyle name="Suma 2 17 16 4" xfId="31100"/>
    <cellStyle name="Suma 2 17 17" xfId="31101"/>
    <cellStyle name="Suma 2 17 17 2" xfId="31102"/>
    <cellStyle name="Suma 2 17 17 3" xfId="31103"/>
    <cellStyle name="Suma 2 17 17 4" xfId="31104"/>
    <cellStyle name="Suma 2 17 18" xfId="31105"/>
    <cellStyle name="Suma 2 17 18 2" xfId="31106"/>
    <cellStyle name="Suma 2 17 18 3" xfId="31107"/>
    <cellStyle name="Suma 2 17 18 4" xfId="31108"/>
    <cellStyle name="Suma 2 17 19" xfId="31109"/>
    <cellStyle name="Suma 2 17 19 2" xfId="31110"/>
    <cellStyle name="Suma 2 17 19 3" xfId="31111"/>
    <cellStyle name="Suma 2 17 19 4" xfId="31112"/>
    <cellStyle name="Suma 2 17 2" xfId="31113"/>
    <cellStyle name="Suma 2 17 2 2" xfId="31114"/>
    <cellStyle name="Suma 2 17 2 3" xfId="31115"/>
    <cellStyle name="Suma 2 17 2 4" xfId="31116"/>
    <cellStyle name="Suma 2 17 20" xfId="31117"/>
    <cellStyle name="Suma 2 17 20 2" xfId="31118"/>
    <cellStyle name="Suma 2 17 20 3" xfId="31119"/>
    <cellStyle name="Suma 2 17 20 4" xfId="31120"/>
    <cellStyle name="Suma 2 17 21" xfId="31121"/>
    <cellStyle name="Suma 2 17 21 2" xfId="31122"/>
    <cellStyle name="Suma 2 17 21 3" xfId="31123"/>
    <cellStyle name="Suma 2 17 22" xfId="31124"/>
    <cellStyle name="Suma 2 17 22 2" xfId="31125"/>
    <cellStyle name="Suma 2 17 22 3" xfId="31126"/>
    <cellStyle name="Suma 2 17 23" xfId="31127"/>
    <cellStyle name="Suma 2 17 23 2" xfId="31128"/>
    <cellStyle name="Suma 2 17 23 3" xfId="31129"/>
    <cellStyle name="Suma 2 17 24" xfId="31130"/>
    <cellStyle name="Suma 2 17 24 2" xfId="31131"/>
    <cellStyle name="Suma 2 17 24 3" xfId="31132"/>
    <cellStyle name="Suma 2 17 25" xfId="31133"/>
    <cellStyle name="Suma 2 17 25 2" xfId="31134"/>
    <cellStyle name="Suma 2 17 25 3" xfId="31135"/>
    <cellStyle name="Suma 2 17 26" xfId="31136"/>
    <cellStyle name="Suma 2 17 26 2" xfId="31137"/>
    <cellStyle name="Suma 2 17 26 3" xfId="31138"/>
    <cellStyle name="Suma 2 17 27" xfId="31139"/>
    <cellStyle name="Suma 2 17 27 2" xfId="31140"/>
    <cellStyle name="Suma 2 17 27 3" xfId="31141"/>
    <cellStyle name="Suma 2 17 28" xfId="31142"/>
    <cellStyle name="Suma 2 17 28 2" xfId="31143"/>
    <cellStyle name="Suma 2 17 28 3" xfId="31144"/>
    <cellStyle name="Suma 2 17 29" xfId="31145"/>
    <cellStyle name="Suma 2 17 29 2" xfId="31146"/>
    <cellStyle name="Suma 2 17 29 3" xfId="31147"/>
    <cellStyle name="Suma 2 17 3" xfId="31148"/>
    <cellStyle name="Suma 2 17 3 2" xfId="31149"/>
    <cellStyle name="Suma 2 17 3 3" xfId="31150"/>
    <cellStyle name="Suma 2 17 3 4" xfId="31151"/>
    <cellStyle name="Suma 2 17 30" xfId="31152"/>
    <cellStyle name="Suma 2 17 30 2" xfId="31153"/>
    <cellStyle name="Suma 2 17 30 3" xfId="31154"/>
    <cellStyle name="Suma 2 17 31" xfId="31155"/>
    <cellStyle name="Suma 2 17 31 2" xfId="31156"/>
    <cellStyle name="Suma 2 17 31 3" xfId="31157"/>
    <cellStyle name="Suma 2 17 32" xfId="31158"/>
    <cellStyle name="Suma 2 17 32 2" xfId="31159"/>
    <cellStyle name="Suma 2 17 32 3" xfId="31160"/>
    <cellStyle name="Suma 2 17 33" xfId="31161"/>
    <cellStyle name="Suma 2 17 33 2" xfId="31162"/>
    <cellStyle name="Suma 2 17 33 3" xfId="31163"/>
    <cellStyle name="Suma 2 17 34" xfId="31164"/>
    <cellStyle name="Suma 2 17 34 2" xfId="31165"/>
    <cellStyle name="Suma 2 17 34 3" xfId="31166"/>
    <cellStyle name="Suma 2 17 35" xfId="31167"/>
    <cellStyle name="Suma 2 17 35 2" xfId="31168"/>
    <cellStyle name="Suma 2 17 35 3" xfId="31169"/>
    <cellStyle name="Suma 2 17 36" xfId="31170"/>
    <cellStyle name="Suma 2 17 36 2" xfId="31171"/>
    <cellStyle name="Suma 2 17 36 3" xfId="31172"/>
    <cellStyle name="Suma 2 17 37" xfId="31173"/>
    <cellStyle name="Suma 2 17 37 2" xfId="31174"/>
    <cellStyle name="Suma 2 17 37 3" xfId="31175"/>
    <cellStyle name="Suma 2 17 38" xfId="31176"/>
    <cellStyle name="Suma 2 17 38 2" xfId="31177"/>
    <cellStyle name="Suma 2 17 38 3" xfId="31178"/>
    <cellStyle name="Suma 2 17 39" xfId="31179"/>
    <cellStyle name="Suma 2 17 39 2" xfId="31180"/>
    <cellStyle name="Suma 2 17 39 3" xfId="31181"/>
    <cellStyle name="Suma 2 17 4" xfId="31182"/>
    <cellStyle name="Suma 2 17 4 2" xfId="31183"/>
    <cellStyle name="Suma 2 17 4 3" xfId="31184"/>
    <cellStyle name="Suma 2 17 4 4" xfId="31185"/>
    <cellStyle name="Suma 2 17 40" xfId="31186"/>
    <cellStyle name="Suma 2 17 40 2" xfId="31187"/>
    <cellStyle name="Suma 2 17 40 3" xfId="31188"/>
    <cellStyle name="Suma 2 17 41" xfId="31189"/>
    <cellStyle name="Suma 2 17 41 2" xfId="31190"/>
    <cellStyle name="Suma 2 17 41 3" xfId="31191"/>
    <cellStyle name="Suma 2 17 42" xfId="31192"/>
    <cellStyle name="Suma 2 17 42 2" xfId="31193"/>
    <cellStyle name="Suma 2 17 42 3" xfId="31194"/>
    <cellStyle name="Suma 2 17 43" xfId="31195"/>
    <cellStyle name="Suma 2 17 43 2" xfId="31196"/>
    <cellStyle name="Suma 2 17 43 3" xfId="31197"/>
    <cellStyle name="Suma 2 17 44" xfId="31198"/>
    <cellStyle name="Suma 2 17 44 2" xfId="31199"/>
    <cellStyle name="Suma 2 17 44 3" xfId="31200"/>
    <cellStyle name="Suma 2 17 45" xfId="31201"/>
    <cellStyle name="Suma 2 17 45 2" xfId="31202"/>
    <cellStyle name="Suma 2 17 45 3" xfId="31203"/>
    <cellStyle name="Suma 2 17 46" xfId="31204"/>
    <cellStyle name="Suma 2 17 46 2" xfId="31205"/>
    <cellStyle name="Suma 2 17 46 3" xfId="31206"/>
    <cellStyle name="Suma 2 17 47" xfId="31207"/>
    <cellStyle name="Suma 2 17 47 2" xfId="31208"/>
    <cellStyle name="Suma 2 17 47 3" xfId="31209"/>
    <cellStyle name="Suma 2 17 48" xfId="31210"/>
    <cellStyle name="Suma 2 17 48 2" xfId="31211"/>
    <cellStyle name="Suma 2 17 48 3" xfId="31212"/>
    <cellStyle name="Suma 2 17 49" xfId="31213"/>
    <cellStyle name="Suma 2 17 49 2" xfId="31214"/>
    <cellStyle name="Suma 2 17 49 3" xfId="31215"/>
    <cellStyle name="Suma 2 17 5" xfId="31216"/>
    <cellStyle name="Suma 2 17 5 2" xfId="31217"/>
    <cellStyle name="Suma 2 17 5 3" xfId="31218"/>
    <cellStyle name="Suma 2 17 5 4" xfId="31219"/>
    <cellStyle name="Suma 2 17 50" xfId="31220"/>
    <cellStyle name="Suma 2 17 50 2" xfId="31221"/>
    <cellStyle name="Suma 2 17 50 3" xfId="31222"/>
    <cellStyle name="Suma 2 17 51" xfId="31223"/>
    <cellStyle name="Suma 2 17 51 2" xfId="31224"/>
    <cellStyle name="Suma 2 17 51 3" xfId="31225"/>
    <cellStyle name="Suma 2 17 52" xfId="31226"/>
    <cellStyle name="Suma 2 17 52 2" xfId="31227"/>
    <cellStyle name="Suma 2 17 52 3" xfId="31228"/>
    <cellStyle name="Suma 2 17 53" xfId="31229"/>
    <cellStyle name="Suma 2 17 53 2" xfId="31230"/>
    <cellStyle name="Suma 2 17 53 3" xfId="31231"/>
    <cellStyle name="Suma 2 17 54" xfId="31232"/>
    <cellStyle name="Suma 2 17 54 2" xfId="31233"/>
    <cellStyle name="Suma 2 17 54 3" xfId="31234"/>
    <cellStyle name="Suma 2 17 55" xfId="31235"/>
    <cellStyle name="Suma 2 17 55 2" xfId="31236"/>
    <cellStyle name="Suma 2 17 55 3" xfId="31237"/>
    <cellStyle name="Suma 2 17 56" xfId="31238"/>
    <cellStyle name="Suma 2 17 56 2" xfId="31239"/>
    <cellStyle name="Suma 2 17 56 3" xfId="31240"/>
    <cellStyle name="Suma 2 17 57" xfId="31241"/>
    <cellStyle name="Suma 2 17 58" xfId="31242"/>
    <cellStyle name="Suma 2 17 6" xfId="31243"/>
    <cellStyle name="Suma 2 17 6 2" xfId="31244"/>
    <cellStyle name="Suma 2 17 6 3" xfId="31245"/>
    <cellStyle name="Suma 2 17 6 4" xfId="31246"/>
    <cellStyle name="Suma 2 17 7" xfId="31247"/>
    <cellStyle name="Suma 2 17 7 2" xfId="31248"/>
    <cellStyle name="Suma 2 17 7 3" xfId="31249"/>
    <cellStyle name="Suma 2 17 7 4" xfId="31250"/>
    <cellStyle name="Suma 2 17 8" xfId="31251"/>
    <cellStyle name="Suma 2 17 8 2" xfId="31252"/>
    <cellStyle name="Suma 2 17 8 3" xfId="31253"/>
    <cellStyle name="Suma 2 17 8 4" xfId="31254"/>
    <cellStyle name="Suma 2 17 9" xfId="31255"/>
    <cellStyle name="Suma 2 17 9 2" xfId="31256"/>
    <cellStyle name="Suma 2 17 9 3" xfId="31257"/>
    <cellStyle name="Suma 2 17 9 4" xfId="31258"/>
    <cellStyle name="Suma 2 18" xfId="31259"/>
    <cellStyle name="Suma 2 18 10" xfId="31260"/>
    <cellStyle name="Suma 2 18 10 2" xfId="31261"/>
    <cellStyle name="Suma 2 18 10 3" xfId="31262"/>
    <cellStyle name="Suma 2 18 10 4" xfId="31263"/>
    <cellStyle name="Suma 2 18 11" xfId="31264"/>
    <cellStyle name="Suma 2 18 11 2" xfId="31265"/>
    <cellStyle name="Suma 2 18 11 3" xfId="31266"/>
    <cellStyle name="Suma 2 18 11 4" xfId="31267"/>
    <cellStyle name="Suma 2 18 12" xfId="31268"/>
    <cellStyle name="Suma 2 18 12 2" xfId="31269"/>
    <cellStyle name="Suma 2 18 12 3" xfId="31270"/>
    <cellStyle name="Suma 2 18 12 4" xfId="31271"/>
    <cellStyle name="Suma 2 18 13" xfId="31272"/>
    <cellStyle name="Suma 2 18 13 2" xfId="31273"/>
    <cellStyle name="Suma 2 18 13 3" xfId="31274"/>
    <cellStyle name="Suma 2 18 13 4" xfId="31275"/>
    <cellStyle name="Suma 2 18 14" xfId="31276"/>
    <cellStyle name="Suma 2 18 14 2" xfId="31277"/>
    <cellStyle name="Suma 2 18 14 3" xfId="31278"/>
    <cellStyle name="Suma 2 18 14 4" xfId="31279"/>
    <cellStyle name="Suma 2 18 15" xfId="31280"/>
    <cellStyle name="Suma 2 18 15 2" xfId="31281"/>
    <cellStyle name="Suma 2 18 15 3" xfId="31282"/>
    <cellStyle name="Suma 2 18 15 4" xfId="31283"/>
    <cellStyle name="Suma 2 18 16" xfId="31284"/>
    <cellStyle name="Suma 2 18 16 2" xfId="31285"/>
    <cellStyle name="Suma 2 18 16 3" xfId="31286"/>
    <cellStyle name="Suma 2 18 16 4" xfId="31287"/>
    <cellStyle name="Suma 2 18 17" xfId="31288"/>
    <cellStyle name="Suma 2 18 17 2" xfId="31289"/>
    <cellStyle name="Suma 2 18 17 3" xfId="31290"/>
    <cellStyle name="Suma 2 18 17 4" xfId="31291"/>
    <cellStyle name="Suma 2 18 18" xfId="31292"/>
    <cellStyle name="Suma 2 18 18 2" xfId="31293"/>
    <cellStyle name="Suma 2 18 18 3" xfId="31294"/>
    <cellStyle name="Suma 2 18 18 4" xfId="31295"/>
    <cellStyle name="Suma 2 18 19" xfId="31296"/>
    <cellStyle name="Suma 2 18 19 2" xfId="31297"/>
    <cellStyle name="Suma 2 18 19 3" xfId="31298"/>
    <cellStyle name="Suma 2 18 19 4" xfId="31299"/>
    <cellStyle name="Suma 2 18 2" xfId="31300"/>
    <cellStyle name="Suma 2 18 2 2" xfId="31301"/>
    <cellStyle name="Suma 2 18 2 3" xfId="31302"/>
    <cellStyle name="Suma 2 18 2 4" xfId="31303"/>
    <cellStyle name="Suma 2 18 20" xfId="31304"/>
    <cellStyle name="Suma 2 18 20 2" xfId="31305"/>
    <cellStyle name="Suma 2 18 20 3" xfId="31306"/>
    <cellStyle name="Suma 2 18 20 4" xfId="31307"/>
    <cellStyle name="Suma 2 18 21" xfId="31308"/>
    <cellStyle name="Suma 2 18 21 2" xfId="31309"/>
    <cellStyle name="Suma 2 18 21 3" xfId="31310"/>
    <cellStyle name="Suma 2 18 22" xfId="31311"/>
    <cellStyle name="Suma 2 18 22 2" xfId="31312"/>
    <cellStyle name="Suma 2 18 22 3" xfId="31313"/>
    <cellStyle name="Suma 2 18 23" xfId="31314"/>
    <cellStyle name="Suma 2 18 23 2" xfId="31315"/>
    <cellStyle name="Suma 2 18 23 3" xfId="31316"/>
    <cellStyle name="Suma 2 18 24" xfId="31317"/>
    <cellStyle name="Suma 2 18 24 2" xfId="31318"/>
    <cellStyle name="Suma 2 18 24 3" xfId="31319"/>
    <cellStyle name="Suma 2 18 25" xfId="31320"/>
    <cellStyle name="Suma 2 18 25 2" xfId="31321"/>
    <cellStyle name="Suma 2 18 25 3" xfId="31322"/>
    <cellStyle name="Suma 2 18 26" xfId="31323"/>
    <cellStyle name="Suma 2 18 26 2" xfId="31324"/>
    <cellStyle name="Suma 2 18 26 3" xfId="31325"/>
    <cellStyle name="Suma 2 18 27" xfId="31326"/>
    <cellStyle name="Suma 2 18 27 2" xfId="31327"/>
    <cellStyle name="Suma 2 18 27 3" xfId="31328"/>
    <cellStyle name="Suma 2 18 28" xfId="31329"/>
    <cellStyle name="Suma 2 18 28 2" xfId="31330"/>
    <cellStyle name="Suma 2 18 28 3" xfId="31331"/>
    <cellStyle name="Suma 2 18 29" xfId="31332"/>
    <cellStyle name="Suma 2 18 29 2" xfId="31333"/>
    <cellStyle name="Suma 2 18 29 3" xfId="31334"/>
    <cellStyle name="Suma 2 18 3" xfId="31335"/>
    <cellStyle name="Suma 2 18 3 2" xfId="31336"/>
    <cellStyle name="Suma 2 18 3 3" xfId="31337"/>
    <cellStyle name="Suma 2 18 3 4" xfId="31338"/>
    <cellStyle name="Suma 2 18 30" xfId="31339"/>
    <cellStyle name="Suma 2 18 30 2" xfId="31340"/>
    <cellStyle name="Suma 2 18 30 3" xfId="31341"/>
    <cellStyle name="Suma 2 18 31" xfId="31342"/>
    <cellStyle name="Suma 2 18 31 2" xfId="31343"/>
    <cellStyle name="Suma 2 18 31 3" xfId="31344"/>
    <cellStyle name="Suma 2 18 32" xfId="31345"/>
    <cellStyle name="Suma 2 18 32 2" xfId="31346"/>
    <cellStyle name="Suma 2 18 32 3" xfId="31347"/>
    <cellStyle name="Suma 2 18 33" xfId="31348"/>
    <cellStyle name="Suma 2 18 33 2" xfId="31349"/>
    <cellStyle name="Suma 2 18 33 3" xfId="31350"/>
    <cellStyle name="Suma 2 18 34" xfId="31351"/>
    <cellStyle name="Suma 2 18 34 2" xfId="31352"/>
    <cellStyle name="Suma 2 18 34 3" xfId="31353"/>
    <cellStyle name="Suma 2 18 35" xfId="31354"/>
    <cellStyle name="Suma 2 18 35 2" xfId="31355"/>
    <cellStyle name="Suma 2 18 35 3" xfId="31356"/>
    <cellStyle name="Suma 2 18 36" xfId="31357"/>
    <cellStyle name="Suma 2 18 36 2" xfId="31358"/>
    <cellStyle name="Suma 2 18 36 3" xfId="31359"/>
    <cellStyle name="Suma 2 18 37" xfId="31360"/>
    <cellStyle name="Suma 2 18 37 2" xfId="31361"/>
    <cellStyle name="Suma 2 18 37 3" xfId="31362"/>
    <cellStyle name="Suma 2 18 38" xfId="31363"/>
    <cellStyle name="Suma 2 18 38 2" xfId="31364"/>
    <cellStyle name="Suma 2 18 38 3" xfId="31365"/>
    <cellStyle name="Suma 2 18 39" xfId="31366"/>
    <cellStyle name="Suma 2 18 39 2" xfId="31367"/>
    <cellStyle name="Suma 2 18 39 3" xfId="31368"/>
    <cellStyle name="Suma 2 18 4" xfId="31369"/>
    <cellStyle name="Suma 2 18 4 2" xfId="31370"/>
    <cellStyle name="Suma 2 18 4 3" xfId="31371"/>
    <cellStyle name="Suma 2 18 4 4" xfId="31372"/>
    <cellStyle name="Suma 2 18 40" xfId="31373"/>
    <cellStyle name="Suma 2 18 40 2" xfId="31374"/>
    <cellStyle name="Suma 2 18 40 3" xfId="31375"/>
    <cellStyle name="Suma 2 18 41" xfId="31376"/>
    <cellStyle name="Suma 2 18 41 2" xfId="31377"/>
    <cellStyle name="Suma 2 18 41 3" xfId="31378"/>
    <cellStyle name="Suma 2 18 42" xfId="31379"/>
    <cellStyle name="Suma 2 18 42 2" xfId="31380"/>
    <cellStyle name="Suma 2 18 42 3" xfId="31381"/>
    <cellStyle name="Suma 2 18 43" xfId="31382"/>
    <cellStyle name="Suma 2 18 43 2" xfId="31383"/>
    <cellStyle name="Suma 2 18 43 3" xfId="31384"/>
    <cellStyle name="Suma 2 18 44" xfId="31385"/>
    <cellStyle name="Suma 2 18 44 2" xfId="31386"/>
    <cellStyle name="Suma 2 18 44 3" xfId="31387"/>
    <cellStyle name="Suma 2 18 45" xfId="31388"/>
    <cellStyle name="Suma 2 18 45 2" xfId="31389"/>
    <cellStyle name="Suma 2 18 45 3" xfId="31390"/>
    <cellStyle name="Suma 2 18 46" xfId="31391"/>
    <cellStyle name="Suma 2 18 46 2" xfId="31392"/>
    <cellStyle name="Suma 2 18 46 3" xfId="31393"/>
    <cellStyle name="Suma 2 18 47" xfId="31394"/>
    <cellStyle name="Suma 2 18 47 2" xfId="31395"/>
    <cellStyle name="Suma 2 18 47 3" xfId="31396"/>
    <cellStyle name="Suma 2 18 48" xfId="31397"/>
    <cellStyle name="Suma 2 18 48 2" xfId="31398"/>
    <cellStyle name="Suma 2 18 48 3" xfId="31399"/>
    <cellStyle name="Suma 2 18 49" xfId="31400"/>
    <cellStyle name="Suma 2 18 49 2" xfId="31401"/>
    <cellStyle name="Suma 2 18 49 3" xfId="31402"/>
    <cellStyle name="Suma 2 18 5" xfId="31403"/>
    <cellStyle name="Suma 2 18 5 2" xfId="31404"/>
    <cellStyle name="Suma 2 18 5 3" xfId="31405"/>
    <cellStyle name="Suma 2 18 5 4" xfId="31406"/>
    <cellStyle name="Suma 2 18 50" xfId="31407"/>
    <cellStyle name="Suma 2 18 50 2" xfId="31408"/>
    <cellStyle name="Suma 2 18 50 3" xfId="31409"/>
    <cellStyle name="Suma 2 18 51" xfId="31410"/>
    <cellStyle name="Suma 2 18 51 2" xfId="31411"/>
    <cellStyle name="Suma 2 18 51 3" xfId="31412"/>
    <cellStyle name="Suma 2 18 52" xfId="31413"/>
    <cellStyle name="Suma 2 18 52 2" xfId="31414"/>
    <cellStyle name="Suma 2 18 52 3" xfId="31415"/>
    <cellStyle name="Suma 2 18 53" xfId="31416"/>
    <cellStyle name="Suma 2 18 53 2" xfId="31417"/>
    <cellStyle name="Suma 2 18 53 3" xfId="31418"/>
    <cellStyle name="Suma 2 18 54" xfId="31419"/>
    <cellStyle name="Suma 2 18 54 2" xfId="31420"/>
    <cellStyle name="Suma 2 18 54 3" xfId="31421"/>
    <cellStyle name="Suma 2 18 55" xfId="31422"/>
    <cellStyle name="Suma 2 18 55 2" xfId="31423"/>
    <cellStyle name="Suma 2 18 55 3" xfId="31424"/>
    <cellStyle name="Suma 2 18 56" xfId="31425"/>
    <cellStyle name="Suma 2 18 56 2" xfId="31426"/>
    <cellStyle name="Suma 2 18 56 3" xfId="31427"/>
    <cellStyle name="Suma 2 18 57" xfId="31428"/>
    <cellStyle name="Suma 2 18 58" xfId="31429"/>
    <cellStyle name="Suma 2 18 6" xfId="31430"/>
    <cellStyle name="Suma 2 18 6 2" xfId="31431"/>
    <cellStyle name="Suma 2 18 6 3" xfId="31432"/>
    <cellStyle name="Suma 2 18 6 4" xfId="31433"/>
    <cellStyle name="Suma 2 18 7" xfId="31434"/>
    <cellStyle name="Suma 2 18 7 2" xfId="31435"/>
    <cellStyle name="Suma 2 18 7 3" xfId="31436"/>
    <cellStyle name="Suma 2 18 7 4" xfId="31437"/>
    <cellStyle name="Suma 2 18 8" xfId="31438"/>
    <cellStyle name="Suma 2 18 8 2" xfId="31439"/>
    <cellStyle name="Suma 2 18 8 3" xfId="31440"/>
    <cellStyle name="Suma 2 18 8 4" xfId="31441"/>
    <cellStyle name="Suma 2 18 9" xfId="31442"/>
    <cellStyle name="Suma 2 18 9 2" xfId="31443"/>
    <cellStyle name="Suma 2 18 9 3" xfId="31444"/>
    <cellStyle name="Suma 2 18 9 4" xfId="31445"/>
    <cellStyle name="Suma 2 19" xfId="31446"/>
    <cellStyle name="Suma 2 19 10" xfId="31447"/>
    <cellStyle name="Suma 2 19 10 2" xfId="31448"/>
    <cellStyle name="Suma 2 19 10 3" xfId="31449"/>
    <cellStyle name="Suma 2 19 10 4" xfId="31450"/>
    <cellStyle name="Suma 2 19 11" xfId="31451"/>
    <cellStyle name="Suma 2 19 11 2" xfId="31452"/>
    <cellStyle name="Suma 2 19 11 3" xfId="31453"/>
    <cellStyle name="Suma 2 19 11 4" xfId="31454"/>
    <cellStyle name="Suma 2 19 12" xfId="31455"/>
    <cellStyle name="Suma 2 19 12 2" xfId="31456"/>
    <cellStyle name="Suma 2 19 12 3" xfId="31457"/>
    <cellStyle name="Suma 2 19 12 4" xfId="31458"/>
    <cellStyle name="Suma 2 19 13" xfId="31459"/>
    <cellStyle name="Suma 2 19 13 2" xfId="31460"/>
    <cellStyle name="Suma 2 19 13 3" xfId="31461"/>
    <cellStyle name="Suma 2 19 13 4" xfId="31462"/>
    <cellStyle name="Suma 2 19 14" xfId="31463"/>
    <cellStyle name="Suma 2 19 14 2" xfId="31464"/>
    <cellStyle name="Suma 2 19 14 3" xfId="31465"/>
    <cellStyle name="Suma 2 19 14 4" xfId="31466"/>
    <cellStyle name="Suma 2 19 15" xfId="31467"/>
    <cellStyle name="Suma 2 19 15 2" xfId="31468"/>
    <cellStyle name="Suma 2 19 15 3" xfId="31469"/>
    <cellStyle name="Suma 2 19 15 4" xfId="31470"/>
    <cellStyle name="Suma 2 19 16" xfId="31471"/>
    <cellStyle name="Suma 2 19 16 2" xfId="31472"/>
    <cellStyle name="Suma 2 19 16 3" xfId="31473"/>
    <cellStyle name="Suma 2 19 16 4" xfId="31474"/>
    <cellStyle name="Suma 2 19 17" xfId="31475"/>
    <cellStyle name="Suma 2 19 17 2" xfId="31476"/>
    <cellStyle name="Suma 2 19 17 3" xfId="31477"/>
    <cellStyle name="Suma 2 19 17 4" xfId="31478"/>
    <cellStyle name="Suma 2 19 18" xfId="31479"/>
    <cellStyle name="Suma 2 19 18 2" xfId="31480"/>
    <cellStyle name="Suma 2 19 18 3" xfId="31481"/>
    <cellStyle name="Suma 2 19 18 4" xfId="31482"/>
    <cellStyle name="Suma 2 19 19" xfId="31483"/>
    <cellStyle name="Suma 2 19 19 2" xfId="31484"/>
    <cellStyle name="Suma 2 19 19 3" xfId="31485"/>
    <cellStyle name="Suma 2 19 19 4" xfId="31486"/>
    <cellStyle name="Suma 2 19 2" xfId="31487"/>
    <cellStyle name="Suma 2 19 2 2" xfId="31488"/>
    <cellStyle name="Suma 2 19 2 3" xfId="31489"/>
    <cellStyle name="Suma 2 19 2 4" xfId="31490"/>
    <cellStyle name="Suma 2 19 20" xfId="31491"/>
    <cellStyle name="Suma 2 19 20 2" xfId="31492"/>
    <cellStyle name="Suma 2 19 20 3" xfId="31493"/>
    <cellStyle name="Suma 2 19 20 4" xfId="31494"/>
    <cellStyle name="Suma 2 19 21" xfId="31495"/>
    <cellStyle name="Suma 2 19 21 2" xfId="31496"/>
    <cellStyle name="Suma 2 19 21 3" xfId="31497"/>
    <cellStyle name="Suma 2 19 22" xfId="31498"/>
    <cellStyle name="Suma 2 19 22 2" xfId="31499"/>
    <cellStyle name="Suma 2 19 22 3" xfId="31500"/>
    <cellStyle name="Suma 2 19 23" xfId="31501"/>
    <cellStyle name="Suma 2 19 23 2" xfId="31502"/>
    <cellStyle name="Suma 2 19 23 3" xfId="31503"/>
    <cellStyle name="Suma 2 19 24" xfId="31504"/>
    <cellStyle name="Suma 2 19 24 2" xfId="31505"/>
    <cellStyle name="Suma 2 19 24 3" xfId="31506"/>
    <cellStyle name="Suma 2 19 25" xfId="31507"/>
    <cellStyle name="Suma 2 19 25 2" xfId="31508"/>
    <cellStyle name="Suma 2 19 25 3" xfId="31509"/>
    <cellStyle name="Suma 2 19 26" xfId="31510"/>
    <cellStyle name="Suma 2 19 26 2" xfId="31511"/>
    <cellStyle name="Suma 2 19 26 3" xfId="31512"/>
    <cellStyle name="Suma 2 19 27" xfId="31513"/>
    <cellStyle name="Suma 2 19 27 2" xfId="31514"/>
    <cellStyle name="Suma 2 19 27 3" xfId="31515"/>
    <cellStyle name="Suma 2 19 28" xfId="31516"/>
    <cellStyle name="Suma 2 19 28 2" xfId="31517"/>
    <cellStyle name="Suma 2 19 28 3" xfId="31518"/>
    <cellStyle name="Suma 2 19 29" xfId="31519"/>
    <cellStyle name="Suma 2 19 29 2" xfId="31520"/>
    <cellStyle name="Suma 2 19 29 3" xfId="31521"/>
    <cellStyle name="Suma 2 19 3" xfId="31522"/>
    <cellStyle name="Suma 2 19 3 2" xfId="31523"/>
    <cellStyle name="Suma 2 19 3 3" xfId="31524"/>
    <cellStyle name="Suma 2 19 3 4" xfId="31525"/>
    <cellStyle name="Suma 2 19 30" xfId="31526"/>
    <cellStyle name="Suma 2 19 30 2" xfId="31527"/>
    <cellStyle name="Suma 2 19 30 3" xfId="31528"/>
    <cellStyle name="Suma 2 19 31" xfId="31529"/>
    <cellStyle name="Suma 2 19 31 2" xfId="31530"/>
    <cellStyle name="Suma 2 19 31 3" xfId="31531"/>
    <cellStyle name="Suma 2 19 32" xfId="31532"/>
    <cellStyle name="Suma 2 19 32 2" xfId="31533"/>
    <cellStyle name="Suma 2 19 32 3" xfId="31534"/>
    <cellStyle name="Suma 2 19 33" xfId="31535"/>
    <cellStyle name="Suma 2 19 33 2" xfId="31536"/>
    <cellStyle name="Suma 2 19 33 3" xfId="31537"/>
    <cellStyle name="Suma 2 19 34" xfId="31538"/>
    <cellStyle name="Suma 2 19 34 2" xfId="31539"/>
    <cellStyle name="Suma 2 19 34 3" xfId="31540"/>
    <cellStyle name="Suma 2 19 35" xfId="31541"/>
    <cellStyle name="Suma 2 19 35 2" xfId="31542"/>
    <cellStyle name="Suma 2 19 35 3" xfId="31543"/>
    <cellStyle name="Suma 2 19 36" xfId="31544"/>
    <cellStyle name="Suma 2 19 36 2" xfId="31545"/>
    <cellStyle name="Suma 2 19 36 3" xfId="31546"/>
    <cellStyle name="Suma 2 19 37" xfId="31547"/>
    <cellStyle name="Suma 2 19 37 2" xfId="31548"/>
    <cellStyle name="Suma 2 19 37 3" xfId="31549"/>
    <cellStyle name="Suma 2 19 38" xfId="31550"/>
    <cellStyle name="Suma 2 19 38 2" xfId="31551"/>
    <cellStyle name="Suma 2 19 38 3" xfId="31552"/>
    <cellStyle name="Suma 2 19 39" xfId="31553"/>
    <cellStyle name="Suma 2 19 39 2" xfId="31554"/>
    <cellStyle name="Suma 2 19 39 3" xfId="31555"/>
    <cellStyle name="Suma 2 19 4" xfId="31556"/>
    <cellStyle name="Suma 2 19 4 2" xfId="31557"/>
    <cellStyle name="Suma 2 19 4 3" xfId="31558"/>
    <cellStyle name="Suma 2 19 4 4" xfId="31559"/>
    <cellStyle name="Suma 2 19 40" xfId="31560"/>
    <cellStyle name="Suma 2 19 40 2" xfId="31561"/>
    <cellStyle name="Suma 2 19 40 3" xfId="31562"/>
    <cellStyle name="Suma 2 19 41" xfId="31563"/>
    <cellStyle name="Suma 2 19 41 2" xfId="31564"/>
    <cellStyle name="Suma 2 19 41 3" xfId="31565"/>
    <cellStyle name="Suma 2 19 42" xfId="31566"/>
    <cellStyle name="Suma 2 19 42 2" xfId="31567"/>
    <cellStyle name="Suma 2 19 42 3" xfId="31568"/>
    <cellStyle name="Suma 2 19 43" xfId="31569"/>
    <cellStyle name="Suma 2 19 43 2" xfId="31570"/>
    <cellStyle name="Suma 2 19 43 3" xfId="31571"/>
    <cellStyle name="Suma 2 19 44" xfId="31572"/>
    <cellStyle name="Suma 2 19 44 2" xfId="31573"/>
    <cellStyle name="Suma 2 19 44 3" xfId="31574"/>
    <cellStyle name="Suma 2 19 45" xfId="31575"/>
    <cellStyle name="Suma 2 19 45 2" xfId="31576"/>
    <cellStyle name="Suma 2 19 45 3" xfId="31577"/>
    <cellStyle name="Suma 2 19 46" xfId="31578"/>
    <cellStyle name="Suma 2 19 46 2" xfId="31579"/>
    <cellStyle name="Suma 2 19 46 3" xfId="31580"/>
    <cellStyle name="Suma 2 19 47" xfId="31581"/>
    <cellStyle name="Suma 2 19 47 2" xfId="31582"/>
    <cellStyle name="Suma 2 19 47 3" xfId="31583"/>
    <cellStyle name="Suma 2 19 48" xfId="31584"/>
    <cellStyle name="Suma 2 19 48 2" xfId="31585"/>
    <cellStyle name="Suma 2 19 48 3" xfId="31586"/>
    <cellStyle name="Suma 2 19 49" xfId="31587"/>
    <cellStyle name="Suma 2 19 49 2" xfId="31588"/>
    <cellStyle name="Suma 2 19 49 3" xfId="31589"/>
    <cellStyle name="Suma 2 19 5" xfId="31590"/>
    <cellStyle name="Suma 2 19 5 2" xfId="31591"/>
    <cellStyle name="Suma 2 19 5 3" xfId="31592"/>
    <cellStyle name="Suma 2 19 5 4" xfId="31593"/>
    <cellStyle name="Suma 2 19 50" xfId="31594"/>
    <cellStyle name="Suma 2 19 50 2" xfId="31595"/>
    <cellStyle name="Suma 2 19 50 3" xfId="31596"/>
    <cellStyle name="Suma 2 19 51" xfId="31597"/>
    <cellStyle name="Suma 2 19 51 2" xfId="31598"/>
    <cellStyle name="Suma 2 19 51 3" xfId="31599"/>
    <cellStyle name="Suma 2 19 52" xfId="31600"/>
    <cellStyle name="Suma 2 19 52 2" xfId="31601"/>
    <cellStyle name="Suma 2 19 52 3" xfId="31602"/>
    <cellStyle name="Suma 2 19 53" xfId="31603"/>
    <cellStyle name="Suma 2 19 53 2" xfId="31604"/>
    <cellStyle name="Suma 2 19 53 3" xfId="31605"/>
    <cellStyle name="Suma 2 19 54" xfId="31606"/>
    <cellStyle name="Suma 2 19 54 2" xfId="31607"/>
    <cellStyle name="Suma 2 19 54 3" xfId="31608"/>
    <cellStyle name="Suma 2 19 55" xfId="31609"/>
    <cellStyle name="Suma 2 19 55 2" xfId="31610"/>
    <cellStyle name="Suma 2 19 55 3" xfId="31611"/>
    <cellStyle name="Suma 2 19 56" xfId="31612"/>
    <cellStyle name="Suma 2 19 56 2" xfId="31613"/>
    <cellStyle name="Suma 2 19 56 3" xfId="31614"/>
    <cellStyle name="Suma 2 19 57" xfId="31615"/>
    <cellStyle name="Suma 2 19 58" xfId="31616"/>
    <cellStyle name="Suma 2 19 6" xfId="31617"/>
    <cellStyle name="Suma 2 19 6 2" xfId="31618"/>
    <cellStyle name="Suma 2 19 6 3" xfId="31619"/>
    <cellStyle name="Suma 2 19 6 4" xfId="31620"/>
    <cellStyle name="Suma 2 19 7" xfId="31621"/>
    <cellStyle name="Suma 2 19 7 2" xfId="31622"/>
    <cellStyle name="Suma 2 19 7 3" xfId="31623"/>
    <cellStyle name="Suma 2 19 7 4" xfId="31624"/>
    <cellStyle name="Suma 2 19 8" xfId="31625"/>
    <cellStyle name="Suma 2 19 8 2" xfId="31626"/>
    <cellStyle name="Suma 2 19 8 3" xfId="31627"/>
    <cellStyle name="Suma 2 19 8 4" xfId="31628"/>
    <cellStyle name="Suma 2 19 9" xfId="31629"/>
    <cellStyle name="Suma 2 19 9 2" xfId="31630"/>
    <cellStyle name="Suma 2 19 9 3" xfId="31631"/>
    <cellStyle name="Suma 2 19 9 4" xfId="31632"/>
    <cellStyle name="Suma 2 2" xfId="31633"/>
    <cellStyle name="Suma 2 2 10" xfId="31634"/>
    <cellStyle name="Suma 2 2 10 2" xfId="31635"/>
    <cellStyle name="Suma 2 2 10 3" xfId="31636"/>
    <cellStyle name="Suma 2 2 10 4" xfId="31637"/>
    <cellStyle name="Suma 2 2 11" xfId="31638"/>
    <cellStyle name="Suma 2 2 11 2" xfId="31639"/>
    <cellStyle name="Suma 2 2 11 3" xfId="31640"/>
    <cellStyle name="Suma 2 2 11 4" xfId="31641"/>
    <cellStyle name="Suma 2 2 12" xfId="31642"/>
    <cellStyle name="Suma 2 2 12 2" xfId="31643"/>
    <cellStyle name="Suma 2 2 12 3" xfId="31644"/>
    <cellStyle name="Suma 2 2 12 4" xfId="31645"/>
    <cellStyle name="Suma 2 2 13" xfId="31646"/>
    <cellStyle name="Suma 2 2 13 2" xfId="31647"/>
    <cellStyle name="Suma 2 2 13 3" xfId="31648"/>
    <cellStyle name="Suma 2 2 13 4" xfId="31649"/>
    <cellStyle name="Suma 2 2 14" xfId="31650"/>
    <cellStyle name="Suma 2 2 14 2" xfId="31651"/>
    <cellStyle name="Suma 2 2 14 3" xfId="31652"/>
    <cellStyle name="Suma 2 2 14 4" xfId="31653"/>
    <cellStyle name="Suma 2 2 15" xfId="31654"/>
    <cellStyle name="Suma 2 2 15 2" xfId="31655"/>
    <cellStyle name="Suma 2 2 15 3" xfId="31656"/>
    <cellStyle name="Suma 2 2 15 4" xfId="31657"/>
    <cellStyle name="Suma 2 2 16" xfId="31658"/>
    <cellStyle name="Suma 2 2 16 2" xfId="31659"/>
    <cellStyle name="Suma 2 2 16 3" xfId="31660"/>
    <cellStyle name="Suma 2 2 16 4" xfId="31661"/>
    <cellStyle name="Suma 2 2 17" xfId="31662"/>
    <cellStyle name="Suma 2 2 17 2" xfId="31663"/>
    <cellStyle name="Suma 2 2 17 3" xfId="31664"/>
    <cellStyle name="Suma 2 2 17 4" xfId="31665"/>
    <cellStyle name="Suma 2 2 18" xfId="31666"/>
    <cellStyle name="Suma 2 2 18 2" xfId="31667"/>
    <cellStyle name="Suma 2 2 18 3" xfId="31668"/>
    <cellStyle name="Suma 2 2 18 4" xfId="31669"/>
    <cellStyle name="Suma 2 2 19" xfId="31670"/>
    <cellStyle name="Suma 2 2 19 2" xfId="31671"/>
    <cellStyle name="Suma 2 2 19 3" xfId="31672"/>
    <cellStyle name="Suma 2 2 19 4" xfId="31673"/>
    <cellStyle name="Suma 2 2 2" xfId="31674"/>
    <cellStyle name="Suma 2 2 2 2" xfId="31675"/>
    <cellStyle name="Suma 2 2 2 3" xfId="31676"/>
    <cellStyle name="Suma 2 2 2 4" xfId="31677"/>
    <cellStyle name="Suma 2 2 20" xfId="31678"/>
    <cellStyle name="Suma 2 2 20 2" xfId="31679"/>
    <cellStyle name="Suma 2 2 20 3" xfId="31680"/>
    <cellStyle name="Suma 2 2 20 4" xfId="31681"/>
    <cellStyle name="Suma 2 2 21" xfId="31682"/>
    <cellStyle name="Suma 2 2 21 2" xfId="31683"/>
    <cellStyle name="Suma 2 2 21 3" xfId="31684"/>
    <cellStyle name="Suma 2 2 22" xfId="31685"/>
    <cellStyle name="Suma 2 2 22 2" xfId="31686"/>
    <cellStyle name="Suma 2 2 22 3" xfId="31687"/>
    <cellStyle name="Suma 2 2 23" xfId="31688"/>
    <cellStyle name="Suma 2 2 23 2" xfId="31689"/>
    <cellStyle name="Suma 2 2 23 3" xfId="31690"/>
    <cellStyle name="Suma 2 2 24" xfId="31691"/>
    <cellStyle name="Suma 2 2 24 2" xfId="31692"/>
    <cellStyle name="Suma 2 2 24 3" xfId="31693"/>
    <cellStyle name="Suma 2 2 25" xfId="31694"/>
    <cellStyle name="Suma 2 2 25 2" xfId="31695"/>
    <cellStyle name="Suma 2 2 25 3" xfId="31696"/>
    <cellStyle name="Suma 2 2 26" xfId="31697"/>
    <cellStyle name="Suma 2 2 26 2" xfId="31698"/>
    <cellStyle name="Suma 2 2 26 3" xfId="31699"/>
    <cellStyle name="Suma 2 2 27" xfId="31700"/>
    <cellStyle name="Suma 2 2 27 2" xfId="31701"/>
    <cellStyle name="Suma 2 2 27 3" xfId="31702"/>
    <cellStyle name="Suma 2 2 28" xfId="31703"/>
    <cellStyle name="Suma 2 2 28 2" xfId="31704"/>
    <cellStyle name="Suma 2 2 28 3" xfId="31705"/>
    <cellStyle name="Suma 2 2 29" xfId="31706"/>
    <cellStyle name="Suma 2 2 29 2" xfId="31707"/>
    <cellStyle name="Suma 2 2 29 3" xfId="31708"/>
    <cellStyle name="Suma 2 2 3" xfId="31709"/>
    <cellStyle name="Suma 2 2 3 2" xfId="31710"/>
    <cellStyle name="Suma 2 2 3 3" xfId="31711"/>
    <cellStyle name="Suma 2 2 3 4" xfId="31712"/>
    <cellStyle name="Suma 2 2 30" xfId="31713"/>
    <cellStyle name="Suma 2 2 30 2" xfId="31714"/>
    <cellStyle name="Suma 2 2 30 3" xfId="31715"/>
    <cellStyle name="Suma 2 2 31" xfId="31716"/>
    <cellStyle name="Suma 2 2 31 2" xfId="31717"/>
    <cellStyle name="Suma 2 2 31 3" xfId="31718"/>
    <cellStyle name="Suma 2 2 32" xfId="31719"/>
    <cellStyle name="Suma 2 2 32 2" xfId="31720"/>
    <cellStyle name="Suma 2 2 32 3" xfId="31721"/>
    <cellStyle name="Suma 2 2 33" xfId="31722"/>
    <cellStyle name="Suma 2 2 33 2" xfId="31723"/>
    <cellStyle name="Suma 2 2 33 3" xfId="31724"/>
    <cellStyle name="Suma 2 2 34" xfId="31725"/>
    <cellStyle name="Suma 2 2 34 2" xfId="31726"/>
    <cellStyle name="Suma 2 2 34 3" xfId="31727"/>
    <cellStyle name="Suma 2 2 35" xfId="31728"/>
    <cellStyle name="Suma 2 2 35 2" xfId="31729"/>
    <cellStyle name="Suma 2 2 35 3" xfId="31730"/>
    <cellStyle name="Suma 2 2 36" xfId="31731"/>
    <cellStyle name="Suma 2 2 36 2" xfId="31732"/>
    <cellStyle name="Suma 2 2 36 3" xfId="31733"/>
    <cellStyle name="Suma 2 2 37" xfId="31734"/>
    <cellStyle name="Suma 2 2 37 2" xfId="31735"/>
    <cellStyle name="Suma 2 2 37 3" xfId="31736"/>
    <cellStyle name="Suma 2 2 38" xfId="31737"/>
    <cellStyle name="Suma 2 2 38 2" xfId="31738"/>
    <cellStyle name="Suma 2 2 38 3" xfId="31739"/>
    <cellStyle name="Suma 2 2 39" xfId="31740"/>
    <cellStyle name="Suma 2 2 39 2" xfId="31741"/>
    <cellStyle name="Suma 2 2 39 3" xfId="31742"/>
    <cellStyle name="Suma 2 2 4" xfId="31743"/>
    <cellStyle name="Suma 2 2 4 2" xfId="31744"/>
    <cellStyle name="Suma 2 2 4 3" xfId="31745"/>
    <cellStyle name="Suma 2 2 4 4" xfId="31746"/>
    <cellStyle name="Suma 2 2 40" xfId="31747"/>
    <cellStyle name="Suma 2 2 40 2" xfId="31748"/>
    <cellStyle name="Suma 2 2 40 3" xfId="31749"/>
    <cellStyle name="Suma 2 2 41" xfId="31750"/>
    <cellStyle name="Suma 2 2 41 2" xfId="31751"/>
    <cellStyle name="Suma 2 2 41 3" xfId="31752"/>
    <cellStyle name="Suma 2 2 42" xfId="31753"/>
    <cellStyle name="Suma 2 2 42 2" xfId="31754"/>
    <cellStyle name="Suma 2 2 42 3" xfId="31755"/>
    <cellStyle name="Suma 2 2 43" xfId="31756"/>
    <cellStyle name="Suma 2 2 43 2" xfId="31757"/>
    <cellStyle name="Suma 2 2 43 3" xfId="31758"/>
    <cellStyle name="Suma 2 2 44" xfId="31759"/>
    <cellStyle name="Suma 2 2 44 2" xfId="31760"/>
    <cellStyle name="Suma 2 2 44 3" xfId="31761"/>
    <cellStyle name="Suma 2 2 45" xfId="31762"/>
    <cellStyle name="Suma 2 2 45 2" xfId="31763"/>
    <cellStyle name="Suma 2 2 45 3" xfId="31764"/>
    <cellStyle name="Suma 2 2 46" xfId="31765"/>
    <cellStyle name="Suma 2 2 46 2" xfId="31766"/>
    <cellStyle name="Suma 2 2 46 3" xfId="31767"/>
    <cellStyle name="Suma 2 2 47" xfId="31768"/>
    <cellStyle name="Suma 2 2 47 2" xfId="31769"/>
    <cellStyle name="Suma 2 2 47 3" xfId="31770"/>
    <cellStyle name="Suma 2 2 48" xfId="31771"/>
    <cellStyle name="Suma 2 2 48 2" xfId="31772"/>
    <cellStyle name="Suma 2 2 48 3" xfId="31773"/>
    <cellStyle name="Suma 2 2 49" xfId="31774"/>
    <cellStyle name="Suma 2 2 49 2" xfId="31775"/>
    <cellStyle name="Suma 2 2 49 3" xfId="31776"/>
    <cellStyle name="Suma 2 2 5" xfId="31777"/>
    <cellStyle name="Suma 2 2 5 2" xfId="31778"/>
    <cellStyle name="Suma 2 2 5 3" xfId="31779"/>
    <cellStyle name="Suma 2 2 5 4" xfId="31780"/>
    <cellStyle name="Suma 2 2 50" xfId="31781"/>
    <cellStyle name="Suma 2 2 50 2" xfId="31782"/>
    <cellStyle name="Suma 2 2 50 3" xfId="31783"/>
    <cellStyle name="Suma 2 2 51" xfId="31784"/>
    <cellStyle name="Suma 2 2 51 2" xfId="31785"/>
    <cellStyle name="Suma 2 2 51 3" xfId="31786"/>
    <cellStyle name="Suma 2 2 52" xfId="31787"/>
    <cellStyle name="Suma 2 2 52 2" xfId="31788"/>
    <cellStyle name="Suma 2 2 52 3" xfId="31789"/>
    <cellStyle name="Suma 2 2 53" xfId="31790"/>
    <cellStyle name="Suma 2 2 53 2" xfId="31791"/>
    <cellStyle name="Suma 2 2 53 3" xfId="31792"/>
    <cellStyle name="Suma 2 2 54" xfId="31793"/>
    <cellStyle name="Suma 2 2 54 2" xfId="31794"/>
    <cellStyle name="Suma 2 2 54 3" xfId="31795"/>
    <cellStyle name="Suma 2 2 55" xfId="31796"/>
    <cellStyle name="Suma 2 2 55 2" xfId="31797"/>
    <cellStyle name="Suma 2 2 55 3" xfId="31798"/>
    <cellStyle name="Suma 2 2 56" xfId="31799"/>
    <cellStyle name="Suma 2 2 56 2" xfId="31800"/>
    <cellStyle name="Suma 2 2 56 3" xfId="31801"/>
    <cellStyle name="Suma 2 2 57" xfId="31802"/>
    <cellStyle name="Suma 2 2 58" xfId="31803"/>
    <cellStyle name="Suma 2 2 59" xfId="31804"/>
    <cellStyle name="Suma 2 2 6" xfId="31805"/>
    <cellStyle name="Suma 2 2 6 2" xfId="31806"/>
    <cellStyle name="Suma 2 2 6 3" xfId="31807"/>
    <cellStyle name="Suma 2 2 6 4" xfId="31808"/>
    <cellStyle name="Suma 2 2 7" xfId="31809"/>
    <cellStyle name="Suma 2 2 7 2" xfId="31810"/>
    <cellStyle name="Suma 2 2 7 3" xfId="31811"/>
    <cellStyle name="Suma 2 2 7 4" xfId="31812"/>
    <cellStyle name="Suma 2 2 8" xfId="31813"/>
    <cellStyle name="Suma 2 2 8 2" xfId="31814"/>
    <cellStyle name="Suma 2 2 8 3" xfId="31815"/>
    <cellStyle name="Suma 2 2 8 4" xfId="31816"/>
    <cellStyle name="Suma 2 2 9" xfId="31817"/>
    <cellStyle name="Suma 2 2 9 2" xfId="31818"/>
    <cellStyle name="Suma 2 2 9 3" xfId="31819"/>
    <cellStyle name="Suma 2 2 9 4" xfId="31820"/>
    <cellStyle name="Suma 2 20" xfId="31821"/>
    <cellStyle name="Suma 2 20 10" xfId="31822"/>
    <cellStyle name="Suma 2 20 10 2" xfId="31823"/>
    <cellStyle name="Suma 2 20 10 3" xfId="31824"/>
    <cellStyle name="Suma 2 20 10 4" xfId="31825"/>
    <cellStyle name="Suma 2 20 11" xfId="31826"/>
    <cellStyle name="Suma 2 20 11 2" xfId="31827"/>
    <cellStyle name="Suma 2 20 11 3" xfId="31828"/>
    <cellStyle name="Suma 2 20 11 4" xfId="31829"/>
    <cellStyle name="Suma 2 20 12" xfId="31830"/>
    <cellStyle name="Suma 2 20 12 2" xfId="31831"/>
    <cellStyle name="Suma 2 20 12 3" xfId="31832"/>
    <cellStyle name="Suma 2 20 12 4" xfId="31833"/>
    <cellStyle name="Suma 2 20 13" xfId="31834"/>
    <cellStyle name="Suma 2 20 13 2" xfId="31835"/>
    <cellStyle name="Suma 2 20 13 3" xfId="31836"/>
    <cellStyle name="Suma 2 20 13 4" xfId="31837"/>
    <cellStyle name="Suma 2 20 14" xfId="31838"/>
    <cellStyle name="Suma 2 20 14 2" xfId="31839"/>
    <cellStyle name="Suma 2 20 14 3" xfId="31840"/>
    <cellStyle name="Suma 2 20 14 4" xfId="31841"/>
    <cellStyle name="Suma 2 20 15" xfId="31842"/>
    <cellStyle name="Suma 2 20 15 2" xfId="31843"/>
    <cellStyle name="Suma 2 20 15 3" xfId="31844"/>
    <cellStyle name="Suma 2 20 15 4" xfId="31845"/>
    <cellStyle name="Suma 2 20 16" xfId="31846"/>
    <cellStyle name="Suma 2 20 16 2" xfId="31847"/>
    <cellStyle name="Suma 2 20 16 3" xfId="31848"/>
    <cellStyle name="Suma 2 20 16 4" xfId="31849"/>
    <cellStyle name="Suma 2 20 17" xfId="31850"/>
    <cellStyle name="Suma 2 20 17 2" xfId="31851"/>
    <cellStyle name="Suma 2 20 17 3" xfId="31852"/>
    <cellStyle name="Suma 2 20 17 4" xfId="31853"/>
    <cellStyle name="Suma 2 20 18" xfId="31854"/>
    <cellStyle name="Suma 2 20 18 2" xfId="31855"/>
    <cellStyle name="Suma 2 20 18 3" xfId="31856"/>
    <cellStyle name="Suma 2 20 18 4" xfId="31857"/>
    <cellStyle name="Suma 2 20 19" xfId="31858"/>
    <cellStyle name="Suma 2 20 19 2" xfId="31859"/>
    <cellStyle name="Suma 2 20 19 3" xfId="31860"/>
    <cellStyle name="Suma 2 20 19 4" xfId="31861"/>
    <cellStyle name="Suma 2 20 2" xfId="31862"/>
    <cellStyle name="Suma 2 20 2 2" xfId="31863"/>
    <cellStyle name="Suma 2 20 2 3" xfId="31864"/>
    <cellStyle name="Suma 2 20 2 4" xfId="31865"/>
    <cellStyle name="Suma 2 20 20" xfId="31866"/>
    <cellStyle name="Suma 2 20 20 2" xfId="31867"/>
    <cellStyle name="Suma 2 20 20 3" xfId="31868"/>
    <cellStyle name="Suma 2 20 20 4" xfId="31869"/>
    <cellStyle name="Suma 2 20 21" xfId="31870"/>
    <cellStyle name="Suma 2 20 21 2" xfId="31871"/>
    <cellStyle name="Suma 2 20 21 3" xfId="31872"/>
    <cellStyle name="Suma 2 20 22" xfId="31873"/>
    <cellStyle name="Suma 2 20 22 2" xfId="31874"/>
    <cellStyle name="Suma 2 20 22 3" xfId="31875"/>
    <cellStyle name="Suma 2 20 23" xfId="31876"/>
    <cellStyle name="Suma 2 20 23 2" xfId="31877"/>
    <cellStyle name="Suma 2 20 23 3" xfId="31878"/>
    <cellStyle name="Suma 2 20 24" xfId="31879"/>
    <cellStyle name="Suma 2 20 24 2" xfId="31880"/>
    <cellStyle name="Suma 2 20 24 3" xfId="31881"/>
    <cellStyle name="Suma 2 20 25" xfId="31882"/>
    <cellStyle name="Suma 2 20 25 2" xfId="31883"/>
    <cellStyle name="Suma 2 20 25 3" xfId="31884"/>
    <cellStyle name="Suma 2 20 26" xfId="31885"/>
    <cellStyle name="Suma 2 20 26 2" xfId="31886"/>
    <cellStyle name="Suma 2 20 26 3" xfId="31887"/>
    <cellStyle name="Suma 2 20 27" xfId="31888"/>
    <cellStyle name="Suma 2 20 27 2" xfId="31889"/>
    <cellStyle name="Suma 2 20 27 3" xfId="31890"/>
    <cellStyle name="Suma 2 20 28" xfId="31891"/>
    <cellStyle name="Suma 2 20 28 2" xfId="31892"/>
    <cellStyle name="Suma 2 20 28 3" xfId="31893"/>
    <cellStyle name="Suma 2 20 29" xfId="31894"/>
    <cellStyle name="Suma 2 20 29 2" xfId="31895"/>
    <cellStyle name="Suma 2 20 29 3" xfId="31896"/>
    <cellStyle name="Suma 2 20 3" xfId="31897"/>
    <cellStyle name="Suma 2 20 3 2" xfId="31898"/>
    <cellStyle name="Suma 2 20 3 3" xfId="31899"/>
    <cellStyle name="Suma 2 20 3 4" xfId="31900"/>
    <cellStyle name="Suma 2 20 30" xfId="31901"/>
    <cellStyle name="Suma 2 20 30 2" xfId="31902"/>
    <cellStyle name="Suma 2 20 30 3" xfId="31903"/>
    <cellStyle name="Suma 2 20 31" xfId="31904"/>
    <cellStyle name="Suma 2 20 31 2" xfId="31905"/>
    <cellStyle name="Suma 2 20 31 3" xfId="31906"/>
    <cellStyle name="Suma 2 20 32" xfId="31907"/>
    <cellStyle name="Suma 2 20 32 2" xfId="31908"/>
    <cellStyle name="Suma 2 20 32 3" xfId="31909"/>
    <cellStyle name="Suma 2 20 33" xfId="31910"/>
    <cellStyle name="Suma 2 20 33 2" xfId="31911"/>
    <cellStyle name="Suma 2 20 33 3" xfId="31912"/>
    <cellStyle name="Suma 2 20 34" xfId="31913"/>
    <cellStyle name="Suma 2 20 34 2" xfId="31914"/>
    <cellStyle name="Suma 2 20 34 3" xfId="31915"/>
    <cellStyle name="Suma 2 20 35" xfId="31916"/>
    <cellStyle name="Suma 2 20 35 2" xfId="31917"/>
    <cellStyle name="Suma 2 20 35 3" xfId="31918"/>
    <cellStyle name="Suma 2 20 36" xfId="31919"/>
    <cellStyle name="Suma 2 20 36 2" xfId="31920"/>
    <cellStyle name="Suma 2 20 36 3" xfId="31921"/>
    <cellStyle name="Suma 2 20 37" xfId="31922"/>
    <cellStyle name="Suma 2 20 37 2" xfId="31923"/>
    <cellStyle name="Suma 2 20 37 3" xfId="31924"/>
    <cellStyle name="Suma 2 20 38" xfId="31925"/>
    <cellStyle name="Suma 2 20 38 2" xfId="31926"/>
    <cellStyle name="Suma 2 20 38 3" xfId="31927"/>
    <cellStyle name="Suma 2 20 39" xfId="31928"/>
    <cellStyle name="Suma 2 20 39 2" xfId="31929"/>
    <cellStyle name="Suma 2 20 39 3" xfId="31930"/>
    <cellStyle name="Suma 2 20 4" xfId="31931"/>
    <cellStyle name="Suma 2 20 4 2" xfId="31932"/>
    <cellStyle name="Suma 2 20 4 3" xfId="31933"/>
    <cellStyle name="Suma 2 20 4 4" xfId="31934"/>
    <cellStyle name="Suma 2 20 40" xfId="31935"/>
    <cellStyle name="Suma 2 20 40 2" xfId="31936"/>
    <cellStyle name="Suma 2 20 40 3" xfId="31937"/>
    <cellStyle name="Suma 2 20 41" xfId="31938"/>
    <cellStyle name="Suma 2 20 41 2" xfId="31939"/>
    <cellStyle name="Suma 2 20 41 3" xfId="31940"/>
    <cellStyle name="Suma 2 20 42" xfId="31941"/>
    <cellStyle name="Suma 2 20 42 2" xfId="31942"/>
    <cellStyle name="Suma 2 20 42 3" xfId="31943"/>
    <cellStyle name="Suma 2 20 43" xfId="31944"/>
    <cellStyle name="Suma 2 20 43 2" xfId="31945"/>
    <cellStyle name="Suma 2 20 43 3" xfId="31946"/>
    <cellStyle name="Suma 2 20 44" xfId="31947"/>
    <cellStyle name="Suma 2 20 44 2" xfId="31948"/>
    <cellStyle name="Suma 2 20 44 3" xfId="31949"/>
    <cellStyle name="Suma 2 20 45" xfId="31950"/>
    <cellStyle name="Suma 2 20 45 2" xfId="31951"/>
    <cellStyle name="Suma 2 20 45 3" xfId="31952"/>
    <cellStyle name="Suma 2 20 46" xfId="31953"/>
    <cellStyle name="Suma 2 20 46 2" xfId="31954"/>
    <cellStyle name="Suma 2 20 46 3" xfId="31955"/>
    <cellStyle name="Suma 2 20 47" xfId="31956"/>
    <cellStyle name="Suma 2 20 47 2" xfId="31957"/>
    <cellStyle name="Suma 2 20 47 3" xfId="31958"/>
    <cellStyle name="Suma 2 20 48" xfId="31959"/>
    <cellStyle name="Suma 2 20 48 2" xfId="31960"/>
    <cellStyle name="Suma 2 20 48 3" xfId="31961"/>
    <cellStyle name="Suma 2 20 49" xfId="31962"/>
    <cellStyle name="Suma 2 20 49 2" xfId="31963"/>
    <cellStyle name="Suma 2 20 49 3" xfId="31964"/>
    <cellStyle name="Suma 2 20 5" xfId="31965"/>
    <cellStyle name="Suma 2 20 5 2" xfId="31966"/>
    <cellStyle name="Suma 2 20 5 3" xfId="31967"/>
    <cellStyle name="Suma 2 20 5 4" xfId="31968"/>
    <cellStyle name="Suma 2 20 50" xfId="31969"/>
    <cellStyle name="Suma 2 20 50 2" xfId="31970"/>
    <cellStyle name="Suma 2 20 50 3" xfId="31971"/>
    <cellStyle name="Suma 2 20 51" xfId="31972"/>
    <cellStyle name="Suma 2 20 51 2" xfId="31973"/>
    <cellStyle name="Suma 2 20 51 3" xfId="31974"/>
    <cellStyle name="Suma 2 20 52" xfId="31975"/>
    <cellStyle name="Suma 2 20 52 2" xfId="31976"/>
    <cellStyle name="Suma 2 20 52 3" xfId="31977"/>
    <cellStyle name="Suma 2 20 53" xfId="31978"/>
    <cellStyle name="Suma 2 20 53 2" xfId="31979"/>
    <cellStyle name="Suma 2 20 53 3" xfId="31980"/>
    <cellStyle name="Suma 2 20 54" xfId="31981"/>
    <cellStyle name="Suma 2 20 54 2" xfId="31982"/>
    <cellStyle name="Suma 2 20 54 3" xfId="31983"/>
    <cellStyle name="Suma 2 20 55" xfId="31984"/>
    <cellStyle name="Suma 2 20 55 2" xfId="31985"/>
    <cellStyle name="Suma 2 20 55 3" xfId="31986"/>
    <cellStyle name="Suma 2 20 56" xfId="31987"/>
    <cellStyle name="Suma 2 20 56 2" xfId="31988"/>
    <cellStyle name="Suma 2 20 56 3" xfId="31989"/>
    <cellStyle name="Suma 2 20 57" xfId="31990"/>
    <cellStyle name="Suma 2 20 58" xfId="31991"/>
    <cellStyle name="Suma 2 20 6" xfId="31992"/>
    <cellStyle name="Suma 2 20 6 2" xfId="31993"/>
    <cellStyle name="Suma 2 20 6 3" xfId="31994"/>
    <cellStyle name="Suma 2 20 6 4" xfId="31995"/>
    <cellStyle name="Suma 2 20 7" xfId="31996"/>
    <cellStyle name="Suma 2 20 7 2" xfId="31997"/>
    <cellStyle name="Suma 2 20 7 3" xfId="31998"/>
    <cellStyle name="Suma 2 20 7 4" xfId="31999"/>
    <cellStyle name="Suma 2 20 8" xfId="32000"/>
    <cellStyle name="Suma 2 20 8 2" xfId="32001"/>
    <cellStyle name="Suma 2 20 8 3" xfId="32002"/>
    <cellStyle name="Suma 2 20 8 4" xfId="32003"/>
    <cellStyle name="Suma 2 20 9" xfId="32004"/>
    <cellStyle name="Suma 2 20 9 2" xfId="32005"/>
    <cellStyle name="Suma 2 20 9 3" xfId="32006"/>
    <cellStyle name="Suma 2 20 9 4" xfId="32007"/>
    <cellStyle name="Suma 2 21" xfId="32008"/>
    <cellStyle name="Suma 2 21 10" xfId="32009"/>
    <cellStyle name="Suma 2 21 10 2" xfId="32010"/>
    <cellStyle name="Suma 2 21 10 3" xfId="32011"/>
    <cellStyle name="Suma 2 21 10 4" xfId="32012"/>
    <cellStyle name="Suma 2 21 11" xfId="32013"/>
    <cellStyle name="Suma 2 21 11 2" xfId="32014"/>
    <cellStyle name="Suma 2 21 11 3" xfId="32015"/>
    <cellStyle name="Suma 2 21 11 4" xfId="32016"/>
    <cellStyle name="Suma 2 21 12" xfId="32017"/>
    <cellStyle name="Suma 2 21 12 2" xfId="32018"/>
    <cellStyle name="Suma 2 21 12 3" xfId="32019"/>
    <cellStyle name="Suma 2 21 12 4" xfId="32020"/>
    <cellStyle name="Suma 2 21 13" xfId="32021"/>
    <cellStyle name="Suma 2 21 13 2" xfId="32022"/>
    <cellStyle name="Suma 2 21 13 3" xfId="32023"/>
    <cellStyle name="Suma 2 21 13 4" xfId="32024"/>
    <cellStyle name="Suma 2 21 14" xfId="32025"/>
    <cellStyle name="Suma 2 21 14 2" xfId="32026"/>
    <cellStyle name="Suma 2 21 14 3" xfId="32027"/>
    <cellStyle name="Suma 2 21 14 4" xfId="32028"/>
    <cellStyle name="Suma 2 21 15" xfId="32029"/>
    <cellStyle name="Suma 2 21 15 2" xfId="32030"/>
    <cellStyle name="Suma 2 21 15 3" xfId="32031"/>
    <cellStyle name="Suma 2 21 15 4" xfId="32032"/>
    <cellStyle name="Suma 2 21 16" xfId="32033"/>
    <cellStyle name="Suma 2 21 16 2" xfId="32034"/>
    <cellStyle name="Suma 2 21 16 3" xfId="32035"/>
    <cellStyle name="Suma 2 21 16 4" xfId="32036"/>
    <cellStyle name="Suma 2 21 17" xfId="32037"/>
    <cellStyle name="Suma 2 21 17 2" xfId="32038"/>
    <cellStyle name="Suma 2 21 17 3" xfId="32039"/>
    <cellStyle name="Suma 2 21 17 4" xfId="32040"/>
    <cellStyle name="Suma 2 21 18" xfId="32041"/>
    <cellStyle name="Suma 2 21 18 2" xfId="32042"/>
    <cellStyle name="Suma 2 21 18 3" xfId="32043"/>
    <cellStyle name="Suma 2 21 18 4" xfId="32044"/>
    <cellStyle name="Suma 2 21 19" xfId="32045"/>
    <cellStyle name="Suma 2 21 19 2" xfId="32046"/>
    <cellStyle name="Suma 2 21 19 3" xfId="32047"/>
    <cellStyle name="Suma 2 21 19 4" xfId="32048"/>
    <cellStyle name="Suma 2 21 2" xfId="32049"/>
    <cellStyle name="Suma 2 21 2 2" xfId="32050"/>
    <cellStyle name="Suma 2 21 2 3" xfId="32051"/>
    <cellStyle name="Suma 2 21 2 4" xfId="32052"/>
    <cellStyle name="Suma 2 21 20" xfId="32053"/>
    <cellStyle name="Suma 2 21 20 2" xfId="32054"/>
    <cellStyle name="Suma 2 21 20 3" xfId="32055"/>
    <cellStyle name="Suma 2 21 20 4" xfId="32056"/>
    <cellStyle name="Suma 2 21 21" xfId="32057"/>
    <cellStyle name="Suma 2 21 21 2" xfId="32058"/>
    <cellStyle name="Suma 2 21 21 3" xfId="32059"/>
    <cellStyle name="Suma 2 21 22" xfId="32060"/>
    <cellStyle name="Suma 2 21 22 2" xfId="32061"/>
    <cellStyle name="Suma 2 21 22 3" xfId="32062"/>
    <cellStyle name="Suma 2 21 23" xfId="32063"/>
    <cellStyle name="Suma 2 21 23 2" xfId="32064"/>
    <cellStyle name="Suma 2 21 23 3" xfId="32065"/>
    <cellStyle name="Suma 2 21 24" xfId="32066"/>
    <cellStyle name="Suma 2 21 24 2" xfId="32067"/>
    <cellStyle name="Suma 2 21 24 3" xfId="32068"/>
    <cellStyle name="Suma 2 21 25" xfId="32069"/>
    <cellStyle name="Suma 2 21 25 2" xfId="32070"/>
    <cellStyle name="Suma 2 21 25 3" xfId="32071"/>
    <cellStyle name="Suma 2 21 26" xfId="32072"/>
    <cellStyle name="Suma 2 21 26 2" xfId="32073"/>
    <cellStyle name="Suma 2 21 26 3" xfId="32074"/>
    <cellStyle name="Suma 2 21 27" xfId="32075"/>
    <cellStyle name="Suma 2 21 27 2" xfId="32076"/>
    <cellStyle name="Suma 2 21 27 3" xfId="32077"/>
    <cellStyle name="Suma 2 21 28" xfId="32078"/>
    <cellStyle name="Suma 2 21 28 2" xfId="32079"/>
    <cellStyle name="Suma 2 21 28 3" xfId="32080"/>
    <cellStyle name="Suma 2 21 29" xfId="32081"/>
    <cellStyle name="Suma 2 21 29 2" xfId="32082"/>
    <cellStyle name="Suma 2 21 29 3" xfId="32083"/>
    <cellStyle name="Suma 2 21 3" xfId="32084"/>
    <cellStyle name="Suma 2 21 3 2" xfId="32085"/>
    <cellStyle name="Suma 2 21 3 3" xfId="32086"/>
    <cellStyle name="Suma 2 21 3 4" xfId="32087"/>
    <cellStyle name="Suma 2 21 30" xfId="32088"/>
    <cellStyle name="Suma 2 21 30 2" xfId="32089"/>
    <cellStyle name="Suma 2 21 30 3" xfId="32090"/>
    <cellStyle name="Suma 2 21 31" xfId="32091"/>
    <cellStyle name="Suma 2 21 31 2" xfId="32092"/>
    <cellStyle name="Suma 2 21 31 3" xfId="32093"/>
    <cellStyle name="Suma 2 21 32" xfId="32094"/>
    <cellStyle name="Suma 2 21 32 2" xfId="32095"/>
    <cellStyle name="Suma 2 21 32 3" xfId="32096"/>
    <cellStyle name="Suma 2 21 33" xfId="32097"/>
    <cellStyle name="Suma 2 21 33 2" xfId="32098"/>
    <cellStyle name="Suma 2 21 33 3" xfId="32099"/>
    <cellStyle name="Suma 2 21 34" xfId="32100"/>
    <cellStyle name="Suma 2 21 34 2" xfId="32101"/>
    <cellStyle name="Suma 2 21 34 3" xfId="32102"/>
    <cellStyle name="Suma 2 21 35" xfId="32103"/>
    <cellStyle name="Suma 2 21 35 2" xfId="32104"/>
    <cellStyle name="Suma 2 21 35 3" xfId="32105"/>
    <cellStyle name="Suma 2 21 36" xfId="32106"/>
    <cellStyle name="Suma 2 21 36 2" xfId="32107"/>
    <cellStyle name="Suma 2 21 36 3" xfId="32108"/>
    <cellStyle name="Suma 2 21 37" xfId="32109"/>
    <cellStyle name="Suma 2 21 37 2" xfId="32110"/>
    <cellStyle name="Suma 2 21 37 3" xfId="32111"/>
    <cellStyle name="Suma 2 21 38" xfId="32112"/>
    <cellStyle name="Suma 2 21 38 2" xfId="32113"/>
    <cellStyle name="Suma 2 21 38 3" xfId="32114"/>
    <cellStyle name="Suma 2 21 39" xfId="32115"/>
    <cellStyle name="Suma 2 21 39 2" xfId="32116"/>
    <cellStyle name="Suma 2 21 39 3" xfId="32117"/>
    <cellStyle name="Suma 2 21 4" xfId="32118"/>
    <cellStyle name="Suma 2 21 4 2" xfId="32119"/>
    <cellStyle name="Suma 2 21 4 3" xfId="32120"/>
    <cellStyle name="Suma 2 21 4 4" xfId="32121"/>
    <cellStyle name="Suma 2 21 40" xfId="32122"/>
    <cellStyle name="Suma 2 21 40 2" xfId="32123"/>
    <cellStyle name="Suma 2 21 40 3" xfId="32124"/>
    <cellStyle name="Suma 2 21 41" xfId="32125"/>
    <cellStyle name="Suma 2 21 41 2" xfId="32126"/>
    <cellStyle name="Suma 2 21 41 3" xfId="32127"/>
    <cellStyle name="Suma 2 21 42" xfId="32128"/>
    <cellStyle name="Suma 2 21 42 2" xfId="32129"/>
    <cellStyle name="Suma 2 21 42 3" xfId="32130"/>
    <cellStyle name="Suma 2 21 43" xfId="32131"/>
    <cellStyle name="Suma 2 21 43 2" xfId="32132"/>
    <cellStyle name="Suma 2 21 43 3" xfId="32133"/>
    <cellStyle name="Suma 2 21 44" xfId="32134"/>
    <cellStyle name="Suma 2 21 44 2" xfId="32135"/>
    <cellStyle name="Suma 2 21 44 3" xfId="32136"/>
    <cellStyle name="Suma 2 21 45" xfId="32137"/>
    <cellStyle name="Suma 2 21 45 2" xfId="32138"/>
    <cellStyle name="Suma 2 21 45 3" xfId="32139"/>
    <cellStyle name="Suma 2 21 46" xfId="32140"/>
    <cellStyle name="Suma 2 21 46 2" xfId="32141"/>
    <cellStyle name="Suma 2 21 46 3" xfId="32142"/>
    <cellStyle name="Suma 2 21 47" xfId="32143"/>
    <cellStyle name="Suma 2 21 47 2" xfId="32144"/>
    <cellStyle name="Suma 2 21 47 3" xfId="32145"/>
    <cellStyle name="Suma 2 21 48" xfId="32146"/>
    <cellStyle name="Suma 2 21 48 2" xfId="32147"/>
    <cellStyle name="Suma 2 21 48 3" xfId="32148"/>
    <cellStyle name="Suma 2 21 49" xfId="32149"/>
    <cellStyle name="Suma 2 21 49 2" xfId="32150"/>
    <cellStyle name="Suma 2 21 49 3" xfId="32151"/>
    <cellStyle name="Suma 2 21 5" xfId="32152"/>
    <cellStyle name="Suma 2 21 5 2" xfId="32153"/>
    <cellStyle name="Suma 2 21 5 3" xfId="32154"/>
    <cellStyle name="Suma 2 21 5 4" xfId="32155"/>
    <cellStyle name="Suma 2 21 50" xfId="32156"/>
    <cellStyle name="Suma 2 21 50 2" xfId="32157"/>
    <cellStyle name="Suma 2 21 50 3" xfId="32158"/>
    <cellStyle name="Suma 2 21 51" xfId="32159"/>
    <cellStyle name="Suma 2 21 51 2" xfId="32160"/>
    <cellStyle name="Suma 2 21 51 3" xfId="32161"/>
    <cellStyle name="Suma 2 21 52" xfId="32162"/>
    <cellStyle name="Suma 2 21 52 2" xfId="32163"/>
    <cellStyle name="Suma 2 21 52 3" xfId="32164"/>
    <cellStyle name="Suma 2 21 53" xfId="32165"/>
    <cellStyle name="Suma 2 21 53 2" xfId="32166"/>
    <cellStyle name="Suma 2 21 53 3" xfId="32167"/>
    <cellStyle name="Suma 2 21 54" xfId="32168"/>
    <cellStyle name="Suma 2 21 54 2" xfId="32169"/>
    <cellStyle name="Suma 2 21 54 3" xfId="32170"/>
    <cellStyle name="Suma 2 21 55" xfId="32171"/>
    <cellStyle name="Suma 2 21 55 2" xfId="32172"/>
    <cellStyle name="Suma 2 21 55 3" xfId="32173"/>
    <cellStyle name="Suma 2 21 56" xfId="32174"/>
    <cellStyle name="Suma 2 21 56 2" xfId="32175"/>
    <cellStyle name="Suma 2 21 56 3" xfId="32176"/>
    <cellStyle name="Suma 2 21 57" xfId="32177"/>
    <cellStyle name="Suma 2 21 58" xfId="32178"/>
    <cellStyle name="Suma 2 21 6" xfId="32179"/>
    <cellStyle name="Suma 2 21 6 2" xfId="32180"/>
    <cellStyle name="Suma 2 21 6 3" xfId="32181"/>
    <cellStyle name="Suma 2 21 6 4" xfId="32182"/>
    <cellStyle name="Suma 2 21 7" xfId="32183"/>
    <cellStyle name="Suma 2 21 7 2" xfId="32184"/>
    <cellStyle name="Suma 2 21 7 3" xfId="32185"/>
    <cellStyle name="Suma 2 21 7 4" xfId="32186"/>
    <cellStyle name="Suma 2 21 8" xfId="32187"/>
    <cellStyle name="Suma 2 21 8 2" xfId="32188"/>
    <cellStyle name="Suma 2 21 8 3" xfId="32189"/>
    <cellStyle name="Suma 2 21 8 4" xfId="32190"/>
    <cellStyle name="Suma 2 21 9" xfId="32191"/>
    <cellStyle name="Suma 2 21 9 2" xfId="32192"/>
    <cellStyle name="Suma 2 21 9 3" xfId="32193"/>
    <cellStyle name="Suma 2 21 9 4" xfId="32194"/>
    <cellStyle name="Suma 2 22" xfId="32195"/>
    <cellStyle name="Suma 2 22 10" xfId="32196"/>
    <cellStyle name="Suma 2 22 10 2" xfId="32197"/>
    <cellStyle name="Suma 2 22 10 3" xfId="32198"/>
    <cellStyle name="Suma 2 22 10 4" xfId="32199"/>
    <cellStyle name="Suma 2 22 11" xfId="32200"/>
    <cellStyle name="Suma 2 22 11 2" xfId="32201"/>
    <cellStyle name="Suma 2 22 11 3" xfId="32202"/>
    <cellStyle name="Suma 2 22 11 4" xfId="32203"/>
    <cellStyle name="Suma 2 22 12" xfId="32204"/>
    <cellStyle name="Suma 2 22 12 2" xfId="32205"/>
    <cellStyle name="Suma 2 22 12 3" xfId="32206"/>
    <cellStyle name="Suma 2 22 12 4" xfId="32207"/>
    <cellStyle name="Suma 2 22 13" xfId="32208"/>
    <cellStyle name="Suma 2 22 13 2" xfId="32209"/>
    <cellStyle name="Suma 2 22 13 3" xfId="32210"/>
    <cellStyle name="Suma 2 22 13 4" xfId="32211"/>
    <cellStyle name="Suma 2 22 14" xfId="32212"/>
    <cellStyle name="Suma 2 22 14 2" xfId="32213"/>
    <cellStyle name="Suma 2 22 14 3" xfId="32214"/>
    <cellStyle name="Suma 2 22 14 4" xfId="32215"/>
    <cellStyle name="Suma 2 22 15" xfId="32216"/>
    <cellStyle name="Suma 2 22 15 2" xfId="32217"/>
    <cellStyle name="Suma 2 22 15 3" xfId="32218"/>
    <cellStyle name="Suma 2 22 15 4" xfId="32219"/>
    <cellStyle name="Suma 2 22 16" xfId="32220"/>
    <cellStyle name="Suma 2 22 16 2" xfId="32221"/>
    <cellStyle name="Suma 2 22 16 3" xfId="32222"/>
    <cellStyle name="Suma 2 22 16 4" xfId="32223"/>
    <cellStyle name="Suma 2 22 17" xfId="32224"/>
    <cellStyle name="Suma 2 22 17 2" xfId="32225"/>
    <cellStyle name="Suma 2 22 17 3" xfId="32226"/>
    <cellStyle name="Suma 2 22 17 4" xfId="32227"/>
    <cellStyle name="Suma 2 22 18" xfId="32228"/>
    <cellStyle name="Suma 2 22 18 2" xfId="32229"/>
    <cellStyle name="Suma 2 22 18 3" xfId="32230"/>
    <cellStyle name="Suma 2 22 18 4" xfId="32231"/>
    <cellStyle name="Suma 2 22 19" xfId="32232"/>
    <cellStyle name="Suma 2 22 19 2" xfId="32233"/>
    <cellStyle name="Suma 2 22 19 3" xfId="32234"/>
    <cellStyle name="Suma 2 22 19 4" xfId="32235"/>
    <cellStyle name="Suma 2 22 2" xfId="32236"/>
    <cellStyle name="Suma 2 22 2 2" xfId="32237"/>
    <cellStyle name="Suma 2 22 2 3" xfId="32238"/>
    <cellStyle name="Suma 2 22 2 4" xfId="32239"/>
    <cellStyle name="Suma 2 22 20" xfId="32240"/>
    <cellStyle name="Suma 2 22 20 2" xfId="32241"/>
    <cellStyle name="Suma 2 22 20 3" xfId="32242"/>
    <cellStyle name="Suma 2 22 20 4" xfId="32243"/>
    <cellStyle name="Suma 2 22 21" xfId="32244"/>
    <cellStyle name="Suma 2 22 21 2" xfId="32245"/>
    <cellStyle name="Suma 2 22 21 3" xfId="32246"/>
    <cellStyle name="Suma 2 22 22" xfId="32247"/>
    <cellStyle name="Suma 2 22 22 2" xfId="32248"/>
    <cellStyle name="Suma 2 22 22 3" xfId="32249"/>
    <cellStyle name="Suma 2 22 23" xfId="32250"/>
    <cellStyle name="Suma 2 22 23 2" xfId="32251"/>
    <cellStyle name="Suma 2 22 23 3" xfId="32252"/>
    <cellStyle name="Suma 2 22 24" xfId="32253"/>
    <cellStyle name="Suma 2 22 24 2" xfId="32254"/>
    <cellStyle name="Suma 2 22 24 3" xfId="32255"/>
    <cellStyle name="Suma 2 22 25" xfId="32256"/>
    <cellStyle name="Suma 2 22 25 2" xfId="32257"/>
    <cellStyle name="Suma 2 22 25 3" xfId="32258"/>
    <cellStyle name="Suma 2 22 26" xfId="32259"/>
    <cellStyle name="Suma 2 22 26 2" xfId="32260"/>
    <cellStyle name="Suma 2 22 26 3" xfId="32261"/>
    <cellStyle name="Suma 2 22 27" xfId="32262"/>
    <cellStyle name="Suma 2 22 27 2" xfId="32263"/>
    <cellStyle name="Suma 2 22 27 3" xfId="32264"/>
    <cellStyle name="Suma 2 22 28" xfId="32265"/>
    <cellStyle name="Suma 2 22 28 2" xfId="32266"/>
    <cellStyle name="Suma 2 22 28 3" xfId="32267"/>
    <cellStyle name="Suma 2 22 29" xfId="32268"/>
    <cellStyle name="Suma 2 22 29 2" xfId="32269"/>
    <cellStyle name="Suma 2 22 29 3" xfId="32270"/>
    <cellStyle name="Suma 2 22 3" xfId="32271"/>
    <cellStyle name="Suma 2 22 3 2" xfId="32272"/>
    <cellStyle name="Suma 2 22 3 3" xfId="32273"/>
    <cellStyle name="Suma 2 22 3 4" xfId="32274"/>
    <cellStyle name="Suma 2 22 30" xfId="32275"/>
    <cellStyle name="Suma 2 22 30 2" xfId="32276"/>
    <cellStyle name="Suma 2 22 30 3" xfId="32277"/>
    <cellStyle name="Suma 2 22 31" xfId="32278"/>
    <cellStyle name="Suma 2 22 31 2" xfId="32279"/>
    <cellStyle name="Suma 2 22 31 3" xfId="32280"/>
    <cellStyle name="Suma 2 22 32" xfId="32281"/>
    <cellStyle name="Suma 2 22 32 2" xfId="32282"/>
    <cellStyle name="Suma 2 22 32 3" xfId="32283"/>
    <cellStyle name="Suma 2 22 33" xfId="32284"/>
    <cellStyle name="Suma 2 22 33 2" xfId="32285"/>
    <cellStyle name="Suma 2 22 33 3" xfId="32286"/>
    <cellStyle name="Suma 2 22 34" xfId="32287"/>
    <cellStyle name="Suma 2 22 34 2" xfId="32288"/>
    <cellStyle name="Suma 2 22 34 3" xfId="32289"/>
    <cellStyle name="Suma 2 22 35" xfId="32290"/>
    <cellStyle name="Suma 2 22 35 2" xfId="32291"/>
    <cellStyle name="Suma 2 22 35 3" xfId="32292"/>
    <cellStyle name="Suma 2 22 36" xfId="32293"/>
    <cellStyle name="Suma 2 22 36 2" xfId="32294"/>
    <cellStyle name="Suma 2 22 36 3" xfId="32295"/>
    <cellStyle name="Suma 2 22 37" xfId="32296"/>
    <cellStyle name="Suma 2 22 37 2" xfId="32297"/>
    <cellStyle name="Suma 2 22 37 3" xfId="32298"/>
    <cellStyle name="Suma 2 22 38" xfId="32299"/>
    <cellStyle name="Suma 2 22 38 2" xfId="32300"/>
    <cellStyle name="Suma 2 22 38 3" xfId="32301"/>
    <cellStyle name="Suma 2 22 39" xfId="32302"/>
    <cellStyle name="Suma 2 22 39 2" xfId="32303"/>
    <cellStyle name="Suma 2 22 39 3" xfId="32304"/>
    <cellStyle name="Suma 2 22 4" xfId="32305"/>
    <cellStyle name="Suma 2 22 4 2" xfId="32306"/>
    <cellStyle name="Suma 2 22 4 3" xfId="32307"/>
    <cellStyle name="Suma 2 22 4 4" xfId="32308"/>
    <cellStyle name="Suma 2 22 40" xfId="32309"/>
    <cellStyle name="Suma 2 22 40 2" xfId="32310"/>
    <cellStyle name="Suma 2 22 40 3" xfId="32311"/>
    <cellStyle name="Suma 2 22 41" xfId="32312"/>
    <cellStyle name="Suma 2 22 41 2" xfId="32313"/>
    <cellStyle name="Suma 2 22 41 3" xfId="32314"/>
    <cellStyle name="Suma 2 22 42" xfId="32315"/>
    <cellStyle name="Suma 2 22 42 2" xfId="32316"/>
    <cellStyle name="Suma 2 22 42 3" xfId="32317"/>
    <cellStyle name="Suma 2 22 43" xfId="32318"/>
    <cellStyle name="Suma 2 22 43 2" xfId="32319"/>
    <cellStyle name="Suma 2 22 43 3" xfId="32320"/>
    <cellStyle name="Suma 2 22 44" xfId="32321"/>
    <cellStyle name="Suma 2 22 44 2" xfId="32322"/>
    <cellStyle name="Suma 2 22 44 3" xfId="32323"/>
    <cellStyle name="Suma 2 22 45" xfId="32324"/>
    <cellStyle name="Suma 2 22 45 2" xfId="32325"/>
    <cellStyle name="Suma 2 22 45 3" xfId="32326"/>
    <cellStyle name="Suma 2 22 46" xfId="32327"/>
    <cellStyle name="Suma 2 22 46 2" xfId="32328"/>
    <cellStyle name="Suma 2 22 46 3" xfId="32329"/>
    <cellStyle name="Suma 2 22 47" xfId="32330"/>
    <cellStyle name="Suma 2 22 47 2" xfId="32331"/>
    <cellStyle name="Suma 2 22 47 3" xfId="32332"/>
    <cellStyle name="Suma 2 22 48" xfId="32333"/>
    <cellStyle name="Suma 2 22 48 2" xfId="32334"/>
    <cellStyle name="Suma 2 22 48 3" xfId="32335"/>
    <cellStyle name="Suma 2 22 49" xfId="32336"/>
    <cellStyle name="Suma 2 22 49 2" xfId="32337"/>
    <cellStyle name="Suma 2 22 49 3" xfId="32338"/>
    <cellStyle name="Suma 2 22 5" xfId="32339"/>
    <cellStyle name="Suma 2 22 5 2" xfId="32340"/>
    <cellStyle name="Suma 2 22 5 3" xfId="32341"/>
    <cellStyle name="Suma 2 22 5 4" xfId="32342"/>
    <cellStyle name="Suma 2 22 50" xfId="32343"/>
    <cellStyle name="Suma 2 22 50 2" xfId="32344"/>
    <cellStyle name="Suma 2 22 50 3" xfId="32345"/>
    <cellStyle name="Suma 2 22 51" xfId="32346"/>
    <cellStyle name="Suma 2 22 51 2" xfId="32347"/>
    <cellStyle name="Suma 2 22 51 3" xfId="32348"/>
    <cellStyle name="Suma 2 22 52" xfId="32349"/>
    <cellStyle name="Suma 2 22 52 2" xfId="32350"/>
    <cellStyle name="Suma 2 22 52 3" xfId="32351"/>
    <cellStyle name="Suma 2 22 53" xfId="32352"/>
    <cellStyle name="Suma 2 22 53 2" xfId="32353"/>
    <cellStyle name="Suma 2 22 53 3" xfId="32354"/>
    <cellStyle name="Suma 2 22 54" xfId="32355"/>
    <cellStyle name="Suma 2 22 54 2" xfId="32356"/>
    <cellStyle name="Suma 2 22 54 3" xfId="32357"/>
    <cellStyle name="Suma 2 22 55" xfId="32358"/>
    <cellStyle name="Suma 2 22 55 2" xfId="32359"/>
    <cellStyle name="Suma 2 22 55 3" xfId="32360"/>
    <cellStyle name="Suma 2 22 56" xfId="32361"/>
    <cellStyle name="Suma 2 22 56 2" xfId="32362"/>
    <cellStyle name="Suma 2 22 56 3" xfId="32363"/>
    <cellStyle name="Suma 2 22 57" xfId="32364"/>
    <cellStyle name="Suma 2 22 58" xfId="32365"/>
    <cellStyle name="Suma 2 22 6" xfId="32366"/>
    <cellStyle name="Suma 2 22 6 2" xfId="32367"/>
    <cellStyle name="Suma 2 22 6 3" xfId="32368"/>
    <cellStyle name="Suma 2 22 6 4" xfId="32369"/>
    <cellStyle name="Suma 2 22 7" xfId="32370"/>
    <cellStyle name="Suma 2 22 7 2" xfId="32371"/>
    <cellStyle name="Suma 2 22 7 3" xfId="32372"/>
    <cellStyle name="Suma 2 22 7 4" xfId="32373"/>
    <cellStyle name="Suma 2 22 8" xfId="32374"/>
    <cellStyle name="Suma 2 22 8 2" xfId="32375"/>
    <cellStyle name="Suma 2 22 8 3" xfId="32376"/>
    <cellStyle name="Suma 2 22 8 4" xfId="32377"/>
    <cellStyle name="Suma 2 22 9" xfId="32378"/>
    <cellStyle name="Suma 2 22 9 2" xfId="32379"/>
    <cellStyle name="Suma 2 22 9 3" xfId="32380"/>
    <cellStyle name="Suma 2 22 9 4" xfId="32381"/>
    <cellStyle name="Suma 2 23" xfId="32382"/>
    <cellStyle name="Suma 2 23 10" xfId="32383"/>
    <cellStyle name="Suma 2 23 10 2" xfId="32384"/>
    <cellStyle name="Suma 2 23 10 3" xfId="32385"/>
    <cellStyle name="Suma 2 23 10 4" xfId="32386"/>
    <cellStyle name="Suma 2 23 11" xfId="32387"/>
    <cellStyle name="Suma 2 23 11 2" xfId="32388"/>
    <cellStyle name="Suma 2 23 11 3" xfId="32389"/>
    <cellStyle name="Suma 2 23 11 4" xfId="32390"/>
    <cellStyle name="Suma 2 23 12" xfId="32391"/>
    <cellStyle name="Suma 2 23 12 2" xfId="32392"/>
    <cellStyle name="Suma 2 23 12 3" xfId="32393"/>
    <cellStyle name="Suma 2 23 12 4" xfId="32394"/>
    <cellStyle name="Suma 2 23 13" xfId="32395"/>
    <cellStyle name="Suma 2 23 13 2" xfId="32396"/>
    <cellStyle name="Suma 2 23 13 3" xfId="32397"/>
    <cellStyle name="Suma 2 23 13 4" xfId="32398"/>
    <cellStyle name="Suma 2 23 14" xfId="32399"/>
    <cellStyle name="Suma 2 23 14 2" xfId="32400"/>
    <cellStyle name="Suma 2 23 14 3" xfId="32401"/>
    <cellStyle name="Suma 2 23 14 4" xfId="32402"/>
    <cellStyle name="Suma 2 23 15" xfId="32403"/>
    <cellStyle name="Suma 2 23 15 2" xfId="32404"/>
    <cellStyle name="Suma 2 23 15 3" xfId="32405"/>
    <cellStyle name="Suma 2 23 15 4" xfId="32406"/>
    <cellStyle name="Suma 2 23 16" xfId="32407"/>
    <cellStyle name="Suma 2 23 16 2" xfId="32408"/>
    <cellStyle name="Suma 2 23 16 3" xfId="32409"/>
    <cellStyle name="Suma 2 23 16 4" xfId="32410"/>
    <cellStyle name="Suma 2 23 17" xfId="32411"/>
    <cellStyle name="Suma 2 23 17 2" xfId="32412"/>
    <cellStyle name="Suma 2 23 17 3" xfId="32413"/>
    <cellStyle name="Suma 2 23 17 4" xfId="32414"/>
    <cellStyle name="Suma 2 23 18" xfId="32415"/>
    <cellStyle name="Suma 2 23 18 2" xfId="32416"/>
    <cellStyle name="Suma 2 23 18 3" xfId="32417"/>
    <cellStyle name="Suma 2 23 18 4" xfId="32418"/>
    <cellStyle name="Suma 2 23 19" xfId="32419"/>
    <cellStyle name="Suma 2 23 19 2" xfId="32420"/>
    <cellStyle name="Suma 2 23 19 3" xfId="32421"/>
    <cellStyle name="Suma 2 23 19 4" xfId="32422"/>
    <cellStyle name="Suma 2 23 2" xfId="32423"/>
    <cellStyle name="Suma 2 23 2 2" xfId="32424"/>
    <cellStyle name="Suma 2 23 2 3" xfId="32425"/>
    <cellStyle name="Suma 2 23 2 4" xfId="32426"/>
    <cellStyle name="Suma 2 23 20" xfId="32427"/>
    <cellStyle name="Suma 2 23 20 2" xfId="32428"/>
    <cellStyle name="Suma 2 23 20 3" xfId="32429"/>
    <cellStyle name="Suma 2 23 20 4" xfId="32430"/>
    <cellStyle name="Suma 2 23 21" xfId="32431"/>
    <cellStyle name="Suma 2 23 21 2" xfId="32432"/>
    <cellStyle name="Suma 2 23 21 3" xfId="32433"/>
    <cellStyle name="Suma 2 23 22" xfId="32434"/>
    <cellStyle name="Suma 2 23 22 2" xfId="32435"/>
    <cellStyle name="Suma 2 23 22 3" xfId="32436"/>
    <cellStyle name="Suma 2 23 23" xfId="32437"/>
    <cellStyle name="Suma 2 23 23 2" xfId="32438"/>
    <cellStyle name="Suma 2 23 23 3" xfId="32439"/>
    <cellStyle name="Suma 2 23 24" xfId="32440"/>
    <cellStyle name="Suma 2 23 24 2" xfId="32441"/>
    <cellStyle name="Suma 2 23 24 3" xfId="32442"/>
    <cellStyle name="Suma 2 23 25" xfId="32443"/>
    <cellStyle name="Suma 2 23 25 2" xfId="32444"/>
    <cellStyle name="Suma 2 23 25 3" xfId="32445"/>
    <cellStyle name="Suma 2 23 26" xfId="32446"/>
    <cellStyle name="Suma 2 23 26 2" xfId="32447"/>
    <cellStyle name="Suma 2 23 26 3" xfId="32448"/>
    <cellStyle name="Suma 2 23 27" xfId="32449"/>
    <cellStyle name="Suma 2 23 27 2" xfId="32450"/>
    <cellStyle name="Suma 2 23 27 3" xfId="32451"/>
    <cellStyle name="Suma 2 23 28" xfId="32452"/>
    <cellStyle name="Suma 2 23 28 2" xfId="32453"/>
    <cellStyle name="Suma 2 23 28 3" xfId="32454"/>
    <cellStyle name="Suma 2 23 29" xfId="32455"/>
    <cellStyle name="Suma 2 23 29 2" xfId="32456"/>
    <cellStyle name="Suma 2 23 29 3" xfId="32457"/>
    <cellStyle name="Suma 2 23 3" xfId="32458"/>
    <cellStyle name="Suma 2 23 3 2" xfId="32459"/>
    <cellStyle name="Suma 2 23 3 3" xfId="32460"/>
    <cellStyle name="Suma 2 23 3 4" xfId="32461"/>
    <cellStyle name="Suma 2 23 30" xfId="32462"/>
    <cellStyle name="Suma 2 23 30 2" xfId="32463"/>
    <cellStyle name="Suma 2 23 30 3" xfId="32464"/>
    <cellStyle name="Suma 2 23 31" xfId="32465"/>
    <cellStyle name="Suma 2 23 31 2" xfId="32466"/>
    <cellStyle name="Suma 2 23 31 3" xfId="32467"/>
    <cellStyle name="Suma 2 23 32" xfId="32468"/>
    <cellStyle name="Suma 2 23 32 2" xfId="32469"/>
    <cellStyle name="Suma 2 23 32 3" xfId="32470"/>
    <cellStyle name="Suma 2 23 33" xfId="32471"/>
    <cellStyle name="Suma 2 23 33 2" xfId="32472"/>
    <cellStyle name="Suma 2 23 33 3" xfId="32473"/>
    <cellStyle name="Suma 2 23 34" xfId="32474"/>
    <cellStyle name="Suma 2 23 34 2" xfId="32475"/>
    <cellStyle name="Suma 2 23 34 3" xfId="32476"/>
    <cellStyle name="Suma 2 23 35" xfId="32477"/>
    <cellStyle name="Suma 2 23 35 2" xfId="32478"/>
    <cellStyle name="Suma 2 23 35 3" xfId="32479"/>
    <cellStyle name="Suma 2 23 36" xfId="32480"/>
    <cellStyle name="Suma 2 23 36 2" xfId="32481"/>
    <cellStyle name="Suma 2 23 36 3" xfId="32482"/>
    <cellStyle name="Suma 2 23 37" xfId="32483"/>
    <cellStyle name="Suma 2 23 37 2" xfId="32484"/>
    <cellStyle name="Suma 2 23 37 3" xfId="32485"/>
    <cellStyle name="Suma 2 23 38" xfId="32486"/>
    <cellStyle name="Suma 2 23 38 2" xfId="32487"/>
    <cellStyle name="Suma 2 23 38 3" xfId="32488"/>
    <cellStyle name="Suma 2 23 39" xfId="32489"/>
    <cellStyle name="Suma 2 23 39 2" xfId="32490"/>
    <cellStyle name="Suma 2 23 39 3" xfId="32491"/>
    <cellStyle name="Suma 2 23 4" xfId="32492"/>
    <cellStyle name="Suma 2 23 4 2" xfId="32493"/>
    <cellStyle name="Suma 2 23 4 3" xfId="32494"/>
    <cellStyle name="Suma 2 23 4 4" xfId="32495"/>
    <cellStyle name="Suma 2 23 40" xfId="32496"/>
    <cellStyle name="Suma 2 23 40 2" xfId="32497"/>
    <cellStyle name="Suma 2 23 40 3" xfId="32498"/>
    <cellStyle name="Suma 2 23 41" xfId="32499"/>
    <cellStyle name="Suma 2 23 41 2" xfId="32500"/>
    <cellStyle name="Suma 2 23 41 3" xfId="32501"/>
    <cellStyle name="Suma 2 23 42" xfId="32502"/>
    <cellStyle name="Suma 2 23 42 2" xfId="32503"/>
    <cellStyle name="Suma 2 23 42 3" xfId="32504"/>
    <cellStyle name="Suma 2 23 43" xfId="32505"/>
    <cellStyle name="Suma 2 23 43 2" xfId="32506"/>
    <cellStyle name="Suma 2 23 43 3" xfId="32507"/>
    <cellStyle name="Suma 2 23 44" xfId="32508"/>
    <cellStyle name="Suma 2 23 44 2" xfId="32509"/>
    <cellStyle name="Suma 2 23 44 3" xfId="32510"/>
    <cellStyle name="Suma 2 23 45" xfId="32511"/>
    <cellStyle name="Suma 2 23 45 2" xfId="32512"/>
    <cellStyle name="Suma 2 23 45 3" xfId="32513"/>
    <cellStyle name="Suma 2 23 46" xfId="32514"/>
    <cellStyle name="Suma 2 23 46 2" xfId="32515"/>
    <cellStyle name="Suma 2 23 46 3" xfId="32516"/>
    <cellStyle name="Suma 2 23 47" xfId="32517"/>
    <cellStyle name="Suma 2 23 47 2" xfId="32518"/>
    <cellStyle name="Suma 2 23 47 3" xfId="32519"/>
    <cellStyle name="Suma 2 23 48" xfId="32520"/>
    <cellStyle name="Suma 2 23 48 2" xfId="32521"/>
    <cellStyle name="Suma 2 23 48 3" xfId="32522"/>
    <cellStyle name="Suma 2 23 49" xfId="32523"/>
    <cellStyle name="Suma 2 23 49 2" xfId="32524"/>
    <cellStyle name="Suma 2 23 49 3" xfId="32525"/>
    <cellStyle name="Suma 2 23 5" xfId="32526"/>
    <cellStyle name="Suma 2 23 5 2" xfId="32527"/>
    <cellStyle name="Suma 2 23 5 3" xfId="32528"/>
    <cellStyle name="Suma 2 23 5 4" xfId="32529"/>
    <cellStyle name="Suma 2 23 50" xfId="32530"/>
    <cellStyle name="Suma 2 23 50 2" xfId="32531"/>
    <cellStyle name="Suma 2 23 50 3" xfId="32532"/>
    <cellStyle name="Suma 2 23 51" xfId="32533"/>
    <cellStyle name="Suma 2 23 51 2" xfId="32534"/>
    <cellStyle name="Suma 2 23 51 3" xfId="32535"/>
    <cellStyle name="Suma 2 23 52" xfId="32536"/>
    <cellStyle name="Suma 2 23 52 2" xfId="32537"/>
    <cellStyle name="Suma 2 23 52 3" xfId="32538"/>
    <cellStyle name="Suma 2 23 53" xfId="32539"/>
    <cellStyle name="Suma 2 23 53 2" xfId="32540"/>
    <cellStyle name="Suma 2 23 53 3" xfId="32541"/>
    <cellStyle name="Suma 2 23 54" xfId="32542"/>
    <cellStyle name="Suma 2 23 54 2" xfId="32543"/>
    <cellStyle name="Suma 2 23 54 3" xfId="32544"/>
    <cellStyle name="Suma 2 23 55" xfId="32545"/>
    <cellStyle name="Suma 2 23 55 2" xfId="32546"/>
    <cellStyle name="Suma 2 23 55 3" xfId="32547"/>
    <cellStyle name="Suma 2 23 56" xfId="32548"/>
    <cellStyle name="Suma 2 23 56 2" xfId="32549"/>
    <cellStyle name="Suma 2 23 56 3" xfId="32550"/>
    <cellStyle name="Suma 2 23 57" xfId="32551"/>
    <cellStyle name="Suma 2 23 58" xfId="32552"/>
    <cellStyle name="Suma 2 23 6" xfId="32553"/>
    <cellStyle name="Suma 2 23 6 2" xfId="32554"/>
    <cellStyle name="Suma 2 23 6 3" xfId="32555"/>
    <cellStyle name="Suma 2 23 6 4" xfId="32556"/>
    <cellStyle name="Suma 2 23 7" xfId="32557"/>
    <cellStyle name="Suma 2 23 7 2" xfId="32558"/>
    <cellStyle name="Suma 2 23 7 3" xfId="32559"/>
    <cellStyle name="Suma 2 23 7 4" xfId="32560"/>
    <cellStyle name="Suma 2 23 8" xfId="32561"/>
    <cellStyle name="Suma 2 23 8 2" xfId="32562"/>
    <cellStyle name="Suma 2 23 8 3" xfId="32563"/>
    <cellStyle name="Suma 2 23 8 4" xfId="32564"/>
    <cellStyle name="Suma 2 23 9" xfId="32565"/>
    <cellStyle name="Suma 2 23 9 2" xfId="32566"/>
    <cellStyle name="Suma 2 23 9 3" xfId="32567"/>
    <cellStyle name="Suma 2 23 9 4" xfId="32568"/>
    <cellStyle name="Suma 2 24" xfId="32569"/>
    <cellStyle name="Suma 2 24 10" xfId="32570"/>
    <cellStyle name="Suma 2 24 10 2" xfId="32571"/>
    <cellStyle name="Suma 2 24 10 3" xfId="32572"/>
    <cellStyle name="Suma 2 24 10 4" xfId="32573"/>
    <cellStyle name="Suma 2 24 11" xfId="32574"/>
    <cellStyle name="Suma 2 24 11 2" xfId="32575"/>
    <cellStyle name="Suma 2 24 11 3" xfId="32576"/>
    <cellStyle name="Suma 2 24 11 4" xfId="32577"/>
    <cellStyle name="Suma 2 24 12" xfId="32578"/>
    <cellStyle name="Suma 2 24 12 2" xfId="32579"/>
    <cellStyle name="Suma 2 24 12 3" xfId="32580"/>
    <cellStyle name="Suma 2 24 12 4" xfId="32581"/>
    <cellStyle name="Suma 2 24 13" xfId="32582"/>
    <cellStyle name="Suma 2 24 13 2" xfId="32583"/>
    <cellStyle name="Suma 2 24 13 3" xfId="32584"/>
    <cellStyle name="Suma 2 24 13 4" xfId="32585"/>
    <cellStyle name="Suma 2 24 14" xfId="32586"/>
    <cellStyle name="Suma 2 24 14 2" xfId="32587"/>
    <cellStyle name="Suma 2 24 14 3" xfId="32588"/>
    <cellStyle name="Suma 2 24 14 4" xfId="32589"/>
    <cellStyle name="Suma 2 24 15" xfId="32590"/>
    <cellStyle name="Suma 2 24 15 2" xfId="32591"/>
    <cellStyle name="Suma 2 24 15 3" xfId="32592"/>
    <cellStyle name="Suma 2 24 15 4" xfId="32593"/>
    <cellStyle name="Suma 2 24 16" xfId="32594"/>
    <cellStyle name="Suma 2 24 16 2" xfId="32595"/>
    <cellStyle name="Suma 2 24 16 3" xfId="32596"/>
    <cellStyle name="Suma 2 24 16 4" xfId="32597"/>
    <cellStyle name="Suma 2 24 17" xfId="32598"/>
    <cellStyle name="Suma 2 24 17 2" xfId="32599"/>
    <cellStyle name="Suma 2 24 17 3" xfId="32600"/>
    <cellStyle name="Suma 2 24 17 4" xfId="32601"/>
    <cellStyle name="Suma 2 24 18" xfId="32602"/>
    <cellStyle name="Suma 2 24 18 2" xfId="32603"/>
    <cellStyle name="Suma 2 24 18 3" xfId="32604"/>
    <cellStyle name="Suma 2 24 18 4" xfId="32605"/>
    <cellStyle name="Suma 2 24 19" xfId="32606"/>
    <cellStyle name="Suma 2 24 19 2" xfId="32607"/>
    <cellStyle name="Suma 2 24 19 3" xfId="32608"/>
    <cellStyle name="Suma 2 24 19 4" xfId="32609"/>
    <cellStyle name="Suma 2 24 2" xfId="32610"/>
    <cellStyle name="Suma 2 24 2 2" xfId="32611"/>
    <cellStyle name="Suma 2 24 2 3" xfId="32612"/>
    <cellStyle name="Suma 2 24 2 4" xfId="32613"/>
    <cellStyle name="Suma 2 24 20" xfId="32614"/>
    <cellStyle name="Suma 2 24 20 2" xfId="32615"/>
    <cellStyle name="Suma 2 24 20 3" xfId="32616"/>
    <cellStyle name="Suma 2 24 20 4" xfId="32617"/>
    <cellStyle name="Suma 2 24 21" xfId="32618"/>
    <cellStyle name="Suma 2 24 21 2" xfId="32619"/>
    <cellStyle name="Suma 2 24 21 3" xfId="32620"/>
    <cellStyle name="Suma 2 24 22" xfId="32621"/>
    <cellStyle name="Suma 2 24 22 2" xfId="32622"/>
    <cellStyle name="Suma 2 24 22 3" xfId="32623"/>
    <cellStyle name="Suma 2 24 23" xfId="32624"/>
    <cellStyle name="Suma 2 24 23 2" xfId="32625"/>
    <cellStyle name="Suma 2 24 23 3" xfId="32626"/>
    <cellStyle name="Suma 2 24 24" xfId="32627"/>
    <cellStyle name="Suma 2 24 24 2" xfId="32628"/>
    <cellStyle name="Suma 2 24 24 3" xfId="32629"/>
    <cellStyle name="Suma 2 24 25" xfId="32630"/>
    <cellStyle name="Suma 2 24 25 2" xfId="32631"/>
    <cellStyle name="Suma 2 24 25 3" xfId="32632"/>
    <cellStyle name="Suma 2 24 26" xfId="32633"/>
    <cellStyle name="Suma 2 24 26 2" xfId="32634"/>
    <cellStyle name="Suma 2 24 26 3" xfId="32635"/>
    <cellStyle name="Suma 2 24 27" xfId="32636"/>
    <cellStyle name="Suma 2 24 27 2" xfId="32637"/>
    <cellStyle name="Suma 2 24 27 3" xfId="32638"/>
    <cellStyle name="Suma 2 24 28" xfId="32639"/>
    <cellStyle name="Suma 2 24 28 2" xfId="32640"/>
    <cellStyle name="Suma 2 24 28 3" xfId="32641"/>
    <cellStyle name="Suma 2 24 29" xfId="32642"/>
    <cellStyle name="Suma 2 24 29 2" xfId="32643"/>
    <cellStyle name="Suma 2 24 29 3" xfId="32644"/>
    <cellStyle name="Suma 2 24 3" xfId="32645"/>
    <cellStyle name="Suma 2 24 3 2" xfId="32646"/>
    <cellStyle name="Suma 2 24 3 3" xfId="32647"/>
    <cellStyle name="Suma 2 24 3 4" xfId="32648"/>
    <cellStyle name="Suma 2 24 30" xfId="32649"/>
    <cellStyle name="Suma 2 24 30 2" xfId="32650"/>
    <cellStyle name="Suma 2 24 30 3" xfId="32651"/>
    <cellStyle name="Suma 2 24 31" xfId="32652"/>
    <cellStyle name="Suma 2 24 31 2" xfId="32653"/>
    <cellStyle name="Suma 2 24 31 3" xfId="32654"/>
    <cellStyle name="Suma 2 24 32" xfId="32655"/>
    <cellStyle name="Suma 2 24 32 2" xfId="32656"/>
    <cellStyle name="Suma 2 24 32 3" xfId="32657"/>
    <cellStyle name="Suma 2 24 33" xfId="32658"/>
    <cellStyle name="Suma 2 24 33 2" xfId="32659"/>
    <cellStyle name="Suma 2 24 33 3" xfId="32660"/>
    <cellStyle name="Suma 2 24 34" xfId="32661"/>
    <cellStyle name="Suma 2 24 34 2" xfId="32662"/>
    <cellStyle name="Suma 2 24 34 3" xfId="32663"/>
    <cellStyle name="Suma 2 24 35" xfId="32664"/>
    <cellStyle name="Suma 2 24 35 2" xfId="32665"/>
    <cellStyle name="Suma 2 24 35 3" xfId="32666"/>
    <cellStyle name="Suma 2 24 36" xfId="32667"/>
    <cellStyle name="Suma 2 24 36 2" xfId="32668"/>
    <cellStyle name="Suma 2 24 36 3" xfId="32669"/>
    <cellStyle name="Suma 2 24 37" xfId="32670"/>
    <cellStyle name="Suma 2 24 37 2" xfId="32671"/>
    <cellStyle name="Suma 2 24 37 3" xfId="32672"/>
    <cellStyle name="Suma 2 24 38" xfId="32673"/>
    <cellStyle name="Suma 2 24 38 2" xfId="32674"/>
    <cellStyle name="Suma 2 24 38 3" xfId="32675"/>
    <cellStyle name="Suma 2 24 39" xfId="32676"/>
    <cellStyle name="Suma 2 24 39 2" xfId="32677"/>
    <cellStyle name="Suma 2 24 39 3" xfId="32678"/>
    <cellStyle name="Suma 2 24 4" xfId="32679"/>
    <cellStyle name="Suma 2 24 4 2" xfId="32680"/>
    <cellStyle name="Suma 2 24 4 3" xfId="32681"/>
    <cellStyle name="Suma 2 24 4 4" xfId="32682"/>
    <cellStyle name="Suma 2 24 40" xfId="32683"/>
    <cellStyle name="Suma 2 24 40 2" xfId="32684"/>
    <cellStyle name="Suma 2 24 40 3" xfId="32685"/>
    <cellStyle name="Suma 2 24 41" xfId="32686"/>
    <cellStyle name="Suma 2 24 41 2" xfId="32687"/>
    <cellStyle name="Suma 2 24 41 3" xfId="32688"/>
    <cellStyle name="Suma 2 24 42" xfId="32689"/>
    <cellStyle name="Suma 2 24 42 2" xfId="32690"/>
    <cellStyle name="Suma 2 24 42 3" xfId="32691"/>
    <cellStyle name="Suma 2 24 43" xfId="32692"/>
    <cellStyle name="Suma 2 24 43 2" xfId="32693"/>
    <cellStyle name="Suma 2 24 43 3" xfId="32694"/>
    <cellStyle name="Suma 2 24 44" xfId="32695"/>
    <cellStyle name="Suma 2 24 44 2" xfId="32696"/>
    <cellStyle name="Suma 2 24 44 3" xfId="32697"/>
    <cellStyle name="Suma 2 24 45" xfId="32698"/>
    <cellStyle name="Suma 2 24 45 2" xfId="32699"/>
    <cellStyle name="Suma 2 24 45 3" xfId="32700"/>
    <cellStyle name="Suma 2 24 46" xfId="32701"/>
    <cellStyle name="Suma 2 24 46 2" xfId="32702"/>
    <cellStyle name="Suma 2 24 46 3" xfId="32703"/>
    <cellStyle name="Suma 2 24 47" xfId="32704"/>
    <cellStyle name="Suma 2 24 47 2" xfId="32705"/>
    <cellStyle name="Suma 2 24 47 3" xfId="32706"/>
    <cellStyle name="Suma 2 24 48" xfId="32707"/>
    <cellStyle name="Suma 2 24 48 2" xfId="32708"/>
    <cellStyle name="Suma 2 24 48 3" xfId="32709"/>
    <cellStyle name="Suma 2 24 49" xfId="32710"/>
    <cellStyle name="Suma 2 24 49 2" xfId="32711"/>
    <cellStyle name="Suma 2 24 49 3" xfId="32712"/>
    <cellStyle name="Suma 2 24 5" xfId="32713"/>
    <cellStyle name="Suma 2 24 5 2" xfId="32714"/>
    <cellStyle name="Suma 2 24 5 3" xfId="32715"/>
    <cellStyle name="Suma 2 24 5 4" xfId="32716"/>
    <cellStyle name="Suma 2 24 50" xfId="32717"/>
    <cellStyle name="Suma 2 24 50 2" xfId="32718"/>
    <cellStyle name="Suma 2 24 50 3" xfId="32719"/>
    <cellStyle name="Suma 2 24 51" xfId="32720"/>
    <cellStyle name="Suma 2 24 51 2" xfId="32721"/>
    <cellStyle name="Suma 2 24 51 3" xfId="32722"/>
    <cellStyle name="Suma 2 24 52" xfId="32723"/>
    <cellStyle name="Suma 2 24 52 2" xfId="32724"/>
    <cellStyle name="Suma 2 24 52 3" xfId="32725"/>
    <cellStyle name="Suma 2 24 53" xfId="32726"/>
    <cellStyle name="Suma 2 24 53 2" xfId="32727"/>
    <cellStyle name="Suma 2 24 53 3" xfId="32728"/>
    <cellStyle name="Suma 2 24 54" xfId="32729"/>
    <cellStyle name="Suma 2 24 54 2" xfId="32730"/>
    <cellStyle name="Suma 2 24 54 3" xfId="32731"/>
    <cellStyle name="Suma 2 24 55" xfId="32732"/>
    <cellStyle name="Suma 2 24 55 2" xfId="32733"/>
    <cellStyle name="Suma 2 24 55 3" xfId="32734"/>
    <cellStyle name="Suma 2 24 56" xfId="32735"/>
    <cellStyle name="Suma 2 24 56 2" xfId="32736"/>
    <cellStyle name="Suma 2 24 56 3" xfId="32737"/>
    <cellStyle name="Suma 2 24 57" xfId="32738"/>
    <cellStyle name="Suma 2 24 58" xfId="32739"/>
    <cellStyle name="Suma 2 24 6" xfId="32740"/>
    <cellStyle name="Suma 2 24 6 2" xfId="32741"/>
    <cellStyle name="Suma 2 24 6 3" xfId="32742"/>
    <cellStyle name="Suma 2 24 6 4" xfId="32743"/>
    <cellStyle name="Suma 2 24 7" xfId="32744"/>
    <cellStyle name="Suma 2 24 7 2" xfId="32745"/>
    <cellStyle name="Suma 2 24 7 3" xfId="32746"/>
    <cellStyle name="Suma 2 24 7 4" xfId="32747"/>
    <cellStyle name="Suma 2 24 8" xfId="32748"/>
    <cellStyle name="Suma 2 24 8 2" xfId="32749"/>
    <cellStyle name="Suma 2 24 8 3" xfId="32750"/>
    <cellStyle name="Suma 2 24 8 4" xfId="32751"/>
    <cellStyle name="Suma 2 24 9" xfId="32752"/>
    <cellStyle name="Suma 2 24 9 2" xfId="32753"/>
    <cellStyle name="Suma 2 24 9 3" xfId="32754"/>
    <cellStyle name="Suma 2 24 9 4" xfId="32755"/>
    <cellStyle name="Suma 2 25" xfId="32756"/>
    <cellStyle name="Suma 2 25 10" xfId="32757"/>
    <cellStyle name="Suma 2 25 10 2" xfId="32758"/>
    <cellStyle name="Suma 2 25 10 3" xfId="32759"/>
    <cellStyle name="Suma 2 25 10 4" xfId="32760"/>
    <cellStyle name="Suma 2 25 11" xfId="32761"/>
    <cellStyle name="Suma 2 25 11 2" xfId="32762"/>
    <cellStyle name="Suma 2 25 11 3" xfId="32763"/>
    <cellStyle name="Suma 2 25 11 4" xfId="32764"/>
    <cellStyle name="Suma 2 25 12" xfId="32765"/>
    <cellStyle name="Suma 2 25 12 2" xfId="32766"/>
    <cellStyle name="Suma 2 25 12 3" xfId="32767"/>
    <cellStyle name="Suma 2 25 12 4" xfId="32768"/>
    <cellStyle name="Suma 2 25 13" xfId="32769"/>
    <cellStyle name="Suma 2 25 13 2" xfId="32770"/>
    <cellStyle name="Suma 2 25 13 3" xfId="32771"/>
    <cellStyle name="Suma 2 25 13 4" xfId="32772"/>
    <cellStyle name="Suma 2 25 14" xfId="32773"/>
    <cellStyle name="Suma 2 25 14 2" xfId="32774"/>
    <cellStyle name="Suma 2 25 14 3" xfId="32775"/>
    <cellStyle name="Suma 2 25 14 4" xfId="32776"/>
    <cellStyle name="Suma 2 25 15" xfId="32777"/>
    <cellStyle name="Suma 2 25 15 2" xfId="32778"/>
    <cellStyle name="Suma 2 25 15 3" xfId="32779"/>
    <cellStyle name="Suma 2 25 15 4" xfId="32780"/>
    <cellStyle name="Suma 2 25 16" xfId="32781"/>
    <cellStyle name="Suma 2 25 16 2" xfId="32782"/>
    <cellStyle name="Suma 2 25 16 3" xfId="32783"/>
    <cellStyle name="Suma 2 25 16 4" xfId="32784"/>
    <cellStyle name="Suma 2 25 17" xfId="32785"/>
    <cellStyle name="Suma 2 25 17 2" xfId="32786"/>
    <cellStyle name="Suma 2 25 17 3" xfId="32787"/>
    <cellStyle name="Suma 2 25 17 4" xfId="32788"/>
    <cellStyle name="Suma 2 25 18" xfId="32789"/>
    <cellStyle name="Suma 2 25 18 2" xfId="32790"/>
    <cellStyle name="Suma 2 25 18 3" xfId="32791"/>
    <cellStyle name="Suma 2 25 18 4" xfId="32792"/>
    <cellStyle name="Suma 2 25 19" xfId="32793"/>
    <cellStyle name="Suma 2 25 19 2" xfId="32794"/>
    <cellStyle name="Suma 2 25 19 3" xfId="32795"/>
    <cellStyle name="Suma 2 25 19 4" xfId="32796"/>
    <cellStyle name="Suma 2 25 2" xfId="32797"/>
    <cellStyle name="Suma 2 25 2 2" xfId="32798"/>
    <cellStyle name="Suma 2 25 2 3" xfId="32799"/>
    <cellStyle name="Suma 2 25 2 4" xfId="32800"/>
    <cellStyle name="Suma 2 25 20" xfId="32801"/>
    <cellStyle name="Suma 2 25 20 2" xfId="32802"/>
    <cellStyle name="Suma 2 25 20 3" xfId="32803"/>
    <cellStyle name="Suma 2 25 20 4" xfId="32804"/>
    <cellStyle name="Suma 2 25 21" xfId="32805"/>
    <cellStyle name="Suma 2 25 21 2" xfId="32806"/>
    <cellStyle name="Suma 2 25 21 3" xfId="32807"/>
    <cellStyle name="Suma 2 25 22" xfId="32808"/>
    <cellStyle name="Suma 2 25 22 2" xfId="32809"/>
    <cellStyle name="Suma 2 25 22 3" xfId="32810"/>
    <cellStyle name="Suma 2 25 23" xfId="32811"/>
    <cellStyle name="Suma 2 25 23 2" xfId="32812"/>
    <cellStyle name="Suma 2 25 23 3" xfId="32813"/>
    <cellStyle name="Suma 2 25 24" xfId="32814"/>
    <cellStyle name="Suma 2 25 24 2" xfId="32815"/>
    <cellStyle name="Suma 2 25 24 3" xfId="32816"/>
    <cellStyle name="Suma 2 25 25" xfId="32817"/>
    <cellStyle name="Suma 2 25 25 2" xfId="32818"/>
    <cellStyle name="Suma 2 25 25 3" xfId="32819"/>
    <cellStyle name="Suma 2 25 26" xfId="32820"/>
    <cellStyle name="Suma 2 25 26 2" xfId="32821"/>
    <cellStyle name="Suma 2 25 26 3" xfId="32822"/>
    <cellStyle name="Suma 2 25 27" xfId="32823"/>
    <cellStyle name="Suma 2 25 27 2" xfId="32824"/>
    <cellStyle name="Suma 2 25 27 3" xfId="32825"/>
    <cellStyle name="Suma 2 25 28" xfId="32826"/>
    <cellStyle name="Suma 2 25 28 2" xfId="32827"/>
    <cellStyle name="Suma 2 25 28 3" xfId="32828"/>
    <cellStyle name="Suma 2 25 29" xfId="32829"/>
    <cellStyle name="Suma 2 25 29 2" xfId="32830"/>
    <cellStyle name="Suma 2 25 29 3" xfId="32831"/>
    <cellStyle name="Suma 2 25 3" xfId="32832"/>
    <cellStyle name="Suma 2 25 3 2" xfId="32833"/>
    <cellStyle name="Suma 2 25 3 3" xfId="32834"/>
    <cellStyle name="Suma 2 25 3 4" xfId="32835"/>
    <cellStyle name="Suma 2 25 30" xfId="32836"/>
    <cellStyle name="Suma 2 25 30 2" xfId="32837"/>
    <cellStyle name="Suma 2 25 30 3" xfId="32838"/>
    <cellStyle name="Suma 2 25 31" xfId="32839"/>
    <cellStyle name="Suma 2 25 31 2" xfId="32840"/>
    <cellStyle name="Suma 2 25 31 3" xfId="32841"/>
    <cellStyle name="Suma 2 25 32" xfId="32842"/>
    <cellStyle name="Suma 2 25 32 2" xfId="32843"/>
    <cellStyle name="Suma 2 25 32 3" xfId="32844"/>
    <cellStyle name="Suma 2 25 33" xfId="32845"/>
    <cellStyle name="Suma 2 25 33 2" xfId="32846"/>
    <cellStyle name="Suma 2 25 33 3" xfId="32847"/>
    <cellStyle name="Suma 2 25 34" xfId="32848"/>
    <cellStyle name="Suma 2 25 34 2" xfId="32849"/>
    <cellStyle name="Suma 2 25 34 3" xfId="32850"/>
    <cellStyle name="Suma 2 25 35" xfId="32851"/>
    <cellStyle name="Suma 2 25 35 2" xfId="32852"/>
    <cellStyle name="Suma 2 25 35 3" xfId="32853"/>
    <cellStyle name="Suma 2 25 36" xfId="32854"/>
    <cellStyle name="Suma 2 25 36 2" xfId="32855"/>
    <cellStyle name="Suma 2 25 36 3" xfId="32856"/>
    <cellStyle name="Suma 2 25 37" xfId="32857"/>
    <cellStyle name="Suma 2 25 37 2" xfId="32858"/>
    <cellStyle name="Suma 2 25 37 3" xfId="32859"/>
    <cellStyle name="Suma 2 25 38" xfId="32860"/>
    <cellStyle name="Suma 2 25 38 2" xfId="32861"/>
    <cellStyle name="Suma 2 25 38 3" xfId="32862"/>
    <cellStyle name="Suma 2 25 39" xfId="32863"/>
    <cellStyle name="Suma 2 25 39 2" xfId="32864"/>
    <cellStyle name="Suma 2 25 39 3" xfId="32865"/>
    <cellStyle name="Suma 2 25 4" xfId="32866"/>
    <cellStyle name="Suma 2 25 4 2" xfId="32867"/>
    <cellStyle name="Suma 2 25 4 3" xfId="32868"/>
    <cellStyle name="Suma 2 25 4 4" xfId="32869"/>
    <cellStyle name="Suma 2 25 40" xfId="32870"/>
    <cellStyle name="Suma 2 25 40 2" xfId="32871"/>
    <cellStyle name="Suma 2 25 40 3" xfId="32872"/>
    <cellStyle name="Suma 2 25 41" xfId="32873"/>
    <cellStyle name="Suma 2 25 41 2" xfId="32874"/>
    <cellStyle name="Suma 2 25 41 3" xfId="32875"/>
    <cellStyle name="Suma 2 25 42" xfId="32876"/>
    <cellStyle name="Suma 2 25 42 2" xfId="32877"/>
    <cellStyle name="Suma 2 25 42 3" xfId="32878"/>
    <cellStyle name="Suma 2 25 43" xfId="32879"/>
    <cellStyle name="Suma 2 25 43 2" xfId="32880"/>
    <cellStyle name="Suma 2 25 43 3" xfId="32881"/>
    <cellStyle name="Suma 2 25 44" xfId="32882"/>
    <cellStyle name="Suma 2 25 44 2" xfId="32883"/>
    <cellStyle name="Suma 2 25 44 3" xfId="32884"/>
    <cellStyle name="Suma 2 25 45" xfId="32885"/>
    <cellStyle name="Suma 2 25 45 2" xfId="32886"/>
    <cellStyle name="Suma 2 25 45 3" xfId="32887"/>
    <cellStyle name="Suma 2 25 46" xfId="32888"/>
    <cellStyle name="Suma 2 25 46 2" xfId="32889"/>
    <cellStyle name="Suma 2 25 46 3" xfId="32890"/>
    <cellStyle name="Suma 2 25 47" xfId="32891"/>
    <cellStyle name="Suma 2 25 47 2" xfId="32892"/>
    <cellStyle name="Suma 2 25 47 3" xfId="32893"/>
    <cellStyle name="Suma 2 25 48" xfId="32894"/>
    <cellStyle name="Suma 2 25 48 2" xfId="32895"/>
    <cellStyle name="Suma 2 25 48 3" xfId="32896"/>
    <cellStyle name="Suma 2 25 49" xfId="32897"/>
    <cellStyle name="Suma 2 25 49 2" xfId="32898"/>
    <cellStyle name="Suma 2 25 49 3" xfId="32899"/>
    <cellStyle name="Suma 2 25 5" xfId="32900"/>
    <cellStyle name="Suma 2 25 5 2" xfId="32901"/>
    <cellStyle name="Suma 2 25 5 3" xfId="32902"/>
    <cellStyle name="Suma 2 25 5 4" xfId="32903"/>
    <cellStyle name="Suma 2 25 50" xfId="32904"/>
    <cellStyle name="Suma 2 25 50 2" xfId="32905"/>
    <cellStyle name="Suma 2 25 50 3" xfId="32906"/>
    <cellStyle name="Suma 2 25 51" xfId="32907"/>
    <cellStyle name="Suma 2 25 51 2" xfId="32908"/>
    <cellStyle name="Suma 2 25 51 3" xfId="32909"/>
    <cellStyle name="Suma 2 25 52" xfId="32910"/>
    <cellStyle name="Suma 2 25 52 2" xfId="32911"/>
    <cellStyle name="Suma 2 25 52 3" xfId="32912"/>
    <cellStyle name="Suma 2 25 53" xfId="32913"/>
    <cellStyle name="Suma 2 25 53 2" xfId="32914"/>
    <cellStyle name="Suma 2 25 53 3" xfId="32915"/>
    <cellStyle name="Suma 2 25 54" xfId="32916"/>
    <cellStyle name="Suma 2 25 54 2" xfId="32917"/>
    <cellStyle name="Suma 2 25 54 3" xfId="32918"/>
    <cellStyle name="Suma 2 25 55" xfId="32919"/>
    <cellStyle name="Suma 2 25 55 2" xfId="32920"/>
    <cellStyle name="Suma 2 25 55 3" xfId="32921"/>
    <cellStyle name="Suma 2 25 56" xfId="32922"/>
    <cellStyle name="Suma 2 25 56 2" xfId="32923"/>
    <cellStyle name="Suma 2 25 56 3" xfId="32924"/>
    <cellStyle name="Suma 2 25 57" xfId="32925"/>
    <cellStyle name="Suma 2 25 58" xfId="32926"/>
    <cellStyle name="Suma 2 25 6" xfId="32927"/>
    <cellStyle name="Suma 2 25 6 2" xfId="32928"/>
    <cellStyle name="Suma 2 25 6 3" xfId="32929"/>
    <cellStyle name="Suma 2 25 6 4" xfId="32930"/>
    <cellStyle name="Suma 2 25 7" xfId="32931"/>
    <cellStyle name="Suma 2 25 7 2" xfId="32932"/>
    <cellStyle name="Suma 2 25 7 3" xfId="32933"/>
    <cellStyle name="Suma 2 25 7 4" xfId="32934"/>
    <cellStyle name="Suma 2 25 8" xfId="32935"/>
    <cellStyle name="Suma 2 25 8 2" xfId="32936"/>
    <cellStyle name="Suma 2 25 8 3" xfId="32937"/>
    <cellStyle name="Suma 2 25 8 4" xfId="32938"/>
    <cellStyle name="Suma 2 25 9" xfId="32939"/>
    <cellStyle name="Suma 2 25 9 2" xfId="32940"/>
    <cellStyle name="Suma 2 25 9 3" xfId="32941"/>
    <cellStyle name="Suma 2 25 9 4" xfId="32942"/>
    <cellStyle name="Suma 2 26" xfId="32943"/>
    <cellStyle name="Suma 2 26 10" xfId="32944"/>
    <cellStyle name="Suma 2 26 10 2" xfId="32945"/>
    <cellStyle name="Suma 2 26 10 3" xfId="32946"/>
    <cellStyle name="Suma 2 26 10 4" xfId="32947"/>
    <cellStyle name="Suma 2 26 11" xfId="32948"/>
    <cellStyle name="Suma 2 26 11 2" xfId="32949"/>
    <cellStyle name="Suma 2 26 11 3" xfId="32950"/>
    <cellStyle name="Suma 2 26 11 4" xfId="32951"/>
    <cellStyle name="Suma 2 26 12" xfId="32952"/>
    <cellStyle name="Suma 2 26 12 2" xfId="32953"/>
    <cellStyle name="Suma 2 26 12 3" xfId="32954"/>
    <cellStyle name="Suma 2 26 12 4" xfId="32955"/>
    <cellStyle name="Suma 2 26 13" xfId="32956"/>
    <cellStyle name="Suma 2 26 13 2" xfId="32957"/>
    <cellStyle name="Suma 2 26 13 3" xfId="32958"/>
    <cellStyle name="Suma 2 26 13 4" xfId="32959"/>
    <cellStyle name="Suma 2 26 14" xfId="32960"/>
    <cellStyle name="Suma 2 26 14 2" xfId="32961"/>
    <cellStyle name="Suma 2 26 14 3" xfId="32962"/>
    <cellStyle name="Suma 2 26 14 4" xfId="32963"/>
    <cellStyle name="Suma 2 26 15" xfId="32964"/>
    <cellStyle name="Suma 2 26 15 2" xfId="32965"/>
    <cellStyle name="Suma 2 26 15 3" xfId="32966"/>
    <cellStyle name="Suma 2 26 15 4" xfId="32967"/>
    <cellStyle name="Suma 2 26 16" xfId="32968"/>
    <cellStyle name="Suma 2 26 16 2" xfId="32969"/>
    <cellStyle name="Suma 2 26 16 3" xfId="32970"/>
    <cellStyle name="Suma 2 26 16 4" xfId="32971"/>
    <cellStyle name="Suma 2 26 17" xfId="32972"/>
    <cellStyle name="Suma 2 26 17 2" xfId="32973"/>
    <cellStyle name="Suma 2 26 17 3" xfId="32974"/>
    <cellStyle name="Suma 2 26 17 4" xfId="32975"/>
    <cellStyle name="Suma 2 26 18" xfId="32976"/>
    <cellStyle name="Suma 2 26 18 2" xfId="32977"/>
    <cellStyle name="Suma 2 26 18 3" xfId="32978"/>
    <cellStyle name="Suma 2 26 18 4" xfId="32979"/>
    <cellStyle name="Suma 2 26 19" xfId="32980"/>
    <cellStyle name="Suma 2 26 19 2" xfId="32981"/>
    <cellStyle name="Suma 2 26 19 3" xfId="32982"/>
    <cellStyle name="Suma 2 26 19 4" xfId="32983"/>
    <cellStyle name="Suma 2 26 2" xfId="32984"/>
    <cellStyle name="Suma 2 26 2 2" xfId="32985"/>
    <cellStyle name="Suma 2 26 2 3" xfId="32986"/>
    <cellStyle name="Suma 2 26 2 4" xfId="32987"/>
    <cellStyle name="Suma 2 26 20" xfId="32988"/>
    <cellStyle name="Suma 2 26 20 2" xfId="32989"/>
    <cellStyle name="Suma 2 26 20 3" xfId="32990"/>
    <cellStyle name="Suma 2 26 20 4" xfId="32991"/>
    <cellStyle name="Suma 2 26 21" xfId="32992"/>
    <cellStyle name="Suma 2 26 21 2" xfId="32993"/>
    <cellStyle name="Suma 2 26 21 3" xfId="32994"/>
    <cellStyle name="Suma 2 26 22" xfId="32995"/>
    <cellStyle name="Suma 2 26 22 2" xfId="32996"/>
    <cellStyle name="Suma 2 26 22 3" xfId="32997"/>
    <cellStyle name="Suma 2 26 23" xfId="32998"/>
    <cellStyle name="Suma 2 26 23 2" xfId="32999"/>
    <cellStyle name="Suma 2 26 23 3" xfId="33000"/>
    <cellStyle name="Suma 2 26 24" xfId="33001"/>
    <cellStyle name="Suma 2 26 24 2" xfId="33002"/>
    <cellStyle name="Suma 2 26 24 3" xfId="33003"/>
    <cellStyle name="Suma 2 26 25" xfId="33004"/>
    <cellStyle name="Suma 2 26 25 2" xfId="33005"/>
    <cellStyle name="Suma 2 26 25 3" xfId="33006"/>
    <cellStyle name="Suma 2 26 26" xfId="33007"/>
    <cellStyle name="Suma 2 26 26 2" xfId="33008"/>
    <cellStyle name="Suma 2 26 26 3" xfId="33009"/>
    <cellStyle name="Suma 2 26 27" xfId="33010"/>
    <cellStyle name="Suma 2 26 27 2" xfId="33011"/>
    <cellStyle name="Suma 2 26 27 3" xfId="33012"/>
    <cellStyle name="Suma 2 26 28" xfId="33013"/>
    <cellStyle name="Suma 2 26 28 2" xfId="33014"/>
    <cellStyle name="Suma 2 26 28 3" xfId="33015"/>
    <cellStyle name="Suma 2 26 29" xfId="33016"/>
    <cellStyle name="Suma 2 26 29 2" xfId="33017"/>
    <cellStyle name="Suma 2 26 29 3" xfId="33018"/>
    <cellStyle name="Suma 2 26 3" xfId="33019"/>
    <cellStyle name="Suma 2 26 3 2" xfId="33020"/>
    <cellStyle name="Suma 2 26 3 3" xfId="33021"/>
    <cellStyle name="Suma 2 26 3 4" xfId="33022"/>
    <cellStyle name="Suma 2 26 30" xfId="33023"/>
    <cellStyle name="Suma 2 26 30 2" xfId="33024"/>
    <cellStyle name="Suma 2 26 30 3" xfId="33025"/>
    <cellStyle name="Suma 2 26 31" xfId="33026"/>
    <cellStyle name="Suma 2 26 31 2" xfId="33027"/>
    <cellStyle name="Suma 2 26 31 3" xfId="33028"/>
    <cellStyle name="Suma 2 26 32" xfId="33029"/>
    <cellStyle name="Suma 2 26 32 2" xfId="33030"/>
    <cellStyle name="Suma 2 26 32 3" xfId="33031"/>
    <cellStyle name="Suma 2 26 33" xfId="33032"/>
    <cellStyle name="Suma 2 26 33 2" xfId="33033"/>
    <cellStyle name="Suma 2 26 33 3" xfId="33034"/>
    <cellStyle name="Suma 2 26 34" xfId="33035"/>
    <cellStyle name="Suma 2 26 34 2" xfId="33036"/>
    <cellStyle name="Suma 2 26 34 3" xfId="33037"/>
    <cellStyle name="Suma 2 26 35" xfId="33038"/>
    <cellStyle name="Suma 2 26 35 2" xfId="33039"/>
    <cellStyle name="Suma 2 26 35 3" xfId="33040"/>
    <cellStyle name="Suma 2 26 36" xfId="33041"/>
    <cellStyle name="Suma 2 26 36 2" xfId="33042"/>
    <cellStyle name="Suma 2 26 36 3" xfId="33043"/>
    <cellStyle name="Suma 2 26 37" xfId="33044"/>
    <cellStyle name="Suma 2 26 37 2" xfId="33045"/>
    <cellStyle name="Suma 2 26 37 3" xfId="33046"/>
    <cellStyle name="Suma 2 26 38" xfId="33047"/>
    <cellStyle name="Suma 2 26 38 2" xfId="33048"/>
    <cellStyle name="Suma 2 26 38 3" xfId="33049"/>
    <cellStyle name="Suma 2 26 39" xfId="33050"/>
    <cellStyle name="Suma 2 26 39 2" xfId="33051"/>
    <cellStyle name="Suma 2 26 39 3" xfId="33052"/>
    <cellStyle name="Suma 2 26 4" xfId="33053"/>
    <cellStyle name="Suma 2 26 4 2" xfId="33054"/>
    <cellStyle name="Suma 2 26 4 3" xfId="33055"/>
    <cellStyle name="Suma 2 26 4 4" xfId="33056"/>
    <cellStyle name="Suma 2 26 40" xfId="33057"/>
    <cellStyle name="Suma 2 26 40 2" xfId="33058"/>
    <cellStyle name="Suma 2 26 40 3" xfId="33059"/>
    <cellStyle name="Suma 2 26 41" xfId="33060"/>
    <cellStyle name="Suma 2 26 41 2" xfId="33061"/>
    <cellStyle name="Suma 2 26 41 3" xfId="33062"/>
    <cellStyle name="Suma 2 26 42" xfId="33063"/>
    <cellStyle name="Suma 2 26 42 2" xfId="33064"/>
    <cellStyle name="Suma 2 26 42 3" xfId="33065"/>
    <cellStyle name="Suma 2 26 43" xfId="33066"/>
    <cellStyle name="Suma 2 26 43 2" xfId="33067"/>
    <cellStyle name="Suma 2 26 43 3" xfId="33068"/>
    <cellStyle name="Suma 2 26 44" xfId="33069"/>
    <cellStyle name="Suma 2 26 44 2" xfId="33070"/>
    <cellStyle name="Suma 2 26 44 3" xfId="33071"/>
    <cellStyle name="Suma 2 26 45" xfId="33072"/>
    <cellStyle name="Suma 2 26 45 2" xfId="33073"/>
    <cellStyle name="Suma 2 26 45 3" xfId="33074"/>
    <cellStyle name="Suma 2 26 46" xfId="33075"/>
    <cellStyle name="Suma 2 26 46 2" xfId="33076"/>
    <cellStyle name="Suma 2 26 46 3" xfId="33077"/>
    <cellStyle name="Suma 2 26 47" xfId="33078"/>
    <cellStyle name="Suma 2 26 47 2" xfId="33079"/>
    <cellStyle name="Suma 2 26 47 3" xfId="33080"/>
    <cellStyle name="Suma 2 26 48" xfId="33081"/>
    <cellStyle name="Suma 2 26 48 2" xfId="33082"/>
    <cellStyle name="Suma 2 26 48 3" xfId="33083"/>
    <cellStyle name="Suma 2 26 49" xfId="33084"/>
    <cellStyle name="Suma 2 26 49 2" xfId="33085"/>
    <cellStyle name="Suma 2 26 49 3" xfId="33086"/>
    <cellStyle name="Suma 2 26 5" xfId="33087"/>
    <cellStyle name="Suma 2 26 5 2" xfId="33088"/>
    <cellStyle name="Suma 2 26 5 3" xfId="33089"/>
    <cellStyle name="Suma 2 26 5 4" xfId="33090"/>
    <cellStyle name="Suma 2 26 50" xfId="33091"/>
    <cellStyle name="Suma 2 26 50 2" xfId="33092"/>
    <cellStyle name="Suma 2 26 50 3" xfId="33093"/>
    <cellStyle name="Suma 2 26 51" xfId="33094"/>
    <cellStyle name="Suma 2 26 51 2" xfId="33095"/>
    <cellStyle name="Suma 2 26 51 3" xfId="33096"/>
    <cellStyle name="Suma 2 26 52" xfId="33097"/>
    <cellStyle name="Suma 2 26 52 2" xfId="33098"/>
    <cellStyle name="Suma 2 26 52 3" xfId="33099"/>
    <cellStyle name="Suma 2 26 53" xfId="33100"/>
    <cellStyle name="Suma 2 26 53 2" xfId="33101"/>
    <cellStyle name="Suma 2 26 53 3" xfId="33102"/>
    <cellStyle name="Suma 2 26 54" xfId="33103"/>
    <cellStyle name="Suma 2 26 54 2" xfId="33104"/>
    <cellStyle name="Suma 2 26 54 3" xfId="33105"/>
    <cellStyle name="Suma 2 26 55" xfId="33106"/>
    <cellStyle name="Suma 2 26 55 2" xfId="33107"/>
    <cellStyle name="Suma 2 26 55 3" xfId="33108"/>
    <cellStyle name="Suma 2 26 56" xfId="33109"/>
    <cellStyle name="Suma 2 26 56 2" xfId="33110"/>
    <cellStyle name="Suma 2 26 56 3" xfId="33111"/>
    <cellStyle name="Suma 2 26 57" xfId="33112"/>
    <cellStyle name="Suma 2 26 58" xfId="33113"/>
    <cellStyle name="Suma 2 26 6" xfId="33114"/>
    <cellStyle name="Suma 2 26 6 2" xfId="33115"/>
    <cellStyle name="Suma 2 26 6 3" xfId="33116"/>
    <cellStyle name="Suma 2 26 6 4" xfId="33117"/>
    <cellStyle name="Suma 2 26 7" xfId="33118"/>
    <cellStyle name="Suma 2 26 7 2" xfId="33119"/>
    <cellStyle name="Suma 2 26 7 3" xfId="33120"/>
    <cellStyle name="Suma 2 26 7 4" xfId="33121"/>
    <cellStyle name="Suma 2 26 8" xfId="33122"/>
    <cellStyle name="Suma 2 26 8 2" xfId="33123"/>
    <cellStyle name="Suma 2 26 8 3" xfId="33124"/>
    <cellStyle name="Suma 2 26 8 4" xfId="33125"/>
    <cellStyle name="Suma 2 26 9" xfId="33126"/>
    <cellStyle name="Suma 2 26 9 2" xfId="33127"/>
    <cellStyle name="Suma 2 26 9 3" xfId="33128"/>
    <cellStyle name="Suma 2 26 9 4" xfId="33129"/>
    <cellStyle name="Suma 2 27" xfId="33130"/>
    <cellStyle name="Suma 2 27 10" xfId="33131"/>
    <cellStyle name="Suma 2 27 10 2" xfId="33132"/>
    <cellStyle name="Suma 2 27 10 3" xfId="33133"/>
    <cellStyle name="Suma 2 27 10 4" xfId="33134"/>
    <cellStyle name="Suma 2 27 11" xfId="33135"/>
    <cellStyle name="Suma 2 27 11 2" xfId="33136"/>
    <cellStyle name="Suma 2 27 11 3" xfId="33137"/>
    <cellStyle name="Suma 2 27 11 4" xfId="33138"/>
    <cellStyle name="Suma 2 27 12" xfId="33139"/>
    <cellStyle name="Suma 2 27 12 2" xfId="33140"/>
    <cellStyle name="Suma 2 27 12 3" xfId="33141"/>
    <cellStyle name="Suma 2 27 12 4" xfId="33142"/>
    <cellStyle name="Suma 2 27 13" xfId="33143"/>
    <cellStyle name="Suma 2 27 13 2" xfId="33144"/>
    <cellStyle name="Suma 2 27 13 3" xfId="33145"/>
    <cellStyle name="Suma 2 27 13 4" xfId="33146"/>
    <cellStyle name="Suma 2 27 14" xfId="33147"/>
    <cellStyle name="Suma 2 27 14 2" xfId="33148"/>
    <cellStyle name="Suma 2 27 14 3" xfId="33149"/>
    <cellStyle name="Suma 2 27 14 4" xfId="33150"/>
    <cellStyle name="Suma 2 27 15" xfId="33151"/>
    <cellStyle name="Suma 2 27 15 2" xfId="33152"/>
    <cellStyle name="Suma 2 27 15 3" xfId="33153"/>
    <cellStyle name="Suma 2 27 15 4" xfId="33154"/>
    <cellStyle name="Suma 2 27 16" xfId="33155"/>
    <cellStyle name="Suma 2 27 16 2" xfId="33156"/>
    <cellStyle name="Suma 2 27 16 3" xfId="33157"/>
    <cellStyle name="Suma 2 27 16 4" xfId="33158"/>
    <cellStyle name="Suma 2 27 17" xfId="33159"/>
    <cellStyle name="Suma 2 27 17 2" xfId="33160"/>
    <cellStyle name="Suma 2 27 17 3" xfId="33161"/>
    <cellStyle name="Suma 2 27 17 4" xfId="33162"/>
    <cellStyle name="Suma 2 27 18" xfId="33163"/>
    <cellStyle name="Suma 2 27 18 2" xfId="33164"/>
    <cellStyle name="Suma 2 27 18 3" xfId="33165"/>
    <cellStyle name="Suma 2 27 18 4" xfId="33166"/>
    <cellStyle name="Suma 2 27 19" xfId="33167"/>
    <cellStyle name="Suma 2 27 19 2" xfId="33168"/>
    <cellStyle name="Suma 2 27 19 3" xfId="33169"/>
    <cellStyle name="Suma 2 27 19 4" xfId="33170"/>
    <cellStyle name="Suma 2 27 2" xfId="33171"/>
    <cellStyle name="Suma 2 27 2 2" xfId="33172"/>
    <cellStyle name="Suma 2 27 2 3" xfId="33173"/>
    <cellStyle name="Suma 2 27 2 4" xfId="33174"/>
    <cellStyle name="Suma 2 27 20" xfId="33175"/>
    <cellStyle name="Suma 2 27 20 2" xfId="33176"/>
    <cellStyle name="Suma 2 27 20 3" xfId="33177"/>
    <cellStyle name="Suma 2 27 20 4" xfId="33178"/>
    <cellStyle name="Suma 2 27 21" xfId="33179"/>
    <cellStyle name="Suma 2 27 21 2" xfId="33180"/>
    <cellStyle name="Suma 2 27 21 3" xfId="33181"/>
    <cellStyle name="Suma 2 27 22" xfId="33182"/>
    <cellStyle name="Suma 2 27 22 2" xfId="33183"/>
    <cellStyle name="Suma 2 27 22 3" xfId="33184"/>
    <cellStyle name="Suma 2 27 23" xfId="33185"/>
    <cellStyle name="Suma 2 27 23 2" xfId="33186"/>
    <cellStyle name="Suma 2 27 23 3" xfId="33187"/>
    <cellStyle name="Suma 2 27 24" xfId="33188"/>
    <cellStyle name="Suma 2 27 24 2" xfId="33189"/>
    <cellStyle name="Suma 2 27 24 3" xfId="33190"/>
    <cellStyle name="Suma 2 27 25" xfId="33191"/>
    <cellStyle name="Suma 2 27 25 2" xfId="33192"/>
    <cellStyle name="Suma 2 27 25 3" xfId="33193"/>
    <cellStyle name="Suma 2 27 26" xfId="33194"/>
    <cellStyle name="Suma 2 27 26 2" xfId="33195"/>
    <cellStyle name="Suma 2 27 26 3" xfId="33196"/>
    <cellStyle name="Suma 2 27 27" xfId="33197"/>
    <cellStyle name="Suma 2 27 27 2" xfId="33198"/>
    <cellStyle name="Suma 2 27 27 3" xfId="33199"/>
    <cellStyle name="Suma 2 27 28" xfId="33200"/>
    <cellStyle name="Suma 2 27 28 2" xfId="33201"/>
    <cellStyle name="Suma 2 27 28 3" xfId="33202"/>
    <cellStyle name="Suma 2 27 29" xfId="33203"/>
    <cellStyle name="Suma 2 27 29 2" xfId="33204"/>
    <cellStyle name="Suma 2 27 29 3" xfId="33205"/>
    <cellStyle name="Suma 2 27 3" xfId="33206"/>
    <cellStyle name="Suma 2 27 3 2" xfId="33207"/>
    <cellStyle name="Suma 2 27 3 3" xfId="33208"/>
    <cellStyle name="Suma 2 27 3 4" xfId="33209"/>
    <cellStyle name="Suma 2 27 30" xfId="33210"/>
    <cellStyle name="Suma 2 27 30 2" xfId="33211"/>
    <cellStyle name="Suma 2 27 30 3" xfId="33212"/>
    <cellStyle name="Suma 2 27 31" xfId="33213"/>
    <cellStyle name="Suma 2 27 31 2" xfId="33214"/>
    <cellStyle name="Suma 2 27 31 3" xfId="33215"/>
    <cellStyle name="Suma 2 27 32" xfId="33216"/>
    <cellStyle name="Suma 2 27 32 2" xfId="33217"/>
    <cellStyle name="Suma 2 27 32 3" xfId="33218"/>
    <cellStyle name="Suma 2 27 33" xfId="33219"/>
    <cellStyle name="Suma 2 27 33 2" xfId="33220"/>
    <cellStyle name="Suma 2 27 33 3" xfId="33221"/>
    <cellStyle name="Suma 2 27 34" xfId="33222"/>
    <cellStyle name="Suma 2 27 34 2" xfId="33223"/>
    <cellStyle name="Suma 2 27 34 3" xfId="33224"/>
    <cellStyle name="Suma 2 27 35" xfId="33225"/>
    <cellStyle name="Suma 2 27 35 2" xfId="33226"/>
    <cellStyle name="Suma 2 27 35 3" xfId="33227"/>
    <cellStyle name="Suma 2 27 36" xfId="33228"/>
    <cellStyle name="Suma 2 27 36 2" xfId="33229"/>
    <cellStyle name="Suma 2 27 36 3" xfId="33230"/>
    <cellStyle name="Suma 2 27 37" xfId="33231"/>
    <cellStyle name="Suma 2 27 37 2" xfId="33232"/>
    <cellStyle name="Suma 2 27 37 3" xfId="33233"/>
    <cellStyle name="Suma 2 27 38" xfId="33234"/>
    <cellStyle name="Suma 2 27 38 2" xfId="33235"/>
    <cellStyle name="Suma 2 27 38 3" xfId="33236"/>
    <cellStyle name="Suma 2 27 39" xfId="33237"/>
    <cellStyle name="Suma 2 27 39 2" xfId="33238"/>
    <cellStyle name="Suma 2 27 39 3" xfId="33239"/>
    <cellStyle name="Suma 2 27 4" xfId="33240"/>
    <cellStyle name="Suma 2 27 4 2" xfId="33241"/>
    <cellStyle name="Suma 2 27 4 3" xfId="33242"/>
    <cellStyle name="Suma 2 27 4 4" xfId="33243"/>
    <cellStyle name="Suma 2 27 40" xfId="33244"/>
    <cellStyle name="Suma 2 27 40 2" xfId="33245"/>
    <cellStyle name="Suma 2 27 40 3" xfId="33246"/>
    <cellStyle name="Suma 2 27 41" xfId="33247"/>
    <cellStyle name="Suma 2 27 41 2" xfId="33248"/>
    <cellStyle name="Suma 2 27 41 3" xfId="33249"/>
    <cellStyle name="Suma 2 27 42" xfId="33250"/>
    <cellStyle name="Suma 2 27 42 2" xfId="33251"/>
    <cellStyle name="Suma 2 27 42 3" xfId="33252"/>
    <cellStyle name="Suma 2 27 43" xfId="33253"/>
    <cellStyle name="Suma 2 27 43 2" xfId="33254"/>
    <cellStyle name="Suma 2 27 43 3" xfId="33255"/>
    <cellStyle name="Suma 2 27 44" xfId="33256"/>
    <cellStyle name="Suma 2 27 44 2" xfId="33257"/>
    <cellStyle name="Suma 2 27 44 3" xfId="33258"/>
    <cellStyle name="Suma 2 27 45" xfId="33259"/>
    <cellStyle name="Suma 2 27 45 2" xfId="33260"/>
    <cellStyle name="Suma 2 27 45 3" xfId="33261"/>
    <cellStyle name="Suma 2 27 46" xfId="33262"/>
    <cellStyle name="Suma 2 27 46 2" xfId="33263"/>
    <cellStyle name="Suma 2 27 46 3" xfId="33264"/>
    <cellStyle name="Suma 2 27 47" xfId="33265"/>
    <cellStyle name="Suma 2 27 47 2" xfId="33266"/>
    <cellStyle name="Suma 2 27 47 3" xfId="33267"/>
    <cellStyle name="Suma 2 27 48" xfId="33268"/>
    <cellStyle name="Suma 2 27 48 2" xfId="33269"/>
    <cellStyle name="Suma 2 27 48 3" xfId="33270"/>
    <cellStyle name="Suma 2 27 49" xfId="33271"/>
    <cellStyle name="Suma 2 27 49 2" xfId="33272"/>
    <cellStyle name="Suma 2 27 49 3" xfId="33273"/>
    <cellStyle name="Suma 2 27 5" xfId="33274"/>
    <cellStyle name="Suma 2 27 5 2" xfId="33275"/>
    <cellStyle name="Suma 2 27 5 3" xfId="33276"/>
    <cellStyle name="Suma 2 27 5 4" xfId="33277"/>
    <cellStyle name="Suma 2 27 50" xfId="33278"/>
    <cellStyle name="Suma 2 27 50 2" xfId="33279"/>
    <cellStyle name="Suma 2 27 50 3" xfId="33280"/>
    <cellStyle name="Suma 2 27 51" xfId="33281"/>
    <cellStyle name="Suma 2 27 51 2" xfId="33282"/>
    <cellStyle name="Suma 2 27 51 3" xfId="33283"/>
    <cellStyle name="Suma 2 27 52" xfId="33284"/>
    <cellStyle name="Suma 2 27 52 2" xfId="33285"/>
    <cellStyle name="Suma 2 27 52 3" xfId="33286"/>
    <cellStyle name="Suma 2 27 53" xfId="33287"/>
    <cellStyle name="Suma 2 27 53 2" xfId="33288"/>
    <cellStyle name="Suma 2 27 53 3" xfId="33289"/>
    <cellStyle name="Suma 2 27 54" xfId="33290"/>
    <cellStyle name="Suma 2 27 54 2" xfId="33291"/>
    <cellStyle name="Suma 2 27 54 3" xfId="33292"/>
    <cellStyle name="Suma 2 27 55" xfId="33293"/>
    <cellStyle name="Suma 2 27 55 2" xfId="33294"/>
    <cellStyle name="Suma 2 27 55 3" xfId="33295"/>
    <cellStyle name="Suma 2 27 56" xfId="33296"/>
    <cellStyle name="Suma 2 27 56 2" xfId="33297"/>
    <cellStyle name="Suma 2 27 56 3" xfId="33298"/>
    <cellStyle name="Suma 2 27 57" xfId="33299"/>
    <cellStyle name="Suma 2 27 58" xfId="33300"/>
    <cellStyle name="Suma 2 27 6" xfId="33301"/>
    <cellStyle name="Suma 2 27 6 2" xfId="33302"/>
    <cellStyle name="Suma 2 27 6 3" xfId="33303"/>
    <cellStyle name="Suma 2 27 6 4" xfId="33304"/>
    <cellStyle name="Suma 2 27 7" xfId="33305"/>
    <cellStyle name="Suma 2 27 7 2" xfId="33306"/>
    <cellStyle name="Suma 2 27 7 3" xfId="33307"/>
    <cellStyle name="Suma 2 27 7 4" xfId="33308"/>
    <cellStyle name="Suma 2 27 8" xfId="33309"/>
    <cellStyle name="Suma 2 27 8 2" xfId="33310"/>
    <cellStyle name="Suma 2 27 8 3" xfId="33311"/>
    <cellStyle name="Suma 2 27 8 4" xfId="33312"/>
    <cellStyle name="Suma 2 27 9" xfId="33313"/>
    <cellStyle name="Suma 2 27 9 2" xfId="33314"/>
    <cellStyle name="Suma 2 27 9 3" xfId="33315"/>
    <cellStyle name="Suma 2 27 9 4" xfId="33316"/>
    <cellStyle name="Suma 2 28" xfId="33317"/>
    <cellStyle name="Suma 2 28 10" xfId="33318"/>
    <cellStyle name="Suma 2 28 10 2" xfId="33319"/>
    <cellStyle name="Suma 2 28 10 3" xfId="33320"/>
    <cellStyle name="Suma 2 28 10 4" xfId="33321"/>
    <cellStyle name="Suma 2 28 11" xfId="33322"/>
    <cellStyle name="Suma 2 28 11 2" xfId="33323"/>
    <cellStyle name="Suma 2 28 11 3" xfId="33324"/>
    <cellStyle name="Suma 2 28 11 4" xfId="33325"/>
    <cellStyle name="Suma 2 28 12" xfId="33326"/>
    <cellStyle name="Suma 2 28 12 2" xfId="33327"/>
    <cellStyle name="Suma 2 28 12 3" xfId="33328"/>
    <cellStyle name="Suma 2 28 12 4" xfId="33329"/>
    <cellStyle name="Suma 2 28 13" xfId="33330"/>
    <cellStyle name="Suma 2 28 13 2" xfId="33331"/>
    <cellStyle name="Suma 2 28 13 3" xfId="33332"/>
    <cellStyle name="Suma 2 28 13 4" xfId="33333"/>
    <cellStyle name="Suma 2 28 14" xfId="33334"/>
    <cellStyle name="Suma 2 28 14 2" xfId="33335"/>
    <cellStyle name="Suma 2 28 14 3" xfId="33336"/>
    <cellStyle name="Suma 2 28 14 4" xfId="33337"/>
    <cellStyle name="Suma 2 28 15" xfId="33338"/>
    <cellStyle name="Suma 2 28 15 2" xfId="33339"/>
    <cellStyle name="Suma 2 28 15 3" xfId="33340"/>
    <cellStyle name="Suma 2 28 15 4" xfId="33341"/>
    <cellStyle name="Suma 2 28 16" xfId="33342"/>
    <cellStyle name="Suma 2 28 16 2" xfId="33343"/>
    <cellStyle name="Suma 2 28 16 3" xfId="33344"/>
    <cellStyle name="Suma 2 28 16 4" xfId="33345"/>
    <cellStyle name="Suma 2 28 17" xfId="33346"/>
    <cellStyle name="Suma 2 28 17 2" xfId="33347"/>
    <cellStyle name="Suma 2 28 17 3" xfId="33348"/>
    <cellStyle name="Suma 2 28 17 4" xfId="33349"/>
    <cellStyle name="Suma 2 28 18" xfId="33350"/>
    <cellStyle name="Suma 2 28 18 2" xfId="33351"/>
    <cellStyle name="Suma 2 28 18 3" xfId="33352"/>
    <cellStyle name="Suma 2 28 18 4" xfId="33353"/>
    <cellStyle name="Suma 2 28 19" xfId="33354"/>
    <cellStyle name="Suma 2 28 19 2" xfId="33355"/>
    <cellStyle name="Suma 2 28 19 3" xfId="33356"/>
    <cellStyle name="Suma 2 28 19 4" xfId="33357"/>
    <cellStyle name="Suma 2 28 2" xfId="33358"/>
    <cellStyle name="Suma 2 28 2 2" xfId="33359"/>
    <cellStyle name="Suma 2 28 2 3" xfId="33360"/>
    <cellStyle name="Suma 2 28 2 4" xfId="33361"/>
    <cellStyle name="Suma 2 28 20" xfId="33362"/>
    <cellStyle name="Suma 2 28 20 2" xfId="33363"/>
    <cellStyle name="Suma 2 28 20 3" xfId="33364"/>
    <cellStyle name="Suma 2 28 20 4" xfId="33365"/>
    <cellStyle name="Suma 2 28 21" xfId="33366"/>
    <cellStyle name="Suma 2 28 21 2" xfId="33367"/>
    <cellStyle name="Suma 2 28 21 3" xfId="33368"/>
    <cellStyle name="Suma 2 28 22" xfId="33369"/>
    <cellStyle name="Suma 2 28 22 2" xfId="33370"/>
    <cellStyle name="Suma 2 28 22 3" xfId="33371"/>
    <cellStyle name="Suma 2 28 23" xfId="33372"/>
    <cellStyle name="Suma 2 28 23 2" xfId="33373"/>
    <cellStyle name="Suma 2 28 23 3" xfId="33374"/>
    <cellStyle name="Suma 2 28 24" xfId="33375"/>
    <cellStyle name="Suma 2 28 24 2" xfId="33376"/>
    <cellStyle name="Suma 2 28 24 3" xfId="33377"/>
    <cellStyle name="Suma 2 28 25" xfId="33378"/>
    <cellStyle name="Suma 2 28 25 2" xfId="33379"/>
    <cellStyle name="Suma 2 28 25 3" xfId="33380"/>
    <cellStyle name="Suma 2 28 26" xfId="33381"/>
    <cellStyle name="Suma 2 28 26 2" xfId="33382"/>
    <cellStyle name="Suma 2 28 26 3" xfId="33383"/>
    <cellStyle name="Suma 2 28 27" xfId="33384"/>
    <cellStyle name="Suma 2 28 27 2" xfId="33385"/>
    <cellStyle name="Suma 2 28 27 3" xfId="33386"/>
    <cellStyle name="Suma 2 28 28" xfId="33387"/>
    <cellStyle name="Suma 2 28 28 2" xfId="33388"/>
    <cellStyle name="Suma 2 28 28 3" xfId="33389"/>
    <cellStyle name="Suma 2 28 29" xfId="33390"/>
    <cellStyle name="Suma 2 28 29 2" xfId="33391"/>
    <cellStyle name="Suma 2 28 29 3" xfId="33392"/>
    <cellStyle name="Suma 2 28 3" xfId="33393"/>
    <cellStyle name="Suma 2 28 3 2" xfId="33394"/>
    <cellStyle name="Suma 2 28 3 3" xfId="33395"/>
    <cellStyle name="Suma 2 28 3 4" xfId="33396"/>
    <cellStyle name="Suma 2 28 30" xfId="33397"/>
    <cellStyle name="Suma 2 28 30 2" xfId="33398"/>
    <cellStyle name="Suma 2 28 30 3" xfId="33399"/>
    <cellStyle name="Suma 2 28 31" xfId="33400"/>
    <cellStyle name="Suma 2 28 31 2" xfId="33401"/>
    <cellStyle name="Suma 2 28 31 3" xfId="33402"/>
    <cellStyle name="Suma 2 28 32" xfId="33403"/>
    <cellStyle name="Suma 2 28 32 2" xfId="33404"/>
    <cellStyle name="Suma 2 28 32 3" xfId="33405"/>
    <cellStyle name="Suma 2 28 33" xfId="33406"/>
    <cellStyle name="Suma 2 28 33 2" xfId="33407"/>
    <cellStyle name="Suma 2 28 33 3" xfId="33408"/>
    <cellStyle name="Suma 2 28 34" xfId="33409"/>
    <cellStyle name="Suma 2 28 34 2" xfId="33410"/>
    <cellStyle name="Suma 2 28 34 3" xfId="33411"/>
    <cellStyle name="Suma 2 28 35" xfId="33412"/>
    <cellStyle name="Suma 2 28 35 2" xfId="33413"/>
    <cellStyle name="Suma 2 28 35 3" xfId="33414"/>
    <cellStyle name="Suma 2 28 36" xfId="33415"/>
    <cellStyle name="Suma 2 28 36 2" xfId="33416"/>
    <cellStyle name="Suma 2 28 36 3" xfId="33417"/>
    <cellStyle name="Suma 2 28 37" xfId="33418"/>
    <cellStyle name="Suma 2 28 37 2" xfId="33419"/>
    <cellStyle name="Suma 2 28 37 3" xfId="33420"/>
    <cellStyle name="Suma 2 28 38" xfId="33421"/>
    <cellStyle name="Suma 2 28 38 2" xfId="33422"/>
    <cellStyle name="Suma 2 28 38 3" xfId="33423"/>
    <cellStyle name="Suma 2 28 39" xfId="33424"/>
    <cellStyle name="Suma 2 28 39 2" xfId="33425"/>
    <cellStyle name="Suma 2 28 39 3" xfId="33426"/>
    <cellStyle name="Suma 2 28 4" xfId="33427"/>
    <cellStyle name="Suma 2 28 4 2" xfId="33428"/>
    <cellStyle name="Suma 2 28 4 3" xfId="33429"/>
    <cellStyle name="Suma 2 28 4 4" xfId="33430"/>
    <cellStyle name="Suma 2 28 40" xfId="33431"/>
    <cellStyle name="Suma 2 28 40 2" xfId="33432"/>
    <cellStyle name="Suma 2 28 40 3" xfId="33433"/>
    <cellStyle name="Suma 2 28 41" xfId="33434"/>
    <cellStyle name="Suma 2 28 41 2" xfId="33435"/>
    <cellStyle name="Suma 2 28 41 3" xfId="33436"/>
    <cellStyle name="Suma 2 28 42" xfId="33437"/>
    <cellStyle name="Suma 2 28 42 2" xfId="33438"/>
    <cellStyle name="Suma 2 28 42 3" xfId="33439"/>
    <cellStyle name="Suma 2 28 43" xfId="33440"/>
    <cellStyle name="Suma 2 28 43 2" xfId="33441"/>
    <cellStyle name="Suma 2 28 43 3" xfId="33442"/>
    <cellStyle name="Suma 2 28 44" xfId="33443"/>
    <cellStyle name="Suma 2 28 44 2" xfId="33444"/>
    <cellStyle name="Suma 2 28 44 3" xfId="33445"/>
    <cellStyle name="Suma 2 28 45" xfId="33446"/>
    <cellStyle name="Suma 2 28 45 2" xfId="33447"/>
    <cellStyle name="Suma 2 28 45 3" xfId="33448"/>
    <cellStyle name="Suma 2 28 46" xfId="33449"/>
    <cellStyle name="Suma 2 28 46 2" xfId="33450"/>
    <cellStyle name="Suma 2 28 46 3" xfId="33451"/>
    <cellStyle name="Suma 2 28 47" xfId="33452"/>
    <cellStyle name="Suma 2 28 47 2" xfId="33453"/>
    <cellStyle name="Suma 2 28 47 3" xfId="33454"/>
    <cellStyle name="Suma 2 28 48" xfId="33455"/>
    <cellStyle name="Suma 2 28 48 2" xfId="33456"/>
    <cellStyle name="Suma 2 28 48 3" xfId="33457"/>
    <cellStyle name="Suma 2 28 49" xfId="33458"/>
    <cellStyle name="Suma 2 28 49 2" xfId="33459"/>
    <cellStyle name="Suma 2 28 49 3" xfId="33460"/>
    <cellStyle name="Suma 2 28 5" xfId="33461"/>
    <cellStyle name="Suma 2 28 5 2" xfId="33462"/>
    <cellStyle name="Suma 2 28 5 3" xfId="33463"/>
    <cellStyle name="Suma 2 28 5 4" xfId="33464"/>
    <cellStyle name="Suma 2 28 50" xfId="33465"/>
    <cellStyle name="Suma 2 28 50 2" xfId="33466"/>
    <cellStyle name="Suma 2 28 50 3" xfId="33467"/>
    <cellStyle name="Suma 2 28 51" xfId="33468"/>
    <cellStyle name="Suma 2 28 51 2" xfId="33469"/>
    <cellStyle name="Suma 2 28 51 3" xfId="33470"/>
    <cellStyle name="Suma 2 28 52" xfId="33471"/>
    <cellStyle name="Suma 2 28 52 2" xfId="33472"/>
    <cellStyle name="Suma 2 28 52 3" xfId="33473"/>
    <cellStyle name="Suma 2 28 53" xfId="33474"/>
    <cellStyle name="Suma 2 28 53 2" xfId="33475"/>
    <cellStyle name="Suma 2 28 53 3" xfId="33476"/>
    <cellStyle name="Suma 2 28 54" xfId="33477"/>
    <cellStyle name="Suma 2 28 54 2" xfId="33478"/>
    <cellStyle name="Suma 2 28 54 3" xfId="33479"/>
    <cellStyle name="Suma 2 28 55" xfId="33480"/>
    <cellStyle name="Suma 2 28 55 2" xfId="33481"/>
    <cellStyle name="Suma 2 28 55 3" xfId="33482"/>
    <cellStyle name="Suma 2 28 56" xfId="33483"/>
    <cellStyle name="Suma 2 28 56 2" xfId="33484"/>
    <cellStyle name="Suma 2 28 56 3" xfId="33485"/>
    <cellStyle name="Suma 2 28 57" xfId="33486"/>
    <cellStyle name="Suma 2 28 58" xfId="33487"/>
    <cellStyle name="Suma 2 28 6" xfId="33488"/>
    <cellStyle name="Suma 2 28 6 2" xfId="33489"/>
    <cellStyle name="Suma 2 28 6 3" xfId="33490"/>
    <cellStyle name="Suma 2 28 6 4" xfId="33491"/>
    <cellStyle name="Suma 2 28 7" xfId="33492"/>
    <cellStyle name="Suma 2 28 7 2" xfId="33493"/>
    <cellStyle name="Suma 2 28 7 3" xfId="33494"/>
    <cellStyle name="Suma 2 28 7 4" xfId="33495"/>
    <cellStyle name="Suma 2 28 8" xfId="33496"/>
    <cellStyle name="Suma 2 28 8 2" xfId="33497"/>
    <cellStyle name="Suma 2 28 8 3" xfId="33498"/>
    <cellStyle name="Suma 2 28 8 4" xfId="33499"/>
    <cellStyle name="Suma 2 28 9" xfId="33500"/>
    <cellStyle name="Suma 2 28 9 2" xfId="33501"/>
    <cellStyle name="Suma 2 28 9 3" xfId="33502"/>
    <cellStyle name="Suma 2 28 9 4" xfId="33503"/>
    <cellStyle name="Suma 2 29" xfId="33504"/>
    <cellStyle name="Suma 2 29 2" xfId="33505"/>
    <cellStyle name="Suma 2 29 3" xfId="33506"/>
    <cellStyle name="Suma 2 29 4" xfId="33507"/>
    <cellStyle name="Suma 2 3" xfId="33508"/>
    <cellStyle name="Suma 2 3 10" xfId="33509"/>
    <cellStyle name="Suma 2 3 10 2" xfId="33510"/>
    <cellStyle name="Suma 2 3 10 3" xfId="33511"/>
    <cellStyle name="Suma 2 3 10 4" xfId="33512"/>
    <cellStyle name="Suma 2 3 11" xfId="33513"/>
    <cellStyle name="Suma 2 3 11 2" xfId="33514"/>
    <cellStyle name="Suma 2 3 11 3" xfId="33515"/>
    <cellStyle name="Suma 2 3 11 4" xfId="33516"/>
    <cellStyle name="Suma 2 3 12" xfId="33517"/>
    <cellStyle name="Suma 2 3 12 2" xfId="33518"/>
    <cellStyle name="Suma 2 3 12 3" xfId="33519"/>
    <cellStyle name="Suma 2 3 12 4" xfId="33520"/>
    <cellStyle name="Suma 2 3 13" xfId="33521"/>
    <cellStyle name="Suma 2 3 13 2" xfId="33522"/>
    <cellStyle name="Suma 2 3 13 3" xfId="33523"/>
    <cellStyle name="Suma 2 3 13 4" xfId="33524"/>
    <cellStyle name="Suma 2 3 14" xfId="33525"/>
    <cellStyle name="Suma 2 3 14 2" xfId="33526"/>
    <cellStyle name="Suma 2 3 14 3" xfId="33527"/>
    <cellStyle name="Suma 2 3 14 4" xfId="33528"/>
    <cellStyle name="Suma 2 3 15" xfId="33529"/>
    <cellStyle name="Suma 2 3 15 2" xfId="33530"/>
    <cellStyle name="Suma 2 3 15 3" xfId="33531"/>
    <cellStyle name="Suma 2 3 15 4" xfId="33532"/>
    <cellStyle name="Suma 2 3 16" xfId="33533"/>
    <cellStyle name="Suma 2 3 16 2" xfId="33534"/>
    <cellStyle name="Suma 2 3 16 3" xfId="33535"/>
    <cellStyle name="Suma 2 3 16 4" xfId="33536"/>
    <cellStyle name="Suma 2 3 17" xfId="33537"/>
    <cellStyle name="Suma 2 3 17 2" xfId="33538"/>
    <cellStyle name="Suma 2 3 17 3" xfId="33539"/>
    <cellStyle name="Suma 2 3 17 4" xfId="33540"/>
    <cellStyle name="Suma 2 3 18" xfId="33541"/>
    <cellStyle name="Suma 2 3 18 2" xfId="33542"/>
    <cellStyle name="Suma 2 3 18 3" xfId="33543"/>
    <cellStyle name="Suma 2 3 18 4" xfId="33544"/>
    <cellStyle name="Suma 2 3 19" xfId="33545"/>
    <cellStyle name="Suma 2 3 19 2" xfId="33546"/>
    <cellStyle name="Suma 2 3 19 3" xfId="33547"/>
    <cellStyle name="Suma 2 3 19 4" xfId="33548"/>
    <cellStyle name="Suma 2 3 2" xfId="33549"/>
    <cellStyle name="Suma 2 3 2 2" xfId="33550"/>
    <cellStyle name="Suma 2 3 2 3" xfId="33551"/>
    <cellStyle name="Suma 2 3 2 4" xfId="33552"/>
    <cellStyle name="Suma 2 3 20" xfId="33553"/>
    <cellStyle name="Suma 2 3 20 2" xfId="33554"/>
    <cellStyle name="Suma 2 3 20 3" xfId="33555"/>
    <cellStyle name="Suma 2 3 20 4" xfId="33556"/>
    <cellStyle name="Suma 2 3 21" xfId="33557"/>
    <cellStyle name="Suma 2 3 21 2" xfId="33558"/>
    <cellStyle name="Suma 2 3 21 3" xfId="33559"/>
    <cellStyle name="Suma 2 3 22" xfId="33560"/>
    <cellStyle name="Suma 2 3 22 2" xfId="33561"/>
    <cellStyle name="Suma 2 3 22 3" xfId="33562"/>
    <cellStyle name="Suma 2 3 23" xfId="33563"/>
    <cellStyle name="Suma 2 3 23 2" xfId="33564"/>
    <cellStyle name="Suma 2 3 23 3" xfId="33565"/>
    <cellStyle name="Suma 2 3 24" xfId="33566"/>
    <cellStyle name="Suma 2 3 24 2" xfId="33567"/>
    <cellStyle name="Suma 2 3 24 3" xfId="33568"/>
    <cellStyle name="Suma 2 3 25" xfId="33569"/>
    <cellStyle name="Suma 2 3 25 2" xfId="33570"/>
    <cellStyle name="Suma 2 3 25 3" xfId="33571"/>
    <cellStyle name="Suma 2 3 26" xfId="33572"/>
    <cellStyle name="Suma 2 3 26 2" xfId="33573"/>
    <cellStyle name="Suma 2 3 26 3" xfId="33574"/>
    <cellStyle name="Suma 2 3 27" xfId="33575"/>
    <cellStyle name="Suma 2 3 27 2" xfId="33576"/>
    <cellStyle name="Suma 2 3 27 3" xfId="33577"/>
    <cellStyle name="Suma 2 3 28" xfId="33578"/>
    <cellStyle name="Suma 2 3 28 2" xfId="33579"/>
    <cellStyle name="Suma 2 3 28 3" xfId="33580"/>
    <cellStyle name="Suma 2 3 29" xfId="33581"/>
    <cellStyle name="Suma 2 3 29 2" xfId="33582"/>
    <cellStyle name="Suma 2 3 29 3" xfId="33583"/>
    <cellStyle name="Suma 2 3 3" xfId="33584"/>
    <cellStyle name="Suma 2 3 3 2" xfId="33585"/>
    <cellStyle name="Suma 2 3 3 3" xfId="33586"/>
    <cellStyle name="Suma 2 3 3 4" xfId="33587"/>
    <cellStyle name="Suma 2 3 30" xfId="33588"/>
    <cellStyle name="Suma 2 3 30 2" xfId="33589"/>
    <cellStyle name="Suma 2 3 30 3" xfId="33590"/>
    <cellStyle name="Suma 2 3 31" xfId="33591"/>
    <cellStyle name="Suma 2 3 31 2" xfId="33592"/>
    <cellStyle name="Suma 2 3 31 3" xfId="33593"/>
    <cellStyle name="Suma 2 3 32" xfId="33594"/>
    <cellStyle name="Suma 2 3 32 2" xfId="33595"/>
    <cellStyle name="Suma 2 3 32 3" xfId="33596"/>
    <cellStyle name="Suma 2 3 33" xfId="33597"/>
    <cellStyle name="Suma 2 3 33 2" xfId="33598"/>
    <cellStyle name="Suma 2 3 33 3" xfId="33599"/>
    <cellStyle name="Suma 2 3 34" xfId="33600"/>
    <cellStyle name="Suma 2 3 34 2" xfId="33601"/>
    <cellStyle name="Suma 2 3 34 3" xfId="33602"/>
    <cellStyle name="Suma 2 3 35" xfId="33603"/>
    <cellStyle name="Suma 2 3 35 2" xfId="33604"/>
    <cellStyle name="Suma 2 3 35 3" xfId="33605"/>
    <cellStyle name="Suma 2 3 36" xfId="33606"/>
    <cellStyle name="Suma 2 3 36 2" xfId="33607"/>
    <cellStyle name="Suma 2 3 36 3" xfId="33608"/>
    <cellStyle name="Suma 2 3 37" xfId="33609"/>
    <cellStyle name="Suma 2 3 37 2" xfId="33610"/>
    <cellStyle name="Suma 2 3 37 3" xfId="33611"/>
    <cellStyle name="Suma 2 3 38" xfId="33612"/>
    <cellStyle name="Suma 2 3 38 2" xfId="33613"/>
    <cellStyle name="Suma 2 3 38 3" xfId="33614"/>
    <cellStyle name="Suma 2 3 39" xfId="33615"/>
    <cellStyle name="Suma 2 3 39 2" xfId="33616"/>
    <cellStyle name="Suma 2 3 39 3" xfId="33617"/>
    <cellStyle name="Suma 2 3 4" xfId="33618"/>
    <cellStyle name="Suma 2 3 4 2" xfId="33619"/>
    <cellStyle name="Suma 2 3 4 3" xfId="33620"/>
    <cellStyle name="Suma 2 3 4 4" xfId="33621"/>
    <cellStyle name="Suma 2 3 40" xfId="33622"/>
    <cellStyle name="Suma 2 3 40 2" xfId="33623"/>
    <cellStyle name="Suma 2 3 40 3" xfId="33624"/>
    <cellStyle name="Suma 2 3 41" xfId="33625"/>
    <cellStyle name="Suma 2 3 41 2" xfId="33626"/>
    <cellStyle name="Suma 2 3 41 3" xfId="33627"/>
    <cellStyle name="Suma 2 3 42" xfId="33628"/>
    <cellStyle name="Suma 2 3 42 2" xfId="33629"/>
    <cellStyle name="Suma 2 3 42 3" xfId="33630"/>
    <cellStyle name="Suma 2 3 43" xfId="33631"/>
    <cellStyle name="Suma 2 3 43 2" xfId="33632"/>
    <cellStyle name="Suma 2 3 43 3" xfId="33633"/>
    <cellStyle name="Suma 2 3 44" xfId="33634"/>
    <cellStyle name="Suma 2 3 44 2" xfId="33635"/>
    <cellStyle name="Suma 2 3 44 3" xfId="33636"/>
    <cellStyle name="Suma 2 3 45" xfId="33637"/>
    <cellStyle name="Suma 2 3 45 2" xfId="33638"/>
    <cellStyle name="Suma 2 3 45 3" xfId="33639"/>
    <cellStyle name="Suma 2 3 46" xfId="33640"/>
    <cellStyle name="Suma 2 3 46 2" xfId="33641"/>
    <cellStyle name="Suma 2 3 46 3" xfId="33642"/>
    <cellStyle name="Suma 2 3 47" xfId="33643"/>
    <cellStyle name="Suma 2 3 47 2" xfId="33644"/>
    <cellStyle name="Suma 2 3 47 3" xfId="33645"/>
    <cellStyle name="Suma 2 3 48" xfId="33646"/>
    <cellStyle name="Suma 2 3 48 2" xfId="33647"/>
    <cellStyle name="Suma 2 3 48 3" xfId="33648"/>
    <cellStyle name="Suma 2 3 49" xfId="33649"/>
    <cellStyle name="Suma 2 3 49 2" xfId="33650"/>
    <cellStyle name="Suma 2 3 49 3" xfId="33651"/>
    <cellStyle name="Suma 2 3 5" xfId="33652"/>
    <cellStyle name="Suma 2 3 5 2" xfId="33653"/>
    <cellStyle name="Suma 2 3 5 3" xfId="33654"/>
    <cellStyle name="Suma 2 3 5 4" xfId="33655"/>
    <cellStyle name="Suma 2 3 50" xfId="33656"/>
    <cellStyle name="Suma 2 3 50 2" xfId="33657"/>
    <cellStyle name="Suma 2 3 50 3" xfId="33658"/>
    <cellStyle name="Suma 2 3 51" xfId="33659"/>
    <cellStyle name="Suma 2 3 51 2" xfId="33660"/>
    <cellStyle name="Suma 2 3 51 3" xfId="33661"/>
    <cellStyle name="Suma 2 3 52" xfId="33662"/>
    <cellStyle name="Suma 2 3 52 2" xfId="33663"/>
    <cellStyle name="Suma 2 3 52 3" xfId="33664"/>
    <cellStyle name="Suma 2 3 53" xfId="33665"/>
    <cellStyle name="Suma 2 3 53 2" xfId="33666"/>
    <cellStyle name="Suma 2 3 53 3" xfId="33667"/>
    <cellStyle name="Suma 2 3 54" xfId="33668"/>
    <cellStyle name="Suma 2 3 54 2" xfId="33669"/>
    <cellStyle name="Suma 2 3 54 3" xfId="33670"/>
    <cellStyle name="Suma 2 3 55" xfId="33671"/>
    <cellStyle name="Suma 2 3 55 2" xfId="33672"/>
    <cellStyle name="Suma 2 3 55 3" xfId="33673"/>
    <cellStyle name="Suma 2 3 56" xfId="33674"/>
    <cellStyle name="Suma 2 3 56 2" xfId="33675"/>
    <cellStyle name="Suma 2 3 56 3" xfId="33676"/>
    <cellStyle name="Suma 2 3 57" xfId="33677"/>
    <cellStyle name="Suma 2 3 58" xfId="33678"/>
    <cellStyle name="Suma 2 3 6" xfId="33679"/>
    <cellStyle name="Suma 2 3 6 2" xfId="33680"/>
    <cellStyle name="Suma 2 3 6 3" xfId="33681"/>
    <cellStyle name="Suma 2 3 6 4" xfId="33682"/>
    <cellStyle name="Suma 2 3 7" xfId="33683"/>
    <cellStyle name="Suma 2 3 7 2" xfId="33684"/>
    <cellStyle name="Suma 2 3 7 3" xfId="33685"/>
    <cellStyle name="Suma 2 3 7 4" xfId="33686"/>
    <cellStyle name="Suma 2 3 8" xfId="33687"/>
    <cellStyle name="Suma 2 3 8 2" xfId="33688"/>
    <cellStyle name="Suma 2 3 8 3" xfId="33689"/>
    <cellStyle name="Suma 2 3 8 4" xfId="33690"/>
    <cellStyle name="Suma 2 3 9" xfId="33691"/>
    <cellStyle name="Suma 2 3 9 2" xfId="33692"/>
    <cellStyle name="Suma 2 3 9 3" xfId="33693"/>
    <cellStyle name="Suma 2 3 9 4" xfId="33694"/>
    <cellStyle name="Suma 2 30" xfId="33695"/>
    <cellStyle name="Suma 2 30 2" xfId="33696"/>
    <cellStyle name="Suma 2 30 3" xfId="33697"/>
    <cellStyle name="Suma 2 30 4" xfId="33698"/>
    <cellStyle name="Suma 2 31" xfId="33699"/>
    <cellStyle name="Suma 2 31 2" xfId="33700"/>
    <cellStyle name="Suma 2 31 3" xfId="33701"/>
    <cellStyle name="Suma 2 31 4" xfId="33702"/>
    <cellStyle name="Suma 2 32" xfId="33703"/>
    <cellStyle name="Suma 2 32 2" xfId="33704"/>
    <cellStyle name="Suma 2 32 3" xfId="33705"/>
    <cellStyle name="Suma 2 32 4" xfId="33706"/>
    <cellStyle name="Suma 2 33" xfId="33707"/>
    <cellStyle name="Suma 2 33 2" xfId="33708"/>
    <cellStyle name="Suma 2 33 3" xfId="33709"/>
    <cellStyle name="Suma 2 33 4" xfId="33710"/>
    <cellStyle name="Suma 2 34" xfId="33711"/>
    <cellStyle name="Suma 2 34 2" xfId="33712"/>
    <cellStyle name="Suma 2 34 3" xfId="33713"/>
    <cellStyle name="Suma 2 34 4" xfId="33714"/>
    <cellStyle name="Suma 2 35" xfId="33715"/>
    <cellStyle name="Suma 2 35 2" xfId="33716"/>
    <cellStyle name="Suma 2 35 3" xfId="33717"/>
    <cellStyle name="Suma 2 35 4" xfId="33718"/>
    <cellStyle name="Suma 2 36" xfId="33719"/>
    <cellStyle name="Suma 2 36 2" xfId="33720"/>
    <cellStyle name="Suma 2 36 3" xfId="33721"/>
    <cellStyle name="Suma 2 36 4" xfId="33722"/>
    <cellStyle name="Suma 2 37" xfId="33723"/>
    <cellStyle name="Suma 2 37 2" xfId="33724"/>
    <cellStyle name="Suma 2 37 3" xfId="33725"/>
    <cellStyle name="Suma 2 37 4" xfId="33726"/>
    <cellStyle name="Suma 2 38" xfId="33727"/>
    <cellStyle name="Suma 2 38 2" xfId="33728"/>
    <cellStyle name="Suma 2 38 3" xfId="33729"/>
    <cellStyle name="Suma 2 38 4" xfId="33730"/>
    <cellStyle name="Suma 2 39" xfId="33731"/>
    <cellStyle name="Suma 2 39 2" xfId="33732"/>
    <cellStyle name="Suma 2 39 3" xfId="33733"/>
    <cellStyle name="Suma 2 39 4" xfId="33734"/>
    <cellStyle name="Suma 2 4" xfId="33735"/>
    <cellStyle name="Suma 2 4 10" xfId="33736"/>
    <cellStyle name="Suma 2 4 10 2" xfId="33737"/>
    <cellStyle name="Suma 2 4 10 3" xfId="33738"/>
    <cellStyle name="Suma 2 4 10 4" xfId="33739"/>
    <cellStyle name="Suma 2 4 11" xfId="33740"/>
    <cellStyle name="Suma 2 4 11 2" xfId="33741"/>
    <cellStyle name="Suma 2 4 11 3" xfId="33742"/>
    <cellStyle name="Suma 2 4 11 4" xfId="33743"/>
    <cellStyle name="Suma 2 4 12" xfId="33744"/>
    <cellStyle name="Suma 2 4 12 2" xfId="33745"/>
    <cellStyle name="Suma 2 4 12 3" xfId="33746"/>
    <cellStyle name="Suma 2 4 12 4" xfId="33747"/>
    <cellStyle name="Suma 2 4 13" xfId="33748"/>
    <cellStyle name="Suma 2 4 13 2" xfId="33749"/>
    <cellStyle name="Suma 2 4 13 3" xfId="33750"/>
    <cellStyle name="Suma 2 4 13 4" xfId="33751"/>
    <cellStyle name="Suma 2 4 14" xfId="33752"/>
    <cellStyle name="Suma 2 4 14 2" xfId="33753"/>
    <cellStyle name="Suma 2 4 14 3" xfId="33754"/>
    <cellStyle name="Suma 2 4 14 4" xfId="33755"/>
    <cellStyle name="Suma 2 4 15" xfId="33756"/>
    <cellStyle name="Suma 2 4 15 2" xfId="33757"/>
    <cellStyle name="Suma 2 4 15 3" xfId="33758"/>
    <cellStyle name="Suma 2 4 15 4" xfId="33759"/>
    <cellStyle name="Suma 2 4 16" xfId="33760"/>
    <cellStyle name="Suma 2 4 16 2" xfId="33761"/>
    <cellStyle name="Suma 2 4 16 3" xfId="33762"/>
    <cellStyle name="Suma 2 4 16 4" xfId="33763"/>
    <cellStyle name="Suma 2 4 17" xfId="33764"/>
    <cellStyle name="Suma 2 4 17 2" xfId="33765"/>
    <cellStyle name="Suma 2 4 17 3" xfId="33766"/>
    <cellStyle name="Suma 2 4 17 4" xfId="33767"/>
    <cellStyle name="Suma 2 4 18" xfId="33768"/>
    <cellStyle name="Suma 2 4 18 2" xfId="33769"/>
    <cellStyle name="Suma 2 4 18 3" xfId="33770"/>
    <cellStyle name="Suma 2 4 18 4" xfId="33771"/>
    <cellStyle name="Suma 2 4 19" xfId="33772"/>
    <cellStyle name="Suma 2 4 19 2" xfId="33773"/>
    <cellStyle name="Suma 2 4 19 3" xfId="33774"/>
    <cellStyle name="Suma 2 4 19 4" xfId="33775"/>
    <cellStyle name="Suma 2 4 2" xfId="33776"/>
    <cellStyle name="Suma 2 4 2 2" xfId="33777"/>
    <cellStyle name="Suma 2 4 2 3" xfId="33778"/>
    <cellStyle name="Suma 2 4 2 4" xfId="33779"/>
    <cellStyle name="Suma 2 4 20" xfId="33780"/>
    <cellStyle name="Suma 2 4 20 2" xfId="33781"/>
    <cellStyle name="Suma 2 4 20 3" xfId="33782"/>
    <cellStyle name="Suma 2 4 20 4" xfId="33783"/>
    <cellStyle name="Suma 2 4 21" xfId="33784"/>
    <cellStyle name="Suma 2 4 21 2" xfId="33785"/>
    <cellStyle name="Suma 2 4 21 3" xfId="33786"/>
    <cellStyle name="Suma 2 4 22" xfId="33787"/>
    <cellStyle name="Suma 2 4 22 2" xfId="33788"/>
    <cellStyle name="Suma 2 4 22 3" xfId="33789"/>
    <cellStyle name="Suma 2 4 23" xfId="33790"/>
    <cellStyle name="Suma 2 4 23 2" xfId="33791"/>
    <cellStyle name="Suma 2 4 23 3" xfId="33792"/>
    <cellStyle name="Suma 2 4 24" xfId="33793"/>
    <cellStyle name="Suma 2 4 24 2" xfId="33794"/>
    <cellStyle name="Suma 2 4 24 3" xfId="33795"/>
    <cellStyle name="Suma 2 4 25" xfId="33796"/>
    <cellStyle name="Suma 2 4 25 2" xfId="33797"/>
    <cellStyle name="Suma 2 4 25 3" xfId="33798"/>
    <cellStyle name="Suma 2 4 26" xfId="33799"/>
    <cellStyle name="Suma 2 4 26 2" xfId="33800"/>
    <cellStyle name="Suma 2 4 26 3" xfId="33801"/>
    <cellStyle name="Suma 2 4 27" xfId="33802"/>
    <cellStyle name="Suma 2 4 27 2" xfId="33803"/>
    <cellStyle name="Suma 2 4 27 3" xfId="33804"/>
    <cellStyle name="Suma 2 4 28" xfId="33805"/>
    <cellStyle name="Suma 2 4 28 2" xfId="33806"/>
    <cellStyle name="Suma 2 4 28 3" xfId="33807"/>
    <cellStyle name="Suma 2 4 29" xfId="33808"/>
    <cellStyle name="Suma 2 4 29 2" xfId="33809"/>
    <cellStyle name="Suma 2 4 29 3" xfId="33810"/>
    <cellStyle name="Suma 2 4 3" xfId="33811"/>
    <cellStyle name="Suma 2 4 3 2" xfId="33812"/>
    <cellStyle name="Suma 2 4 3 3" xfId="33813"/>
    <cellStyle name="Suma 2 4 3 4" xfId="33814"/>
    <cellStyle name="Suma 2 4 30" xfId="33815"/>
    <cellStyle name="Suma 2 4 30 2" xfId="33816"/>
    <cellStyle name="Suma 2 4 30 3" xfId="33817"/>
    <cellStyle name="Suma 2 4 31" xfId="33818"/>
    <cellStyle name="Suma 2 4 31 2" xfId="33819"/>
    <cellStyle name="Suma 2 4 31 3" xfId="33820"/>
    <cellStyle name="Suma 2 4 32" xfId="33821"/>
    <cellStyle name="Suma 2 4 32 2" xfId="33822"/>
    <cellStyle name="Suma 2 4 32 3" xfId="33823"/>
    <cellStyle name="Suma 2 4 33" xfId="33824"/>
    <cellStyle name="Suma 2 4 33 2" xfId="33825"/>
    <cellStyle name="Suma 2 4 33 3" xfId="33826"/>
    <cellStyle name="Suma 2 4 34" xfId="33827"/>
    <cellStyle name="Suma 2 4 34 2" xfId="33828"/>
    <cellStyle name="Suma 2 4 34 3" xfId="33829"/>
    <cellStyle name="Suma 2 4 35" xfId="33830"/>
    <cellStyle name="Suma 2 4 35 2" xfId="33831"/>
    <cellStyle name="Suma 2 4 35 3" xfId="33832"/>
    <cellStyle name="Suma 2 4 36" xfId="33833"/>
    <cellStyle name="Suma 2 4 36 2" xfId="33834"/>
    <cellStyle name="Suma 2 4 36 3" xfId="33835"/>
    <cellStyle name="Suma 2 4 37" xfId="33836"/>
    <cellStyle name="Suma 2 4 37 2" xfId="33837"/>
    <cellStyle name="Suma 2 4 37 3" xfId="33838"/>
    <cellStyle name="Suma 2 4 38" xfId="33839"/>
    <cellStyle name="Suma 2 4 38 2" xfId="33840"/>
    <cellStyle name="Suma 2 4 38 3" xfId="33841"/>
    <cellStyle name="Suma 2 4 39" xfId="33842"/>
    <cellStyle name="Suma 2 4 39 2" xfId="33843"/>
    <cellStyle name="Suma 2 4 39 3" xfId="33844"/>
    <cellStyle name="Suma 2 4 4" xfId="33845"/>
    <cellStyle name="Suma 2 4 4 2" xfId="33846"/>
    <cellStyle name="Suma 2 4 4 3" xfId="33847"/>
    <cellStyle name="Suma 2 4 4 4" xfId="33848"/>
    <cellStyle name="Suma 2 4 40" xfId="33849"/>
    <cellStyle name="Suma 2 4 40 2" xfId="33850"/>
    <cellStyle name="Suma 2 4 40 3" xfId="33851"/>
    <cellStyle name="Suma 2 4 41" xfId="33852"/>
    <cellStyle name="Suma 2 4 41 2" xfId="33853"/>
    <cellStyle name="Suma 2 4 41 3" xfId="33854"/>
    <cellStyle name="Suma 2 4 42" xfId="33855"/>
    <cellStyle name="Suma 2 4 42 2" xfId="33856"/>
    <cellStyle name="Suma 2 4 42 3" xfId="33857"/>
    <cellStyle name="Suma 2 4 43" xfId="33858"/>
    <cellStyle name="Suma 2 4 43 2" xfId="33859"/>
    <cellStyle name="Suma 2 4 43 3" xfId="33860"/>
    <cellStyle name="Suma 2 4 44" xfId="33861"/>
    <cellStyle name="Suma 2 4 44 2" xfId="33862"/>
    <cellStyle name="Suma 2 4 44 3" xfId="33863"/>
    <cellStyle name="Suma 2 4 45" xfId="33864"/>
    <cellStyle name="Suma 2 4 45 2" xfId="33865"/>
    <cellStyle name="Suma 2 4 45 3" xfId="33866"/>
    <cellStyle name="Suma 2 4 46" xfId="33867"/>
    <cellStyle name="Suma 2 4 46 2" xfId="33868"/>
    <cellStyle name="Suma 2 4 46 3" xfId="33869"/>
    <cellStyle name="Suma 2 4 47" xfId="33870"/>
    <cellStyle name="Suma 2 4 47 2" xfId="33871"/>
    <cellStyle name="Suma 2 4 47 3" xfId="33872"/>
    <cellStyle name="Suma 2 4 48" xfId="33873"/>
    <cellStyle name="Suma 2 4 48 2" xfId="33874"/>
    <cellStyle name="Suma 2 4 48 3" xfId="33875"/>
    <cellStyle name="Suma 2 4 49" xfId="33876"/>
    <cellStyle name="Suma 2 4 49 2" xfId="33877"/>
    <cellStyle name="Suma 2 4 49 3" xfId="33878"/>
    <cellStyle name="Suma 2 4 5" xfId="33879"/>
    <cellStyle name="Suma 2 4 5 2" xfId="33880"/>
    <cellStyle name="Suma 2 4 5 3" xfId="33881"/>
    <cellStyle name="Suma 2 4 5 4" xfId="33882"/>
    <cellStyle name="Suma 2 4 50" xfId="33883"/>
    <cellStyle name="Suma 2 4 50 2" xfId="33884"/>
    <cellStyle name="Suma 2 4 50 3" xfId="33885"/>
    <cellStyle name="Suma 2 4 51" xfId="33886"/>
    <cellStyle name="Suma 2 4 51 2" xfId="33887"/>
    <cellStyle name="Suma 2 4 51 3" xfId="33888"/>
    <cellStyle name="Suma 2 4 52" xfId="33889"/>
    <cellStyle name="Suma 2 4 52 2" xfId="33890"/>
    <cellStyle name="Suma 2 4 52 3" xfId="33891"/>
    <cellStyle name="Suma 2 4 53" xfId="33892"/>
    <cellStyle name="Suma 2 4 53 2" xfId="33893"/>
    <cellStyle name="Suma 2 4 53 3" xfId="33894"/>
    <cellStyle name="Suma 2 4 54" xfId="33895"/>
    <cellStyle name="Suma 2 4 54 2" xfId="33896"/>
    <cellStyle name="Suma 2 4 54 3" xfId="33897"/>
    <cellStyle name="Suma 2 4 55" xfId="33898"/>
    <cellStyle name="Suma 2 4 55 2" xfId="33899"/>
    <cellStyle name="Suma 2 4 55 3" xfId="33900"/>
    <cellStyle name="Suma 2 4 56" xfId="33901"/>
    <cellStyle name="Suma 2 4 56 2" xfId="33902"/>
    <cellStyle name="Suma 2 4 56 3" xfId="33903"/>
    <cellStyle name="Suma 2 4 57" xfId="33904"/>
    <cellStyle name="Suma 2 4 58" xfId="33905"/>
    <cellStyle name="Suma 2 4 6" xfId="33906"/>
    <cellStyle name="Suma 2 4 6 2" xfId="33907"/>
    <cellStyle name="Suma 2 4 6 3" xfId="33908"/>
    <cellStyle name="Suma 2 4 6 4" xfId="33909"/>
    <cellStyle name="Suma 2 4 7" xfId="33910"/>
    <cellStyle name="Suma 2 4 7 2" xfId="33911"/>
    <cellStyle name="Suma 2 4 7 3" xfId="33912"/>
    <cellStyle name="Suma 2 4 7 4" xfId="33913"/>
    <cellStyle name="Suma 2 4 8" xfId="33914"/>
    <cellStyle name="Suma 2 4 8 2" xfId="33915"/>
    <cellStyle name="Suma 2 4 8 3" xfId="33916"/>
    <cellStyle name="Suma 2 4 8 4" xfId="33917"/>
    <cellStyle name="Suma 2 4 9" xfId="33918"/>
    <cellStyle name="Suma 2 4 9 2" xfId="33919"/>
    <cellStyle name="Suma 2 4 9 3" xfId="33920"/>
    <cellStyle name="Suma 2 4 9 4" xfId="33921"/>
    <cellStyle name="Suma 2 40" xfId="33922"/>
    <cellStyle name="Suma 2 40 2" xfId="33923"/>
    <cellStyle name="Suma 2 40 3" xfId="33924"/>
    <cellStyle name="Suma 2 40 4" xfId="33925"/>
    <cellStyle name="Suma 2 41" xfId="33926"/>
    <cellStyle name="Suma 2 41 2" xfId="33927"/>
    <cellStyle name="Suma 2 41 3" xfId="33928"/>
    <cellStyle name="Suma 2 41 4" xfId="33929"/>
    <cellStyle name="Suma 2 42" xfId="33930"/>
    <cellStyle name="Suma 2 42 2" xfId="33931"/>
    <cellStyle name="Suma 2 42 3" xfId="33932"/>
    <cellStyle name="Suma 2 42 4" xfId="33933"/>
    <cellStyle name="Suma 2 43" xfId="33934"/>
    <cellStyle name="Suma 2 43 2" xfId="33935"/>
    <cellStyle name="Suma 2 43 3" xfId="33936"/>
    <cellStyle name="Suma 2 43 4" xfId="33937"/>
    <cellStyle name="Suma 2 44" xfId="33938"/>
    <cellStyle name="Suma 2 44 2" xfId="33939"/>
    <cellStyle name="Suma 2 44 3" xfId="33940"/>
    <cellStyle name="Suma 2 44 4" xfId="33941"/>
    <cellStyle name="Suma 2 45" xfId="33942"/>
    <cellStyle name="Suma 2 45 2" xfId="33943"/>
    <cellStyle name="Suma 2 45 3" xfId="33944"/>
    <cellStyle name="Suma 2 45 4" xfId="33945"/>
    <cellStyle name="Suma 2 46" xfId="33946"/>
    <cellStyle name="Suma 2 46 2" xfId="33947"/>
    <cellStyle name="Suma 2 46 3" xfId="33948"/>
    <cellStyle name="Suma 2 46 4" xfId="33949"/>
    <cellStyle name="Suma 2 47" xfId="33950"/>
    <cellStyle name="Suma 2 47 2" xfId="33951"/>
    <cellStyle name="Suma 2 47 3" xfId="33952"/>
    <cellStyle name="Suma 2 47 4" xfId="33953"/>
    <cellStyle name="Suma 2 48" xfId="33954"/>
    <cellStyle name="Suma 2 48 2" xfId="33955"/>
    <cellStyle name="Suma 2 48 3" xfId="33956"/>
    <cellStyle name="Suma 2 48 4" xfId="33957"/>
    <cellStyle name="Suma 2 49" xfId="33958"/>
    <cellStyle name="Suma 2 49 2" xfId="33959"/>
    <cellStyle name="Suma 2 49 3" xfId="33960"/>
    <cellStyle name="Suma 2 49 4" xfId="33961"/>
    <cellStyle name="Suma 2 5" xfId="33962"/>
    <cellStyle name="Suma 2 5 10" xfId="33963"/>
    <cellStyle name="Suma 2 5 10 2" xfId="33964"/>
    <cellStyle name="Suma 2 5 10 3" xfId="33965"/>
    <cellStyle name="Suma 2 5 10 4" xfId="33966"/>
    <cellStyle name="Suma 2 5 11" xfId="33967"/>
    <cellStyle name="Suma 2 5 11 2" xfId="33968"/>
    <cellStyle name="Suma 2 5 11 3" xfId="33969"/>
    <cellStyle name="Suma 2 5 11 4" xfId="33970"/>
    <cellStyle name="Suma 2 5 12" xfId="33971"/>
    <cellStyle name="Suma 2 5 12 2" xfId="33972"/>
    <cellStyle name="Suma 2 5 12 3" xfId="33973"/>
    <cellStyle name="Suma 2 5 12 4" xfId="33974"/>
    <cellStyle name="Suma 2 5 13" xfId="33975"/>
    <cellStyle name="Suma 2 5 13 2" xfId="33976"/>
    <cellStyle name="Suma 2 5 13 3" xfId="33977"/>
    <cellStyle name="Suma 2 5 13 4" xfId="33978"/>
    <cellStyle name="Suma 2 5 14" xfId="33979"/>
    <cellStyle name="Suma 2 5 14 2" xfId="33980"/>
    <cellStyle name="Suma 2 5 14 3" xfId="33981"/>
    <cellStyle name="Suma 2 5 14 4" xfId="33982"/>
    <cellStyle name="Suma 2 5 15" xfId="33983"/>
    <cellStyle name="Suma 2 5 15 2" xfId="33984"/>
    <cellStyle name="Suma 2 5 15 3" xfId="33985"/>
    <cellStyle name="Suma 2 5 15 4" xfId="33986"/>
    <cellStyle name="Suma 2 5 16" xfId="33987"/>
    <cellStyle name="Suma 2 5 16 2" xfId="33988"/>
    <cellStyle name="Suma 2 5 16 3" xfId="33989"/>
    <cellStyle name="Suma 2 5 16 4" xfId="33990"/>
    <cellStyle name="Suma 2 5 17" xfId="33991"/>
    <cellStyle name="Suma 2 5 17 2" xfId="33992"/>
    <cellStyle name="Suma 2 5 17 3" xfId="33993"/>
    <cellStyle name="Suma 2 5 17 4" xfId="33994"/>
    <cellStyle name="Suma 2 5 18" xfId="33995"/>
    <cellStyle name="Suma 2 5 18 2" xfId="33996"/>
    <cellStyle name="Suma 2 5 18 3" xfId="33997"/>
    <cellStyle name="Suma 2 5 18 4" xfId="33998"/>
    <cellStyle name="Suma 2 5 19" xfId="33999"/>
    <cellStyle name="Suma 2 5 19 2" xfId="34000"/>
    <cellStyle name="Suma 2 5 19 3" xfId="34001"/>
    <cellStyle name="Suma 2 5 19 4" xfId="34002"/>
    <cellStyle name="Suma 2 5 2" xfId="34003"/>
    <cellStyle name="Suma 2 5 2 2" xfId="34004"/>
    <cellStyle name="Suma 2 5 2 3" xfId="34005"/>
    <cellStyle name="Suma 2 5 2 4" xfId="34006"/>
    <cellStyle name="Suma 2 5 20" xfId="34007"/>
    <cellStyle name="Suma 2 5 20 2" xfId="34008"/>
    <cellStyle name="Suma 2 5 20 3" xfId="34009"/>
    <cellStyle name="Suma 2 5 20 4" xfId="34010"/>
    <cellStyle name="Suma 2 5 21" xfId="34011"/>
    <cellStyle name="Suma 2 5 21 2" xfId="34012"/>
    <cellStyle name="Suma 2 5 21 3" xfId="34013"/>
    <cellStyle name="Suma 2 5 22" xfId="34014"/>
    <cellStyle name="Suma 2 5 22 2" xfId="34015"/>
    <cellStyle name="Suma 2 5 22 3" xfId="34016"/>
    <cellStyle name="Suma 2 5 23" xfId="34017"/>
    <cellStyle name="Suma 2 5 23 2" xfId="34018"/>
    <cellStyle name="Suma 2 5 23 3" xfId="34019"/>
    <cellStyle name="Suma 2 5 24" xfId="34020"/>
    <cellStyle name="Suma 2 5 24 2" xfId="34021"/>
    <cellStyle name="Suma 2 5 24 3" xfId="34022"/>
    <cellStyle name="Suma 2 5 25" xfId="34023"/>
    <cellStyle name="Suma 2 5 25 2" xfId="34024"/>
    <cellStyle name="Suma 2 5 25 3" xfId="34025"/>
    <cellStyle name="Suma 2 5 26" xfId="34026"/>
    <cellStyle name="Suma 2 5 26 2" xfId="34027"/>
    <cellStyle name="Suma 2 5 26 3" xfId="34028"/>
    <cellStyle name="Suma 2 5 27" xfId="34029"/>
    <cellStyle name="Suma 2 5 27 2" xfId="34030"/>
    <cellStyle name="Suma 2 5 27 3" xfId="34031"/>
    <cellStyle name="Suma 2 5 28" xfId="34032"/>
    <cellStyle name="Suma 2 5 28 2" xfId="34033"/>
    <cellStyle name="Suma 2 5 28 3" xfId="34034"/>
    <cellStyle name="Suma 2 5 29" xfId="34035"/>
    <cellStyle name="Suma 2 5 29 2" xfId="34036"/>
    <cellStyle name="Suma 2 5 29 3" xfId="34037"/>
    <cellStyle name="Suma 2 5 3" xfId="34038"/>
    <cellStyle name="Suma 2 5 3 2" xfId="34039"/>
    <cellStyle name="Suma 2 5 3 3" xfId="34040"/>
    <cellStyle name="Suma 2 5 3 4" xfId="34041"/>
    <cellStyle name="Suma 2 5 30" xfId="34042"/>
    <cellStyle name="Suma 2 5 30 2" xfId="34043"/>
    <cellStyle name="Suma 2 5 30 3" xfId="34044"/>
    <cellStyle name="Suma 2 5 31" xfId="34045"/>
    <cellStyle name="Suma 2 5 31 2" xfId="34046"/>
    <cellStyle name="Suma 2 5 31 3" xfId="34047"/>
    <cellStyle name="Suma 2 5 32" xfId="34048"/>
    <cellStyle name="Suma 2 5 32 2" xfId="34049"/>
    <cellStyle name="Suma 2 5 32 3" xfId="34050"/>
    <cellStyle name="Suma 2 5 33" xfId="34051"/>
    <cellStyle name="Suma 2 5 33 2" xfId="34052"/>
    <cellStyle name="Suma 2 5 33 3" xfId="34053"/>
    <cellStyle name="Suma 2 5 34" xfId="34054"/>
    <cellStyle name="Suma 2 5 34 2" xfId="34055"/>
    <cellStyle name="Suma 2 5 34 3" xfId="34056"/>
    <cellStyle name="Suma 2 5 35" xfId="34057"/>
    <cellStyle name="Suma 2 5 35 2" xfId="34058"/>
    <cellStyle name="Suma 2 5 35 3" xfId="34059"/>
    <cellStyle name="Suma 2 5 36" xfId="34060"/>
    <cellStyle name="Suma 2 5 36 2" xfId="34061"/>
    <cellStyle name="Suma 2 5 36 3" xfId="34062"/>
    <cellStyle name="Suma 2 5 37" xfId="34063"/>
    <cellStyle name="Suma 2 5 37 2" xfId="34064"/>
    <cellStyle name="Suma 2 5 37 3" xfId="34065"/>
    <cellStyle name="Suma 2 5 38" xfId="34066"/>
    <cellStyle name="Suma 2 5 38 2" xfId="34067"/>
    <cellStyle name="Suma 2 5 38 3" xfId="34068"/>
    <cellStyle name="Suma 2 5 39" xfId="34069"/>
    <cellStyle name="Suma 2 5 39 2" xfId="34070"/>
    <cellStyle name="Suma 2 5 39 3" xfId="34071"/>
    <cellStyle name="Suma 2 5 4" xfId="34072"/>
    <cellStyle name="Suma 2 5 4 2" xfId="34073"/>
    <cellStyle name="Suma 2 5 4 3" xfId="34074"/>
    <cellStyle name="Suma 2 5 4 4" xfId="34075"/>
    <cellStyle name="Suma 2 5 40" xfId="34076"/>
    <cellStyle name="Suma 2 5 40 2" xfId="34077"/>
    <cellStyle name="Suma 2 5 40 3" xfId="34078"/>
    <cellStyle name="Suma 2 5 41" xfId="34079"/>
    <cellStyle name="Suma 2 5 41 2" xfId="34080"/>
    <cellStyle name="Suma 2 5 41 3" xfId="34081"/>
    <cellStyle name="Suma 2 5 42" xfId="34082"/>
    <cellStyle name="Suma 2 5 42 2" xfId="34083"/>
    <cellStyle name="Suma 2 5 42 3" xfId="34084"/>
    <cellStyle name="Suma 2 5 43" xfId="34085"/>
    <cellStyle name="Suma 2 5 43 2" xfId="34086"/>
    <cellStyle name="Suma 2 5 43 3" xfId="34087"/>
    <cellStyle name="Suma 2 5 44" xfId="34088"/>
    <cellStyle name="Suma 2 5 44 2" xfId="34089"/>
    <cellStyle name="Suma 2 5 44 3" xfId="34090"/>
    <cellStyle name="Suma 2 5 45" xfId="34091"/>
    <cellStyle name="Suma 2 5 45 2" xfId="34092"/>
    <cellStyle name="Suma 2 5 45 3" xfId="34093"/>
    <cellStyle name="Suma 2 5 46" xfId="34094"/>
    <cellStyle name="Suma 2 5 46 2" xfId="34095"/>
    <cellStyle name="Suma 2 5 46 3" xfId="34096"/>
    <cellStyle name="Suma 2 5 47" xfId="34097"/>
    <cellStyle name="Suma 2 5 47 2" xfId="34098"/>
    <cellStyle name="Suma 2 5 47 3" xfId="34099"/>
    <cellStyle name="Suma 2 5 48" xfId="34100"/>
    <cellStyle name="Suma 2 5 48 2" xfId="34101"/>
    <cellStyle name="Suma 2 5 48 3" xfId="34102"/>
    <cellStyle name="Suma 2 5 49" xfId="34103"/>
    <cellStyle name="Suma 2 5 49 2" xfId="34104"/>
    <cellStyle name="Suma 2 5 49 3" xfId="34105"/>
    <cellStyle name="Suma 2 5 5" xfId="34106"/>
    <cellStyle name="Suma 2 5 5 2" xfId="34107"/>
    <cellStyle name="Suma 2 5 5 3" xfId="34108"/>
    <cellStyle name="Suma 2 5 5 4" xfId="34109"/>
    <cellStyle name="Suma 2 5 50" xfId="34110"/>
    <cellStyle name="Suma 2 5 50 2" xfId="34111"/>
    <cellStyle name="Suma 2 5 50 3" xfId="34112"/>
    <cellStyle name="Suma 2 5 51" xfId="34113"/>
    <cellStyle name="Suma 2 5 51 2" xfId="34114"/>
    <cellStyle name="Suma 2 5 51 3" xfId="34115"/>
    <cellStyle name="Suma 2 5 52" xfId="34116"/>
    <cellStyle name="Suma 2 5 52 2" xfId="34117"/>
    <cellStyle name="Suma 2 5 52 3" xfId="34118"/>
    <cellStyle name="Suma 2 5 53" xfId="34119"/>
    <cellStyle name="Suma 2 5 53 2" xfId="34120"/>
    <cellStyle name="Suma 2 5 53 3" xfId="34121"/>
    <cellStyle name="Suma 2 5 54" xfId="34122"/>
    <cellStyle name="Suma 2 5 54 2" xfId="34123"/>
    <cellStyle name="Suma 2 5 54 3" xfId="34124"/>
    <cellStyle name="Suma 2 5 55" xfId="34125"/>
    <cellStyle name="Suma 2 5 55 2" xfId="34126"/>
    <cellStyle name="Suma 2 5 55 3" xfId="34127"/>
    <cellStyle name="Suma 2 5 56" xfId="34128"/>
    <cellStyle name="Suma 2 5 56 2" xfId="34129"/>
    <cellStyle name="Suma 2 5 56 3" xfId="34130"/>
    <cellStyle name="Suma 2 5 57" xfId="34131"/>
    <cellStyle name="Suma 2 5 58" xfId="34132"/>
    <cellStyle name="Suma 2 5 6" xfId="34133"/>
    <cellStyle name="Suma 2 5 6 2" xfId="34134"/>
    <cellStyle name="Suma 2 5 6 3" xfId="34135"/>
    <cellStyle name="Suma 2 5 6 4" xfId="34136"/>
    <cellStyle name="Suma 2 5 7" xfId="34137"/>
    <cellStyle name="Suma 2 5 7 2" xfId="34138"/>
    <cellStyle name="Suma 2 5 7 3" xfId="34139"/>
    <cellStyle name="Suma 2 5 7 4" xfId="34140"/>
    <cellStyle name="Suma 2 5 8" xfId="34141"/>
    <cellStyle name="Suma 2 5 8 2" xfId="34142"/>
    <cellStyle name="Suma 2 5 8 3" xfId="34143"/>
    <cellStyle name="Suma 2 5 8 4" xfId="34144"/>
    <cellStyle name="Suma 2 5 9" xfId="34145"/>
    <cellStyle name="Suma 2 5 9 2" xfId="34146"/>
    <cellStyle name="Suma 2 5 9 3" xfId="34147"/>
    <cellStyle name="Suma 2 5 9 4" xfId="34148"/>
    <cellStyle name="Suma 2 50" xfId="34149"/>
    <cellStyle name="Suma 2 50 2" xfId="34150"/>
    <cellStyle name="Suma 2 50 3" xfId="34151"/>
    <cellStyle name="Suma 2 50 4" xfId="34152"/>
    <cellStyle name="Suma 2 51" xfId="34153"/>
    <cellStyle name="Suma 2 51 2" xfId="34154"/>
    <cellStyle name="Suma 2 51 3" xfId="34155"/>
    <cellStyle name="Suma 2 51 4" xfId="34156"/>
    <cellStyle name="Suma 2 52" xfId="34157"/>
    <cellStyle name="Suma 2 52 2" xfId="34158"/>
    <cellStyle name="Suma 2 52 3" xfId="34159"/>
    <cellStyle name="Suma 2 52 4" xfId="34160"/>
    <cellStyle name="Suma 2 53" xfId="34161"/>
    <cellStyle name="Suma 2 53 2" xfId="34162"/>
    <cellStyle name="Suma 2 53 3" xfId="34163"/>
    <cellStyle name="Suma 2 53 4" xfId="34164"/>
    <cellStyle name="Suma 2 54" xfId="34165"/>
    <cellStyle name="Suma 2 54 2" xfId="34166"/>
    <cellStyle name="Suma 2 54 3" xfId="34167"/>
    <cellStyle name="Suma 2 54 4" xfId="34168"/>
    <cellStyle name="Suma 2 55" xfId="34169"/>
    <cellStyle name="Suma 2 55 2" xfId="34170"/>
    <cellStyle name="Suma 2 55 3" xfId="34171"/>
    <cellStyle name="Suma 2 55 4" xfId="34172"/>
    <cellStyle name="Suma 2 56" xfId="34173"/>
    <cellStyle name="Suma 2 56 2" xfId="34174"/>
    <cellStyle name="Suma 2 56 3" xfId="34175"/>
    <cellStyle name="Suma 2 56 4" xfId="34176"/>
    <cellStyle name="Suma 2 57" xfId="34177"/>
    <cellStyle name="Suma 2 57 2" xfId="34178"/>
    <cellStyle name="Suma 2 57 3" xfId="34179"/>
    <cellStyle name="Suma 2 57 4" xfId="34180"/>
    <cellStyle name="Suma 2 58" xfId="34181"/>
    <cellStyle name="Suma 2 58 2" xfId="34182"/>
    <cellStyle name="Suma 2 58 3" xfId="34183"/>
    <cellStyle name="Suma 2 58 4" xfId="34184"/>
    <cellStyle name="Suma 2 59" xfId="34185"/>
    <cellStyle name="Suma 2 59 2" xfId="34186"/>
    <cellStyle name="Suma 2 59 3" xfId="34187"/>
    <cellStyle name="Suma 2 59 4" xfId="34188"/>
    <cellStyle name="Suma 2 6" xfId="34189"/>
    <cellStyle name="Suma 2 6 10" xfId="34190"/>
    <cellStyle name="Suma 2 6 10 2" xfId="34191"/>
    <cellStyle name="Suma 2 6 10 3" xfId="34192"/>
    <cellStyle name="Suma 2 6 10 4" xfId="34193"/>
    <cellStyle name="Suma 2 6 11" xfId="34194"/>
    <cellStyle name="Suma 2 6 11 2" xfId="34195"/>
    <cellStyle name="Suma 2 6 11 3" xfId="34196"/>
    <cellStyle name="Suma 2 6 11 4" xfId="34197"/>
    <cellStyle name="Suma 2 6 12" xfId="34198"/>
    <cellStyle name="Suma 2 6 12 2" xfId="34199"/>
    <cellStyle name="Suma 2 6 12 3" xfId="34200"/>
    <cellStyle name="Suma 2 6 12 4" xfId="34201"/>
    <cellStyle name="Suma 2 6 13" xfId="34202"/>
    <cellStyle name="Suma 2 6 13 2" xfId="34203"/>
    <cellStyle name="Suma 2 6 13 3" xfId="34204"/>
    <cellStyle name="Suma 2 6 13 4" xfId="34205"/>
    <cellStyle name="Suma 2 6 14" xfId="34206"/>
    <cellStyle name="Suma 2 6 14 2" xfId="34207"/>
    <cellStyle name="Suma 2 6 14 3" xfId="34208"/>
    <cellStyle name="Suma 2 6 14 4" xfId="34209"/>
    <cellStyle name="Suma 2 6 15" xfId="34210"/>
    <cellStyle name="Suma 2 6 15 2" xfId="34211"/>
    <cellStyle name="Suma 2 6 15 3" xfId="34212"/>
    <cellStyle name="Suma 2 6 15 4" xfId="34213"/>
    <cellStyle name="Suma 2 6 16" xfId="34214"/>
    <cellStyle name="Suma 2 6 16 2" xfId="34215"/>
    <cellStyle name="Suma 2 6 16 3" xfId="34216"/>
    <cellStyle name="Suma 2 6 16 4" xfId="34217"/>
    <cellStyle name="Suma 2 6 17" xfId="34218"/>
    <cellStyle name="Suma 2 6 17 2" xfId="34219"/>
    <cellStyle name="Suma 2 6 17 3" xfId="34220"/>
    <cellStyle name="Suma 2 6 17 4" xfId="34221"/>
    <cellStyle name="Suma 2 6 18" xfId="34222"/>
    <cellStyle name="Suma 2 6 18 2" xfId="34223"/>
    <cellStyle name="Suma 2 6 18 3" xfId="34224"/>
    <cellStyle name="Suma 2 6 18 4" xfId="34225"/>
    <cellStyle name="Suma 2 6 19" xfId="34226"/>
    <cellStyle name="Suma 2 6 19 2" xfId="34227"/>
    <cellStyle name="Suma 2 6 19 3" xfId="34228"/>
    <cellStyle name="Suma 2 6 19 4" xfId="34229"/>
    <cellStyle name="Suma 2 6 2" xfId="34230"/>
    <cellStyle name="Suma 2 6 2 2" xfId="34231"/>
    <cellStyle name="Suma 2 6 2 3" xfId="34232"/>
    <cellStyle name="Suma 2 6 2 4" xfId="34233"/>
    <cellStyle name="Suma 2 6 20" xfId="34234"/>
    <cellStyle name="Suma 2 6 20 2" xfId="34235"/>
    <cellStyle name="Suma 2 6 20 3" xfId="34236"/>
    <cellStyle name="Suma 2 6 20 4" xfId="34237"/>
    <cellStyle name="Suma 2 6 21" xfId="34238"/>
    <cellStyle name="Suma 2 6 21 2" xfId="34239"/>
    <cellStyle name="Suma 2 6 21 3" xfId="34240"/>
    <cellStyle name="Suma 2 6 22" xfId="34241"/>
    <cellStyle name="Suma 2 6 22 2" xfId="34242"/>
    <cellStyle name="Suma 2 6 22 3" xfId="34243"/>
    <cellStyle name="Suma 2 6 23" xfId="34244"/>
    <cellStyle name="Suma 2 6 23 2" xfId="34245"/>
    <cellStyle name="Suma 2 6 23 3" xfId="34246"/>
    <cellStyle name="Suma 2 6 24" xfId="34247"/>
    <cellStyle name="Suma 2 6 24 2" xfId="34248"/>
    <cellStyle name="Suma 2 6 24 3" xfId="34249"/>
    <cellStyle name="Suma 2 6 25" xfId="34250"/>
    <cellStyle name="Suma 2 6 25 2" xfId="34251"/>
    <cellStyle name="Suma 2 6 25 3" xfId="34252"/>
    <cellStyle name="Suma 2 6 26" xfId="34253"/>
    <cellStyle name="Suma 2 6 26 2" xfId="34254"/>
    <cellStyle name="Suma 2 6 26 3" xfId="34255"/>
    <cellStyle name="Suma 2 6 27" xfId="34256"/>
    <cellStyle name="Suma 2 6 27 2" xfId="34257"/>
    <cellStyle name="Suma 2 6 27 3" xfId="34258"/>
    <cellStyle name="Suma 2 6 28" xfId="34259"/>
    <cellStyle name="Suma 2 6 28 2" xfId="34260"/>
    <cellStyle name="Suma 2 6 28 3" xfId="34261"/>
    <cellStyle name="Suma 2 6 29" xfId="34262"/>
    <cellStyle name="Suma 2 6 29 2" xfId="34263"/>
    <cellStyle name="Suma 2 6 29 3" xfId="34264"/>
    <cellStyle name="Suma 2 6 3" xfId="34265"/>
    <cellStyle name="Suma 2 6 3 2" xfId="34266"/>
    <cellStyle name="Suma 2 6 3 3" xfId="34267"/>
    <cellStyle name="Suma 2 6 3 4" xfId="34268"/>
    <cellStyle name="Suma 2 6 30" xfId="34269"/>
    <cellStyle name="Suma 2 6 30 2" xfId="34270"/>
    <cellStyle name="Suma 2 6 30 3" xfId="34271"/>
    <cellStyle name="Suma 2 6 31" xfId="34272"/>
    <cellStyle name="Suma 2 6 31 2" xfId="34273"/>
    <cellStyle name="Suma 2 6 31 3" xfId="34274"/>
    <cellStyle name="Suma 2 6 32" xfId="34275"/>
    <cellStyle name="Suma 2 6 32 2" xfId="34276"/>
    <cellStyle name="Suma 2 6 32 3" xfId="34277"/>
    <cellStyle name="Suma 2 6 33" xfId="34278"/>
    <cellStyle name="Suma 2 6 33 2" xfId="34279"/>
    <cellStyle name="Suma 2 6 33 3" xfId="34280"/>
    <cellStyle name="Suma 2 6 34" xfId="34281"/>
    <cellStyle name="Suma 2 6 34 2" xfId="34282"/>
    <cellStyle name="Suma 2 6 34 3" xfId="34283"/>
    <cellStyle name="Suma 2 6 35" xfId="34284"/>
    <cellStyle name="Suma 2 6 35 2" xfId="34285"/>
    <cellStyle name="Suma 2 6 35 3" xfId="34286"/>
    <cellStyle name="Suma 2 6 36" xfId="34287"/>
    <cellStyle name="Suma 2 6 36 2" xfId="34288"/>
    <cellStyle name="Suma 2 6 36 3" xfId="34289"/>
    <cellStyle name="Suma 2 6 37" xfId="34290"/>
    <cellStyle name="Suma 2 6 37 2" xfId="34291"/>
    <cellStyle name="Suma 2 6 37 3" xfId="34292"/>
    <cellStyle name="Suma 2 6 38" xfId="34293"/>
    <cellStyle name="Suma 2 6 38 2" xfId="34294"/>
    <cellStyle name="Suma 2 6 38 3" xfId="34295"/>
    <cellStyle name="Suma 2 6 39" xfId="34296"/>
    <cellStyle name="Suma 2 6 39 2" xfId="34297"/>
    <cellStyle name="Suma 2 6 39 3" xfId="34298"/>
    <cellStyle name="Suma 2 6 4" xfId="34299"/>
    <cellStyle name="Suma 2 6 4 2" xfId="34300"/>
    <cellStyle name="Suma 2 6 4 3" xfId="34301"/>
    <cellStyle name="Suma 2 6 4 4" xfId="34302"/>
    <cellStyle name="Suma 2 6 40" xfId="34303"/>
    <cellStyle name="Suma 2 6 40 2" xfId="34304"/>
    <cellStyle name="Suma 2 6 40 3" xfId="34305"/>
    <cellStyle name="Suma 2 6 41" xfId="34306"/>
    <cellStyle name="Suma 2 6 41 2" xfId="34307"/>
    <cellStyle name="Suma 2 6 41 3" xfId="34308"/>
    <cellStyle name="Suma 2 6 42" xfId="34309"/>
    <cellStyle name="Suma 2 6 42 2" xfId="34310"/>
    <cellStyle name="Suma 2 6 42 3" xfId="34311"/>
    <cellStyle name="Suma 2 6 43" xfId="34312"/>
    <cellStyle name="Suma 2 6 43 2" xfId="34313"/>
    <cellStyle name="Suma 2 6 43 3" xfId="34314"/>
    <cellStyle name="Suma 2 6 44" xfId="34315"/>
    <cellStyle name="Suma 2 6 44 2" xfId="34316"/>
    <cellStyle name="Suma 2 6 44 3" xfId="34317"/>
    <cellStyle name="Suma 2 6 45" xfId="34318"/>
    <cellStyle name="Suma 2 6 45 2" xfId="34319"/>
    <cellStyle name="Suma 2 6 45 3" xfId="34320"/>
    <cellStyle name="Suma 2 6 46" xfId="34321"/>
    <cellStyle name="Suma 2 6 46 2" xfId="34322"/>
    <cellStyle name="Suma 2 6 46 3" xfId="34323"/>
    <cellStyle name="Suma 2 6 47" xfId="34324"/>
    <cellStyle name="Suma 2 6 47 2" xfId="34325"/>
    <cellStyle name="Suma 2 6 47 3" xfId="34326"/>
    <cellStyle name="Suma 2 6 48" xfId="34327"/>
    <cellStyle name="Suma 2 6 48 2" xfId="34328"/>
    <cellStyle name="Suma 2 6 48 3" xfId="34329"/>
    <cellStyle name="Suma 2 6 49" xfId="34330"/>
    <cellStyle name="Suma 2 6 49 2" xfId="34331"/>
    <cellStyle name="Suma 2 6 49 3" xfId="34332"/>
    <cellStyle name="Suma 2 6 5" xfId="34333"/>
    <cellStyle name="Suma 2 6 5 2" xfId="34334"/>
    <cellStyle name="Suma 2 6 5 3" xfId="34335"/>
    <cellStyle name="Suma 2 6 5 4" xfId="34336"/>
    <cellStyle name="Suma 2 6 50" xfId="34337"/>
    <cellStyle name="Suma 2 6 50 2" xfId="34338"/>
    <cellStyle name="Suma 2 6 50 3" xfId="34339"/>
    <cellStyle name="Suma 2 6 51" xfId="34340"/>
    <cellStyle name="Suma 2 6 51 2" xfId="34341"/>
    <cellStyle name="Suma 2 6 51 3" xfId="34342"/>
    <cellStyle name="Suma 2 6 52" xfId="34343"/>
    <cellStyle name="Suma 2 6 52 2" xfId="34344"/>
    <cellStyle name="Suma 2 6 52 3" xfId="34345"/>
    <cellStyle name="Suma 2 6 53" xfId="34346"/>
    <cellStyle name="Suma 2 6 53 2" xfId="34347"/>
    <cellStyle name="Suma 2 6 53 3" xfId="34348"/>
    <cellStyle name="Suma 2 6 54" xfId="34349"/>
    <cellStyle name="Suma 2 6 54 2" xfId="34350"/>
    <cellStyle name="Suma 2 6 54 3" xfId="34351"/>
    <cellStyle name="Suma 2 6 55" xfId="34352"/>
    <cellStyle name="Suma 2 6 55 2" xfId="34353"/>
    <cellStyle name="Suma 2 6 55 3" xfId="34354"/>
    <cellStyle name="Suma 2 6 56" xfId="34355"/>
    <cellStyle name="Suma 2 6 56 2" xfId="34356"/>
    <cellStyle name="Suma 2 6 56 3" xfId="34357"/>
    <cellStyle name="Suma 2 6 57" xfId="34358"/>
    <cellStyle name="Suma 2 6 58" xfId="34359"/>
    <cellStyle name="Suma 2 6 6" xfId="34360"/>
    <cellStyle name="Suma 2 6 6 2" xfId="34361"/>
    <cellStyle name="Suma 2 6 6 3" xfId="34362"/>
    <cellStyle name="Suma 2 6 6 4" xfId="34363"/>
    <cellStyle name="Suma 2 6 7" xfId="34364"/>
    <cellStyle name="Suma 2 6 7 2" xfId="34365"/>
    <cellStyle name="Suma 2 6 7 3" xfId="34366"/>
    <cellStyle name="Suma 2 6 7 4" xfId="34367"/>
    <cellStyle name="Suma 2 6 8" xfId="34368"/>
    <cellStyle name="Suma 2 6 8 2" xfId="34369"/>
    <cellStyle name="Suma 2 6 8 3" xfId="34370"/>
    <cellStyle name="Suma 2 6 8 4" xfId="34371"/>
    <cellStyle name="Suma 2 6 9" xfId="34372"/>
    <cellStyle name="Suma 2 6 9 2" xfId="34373"/>
    <cellStyle name="Suma 2 6 9 3" xfId="34374"/>
    <cellStyle name="Suma 2 6 9 4" xfId="34375"/>
    <cellStyle name="Suma 2 60" xfId="34376"/>
    <cellStyle name="Suma 2 60 2" xfId="34377"/>
    <cellStyle name="Suma 2 60 3" xfId="34378"/>
    <cellStyle name="Suma 2 60 4" xfId="34379"/>
    <cellStyle name="Suma 2 61" xfId="34380"/>
    <cellStyle name="Suma 2 61 2" xfId="34381"/>
    <cellStyle name="Suma 2 61 3" xfId="34382"/>
    <cellStyle name="Suma 2 61 4" xfId="34383"/>
    <cellStyle name="Suma 2 62" xfId="34384"/>
    <cellStyle name="Suma 2 62 2" xfId="34385"/>
    <cellStyle name="Suma 2 62 3" xfId="34386"/>
    <cellStyle name="Suma 2 62 4" xfId="34387"/>
    <cellStyle name="Suma 2 63" xfId="34388"/>
    <cellStyle name="Suma 2 63 2" xfId="34389"/>
    <cellStyle name="Suma 2 63 3" xfId="34390"/>
    <cellStyle name="Suma 2 63 4" xfId="34391"/>
    <cellStyle name="Suma 2 64" xfId="34392"/>
    <cellStyle name="Suma 2 64 2" xfId="34393"/>
    <cellStyle name="Suma 2 64 3" xfId="34394"/>
    <cellStyle name="Suma 2 64 4" xfId="34395"/>
    <cellStyle name="Suma 2 65" xfId="34396"/>
    <cellStyle name="Suma 2 65 2" xfId="34397"/>
    <cellStyle name="Suma 2 65 3" xfId="34398"/>
    <cellStyle name="Suma 2 65 4" xfId="34399"/>
    <cellStyle name="Suma 2 66" xfId="34400"/>
    <cellStyle name="Suma 2 66 2" xfId="34401"/>
    <cellStyle name="Suma 2 66 3" xfId="34402"/>
    <cellStyle name="Suma 2 66 4" xfId="34403"/>
    <cellStyle name="Suma 2 67" xfId="34404"/>
    <cellStyle name="Suma 2 67 2" xfId="34405"/>
    <cellStyle name="Suma 2 67 3" xfId="34406"/>
    <cellStyle name="Suma 2 68" xfId="34407"/>
    <cellStyle name="Suma 2 68 2" xfId="34408"/>
    <cellStyle name="Suma 2 68 3" xfId="34409"/>
    <cellStyle name="Suma 2 69" xfId="34410"/>
    <cellStyle name="Suma 2 69 2" xfId="34411"/>
    <cellStyle name="Suma 2 69 3" xfId="34412"/>
    <cellStyle name="Suma 2 7" xfId="34413"/>
    <cellStyle name="Suma 2 7 10" xfId="34414"/>
    <cellStyle name="Suma 2 7 10 2" xfId="34415"/>
    <cellStyle name="Suma 2 7 10 3" xfId="34416"/>
    <cellStyle name="Suma 2 7 10 4" xfId="34417"/>
    <cellStyle name="Suma 2 7 11" xfId="34418"/>
    <cellStyle name="Suma 2 7 11 2" xfId="34419"/>
    <cellStyle name="Suma 2 7 11 3" xfId="34420"/>
    <cellStyle name="Suma 2 7 11 4" xfId="34421"/>
    <cellStyle name="Suma 2 7 12" xfId="34422"/>
    <cellStyle name="Suma 2 7 12 2" xfId="34423"/>
    <cellStyle name="Suma 2 7 12 3" xfId="34424"/>
    <cellStyle name="Suma 2 7 12 4" xfId="34425"/>
    <cellStyle name="Suma 2 7 13" xfId="34426"/>
    <cellStyle name="Suma 2 7 13 2" xfId="34427"/>
    <cellStyle name="Suma 2 7 13 3" xfId="34428"/>
    <cellStyle name="Suma 2 7 13 4" xfId="34429"/>
    <cellStyle name="Suma 2 7 14" xfId="34430"/>
    <cellStyle name="Suma 2 7 14 2" xfId="34431"/>
    <cellStyle name="Suma 2 7 14 3" xfId="34432"/>
    <cellStyle name="Suma 2 7 14 4" xfId="34433"/>
    <cellStyle name="Suma 2 7 15" xfId="34434"/>
    <cellStyle name="Suma 2 7 15 2" xfId="34435"/>
    <cellStyle name="Suma 2 7 15 3" xfId="34436"/>
    <cellStyle name="Suma 2 7 15 4" xfId="34437"/>
    <cellStyle name="Suma 2 7 16" xfId="34438"/>
    <cellStyle name="Suma 2 7 16 2" xfId="34439"/>
    <cellStyle name="Suma 2 7 16 3" xfId="34440"/>
    <cellStyle name="Suma 2 7 16 4" xfId="34441"/>
    <cellStyle name="Suma 2 7 17" xfId="34442"/>
    <cellStyle name="Suma 2 7 17 2" xfId="34443"/>
    <cellStyle name="Suma 2 7 17 3" xfId="34444"/>
    <cellStyle name="Suma 2 7 17 4" xfId="34445"/>
    <cellStyle name="Suma 2 7 18" xfId="34446"/>
    <cellStyle name="Suma 2 7 18 2" xfId="34447"/>
    <cellStyle name="Suma 2 7 18 3" xfId="34448"/>
    <cellStyle name="Suma 2 7 18 4" xfId="34449"/>
    <cellStyle name="Suma 2 7 19" xfId="34450"/>
    <cellStyle name="Suma 2 7 19 2" xfId="34451"/>
    <cellStyle name="Suma 2 7 19 3" xfId="34452"/>
    <cellStyle name="Suma 2 7 19 4" xfId="34453"/>
    <cellStyle name="Suma 2 7 2" xfId="34454"/>
    <cellStyle name="Suma 2 7 2 2" xfId="34455"/>
    <cellStyle name="Suma 2 7 2 3" xfId="34456"/>
    <cellStyle name="Suma 2 7 2 4" xfId="34457"/>
    <cellStyle name="Suma 2 7 20" xfId="34458"/>
    <cellStyle name="Suma 2 7 20 2" xfId="34459"/>
    <cellStyle name="Suma 2 7 20 3" xfId="34460"/>
    <cellStyle name="Suma 2 7 20 4" xfId="34461"/>
    <cellStyle name="Suma 2 7 21" xfId="34462"/>
    <cellStyle name="Suma 2 7 21 2" xfId="34463"/>
    <cellStyle name="Suma 2 7 21 3" xfId="34464"/>
    <cellStyle name="Suma 2 7 22" xfId="34465"/>
    <cellStyle name="Suma 2 7 22 2" xfId="34466"/>
    <cellStyle name="Suma 2 7 22 3" xfId="34467"/>
    <cellStyle name="Suma 2 7 23" xfId="34468"/>
    <cellStyle name="Suma 2 7 23 2" xfId="34469"/>
    <cellStyle name="Suma 2 7 23 3" xfId="34470"/>
    <cellStyle name="Suma 2 7 24" xfId="34471"/>
    <cellStyle name="Suma 2 7 24 2" xfId="34472"/>
    <cellStyle name="Suma 2 7 24 3" xfId="34473"/>
    <cellStyle name="Suma 2 7 25" xfId="34474"/>
    <cellStyle name="Suma 2 7 25 2" xfId="34475"/>
    <cellStyle name="Suma 2 7 25 3" xfId="34476"/>
    <cellStyle name="Suma 2 7 26" xfId="34477"/>
    <cellStyle name="Suma 2 7 26 2" xfId="34478"/>
    <cellStyle name="Suma 2 7 26 3" xfId="34479"/>
    <cellStyle name="Suma 2 7 27" xfId="34480"/>
    <cellStyle name="Suma 2 7 27 2" xfId="34481"/>
    <cellStyle name="Suma 2 7 27 3" xfId="34482"/>
    <cellStyle name="Suma 2 7 28" xfId="34483"/>
    <cellStyle name="Suma 2 7 28 2" xfId="34484"/>
    <cellStyle name="Suma 2 7 28 3" xfId="34485"/>
    <cellStyle name="Suma 2 7 29" xfId="34486"/>
    <cellStyle name="Suma 2 7 29 2" xfId="34487"/>
    <cellStyle name="Suma 2 7 29 3" xfId="34488"/>
    <cellStyle name="Suma 2 7 3" xfId="34489"/>
    <cellStyle name="Suma 2 7 3 2" xfId="34490"/>
    <cellStyle name="Suma 2 7 3 3" xfId="34491"/>
    <cellStyle name="Suma 2 7 3 4" xfId="34492"/>
    <cellStyle name="Suma 2 7 30" xfId="34493"/>
    <cellStyle name="Suma 2 7 30 2" xfId="34494"/>
    <cellStyle name="Suma 2 7 30 3" xfId="34495"/>
    <cellStyle name="Suma 2 7 31" xfId="34496"/>
    <cellStyle name="Suma 2 7 31 2" xfId="34497"/>
    <cellStyle name="Suma 2 7 31 3" xfId="34498"/>
    <cellStyle name="Suma 2 7 32" xfId="34499"/>
    <cellStyle name="Suma 2 7 32 2" xfId="34500"/>
    <cellStyle name="Suma 2 7 32 3" xfId="34501"/>
    <cellStyle name="Suma 2 7 33" xfId="34502"/>
    <cellStyle name="Suma 2 7 33 2" xfId="34503"/>
    <cellStyle name="Suma 2 7 33 3" xfId="34504"/>
    <cellStyle name="Suma 2 7 34" xfId="34505"/>
    <cellStyle name="Suma 2 7 34 2" xfId="34506"/>
    <cellStyle name="Suma 2 7 34 3" xfId="34507"/>
    <cellStyle name="Suma 2 7 35" xfId="34508"/>
    <cellStyle name="Suma 2 7 35 2" xfId="34509"/>
    <cellStyle name="Suma 2 7 35 3" xfId="34510"/>
    <cellStyle name="Suma 2 7 36" xfId="34511"/>
    <cellStyle name="Suma 2 7 36 2" xfId="34512"/>
    <cellStyle name="Suma 2 7 36 3" xfId="34513"/>
    <cellStyle name="Suma 2 7 37" xfId="34514"/>
    <cellStyle name="Suma 2 7 37 2" xfId="34515"/>
    <cellStyle name="Suma 2 7 37 3" xfId="34516"/>
    <cellStyle name="Suma 2 7 38" xfId="34517"/>
    <cellStyle name="Suma 2 7 38 2" xfId="34518"/>
    <cellStyle name="Suma 2 7 38 3" xfId="34519"/>
    <cellStyle name="Suma 2 7 39" xfId="34520"/>
    <cellStyle name="Suma 2 7 39 2" xfId="34521"/>
    <cellStyle name="Suma 2 7 39 3" xfId="34522"/>
    <cellStyle name="Suma 2 7 4" xfId="34523"/>
    <cellStyle name="Suma 2 7 4 2" xfId="34524"/>
    <cellStyle name="Suma 2 7 4 3" xfId="34525"/>
    <cellStyle name="Suma 2 7 4 4" xfId="34526"/>
    <cellStyle name="Suma 2 7 40" xfId="34527"/>
    <cellStyle name="Suma 2 7 40 2" xfId="34528"/>
    <cellStyle name="Suma 2 7 40 3" xfId="34529"/>
    <cellStyle name="Suma 2 7 41" xfId="34530"/>
    <cellStyle name="Suma 2 7 41 2" xfId="34531"/>
    <cellStyle name="Suma 2 7 41 3" xfId="34532"/>
    <cellStyle name="Suma 2 7 42" xfId="34533"/>
    <cellStyle name="Suma 2 7 42 2" xfId="34534"/>
    <cellStyle name="Suma 2 7 42 3" xfId="34535"/>
    <cellStyle name="Suma 2 7 43" xfId="34536"/>
    <cellStyle name="Suma 2 7 43 2" xfId="34537"/>
    <cellStyle name="Suma 2 7 43 3" xfId="34538"/>
    <cellStyle name="Suma 2 7 44" xfId="34539"/>
    <cellStyle name="Suma 2 7 44 2" xfId="34540"/>
    <cellStyle name="Suma 2 7 44 3" xfId="34541"/>
    <cellStyle name="Suma 2 7 45" xfId="34542"/>
    <cellStyle name="Suma 2 7 45 2" xfId="34543"/>
    <cellStyle name="Suma 2 7 45 3" xfId="34544"/>
    <cellStyle name="Suma 2 7 46" xfId="34545"/>
    <cellStyle name="Suma 2 7 46 2" xfId="34546"/>
    <cellStyle name="Suma 2 7 46 3" xfId="34547"/>
    <cellStyle name="Suma 2 7 47" xfId="34548"/>
    <cellStyle name="Suma 2 7 47 2" xfId="34549"/>
    <cellStyle name="Suma 2 7 47 3" xfId="34550"/>
    <cellStyle name="Suma 2 7 48" xfId="34551"/>
    <cellStyle name="Suma 2 7 48 2" xfId="34552"/>
    <cellStyle name="Suma 2 7 48 3" xfId="34553"/>
    <cellStyle name="Suma 2 7 49" xfId="34554"/>
    <cellStyle name="Suma 2 7 49 2" xfId="34555"/>
    <cellStyle name="Suma 2 7 49 3" xfId="34556"/>
    <cellStyle name="Suma 2 7 5" xfId="34557"/>
    <cellStyle name="Suma 2 7 5 2" xfId="34558"/>
    <cellStyle name="Suma 2 7 5 3" xfId="34559"/>
    <cellStyle name="Suma 2 7 5 4" xfId="34560"/>
    <cellStyle name="Suma 2 7 50" xfId="34561"/>
    <cellStyle name="Suma 2 7 50 2" xfId="34562"/>
    <cellStyle name="Suma 2 7 50 3" xfId="34563"/>
    <cellStyle name="Suma 2 7 51" xfId="34564"/>
    <cellStyle name="Suma 2 7 51 2" xfId="34565"/>
    <cellStyle name="Suma 2 7 51 3" xfId="34566"/>
    <cellStyle name="Suma 2 7 52" xfId="34567"/>
    <cellStyle name="Suma 2 7 52 2" xfId="34568"/>
    <cellStyle name="Suma 2 7 52 3" xfId="34569"/>
    <cellStyle name="Suma 2 7 53" xfId="34570"/>
    <cellStyle name="Suma 2 7 53 2" xfId="34571"/>
    <cellStyle name="Suma 2 7 53 3" xfId="34572"/>
    <cellStyle name="Suma 2 7 54" xfId="34573"/>
    <cellStyle name="Suma 2 7 54 2" xfId="34574"/>
    <cellStyle name="Suma 2 7 54 3" xfId="34575"/>
    <cellStyle name="Suma 2 7 55" xfId="34576"/>
    <cellStyle name="Suma 2 7 55 2" xfId="34577"/>
    <cellStyle name="Suma 2 7 55 3" xfId="34578"/>
    <cellStyle name="Suma 2 7 56" xfId="34579"/>
    <cellStyle name="Suma 2 7 56 2" xfId="34580"/>
    <cellStyle name="Suma 2 7 56 3" xfId="34581"/>
    <cellStyle name="Suma 2 7 57" xfId="34582"/>
    <cellStyle name="Suma 2 7 58" xfId="34583"/>
    <cellStyle name="Suma 2 7 6" xfId="34584"/>
    <cellStyle name="Suma 2 7 6 2" xfId="34585"/>
    <cellStyle name="Suma 2 7 6 3" xfId="34586"/>
    <cellStyle name="Suma 2 7 6 4" xfId="34587"/>
    <cellStyle name="Suma 2 7 7" xfId="34588"/>
    <cellStyle name="Suma 2 7 7 2" xfId="34589"/>
    <cellStyle name="Suma 2 7 7 3" xfId="34590"/>
    <cellStyle name="Suma 2 7 7 4" xfId="34591"/>
    <cellStyle name="Suma 2 7 8" xfId="34592"/>
    <cellStyle name="Suma 2 7 8 2" xfId="34593"/>
    <cellStyle name="Suma 2 7 8 3" xfId="34594"/>
    <cellStyle name="Suma 2 7 8 4" xfId="34595"/>
    <cellStyle name="Suma 2 7 9" xfId="34596"/>
    <cellStyle name="Suma 2 7 9 2" xfId="34597"/>
    <cellStyle name="Suma 2 7 9 3" xfId="34598"/>
    <cellStyle name="Suma 2 7 9 4" xfId="34599"/>
    <cellStyle name="Suma 2 70" xfId="34600"/>
    <cellStyle name="Suma 2 70 2" xfId="34601"/>
    <cellStyle name="Suma 2 70 3" xfId="34602"/>
    <cellStyle name="Suma 2 71" xfId="34603"/>
    <cellStyle name="Suma 2 71 2" xfId="34604"/>
    <cellStyle name="Suma 2 71 3" xfId="34605"/>
    <cellStyle name="Suma 2 72" xfId="34606"/>
    <cellStyle name="Suma 2 72 2" xfId="34607"/>
    <cellStyle name="Suma 2 72 3" xfId="34608"/>
    <cellStyle name="Suma 2 73" xfId="34609"/>
    <cellStyle name="Suma 2 73 2" xfId="34610"/>
    <cellStyle name="Suma 2 73 3" xfId="34611"/>
    <cellStyle name="Suma 2 74" xfId="34612"/>
    <cellStyle name="Suma 2 74 2" xfId="34613"/>
    <cellStyle name="Suma 2 74 3" xfId="34614"/>
    <cellStyle name="Suma 2 75" xfId="34615"/>
    <cellStyle name="Suma 2 75 2" xfId="34616"/>
    <cellStyle name="Suma 2 75 3" xfId="34617"/>
    <cellStyle name="Suma 2 76" xfId="34618"/>
    <cellStyle name="Suma 2 76 2" xfId="34619"/>
    <cellStyle name="Suma 2 76 3" xfId="34620"/>
    <cellStyle name="Suma 2 77" xfId="34621"/>
    <cellStyle name="Suma 2 77 2" xfId="34622"/>
    <cellStyle name="Suma 2 77 3" xfId="34623"/>
    <cellStyle name="Suma 2 78" xfId="34624"/>
    <cellStyle name="Suma 2 78 2" xfId="34625"/>
    <cellStyle name="Suma 2 78 3" xfId="34626"/>
    <cellStyle name="Suma 2 79" xfId="34627"/>
    <cellStyle name="Suma 2 79 2" xfId="34628"/>
    <cellStyle name="Suma 2 79 3" xfId="34629"/>
    <cellStyle name="Suma 2 8" xfId="34630"/>
    <cellStyle name="Suma 2 8 10" xfId="34631"/>
    <cellStyle name="Suma 2 8 10 2" xfId="34632"/>
    <cellStyle name="Suma 2 8 10 3" xfId="34633"/>
    <cellStyle name="Suma 2 8 10 4" xfId="34634"/>
    <cellStyle name="Suma 2 8 11" xfId="34635"/>
    <cellStyle name="Suma 2 8 11 2" xfId="34636"/>
    <cellStyle name="Suma 2 8 11 3" xfId="34637"/>
    <cellStyle name="Suma 2 8 11 4" xfId="34638"/>
    <cellStyle name="Suma 2 8 12" xfId="34639"/>
    <cellStyle name="Suma 2 8 12 2" xfId="34640"/>
    <cellStyle name="Suma 2 8 12 3" xfId="34641"/>
    <cellStyle name="Suma 2 8 12 4" xfId="34642"/>
    <cellStyle name="Suma 2 8 13" xfId="34643"/>
    <cellStyle name="Suma 2 8 13 2" xfId="34644"/>
    <cellStyle name="Suma 2 8 13 3" xfId="34645"/>
    <cellStyle name="Suma 2 8 13 4" xfId="34646"/>
    <cellStyle name="Suma 2 8 14" xfId="34647"/>
    <cellStyle name="Suma 2 8 14 2" xfId="34648"/>
    <cellStyle name="Suma 2 8 14 3" xfId="34649"/>
    <cellStyle name="Suma 2 8 14 4" xfId="34650"/>
    <cellStyle name="Suma 2 8 15" xfId="34651"/>
    <cellStyle name="Suma 2 8 15 2" xfId="34652"/>
    <cellStyle name="Suma 2 8 15 3" xfId="34653"/>
    <cellStyle name="Suma 2 8 15 4" xfId="34654"/>
    <cellStyle name="Suma 2 8 16" xfId="34655"/>
    <cellStyle name="Suma 2 8 16 2" xfId="34656"/>
    <cellStyle name="Suma 2 8 16 3" xfId="34657"/>
    <cellStyle name="Suma 2 8 16 4" xfId="34658"/>
    <cellStyle name="Suma 2 8 17" xfId="34659"/>
    <cellStyle name="Suma 2 8 17 2" xfId="34660"/>
    <cellStyle name="Suma 2 8 17 3" xfId="34661"/>
    <cellStyle name="Suma 2 8 17 4" xfId="34662"/>
    <cellStyle name="Suma 2 8 18" xfId="34663"/>
    <cellStyle name="Suma 2 8 18 2" xfId="34664"/>
    <cellStyle name="Suma 2 8 18 3" xfId="34665"/>
    <cellStyle name="Suma 2 8 18 4" xfId="34666"/>
    <cellStyle name="Suma 2 8 19" xfId="34667"/>
    <cellStyle name="Suma 2 8 19 2" xfId="34668"/>
    <cellStyle name="Suma 2 8 19 3" xfId="34669"/>
    <cellStyle name="Suma 2 8 19 4" xfId="34670"/>
    <cellStyle name="Suma 2 8 2" xfId="34671"/>
    <cellStyle name="Suma 2 8 2 2" xfId="34672"/>
    <cellStyle name="Suma 2 8 2 3" xfId="34673"/>
    <cellStyle name="Suma 2 8 2 4" xfId="34674"/>
    <cellStyle name="Suma 2 8 20" xfId="34675"/>
    <cellStyle name="Suma 2 8 20 2" xfId="34676"/>
    <cellStyle name="Suma 2 8 20 3" xfId="34677"/>
    <cellStyle name="Suma 2 8 20 4" xfId="34678"/>
    <cellStyle name="Suma 2 8 21" xfId="34679"/>
    <cellStyle name="Suma 2 8 21 2" xfId="34680"/>
    <cellStyle name="Suma 2 8 21 3" xfId="34681"/>
    <cellStyle name="Suma 2 8 22" xfId="34682"/>
    <cellStyle name="Suma 2 8 22 2" xfId="34683"/>
    <cellStyle name="Suma 2 8 22 3" xfId="34684"/>
    <cellStyle name="Suma 2 8 23" xfId="34685"/>
    <cellStyle name="Suma 2 8 23 2" xfId="34686"/>
    <cellStyle name="Suma 2 8 23 3" xfId="34687"/>
    <cellStyle name="Suma 2 8 24" xfId="34688"/>
    <cellStyle name="Suma 2 8 24 2" xfId="34689"/>
    <cellStyle name="Suma 2 8 24 3" xfId="34690"/>
    <cellStyle name="Suma 2 8 25" xfId="34691"/>
    <cellStyle name="Suma 2 8 25 2" xfId="34692"/>
    <cellStyle name="Suma 2 8 25 3" xfId="34693"/>
    <cellStyle name="Suma 2 8 26" xfId="34694"/>
    <cellStyle name="Suma 2 8 26 2" xfId="34695"/>
    <cellStyle name="Suma 2 8 26 3" xfId="34696"/>
    <cellStyle name="Suma 2 8 27" xfId="34697"/>
    <cellStyle name="Suma 2 8 27 2" xfId="34698"/>
    <cellStyle name="Suma 2 8 27 3" xfId="34699"/>
    <cellStyle name="Suma 2 8 28" xfId="34700"/>
    <cellStyle name="Suma 2 8 28 2" xfId="34701"/>
    <cellStyle name="Suma 2 8 28 3" xfId="34702"/>
    <cellStyle name="Suma 2 8 29" xfId="34703"/>
    <cellStyle name="Suma 2 8 29 2" xfId="34704"/>
    <cellStyle name="Suma 2 8 29 3" xfId="34705"/>
    <cellStyle name="Suma 2 8 3" xfId="34706"/>
    <cellStyle name="Suma 2 8 3 2" xfId="34707"/>
    <cellStyle name="Suma 2 8 3 3" xfId="34708"/>
    <cellStyle name="Suma 2 8 3 4" xfId="34709"/>
    <cellStyle name="Suma 2 8 30" xfId="34710"/>
    <cellStyle name="Suma 2 8 30 2" xfId="34711"/>
    <cellStyle name="Suma 2 8 30 3" xfId="34712"/>
    <cellStyle name="Suma 2 8 31" xfId="34713"/>
    <cellStyle name="Suma 2 8 31 2" xfId="34714"/>
    <cellStyle name="Suma 2 8 31 3" xfId="34715"/>
    <cellStyle name="Suma 2 8 32" xfId="34716"/>
    <cellStyle name="Suma 2 8 32 2" xfId="34717"/>
    <cellStyle name="Suma 2 8 32 3" xfId="34718"/>
    <cellStyle name="Suma 2 8 33" xfId="34719"/>
    <cellStyle name="Suma 2 8 33 2" xfId="34720"/>
    <cellStyle name="Suma 2 8 33 3" xfId="34721"/>
    <cellStyle name="Suma 2 8 34" xfId="34722"/>
    <cellStyle name="Suma 2 8 34 2" xfId="34723"/>
    <cellStyle name="Suma 2 8 34 3" xfId="34724"/>
    <cellStyle name="Suma 2 8 35" xfId="34725"/>
    <cellStyle name="Suma 2 8 35 2" xfId="34726"/>
    <cellStyle name="Suma 2 8 35 3" xfId="34727"/>
    <cellStyle name="Suma 2 8 36" xfId="34728"/>
    <cellStyle name="Suma 2 8 36 2" xfId="34729"/>
    <cellStyle name="Suma 2 8 36 3" xfId="34730"/>
    <cellStyle name="Suma 2 8 37" xfId="34731"/>
    <cellStyle name="Suma 2 8 37 2" xfId="34732"/>
    <cellStyle name="Suma 2 8 37 3" xfId="34733"/>
    <cellStyle name="Suma 2 8 38" xfId="34734"/>
    <cellStyle name="Suma 2 8 38 2" xfId="34735"/>
    <cellStyle name="Suma 2 8 38 3" xfId="34736"/>
    <cellStyle name="Suma 2 8 39" xfId="34737"/>
    <cellStyle name="Suma 2 8 39 2" xfId="34738"/>
    <cellStyle name="Suma 2 8 39 3" xfId="34739"/>
    <cellStyle name="Suma 2 8 4" xfId="34740"/>
    <cellStyle name="Suma 2 8 4 2" xfId="34741"/>
    <cellStyle name="Suma 2 8 4 3" xfId="34742"/>
    <cellStyle name="Suma 2 8 4 4" xfId="34743"/>
    <cellStyle name="Suma 2 8 40" xfId="34744"/>
    <cellStyle name="Suma 2 8 40 2" xfId="34745"/>
    <cellStyle name="Suma 2 8 40 3" xfId="34746"/>
    <cellStyle name="Suma 2 8 41" xfId="34747"/>
    <cellStyle name="Suma 2 8 41 2" xfId="34748"/>
    <cellStyle name="Suma 2 8 41 3" xfId="34749"/>
    <cellStyle name="Suma 2 8 42" xfId="34750"/>
    <cellStyle name="Suma 2 8 42 2" xfId="34751"/>
    <cellStyle name="Suma 2 8 42 3" xfId="34752"/>
    <cellStyle name="Suma 2 8 43" xfId="34753"/>
    <cellStyle name="Suma 2 8 43 2" xfId="34754"/>
    <cellStyle name="Suma 2 8 43 3" xfId="34755"/>
    <cellStyle name="Suma 2 8 44" xfId="34756"/>
    <cellStyle name="Suma 2 8 44 2" xfId="34757"/>
    <cellStyle name="Suma 2 8 44 3" xfId="34758"/>
    <cellStyle name="Suma 2 8 45" xfId="34759"/>
    <cellStyle name="Suma 2 8 45 2" xfId="34760"/>
    <cellStyle name="Suma 2 8 45 3" xfId="34761"/>
    <cellStyle name="Suma 2 8 46" xfId="34762"/>
    <cellStyle name="Suma 2 8 46 2" xfId="34763"/>
    <cellStyle name="Suma 2 8 46 3" xfId="34764"/>
    <cellStyle name="Suma 2 8 47" xfId="34765"/>
    <cellStyle name="Suma 2 8 47 2" xfId="34766"/>
    <cellStyle name="Suma 2 8 47 3" xfId="34767"/>
    <cellStyle name="Suma 2 8 48" xfId="34768"/>
    <cellStyle name="Suma 2 8 48 2" xfId="34769"/>
    <cellStyle name="Suma 2 8 48 3" xfId="34770"/>
    <cellStyle name="Suma 2 8 49" xfId="34771"/>
    <cellStyle name="Suma 2 8 49 2" xfId="34772"/>
    <cellStyle name="Suma 2 8 49 3" xfId="34773"/>
    <cellStyle name="Suma 2 8 5" xfId="34774"/>
    <cellStyle name="Suma 2 8 5 2" xfId="34775"/>
    <cellStyle name="Suma 2 8 5 3" xfId="34776"/>
    <cellStyle name="Suma 2 8 5 4" xfId="34777"/>
    <cellStyle name="Suma 2 8 50" xfId="34778"/>
    <cellStyle name="Suma 2 8 50 2" xfId="34779"/>
    <cellStyle name="Suma 2 8 50 3" xfId="34780"/>
    <cellStyle name="Suma 2 8 51" xfId="34781"/>
    <cellStyle name="Suma 2 8 51 2" xfId="34782"/>
    <cellStyle name="Suma 2 8 51 3" xfId="34783"/>
    <cellStyle name="Suma 2 8 52" xfId="34784"/>
    <cellStyle name="Suma 2 8 52 2" xfId="34785"/>
    <cellStyle name="Suma 2 8 52 3" xfId="34786"/>
    <cellStyle name="Suma 2 8 53" xfId="34787"/>
    <cellStyle name="Suma 2 8 53 2" xfId="34788"/>
    <cellStyle name="Suma 2 8 53 3" xfId="34789"/>
    <cellStyle name="Suma 2 8 54" xfId="34790"/>
    <cellStyle name="Suma 2 8 54 2" xfId="34791"/>
    <cellStyle name="Suma 2 8 54 3" xfId="34792"/>
    <cellStyle name="Suma 2 8 55" xfId="34793"/>
    <cellStyle name="Suma 2 8 55 2" xfId="34794"/>
    <cellStyle name="Suma 2 8 55 3" xfId="34795"/>
    <cellStyle name="Suma 2 8 56" xfId="34796"/>
    <cellStyle name="Suma 2 8 56 2" xfId="34797"/>
    <cellStyle name="Suma 2 8 56 3" xfId="34798"/>
    <cellStyle name="Suma 2 8 57" xfId="34799"/>
    <cellStyle name="Suma 2 8 58" xfId="34800"/>
    <cellStyle name="Suma 2 8 6" xfId="34801"/>
    <cellStyle name="Suma 2 8 6 2" xfId="34802"/>
    <cellStyle name="Suma 2 8 6 3" xfId="34803"/>
    <cellStyle name="Suma 2 8 6 4" xfId="34804"/>
    <cellStyle name="Suma 2 8 7" xfId="34805"/>
    <cellStyle name="Suma 2 8 7 2" xfId="34806"/>
    <cellStyle name="Suma 2 8 7 3" xfId="34807"/>
    <cellStyle name="Suma 2 8 7 4" xfId="34808"/>
    <cellStyle name="Suma 2 8 8" xfId="34809"/>
    <cellStyle name="Suma 2 8 8 2" xfId="34810"/>
    <cellStyle name="Suma 2 8 8 3" xfId="34811"/>
    <cellStyle name="Suma 2 8 8 4" xfId="34812"/>
    <cellStyle name="Suma 2 8 9" xfId="34813"/>
    <cellStyle name="Suma 2 8 9 2" xfId="34814"/>
    <cellStyle name="Suma 2 8 9 3" xfId="34815"/>
    <cellStyle name="Suma 2 8 9 4" xfId="34816"/>
    <cellStyle name="Suma 2 80" xfId="34817"/>
    <cellStyle name="Suma 2 80 2" xfId="34818"/>
    <cellStyle name="Suma 2 80 3" xfId="34819"/>
    <cellStyle name="Suma 2 81" xfId="34820"/>
    <cellStyle name="Suma 2 81 2" xfId="34821"/>
    <cellStyle name="Suma 2 81 3" xfId="34822"/>
    <cellStyle name="Suma 2 82" xfId="34823"/>
    <cellStyle name="Suma 2 82 2" xfId="34824"/>
    <cellStyle name="Suma 2 82 3" xfId="34825"/>
    <cellStyle name="Suma 2 83" xfId="34826"/>
    <cellStyle name="Suma 2 83 2" xfId="34827"/>
    <cellStyle name="Suma 2 83 3" xfId="34828"/>
    <cellStyle name="Suma 2 84" xfId="34829"/>
    <cellStyle name="Suma 2 84 2" xfId="34830"/>
    <cellStyle name="Suma 2 84 3" xfId="34831"/>
    <cellStyle name="Suma 2 85" xfId="34832"/>
    <cellStyle name="Suma 2 85 2" xfId="34833"/>
    <cellStyle name="Suma 2 85 3" xfId="34834"/>
    <cellStyle name="Suma 2 86" xfId="34835"/>
    <cellStyle name="Suma 2 86 2" xfId="34836"/>
    <cellStyle name="Suma 2 86 3" xfId="34837"/>
    <cellStyle name="Suma 2 87" xfId="34838"/>
    <cellStyle name="Suma 2 87 2" xfId="34839"/>
    <cellStyle name="Suma 2 87 3" xfId="34840"/>
    <cellStyle name="Suma 2 88" xfId="34841"/>
    <cellStyle name="Suma 2 89" xfId="34842"/>
    <cellStyle name="Suma 2 9" xfId="34843"/>
    <cellStyle name="Suma 2 9 10" xfId="34844"/>
    <cellStyle name="Suma 2 9 10 2" xfId="34845"/>
    <cellStyle name="Suma 2 9 10 3" xfId="34846"/>
    <cellStyle name="Suma 2 9 10 4" xfId="34847"/>
    <cellStyle name="Suma 2 9 11" xfId="34848"/>
    <cellStyle name="Suma 2 9 11 2" xfId="34849"/>
    <cellStyle name="Suma 2 9 11 3" xfId="34850"/>
    <cellStyle name="Suma 2 9 11 4" xfId="34851"/>
    <cellStyle name="Suma 2 9 12" xfId="34852"/>
    <cellStyle name="Suma 2 9 12 2" xfId="34853"/>
    <cellStyle name="Suma 2 9 12 3" xfId="34854"/>
    <cellStyle name="Suma 2 9 12 4" xfId="34855"/>
    <cellStyle name="Suma 2 9 13" xfId="34856"/>
    <cellStyle name="Suma 2 9 13 2" xfId="34857"/>
    <cellStyle name="Suma 2 9 13 3" xfId="34858"/>
    <cellStyle name="Suma 2 9 13 4" xfId="34859"/>
    <cellStyle name="Suma 2 9 14" xfId="34860"/>
    <cellStyle name="Suma 2 9 14 2" xfId="34861"/>
    <cellStyle name="Suma 2 9 14 3" xfId="34862"/>
    <cellStyle name="Suma 2 9 14 4" xfId="34863"/>
    <cellStyle name="Suma 2 9 15" xfId="34864"/>
    <cellStyle name="Suma 2 9 15 2" xfId="34865"/>
    <cellStyle name="Suma 2 9 15 3" xfId="34866"/>
    <cellStyle name="Suma 2 9 15 4" xfId="34867"/>
    <cellStyle name="Suma 2 9 16" xfId="34868"/>
    <cellStyle name="Suma 2 9 16 2" xfId="34869"/>
    <cellStyle name="Suma 2 9 16 3" xfId="34870"/>
    <cellStyle name="Suma 2 9 16 4" xfId="34871"/>
    <cellStyle name="Suma 2 9 17" xfId="34872"/>
    <cellStyle name="Suma 2 9 17 2" xfId="34873"/>
    <cellStyle name="Suma 2 9 17 3" xfId="34874"/>
    <cellStyle name="Suma 2 9 17 4" xfId="34875"/>
    <cellStyle name="Suma 2 9 18" xfId="34876"/>
    <cellStyle name="Suma 2 9 18 2" xfId="34877"/>
    <cellStyle name="Suma 2 9 18 3" xfId="34878"/>
    <cellStyle name="Suma 2 9 18 4" xfId="34879"/>
    <cellStyle name="Suma 2 9 19" xfId="34880"/>
    <cellStyle name="Suma 2 9 19 2" xfId="34881"/>
    <cellStyle name="Suma 2 9 19 3" xfId="34882"/>
    <cellStyle name="Suma 2 9 19 4" xfId="34883"/>
    <cellStyle name="Suma 2 9 2" xfId="34884"/>
    <cellStyle name="Suma 2 9 2 2" xfId="34885"/>
    <cellStyle name="Suma 2 9 2 3" xfId="34886"/>
    <cellStyle name="Suma 2 9 2 4" xfId="34887"/>
    <cellStyle name="Suma 2 9 20" xfId="34888"/>
    <cellStyle name="Suma 2 9 20 2" xfId="34889"/>
    <cellStyle name="Suma 2 9 20 3" xfId="34890"/>
    <cellStyle name="Suma 2 9 20 4" xfId="34891"/>
    <cellStyle name="Suma 2 9 21" xfId="34892"/>
    <cellStyle name="Suma 2 9 21 2" xfId="34893"/>
    <cellStyle name="Suma 2 9 21 3" xfId="34894"/>
    <cellStyle name="Suma 2 9 22" xfId="34895"/>
    <cellStyle name="Suma 2 9 22 2" xfId="34896"/>
    <cellStyle name="Suma 2 9 22 3" xfId="34897"/>
    <cellStyle name="Suma 2 9 23" xfId="34898"/>
    <cellStyle name="Suma 2 9 23 2" xfId="34899"/>
    <cellStyle name="Suma 2 9 23 3" xfId="34900"/>
    <cellStyle name="Suma 2 9 24" xfId="34901"/>
    <cellStyle name="Suma 2 9 24 2" xfId="34902"/>
    <cellStyle name="Suma 2 9 24 3" xfId="34903"/>
    <cellStyle name="Suma 2 9 25" xfId="34904"/>
    <cellStyle name="Suma 2 9 25 2" xfId="34905"/>
    <cellStyle name="Suma 2 9 25 3" xfId="34906"/>
    <cellStyle name="Suma 2 9 26" xfId="34907"/>
    <cellStyle name="Suma 2 9 26 2" xfId="34908"/>
    <cellStyle name="Suma 2 9 26 3" xfId="34909"/>
    <cellStyle name="Suma 2 9 27" xfId="34910"/>
    <cellStyle name="Suma 2 9 27 2" xfId="34911"/>
    <cellStyle name="Suma 2 9 27 3" xfId="34912"/>
    <cellStyle name="Suma 2 9 28" xfId="34913"/>
    <cellStyle name="Suma 2 9 28 2" xfId="34914"/>
    <cellStyle name="Suma 2 9 28 3" xfId="34915"/>
    <cellStyle name="Suma 2 9 29" xfId="34916"/>
    <cellStyle name="Suma 2 9 29 2" xfId="34917"/>
    <cellStyle name="Suma 2 9 29 3" xfId="34918"/>
    <cellStyle name="Suma 2 9 3" xfId="34919"/>
    <cellStyle name="Suma 2 9 3 2" xfId="34920"/>
    <cellStyle name="Suma 2 9 3 3" xfId="34921"/>
    <cellStyle name="Suma 2 9 3 4" xfId="34922"/>
    <cellStyle name="Suma 2 9 30" xfId="34923"/>
    <cellStyle name="Suma 2 9 30 2" xfId="34924"/>
    <cellStyle name="Suma 2 9 30 3" xfId="34925"/>
    <cellStyle name="Suma 2 9 31" xfId="34926"/>
    <cellStyle name="Suma 2 9 31 2" xfId="34927"/>
    <cellStyle name="Suma 2 9 31 3" xfId="34928"/>
    <cellStyle name="Suma 2 9 32" xfId="34929"/>
    <cellStyle name="Suma 2 9 32 2" xfId="34930"/>
    <cellStyle name="Suma 2 9 32 3" xfId="34931"/>
    <cellStyle name="Suma 2 9 33" xfId="34932"/>
    <cellStyle name="Suma 2 9 33 2" xfId="34933"/>
    <cellStyle name="Suma 2 9 33 3" xfId="34934"/>
    <cellStyle name="Suma 2 9 34" xfId="34935"/>
    <cellStyle name="Suma 2 9 34 2" xfId="34936"/>
    <cellStyle name="Suma 2 9 34 3" xfId="34937"/>
    <cellStyle name="Suma 2 9 35" xfId="34938"/>
    <cellStyle name="Suma 2 9 35 2" xfId="34939"/>
    <cellStyle name="Suma 2 9 35 3" xfId="34940"/>
    <cellStyle name="Suma 2 9 36" xfId="34941"/>
    <cellStyle name="Suma 2 9 36 2" xfId="34942"/>
    <cellStyle name="Suma 2 9 36 3" xfId="34943"/>
    <cellStyle name="Suma 2 9 37" xfId="34944"/>
    <cellStyle name="Suma 2 9 37 2" xfId="34945"/>
    <cellStyle name="Suma 2 9 37 3" xfId="34946"/>
    <cellStyle name="Suma 2 9 38" xfId="34947"/>
    <cellStyle name="Suma 2 9 38 2" xfId="34948"/>
    <cellStyle name="Suma 2 9 38 3" xfId="34949"/>
    <cellStyle name="Suma 2 9 39" xfId="34950"/>
    <cellStyle name="Suma 2 9 39 2" xfId="34951"/>
    <cellStyle name="Suma 2 9 39 3" xfId="34952"/>
    <cellStyle name="Suma 2 9 4" xfId="34953"/>
    <cellStyle name="Suma 2 9 4 2" xfId="34954"/>
    <cellStyle name="Suma 2 9 4 3" xfId="34955"/>
    <cellStyle name="Suma 2 9 4 4" xfId="34956"/>
    <cellStyle name="Suma 2 9 40" xfId="34957"/>
    <cellStyle name="Suma 2 9 40 2" xfId="34958"/>
    <cellStyle name="Suma 2 9 40 3" xfId="34959"/>
    <cellStyle name="Suma 2 9 41" xfId="34960"/>
    <cellStyle name="Suma 2 9 41 2" xfId="34961"/>
    <cellStyle name="Suma 2 9 41 3" xfId="34962"/>
    <cellStyle name="Suma 2 9 42" xfId="34963"/>
    <cellStyle name="Suma 2 9 42 2" xfId="34964"/>
    <cellStyle name="Suma 2 9 42 3" xfId="34965"/>
    <cellStyle name="Suma 2 9 43" xfId="34966"/>
    <cellStyle name="Suma 2 9 43 2" xfId="34967"/>
    <cellStyle name="Suma 2 9 43 3" xfId="34968"/>
    <cellStyle name="Suma 2 9 44" xfId="34969"/>
    <cellStyle name="Suma 2 9 44 2" xfId="34970"/>
    <cellStyle name="Suma 2 9 44 3" xfId="34971"/>
    <cellStyle name="Suma 2 9 45" xfId="34972"/>
    <cellStyle name="Suma 2 9 45 2" xfId="34973"/>
    <cellStyle name="Suma 2 9 45 3" xfId="34974"/>
    <cellStyle name="Suma 2 9 46" xfId="34975"/>
    <cellStyle name="Suma 2 9 46 2" xfId="34976"/>
    <cellStyle name="Suma 2 9 46 3" xfId="34977"/>
    <cellStyle name="Suma 2 9 47" xfId="34978"/>
    <cellStyle name="Suma 2 9 47 2" xfId="34979"/>
    <cellStyle name="Suma 2 9 47 3" xfId="34980"/>
    <cellStyle name="Suma 2 9 48" xfId="34981"/>
    <cellStyle name="Suma 2 9 48 2" xfId="34982"/>
    <cellStyle name="Suma 2 9 48 3" xfId="34983"/>
    <cellStyle name="Suma 2 9 49" xfId="34984"/>
    <cellStyle name="Suma 2 9 49 2" xfId="34985"/>
    <cellStyle name="Suma 2 9 49 3" xfId="34986"/>
    <cellStyle name="Suma 2 9 5" xfId="34987"/>
    <cellStyle name="Suma 2 9 5 2" xfId="34988"/>
    <cellStyle name="Suma 2 9 5 3" xfId="34989"/>
    <cellStyle name="Suma 2 9 5 4" xfId="34990"/>
    <cellStyle name="Suma 2 9 50" xfId="34991"/>
    <cellStyle name="Suma 2 9 50 2" xfId="34992"/>
    <cellStyle name="Suma 2 9 50 3" xfId="34993"/>
    <cellStyle name="Suma 2 9 51" xfId="34994"/>
    <cellStyle name="Suma 2 9 51 2" xfId="34995"/>
    <cellStyle name="Suma 2 9 51 3" xfId="34996"/>
    <cellStyle name="Suma 2 9 52" xfId="34997"/>
    <cellStyle name="Suma 2 9 52 2" xfId="34998"/>
    <cellStyle name="Suma 2 9 52 3" xfId="34999"/>
    <cellStyle name="Suma 2 9 53" xfId="35000"/>
    <cellStyle name="Suma 2 9 53 2" xfId="35001"/>
    <cellStyle name="Suma 2 9 53 3" xfId="35002"/>
    <cellStyle name="Suma 2 9 54" xfId="35003"/>
    <cellStyle name="Suma 2 9 54 2" xfId="35004"/>
    <cellStyle name="Suma 2 9 54 3" xfId="35005"/>
    <cellStyle name="Suma 2 9 55" xfId="35006"/>
    <cellStyle name="Suma 2 9 55 2" xfId="35007"/>
    <cellStyle name="Suma 2 9 55 3" xfId="35008"/>
    <cellStyle name="Suma 2 9 56" xfId="35009"/>
    <cellStyle name="Suma 2 9 56 2" xfId="35010"/>
    <cellStyle name="Suma 2 9 56 3" xfId="35011"/>
    <cellStyle name="Suma 2 9 57" xfId="35012"/>
    <cellStyle name="Suma 2 9 58" xfId="35013"/>
    <cellStyle name="Suma 2 9 6" xfId="35014"/>
    <cellStyle name="Suma 2 9 6 2" xfId="35015"/>
    <cellStyle name="Suma 2 9 6 3" xfId="35016"/>
    <cellStyle name="Suma 2 9 6 4" xfId="35017"/>
    <cellStyle name="Suma 2 9 7" xfId="35018"/>
    <cellStyle name="Suma 2 9 7 2" xfId="35019"/>
    <cellStyle name="Suma 2 9 7 3" xfId="35020"/>
    <cellStyle name="Suma 2 9 7 4" xfId="35021"/>
    <cellStyle name="Suma 2 9 8" xfId="35022"/>
    <cellStyle name="Suma 2 9 8 2" xfId="35023"/>
    <cellStyle name="Suma 2 9 8 3" xfId="35024"/>
    <cellStyle name="Suma 2 9 8 4" xfId="35025"/>
    <cellStyle name="Suma 2 9 9" xfId="35026"/>
    <cellStyle name="Suma 2 9 9 2" xfId="35027"/>
    <cellStyle name="Suma 2 9 9 3" xfId="35028"/>
    <cellStyle name="Suma 2 9 9 4" xfId="35029"/>
    <cellStyle name="Suma 3" xfId="35030"/>
    <cellStyle name="Suma 3 2" xfId="35031"/>
    <cellStyle name="Suma 3 2 2" xfId="35032"/>
    <cellStyle name="Suma 3 3" xfId="35033"/>
    <cellStyle name="Suma 3 4" xfId="35034"/>
    <cellStyle name="Suma 3 5" xfId="35035"/>
    <cellStyle name="Suma 3 6" xfId="35036"/>
    <cellStyle name="Suma 3 7" xfId="35037"/>
    <cellStyle name="Suma 3 8" xfId="35038"/>
    <cellStyle name="Suma 3 9" xfId="35039"/>
    <cellStyle name="Suma 4" xfId="35040"/>
    <cellStyle name="Suma 4 2" xfId="35041"/>
    <cellStyle name="Suma 4 3" xfId="35042"/>
    <cellStyle name="Suma 4 4" xfId="35043"/>
    <cellStyle name="Suma 4 5" xfId="35044"/>
    <cellStyle name="Suma 4 6" xfId="35045"/>
    <cellStyle name="Suma 4 7" xfId="35046"/>
    <cellStyle name="Suma 4 8" xfId="35047"/>
    <cellStyle name="Suma 4 9" xfId="35048"/>
    <cellStyle name="Suma 5" xfId="35049"/>
    <cellStyle name="Suma 5 2" xfId="35050"/>
    <cellStyle name="Suma 5 3" xfId="35051"/>
    <cellStyle name="Suma 6" xfId="35052"/>
    <cellStyle name="Suma 6 2" xfId="35053"/>
    <cellStyle name="Suma 7" xfId="35054"/>
    <cellStyle name="Tekst objaśnienia 2" xfId="35055"/>
    <cellStyle name="Tekst objaśnienia 2 10" xfId="35056"/>
    <cellStyle name="Tekst objaśnienia 2 10 2" xfId="35057"/>
    <cellStyle name="Tekst objaśnienia 2 10 3" xfId="35058"/>
    <cellStyle name="Tekst objaśnienia 2 10 4" xfId="35059"/>
    <cellStyle name="Tekst objaśnienia 2 10 5" xfId="35060"/>
    <cellStyle name="Tekst objaśnienia 2 10 6" xfId="35061"/>
    <cellStyle name="Tekst objaśnienia 2 10 7" xfId="35062"/>
    <cellStyle name="Tekst objaśnienia 2 11" xfId="35063"/>
    <cellStyle name="Tekst objaśnienia 2 11 2" xfId="35064"/>
    <cellStyle name="Tekst objaśnienia 2 11 3" xfId="35065"/>
    <cellStyle name="Tekst objaśnienia 2 11 4" xfId="35066"/>
    <cellStyle name="Tekst objaśnienia 2 11 5" xfId="35067"/>
    <cellStyle name="Tekst objaśnienia 2 11 6" xfId="35068"/>
    <cellStyle name="Tekst objaśnienia 2 11 7" xfId="35069"/>
    <cellStyle name="Tekst objaśnienia 2 12" xfId="35070"/>
    <cellStyle name="Tekst objaśnienia 2 12 2" xfId="35071"/>
    <cellStyle name="Tekst objaśnienia 2 12 3" xfId="35072"/>
    <cellStyle name="Tekst objaśnienia 2 12 4" xfId="35073"/>
    <cellStyle name="Tekst objaśnienia 2 12 5" xfId="35074"/>
    <cellStyle name="Tekst objaśnienia 2 12 6" xfId="35075"/>
    <cellStyle name="Tekst objaśnienia 2 12 7" xfId="35076"/>
    <cellStyle name="Tekst objaśnienia 2 13" xfId="35077"/>
    <cellStyle name="Tekst objaśnienia 2 13 2" xfId="35078"/>
    <cellStyle name="Tekst objaśnienia 2 13 3" xfId="35079"/>
    <cellStyle name="Tekst objaśnienia 2 13 4" xfId="35080"/>
    <cellStyle name="Tekst objaśnienia 2 13 5" xfId="35081"/>
    <cellStyle name="Tekst objaśnienia 2 13 6" xfId="35082"/>
    <cellStyle name="Tekst objaśnienia 2 13 7" xfId="35083"/>
    <cellStyle name="Tekst objaśnienia 2 14" xfId="35084"/>
    <cellStyle name="Tekst objaśnienia 2 14 2" xfId="35085"/>
    <cellStyle name="Tekst objaśnienia 2 14 3" xfId="35086"/>
    <cellStyle name="Tekst objaśnienia 2 14 4" xfId="35087"/>
    <cellStyle name="Tekst objaśnienia 2 14 5" xfId="35088"/>
    <cellStyle name="Tekst objaśnienia 2 14 6" xfId="35089"/>
    <cellStyle name="Tekst objaśnienia 2 14 7" xfId="35090"/>
    <cellStyle name="Tekst objaśnienia 2 15" xfId="35091"/>
    <cellStyle name="Tekst objaśnienia 2 15 2" xfId="35092"/>
    <cellStyle name="Tekst objaśnienia 2 15 3" xfId="35093"/>
    <cellStyle name="Tekst objaśnienia 2 15 4" xfId="35094"/>
    <cellStyle name="Tekst objaśnienia 2 15 5" xfId="35095"/>
    <cellStyle name="Tekst objaśnienia 2 15 6" xfId="35096"/>
    <cellStyle name="Tekst objaśnienia 2 15 7" xfId="35097"/>
    <cellStyle name="Tekst objaśnienia 2 16" xfId="35098"/>
    <cellStyle name="Tekst objaśnienia 2 16 2" xfId="35099"/>
    <cellStyle name="Tekst objaśnienia 2 16 3" xfId="35100"/>
    <cellStyle name="Tekst objaśnienia 2 16 4" xfId="35101"/>
    <cellStyle name="Tekst objaśnienia 2 16 5" xfId="35102"/>
    <cellStyle name="Tekst objaśnienia 2 16 6" xfId="35103"/>
    <cellStyle name="Tekst objaśnienia 2 16 7" xfId="35104"/>
    <cellStyle name="Tekst objaśnienia 2 17" xfId="35105"/>
    <cellStyle name="Tekst objaśnienia 2 17 2" xfId="35106"/>
    <cellStyle name="Tekst objaśnienia 2 17 3" xfId="35107"/>
    <cellStyle name="Tekst objaśnienia 2 17 4" xfId="35108"/>
    <cellStyle name="Tekst objaśnienia 2 17 5" xfId="35109"/>
    <cellStyle name="Tekst objaśnienia 2 17 6" xfId="35110"/>
    <cellStyle name="Tekst objaśnienia 2 17 7" xfId="35111"/>
    <cellStyle name="Tekst objaśnienia 2 18" xfId="35112"/>
    <cellStyle name="Tekst objaśnienia 2 18 2" xfId="35113"/>
    <cellStyle name="Tekst objaśnienia 2 18 3" xfId="35114"/>
    <cellStyle name="Tekst objaśnienia 2 18 4" xfId="35115"/>
    <cellStyle name="Tekst objaśnienia 2 18 5" xfId="35116"/>
    <cellStyle name="Tekst objaśnienia 2 18 6" xfId="35117"/>
    <cellStyle name="Tekst objaśnienia 2 18 7" xfId="35118"/>
    <cellStyle name="Tekst objaśnienia 2 19" xfId="35119"/>
    <cellStyle name="Tekst objaśnienia 2 19 2" xfId="35120"/>
    <cellStyle name="Tekst objaśnienia 2 19 3" xfId="35121"/>
    <cellStyle name="Tekst objaśnienia 2 19 4" xfId="35122"/>
    <cellStyle name="Tekst objaśnienia 2 19 5" xfId="35123"/>
    <cellStyle name="Tekst objaśnienia 2 19 6" xfId="35124"/>
    <cellStyle name="Tekst objaśnienia 2 19 7" xfId="35125"/>
    <cellStyle name="Tekst objaśnienia 2 2" xfId="35126"/>
    <cellStyle name="Tekst objaśnienia 2 2 2" xfId="35127"/>
    <cellStyle name="Tekst objaśnienia 2 2 3" xfId="35128"/>
    <cellStyle name="Tekst objaśnienia 2 2 4" xfId="35129"/>
    <cellStyle name="Tekst objaśnienia 2 2 5" xfId="35130"/>
    <cellStyle name="Tekst objaśnienia 2 2 6" xfId="35131"/>
    <cellStyle name="Tekst objaśnienia 2 2 7" xfId="35132"/>
    <cellStyle name="Tekst objaśnienia 2 2 8" xfId="35133"/>
    <cellStyle name="Tekst objaśnienia 2 20" xfId="35134"/>
    <cellStyle name="Tekst objaśnienia 2 20 2" xfId="35135"/>
    <cellStyle name="Tekst objaśnienia 2 20 3" xfId="35136"/>
    <cellStyle name="Tekst objaśnienia 2 20 4" xfId="35137"/>
    <cellStyle name="Tekst objaśnienia 2 20 5" xfId="35138"/>
    <cellStyle name="Tekst objaśnienia 2 20 6" xfId="35139"/>
    <cellStyle name="Tekst objaśnienia 2 20 7" xfId="35140"/>
    <cellStyle name="Tekst objaśnienia 2 21" xfId="35141"/>
    <cellStyle name="Tekst objaśnienia 2 21 2" xfId="35142"/>
    <cellStyle name="Tekst objaśnienia 2 21 3" xfId="35143"/>
    <cellStyle name="Tekst objaśnienia 2 21 4" xfId="35144"/>
    <cellStyle name="Tekst objaśnienia 2 21 5" xfId="35145"/>
    <cellStyle name="Tekst objaśnienia 2 21 6" xfId="35146"/>
    <cellStyle name="Tekst objaśnienia 2 21 7" xfId="35147"/>
    <cellStyle name="Tekst objaśnienia 2 22" xfId="35148"/>
    <cellStyle name="Tekst objaśnienia 2 22 2" xfId="35149"/>
    <cellStyle name="Tekst objaśnienia 2 22 3" xfId="35150"/>
    <cellStyle name="Tekst objaśnienia 2 22 4" xfId="35151"/>
    <cellStyle name="Tekst objaśnienia 2 22 5" xfId="35152"/>
    <cellStyle name="Tekst objaśnienia 2 22 6" xfId="35153"/>
    <cellStyle name="Tekst objaśnienia 2 22 7" xfId="35154"/>
    <cellStyle name="Tekst objaśnienia 2 23" xfId="35155"/>
    <cellStyle name="Tekst objaśnienia 2 23 2" xfId="35156"/>
    <cellStyle name="Tekst objaśnienia 2 23 3" xfId="35157"/>
    <cellStyle name="Tekst objaśnienia 2 23 4" xfId="35158"/>
    <cellStyle name="Tekst objaśnienia 2 23 5" xfId="35159"/>
    <cellStyle name="Tekst objaśnienia 2 23 6" xfId="35160"/>
    <cellStyle name="Tekst objaśnienia 2 23 7" xfId="35161"/>
    <cellStyle name="Tekst objaśnienia 2 24" xfId="35162"/>
    <cellStyle name="Tekst objaśnienia 2 24 2" xfId="35163"/>
    <cellStyle name="Tekst objaśnienia 2 24 3" xfId="35164"/>
    <cellStyle name="Tekst objaśnienia 2 24 4" xfId="35165"/>
    <cellStyle name="Tekst objaśnienia 2 24 5" xfId="35166"/>
    <cellStyle name="Tekst objaśnienia 2 24 6" xfId="35167"/>
    <cellStyle name="Tekst objaśnienia 2 24 7" xfId="35168"/>
    <cellStyle name="Tekst objaśnienia 2 25" xfId="35169"/>
    <cellStyle name="Tekst objaśnienia 2 25 2" xfId="35170"/>
    <cellStyle name="Tekst objaśnienia 2 25 3" xfId="35171"/>
    <cellStyle name="Tekst objaśnienia 2 25 4" xfId="35172"/>
    <cellStyle name="Tekst objaśnienia 2 25 5" xfId="35173"/>
    <cellStyle name="Tekst objaśnienia 2 25 6" xfId="35174"/>
    <cellStyle name="Tekst objaśnienia 2 25 7" xfId="35175"/>
    <cellStyle name="Tekst objaśnienia 2 26" xfId="35176"/>
    <cellStyle name="Tekst objaśnienia 2 26 2" xfId="35177"/>
    <cellStyle name="Tekst objaśnienia 2 26 3" xfId="35178"/>
    <cellStyle name="Tekst objaśnienia 2 26 4" xfId="35179"/>
    <cellStyle name="Tekst objaśnienia 2 26 5" xfId="35180"/>
    <cellStyle name="Tekst objaśnienia 2 26 6" xfId="35181"/>
    <cellStyle name="Tekst objaśnienia 2 26 7" xfId="35182"/>
    <cellStyle name="Tekst objaśnienia 2 27" xfId="35183"/>
    <cellStyle name="Tekst objaśnienia 2 27 2" xfId="35184"/>
    <cellStyle name="Tekst objaśnienia 2 27 3" xfId="35185"/>
    <cellStyle name="Tekst objaśnienia 2 27 4" xfId="35186"/>
    <cellStyle name="Tekst objaśnienia 2 27 5" xfId="35187"/>
    <cellStyle name="Tekst objaśnienia 2 27 6" xfId="35188"/>
    <cellStyle name="Tekst objaśnienia 2 27 7" xfId="35189"/>
    <cellStyle name="Tekst objaśnienia 2 28" xfId="35190"/>
    <cellStyle name="Tekst objaśnienia 2 28 2" xfId="35191"/>
    <cellStyle name="Tekst objaśnienia 2 28 3" xfId="35192"/>
    <cellStyle name="Tekst objaśnienia 2 28 4" xfId="35193"/>
    <cellStyle name="Tekst objaśnienia 2 28 5" xfId="35194"/>
    <cellStyle name="Tekst objaśnienia 2 28 6" xfId="35195"/>
    <cellStyle name="Tekst objaśnienia 2 28 7" xfId="35196"/>
    <cellStyle name="Tekst objaśnienia 2 29" xfId="35197"/>
    <cellStyle name="Tekst objaśnienia 2 29 2" xfId="35198"/>
    <cellStyle name="Tekst objaśnienia 2 3" xfId="35199"/>
    <cellStyle name="Tekst objaśnienia 2 3 2" xfId="35200"/>
    <cellStyle name="Tekst objaśnienia 2 3 3" xfId="35201"/>
    <cellStyle name="Tekst objaśnienia 2 3 4" xfId="35202"/>
    <cellStyle name="Tekst objaśnienia 2 3 5" xfId="35203"/>
    <cellStyle name="Tekst objaśnienia 2 3 6" xfId="35204"/>
    <cellStyle name="Tekst objaśnienia 2 3 7" xfId="35205"/>
    <cellStyle name="Tekst objaśnienia 2 30" xfId="35206"/>
    <cellStyle name="Tekst objaśnienia 2 30 2" xfId="35207"/>
    <cellStyle name="Tekst objaśnienia 2 31" xfId="35208"/>
    <cellStyle name="Tekst objaśnienia 2 31 2" xfId="35209"/>
    <cellStyle name="Tekst objaśnienia 2 32" xfId="35210"/>
    <cellStyle name="Tekst objaśnienia 2 32 2" xfId="35211"/>
    <cellStyle name="Tekst objaśnienia 2 33" xfId="35212"/>
    <cellStyle name="Tekst objaśnienia 2 34" xfId="35213"/>
    <cellStyle name="Tekst objaśnienia 2 35" xfId="35214"/>
    <cellStyle name="Tekst objaśnienia 2 36" xfId="35215"/>
    <cellStyle name="Tekst objaśnienia 2 37" xfId="35216"/>
    <cellStyle name="Tekst objaśnienia 2 38" xfId="35217"/>
    <cellStyle name="Tekst objaśnienia 2 39" xfId="35218"/>
    <cellStyle name="Tekst objaśnienia 2 4" xfId="35219"/>
    <cellStyle name="Tekst objaśnienia 2 4 2" xfId="35220"/>
    <cellStyle name="Tekst objaśnienia 2 4 3" xfId="35221"/>
    <cellStyle name="Tekst objaśnienia 2 4 4" xfId="35222"/>
    <cellStyle name="Tekst objaśnienia 2 4 5" xfId="35223"/>
    <cellStyle name="Tekst objaśnienia 2 4 6" xfId="35224"/>
    <cellStyle name="Tekst objaśnienia 2 4 7" xfId="35225"/>
    <cellStyle name="Tekst objaśnienia 2 5" xfId="35226"/>
    <cellStyle name="Tekst objaśnienia 2 5 2" xfId="35227"/>
    <cellStyle name="Tekst objaśnienia 2 5 3" xfId="35228"/>
    <cellStyle name="Tekst objaśnienia 2 5 4" xfId="35229"/>
    <cellStyle name="Tekst objaśnienia 2 5 5" xfId="35230"/>
    <cellStyle name="Tekst objaśnienia 2 5 6" xfId="35231"/>
    <cellStyle name="Tekst objaśnienia 2 5 7" xfId="35232"/>
    <cellStyle name="Tekst objaśnienia 2 6" xfId="35233"/>
    <cellStyle name="Tekst objaśnienia 2 6 2" xfId="35234"/>
    <cellStyle name="Tekst objaśnienia 2 6 3" xfId="35235"/>
    <cellStyle name="Tekst objaśnienia 2 6 4" xfId="35236"/>
    <cellStyle name="Tekst objaśnienia 2 6 5" xfId="35237"/>
    <cellStyle name="Tekst objaśnienia 2 6 6" xfId="35238"/>
    <cellStyle name="Tekst objaśnienia 2 6 7" xfId="35239"/>
    <cellStyle name="Tekst objaśnienia 2 7" xfId="35240"/>
    <cellStyle name="Tekst objaśnienia 2 7 2" xfId="35241"/>
    <cellStyle name="Tekst objaśnienia 2 7 3" xfId="35242"/>
    <cellStyle name="Tekst objaśnienia 2 7 4" xfId="35243"/>
    <cellStyle name="Tekst objaśnienia 2 7 5" xfId="35244"/>
    <cellStyle name="Tekst objaśnienia 2 7 6" xfId="35245"/>
    <cellStyle name="Tekst objaśnienia 2 7 7" xfId="35246"/>
    <cellStyle name="Tekst objaśnienia 2 8" xfId="35247"/>
    <cellStyle name="Tekst objaśnienia 2 8 2" xfId="35248"/>
    <cellStyle name="Tekst objaśnienia 2 8 3" xfId="35249"/>
    <cellStyle name="Tekst objaśnienia 2 8 4" xfId="35250"/>
    <cellStyle name="Tekst objaśnienia 2 8 5" xfId="35251"/>
    <cellStyle name="Tekst objaśnienia 2 8 6" xfId="35252"/>
    <cellStyle name="Tekst objaśnienia 2 8 7" xfId="35253"/>
    <cellStyle name="Tekst objaśnienia 2 9" xfId="35254"/>
    <cellStyle name="Tekst objaśnienia 2 9 2" xfId="35255"/>
    <cellStyle name="Tekst objaśnienia 2 9 3" xfId="35256"/>
    <cellStyle name="Tekst objaśnienia 2 9 4" xfId="35257"/>
    <cellStyle name="Tekst objaśnienia 2 9 5" xfId="35258"/>
    <cellStyle name="Tekst objaśnienia 2 9 6" xfId="35259"/>
    <cellStyle name="Tekst objaśnienia 2 9 7" xfId="35260"/>
    <cellStyle name="Tekst objaśnienia 3" xfId="35261"/>
    <cellStyle name="Tekst objaśnienia 3 2" xfId="35262"/>
    <cellStyle name="Tekst objaśnienia 3 2 2" xfId="35263"/>
    <cellStyle name="Tekst objaśnienia 3 3" xfId="35264"/>
    <cellStyle name="Tekst objaśnienia 3 4" xfId="35265"/>
    <cellStyle name="Tekst objaśnienia 3 5" xfId="35266"/>
    <cellStyle name="Tekst objaśnienia 3 6" xfId="35267"/>
    <cellStyle name="Tekst objaśnienia 3 7" xfId="35268"/>
    <cellStyle name="Tekst objaśnienia 3 8" xfId="35269"/>
    <cellStyle name="Tekst objaśnienia 3 9" xfId="35270"/>
    <cellStyle name="Tekst objaśnienia 4" xfId="35271"/>
    <cellStyle name="Tekst objaśnienia 4 2" xfId="35272"/>
    <cellStyle name="Tekst objaśnienia 4 3" xfId="35273"/>
    <cellStyle name="Tekst objaśnienia 4 4" xfId="35274"/>
    <cellStyle name="Tekst objaśnienia 4 5" xfId="35275"/>
    <cellStyle name="Tekst objaśnienia 4 6" xfId="35276"/>
    <cellStyle name="Tekst objaśnienia 4 7" xfId="35277"/>
    <cellStyle name="Tekst objaśnienia 4 8" xfId="35278"/>
    <cellStyle name="Tekst objaśnienia 4 9" xfId="35279"/>
    <cellStyle name="Tekst objaśnienia 5" xfId="35280"/>
    <cellStyle name="Tekst objaśnienia 5 2" xfId="35281"/>
    <cellStyle name="Tekst objaśnienia 5 3" xfId="35282"/>
    <cellStyle name="Tekst objaśnienia 6" xfId="35283"/>
    <cellStyle name="Tekst objaśnienia 6 2" xfId="35284"/>
    <cellStyle name="Tekst objaśnienia 7" xfId="35285"/>
    <cellStyle name="Tekst ostrzeżenia 2" xfId="35286"/>
    <cellStyle name="Tekst ostrzeżenia 2 10" xfId="35287"/>
    <cellStyle name="Tekst ostrzeżenia 2 10 2" xfId="35288"/>
    <cellStyle name="Tekst ostrzeżenia 2 10 3" xfId="35289"/>
    <cellStyle name="Tekst ostrzeżenia 2 10 4" xfId="35290"/>
    <cellStyle name="Tekst ostrzeżenia 2 10 5" xfId="35291"/>
    <cellStyle name="Tekst ostrzeżenia 2 10 6" xfId="35292"/>
    <cellStyle name="Tekst ostrzeżenia 2 10 7" xfId="35293"/>
    <cellStyle name="Tekst ostrzeżenia 2 11" xfId="35294"/>
    <cellStyle name="Tekst ostrzeżenia 2 11 2" xfId="35295"/>
    <cellStyle name="Tekst ostrzeżenia 2 11 3" xfId="35296"/>
    <cellStyle name="Tekst ostrzeżenia 2 11 4" xfId="35297"/>
    <cellStyle name="Tekst ostrzeżenia 2 11 5" xfId="35298"/>
    <cellStyle name="Tekst ostrzeżenia 2 11 6" xfId="35299"/>
    <cellStyle name="Tekst ostrzeżenia 2 11 7" xfId="35300"/>
    <cellStyle name="Tekst ostrzeżenia 2 12" xfId="35301"/>
    <cellStyle name="Tekst ostrzeżenia 2 12 2" xfId="35302"/>
    <cellStyle name="Tekst ostrzeżenia 2 12 3" xfId="35303"/>
    <cellStyle name="Tekst ostrzeżenia 2 12 4" xfId="35304"/>
    <cellStyle name="Tekst ostrzeżenia 2 12 5" xfId="35305"/>
    <cellStyle name="Tekst ostrzeżenia 2 12 6" xfId="35306"/>
    <cellStyle name="Tekst ostrzeżenia 2 12 7" xfId="35307"/>
    <cellStyle name="Tekst ostrzeżenia 2 13" xfId="35308"/>
    <cellStyle name="Tekst ostrzeżenia 2 13 2" xfId="35309"/>
    <cellStyle name="Tekst ostrzeżenia 2 13 3" xfId="35310"/>
    <cellStyle name="Tekst ostrzeżenia 2 13 4" xfId="35311"/>
    <cellStyle name="Tekst ostrzeżenia 2 13 5" xfId="35312"/>
    <cellStyle name="Tekst ostrzeżenia 2 13 6" xfId="35313"/>
    <cellStyle name="Tekst ostrzeżenia 2 13 7" xfId="35314"/>
    <cellStyle name="Tekst ostrzeżenia 2 14" xfId="35315"/>
    <cellStyle name="Tekst ostrzeżenia 2 14 2" xfId="35316"/>
    <cellStyle name="Tekst ostrzeżenia 2 14 3" xfId="35317"/>
    <cellStyle name="Tekst ostrzeżenia 2 14 4" xfId="35318"/>
    <cellStyle name="Tekst ostrzeżenia 2 14 5" xfId="35319"/>
    <cellStyle name="Tekst ostrzeżenia 2 14 6" xfId="35320"/>
    <cellStyle name="Tekst ostrzeżenia 2 14 7" xfId="35321"/>
    <cellStyle name="Tekst ostrzeżenia 2 15" xfId="35322"/>
    <cellStyle name="Tekst ostrzeżenia 2 15 2" xfId="35323"/>
    <cellStyle name="Tekst ostrzeżenia 2 15 3" xfId="35324"/>
    <cellStyle name="Tekst ostrzeżenia 2 15 4" xfId="35325"/>
    <cellStyle name="Tekst ostrzeżenia 2 15 5" xfId="35326"/>
    <cellStyle name="Tekst ostrzeżenia 2 15 6" xfId="35327"/>
    <cellStyle name="Tekst ostrzeżenia 2 15 7" xfId="35328"/>
    <cellStyle name="Tekst ostrzeżenia 2 16" xfId="35329"/>
    <cellStyle name="Tekst ostrzeżenia 2 16 2" xfId="35330"/>
    <cellStyle name="Tekst ostrzeżenia 2 16 3" xfId="35331"/>
    <cellStyle name="Tekst ostrzeżenia 2 16 4" xfId="35332"/>
    <cellStyle name="Tekst ostrzeżenia 2 16 5" xfId="35333"/>
    <cellStyle name="Tekst ostrzeżenia 2 16 6" xfId="35334"/>
    <cellStyle name="Tekst ostrzeżenia 2 16 7" xfId="35335"/>
    <cellStyle name="Tekst ostrzeżenia 2 17" xfId="35336"/>
    <cellStyle name="Tekst ostrzeżenia 2 17 2" xfId="35337"/>
    <cellStyle name="Tekst ostrzeżenia 2 17 3" xfId="35338"/>
    <cellStyle name="Tekst ostrzeżenia 2 17 4" xfId="35339"/>
    <cellStyle name="Tekst ostrzeżenia 2 17 5" xfId="35340"/>
    <cellStyle name="Tekst ostrzeżenia 2 17 6" xfId="35341"/>
    <cellStyle name="Tekst ostrzeżenia 2 17 7" xfId="35342"/>
    <cellStyle name="Tekst ostrzeżenia 2 18" xfId="35343"/>
    <cellStyle name="Tekst ostrzeżenia 2 18 2" xfId="35344"/>
    <cellStyle name="Tekst ostrzeżenia 2 18 3" xfId="35345"/>
    <cellStyle name="Tekst ostrzeżenia 2 18 4" xfId="35346"/>
    <cellStyle name="Tekst ostrzeżenia 2 18 5" xfId="35347"/>
    <cellStyle name="Tekst ostrzeżenia 2 18 6" xfId="35348"/>
    <cellStyle name="Tekst ostrzeżenia 2 18 7" xfId="35349"/>
    <cellStyle name="Tekst ostrzeżenia 2 19" xfId="35350"/>
    <cellStyle name="Tekst ostrzeżenia 2 19 2" xfId="35351"/>
    <cellStyle name="Tekst ostrzeżenia 2 19 3" xfId="35352"/>
    <cellStyle name="Tekst ostrzeżenia 2 19 4" xfId="35353"/>
    <cellStyle name="Tekst ostrzeżenia 2 19 5" xfId="35354"/>
    <cellStyle name="Tekst ostrzeżenia 2 19 6" xfId="35355"/>
    <cellStyle name="Tekst ostrzeżenia 2 19 7" xfId="35356"/>
    <cellStyle name="Tekst ostrzeżenia 2 2" xfId="35357"/>
    <cellStyle name="Tekst ostrzeżenia 2 2 2" xfId="35358"/>
    <cellStyle name="Tekst ostrzeżenia 2 2 3" xfId="35359"/>
    <cellStyle name="Tekst ostrzeżenia 2 2 4" xfId="35360"/>
    <cellStyle name="Tekst ostrzeżenia 2 2 5" xfId="35361"/>
    <cellStyle name="Tekst ostrzeżenia 2 2 6" xfId="35362"/>
    <cellStyle name="Tekst ostrzeżenia 2 2 7" xfId="35363"/>
    <cellStyle name="Tekst ostrzeżenia 2 2 8" xfId="35364"/>
    <cellStyle name="Tekst ostrzeżenia 2 20" xfId="35365"/>
    <cellStyle name="Tekst ostrzeżenia 2 20 2" xfId="35366"/>
    <cellStyle name="Tekst ostrzeżenia 2 20 3" xfId="35367"/>
    <cellStyle name="Tekst ostrzeżenia 2 20 4" xfId="35368"/>
    <cellStyle name="Tekst ostrzeżenia 2 20 5" xfId="35369"/>
    <cellStyle name="Tekst ostrzeżenia 2 20 6" xfId="35370"/>
    <cellStyle name="Tekst ostrzeżenia 2 20 7" xfId="35371"/>
    <cellStyle name="Tekst ostrzeżenia 2 21" xfId="35372"/>
    <cellStyle name="Tekst ostrzeżenia 2 21 2" xfId="35373"/>
    <cellStyle name="Tekst ostrzeżenia 2 21 3" xfId="35374"/>
    <cellStyle name="Tekst ostrzeżenia 2 21 4" xfId="35375"/>
    <cellStyle name="Tekst ostrzeżenia 2 21 5" xfId="35376"/>
    <cellStyle name="Tekst ostrzeżenia 2 21 6" xfId="35377"/>
    <cellStyle name="Tekst ostrzeżenia 2 21 7" xfId="35378"/>
    <cellStyle name="Tekst ostrzeżenia 2 22" xfId="35379"/>
    <cellStyle name="Tekst ostrzeżenia 2 22 2" xfId="35380"/>
    <cellStyle name="Tekst ostrzeżenia 2 22 3" xfId="35381"/>
    <cellStyle name="Tekst ostrzeżenia 2 22 4" xfId="35382"/>
    <cellStyle name="Tekst ostrzeżenia 2 22 5" xfId="35383"/>
    <cellStyle name="Tekst ostrzeżenia 2 22 6" xfId="35384"/>
    <cellStyle name="Tekst ostrzeżenia 2 22 7" xfId="35385"/>
    <cellStyle name="Tekst ostrzeżenia 2 23" xfId="35386"/>
    <cellStyle name="Tekst ostrzeżenia 2 23 2" xfId="35387"/>
    <cellStyle name="Tekst ostrzeżenia 2 23 3" xfId="35388"/>
    <cellStyle name="Tekst ostrzeżenia 2 23 4" xfId="35389"/>
    <cellStyle name="Tekst ostrzeżenia 2 23 5" xfId="35390"/>
    <cellStyle name="Tekst ostrzeżenia 2 23 6" xfId="35391"/>
    <cellStyle name="Tekst ostrzeżenia 2 23 7" xfId="35392"/>
    <cellStyle name="Tekst ostrzeżenia 2 24" xfId="35393"/>
    <cellStyle name="Tekst ostrzeżenia 2 24 2" xfId="35394"/>
    <cellStyle name="Tekst ostrzeżenia 2 24 3" xfId="35395"/>
    <cellStyle name="Tekst ostrzeżenia 2 24 4" xfId="35396"/>
    <cellStyle name="Tekst ostrzeżenia 2 24 5" xfId="35397"/>
    <cellStyle name="Tekst ostrzeżenia 2 24 6" xfId="35398"/>
    <cellStyle name="Tekst ostrzeżenia 2 24 7" xfId="35399"/>
    <cellStyle name="Tekst ostrzeżenia 2 25" xfId="35400"/>
    <cellStyle name="Tekst ostrzeżenia 2 25 2" xfId="35401"/>
    <cellStyle name="Tekst ostrzeżenia 2 25 3" xfId="35402"/>
    <cellStyle name="Tekst ostrzeżenia 2 25 4" xfId="35403"/>
    <cellStyle name="Tekst ostrzeżenia 2 25 5" xfId="35404"/>
    <cellStyle name="Tekst ostrzeżenia 2 25 6" xfId="35405"/>
    <cellStyle name="Tekst ostrzeżenia 2 25 7" xfId="35406"/>
    <cellStyle name="Tekst ostrzeżenia 2 26" xfId="35407"/>
    <cellStyle name="Tekst ostrzeżenia 2 26 2" xfId="35408"/>
    <cellStyle name="Tekst ostrzeżenia 2 26 3" xfId="35409"/>
    <cellStyle name="Tekst ostrzeżenia 2 26 4" xfId="35410"/>
    <cellStyle name="Tekst ostrzeżenia 2 26 5" xfId="35411"/>
    <cellStyle name="Tekst ostrzeżenia 2 26 6" xfId="35412"/>
    <cellStyle name="Tekst ostrzeżenia 2 26 7" xfId="35413"/>
    <cellStyle name="Tekst ostrzeżenia 2 27" xfId="35414"/>
    <cellStyle name="Tekst ostrzeżenia 2 27 2" xfId="35415"/>
    <cellStyle name="Tekst ostrzeżenia 2 27 3" xfId="35416"/>
    <cellStyle name="Tekst ostrzeżenia 2 27 4" xfId="35417"/>
    <cellStyle name="Tekst ostrzeżenia 2 27 5" xfId="35418"/>
    <cellStyle name="Tekst ostrzeżenia 2 27 6" xfId="35419"/>
    <cellStyle name="Tekst ostrzeżenia 2 27 7" xfId="35420"/>
    <cellStyle name="Tekst ostrzeżenia 2 28" xfId="35421"/>
    <cellStyle name="Tekst ostrzeżenia 2 28 2" xfId="35422"/>
    <cellStyle name="Tekst ostrzeżenia 2 28 3" xfId="35423"/>
    <cellStyle name="Tekst ostrzeżenia 2 28 4" xfId="35424"/>
    <cellStyle name="Tekst ostrzeżenia 2 28 5" xfId="35425"/>
    <cellStyle name="Tekst ostrzeżenia 2 28 6" xfId="35426"/>
    <cellStyle name="Tekst ostrzeżenia 2 28 7" xfId="35427"/>
    <cellStyle name="Tekst ostrzeżenia 2 29" xfId="35428"/>
    <cellStyle name="Tekst ostrzeżenia 2 29 2" xfId="35429"/>
    <cellStyle name="Tekst ostrzeżenia 2 3" xfId="35430"/>
    <cellStyle name="Tekst ostrzeżenia 2 3 2" xfId="35431"/>
    <cellStyle name="Tekst ostrzeżenia 2 3 3" xfId="35432"/>
    <cellStyle name="Tekst ostrzeżenia 2 3 4" xfId="35433"/>
    <cellStyle name="Tekst ostrzeżenia 2 3 5" xfId="35434"/>
    <cellStyle name="Tekst ostrzeżenia 2 3 6" xfId="35435"/>
    <cellStyle name="Tekst ostrzeżenia 2 3 7" xfId="35436"/>
    <cellStyle name="Tekst ostrzeżenia 2 30" xfId="35437"/>
    <cellStyle name="Tekst ostrzeżenia 2 30 2" xfId="35438"/>
    <cellStyle name="Tekst ostrzeżenia 2 31" xfId="35439"/>
    <cellStyle name="Tekst ostrzeżenia 2 31 2" xfId="35440"/>
    <cellStyle name="Tekst ostrzeżenia 2 32" xfId="35441"/>
    <cellStyle name="Tekst ostrzeżenia 2 32 2" xfId="35442"/>
    <cellStyle name="Tekst ostrzeżenia 2 33" xfId="35443"/>
    <cellStyle name="Tekst ostrzeżenia 2 34" xfId="35444"/>
    <cellStyle name="Tekst ostrzeżenia 2 35" xfId="35445"/>
    <cellStyle name="Tekst ostrzeżenia 2 36" xfId="35446"/>
    <cellStyle name="Tekst ostrzeżenia 2 37" xfId="35447"/>
    <cellStyle name="Tekst ostrzeżenia 2 38" xfId="35448"/>
    <cellStyle name="Tekst ostrzeżenia 2 39" xfId="35449"/>
    <cellStyle name="Tekst ostrzeżenia 2 4" xfId="35450"/>
    <cellStyle name="Tekst ostrzeżenia 2 4 2" xfId="35451"/>
    <cellStyle name="Tekst ostrzeżenia 2 4 3" xfId="35452"/>
    <cellStyle name="Tekst ostrzeżenia 2 4 4" xfId="35453"/>
    <cellStyle name="Tekst ostrzeżenia 2 4 5" xfId="35454"/>
    <cellStyle name="Tekst ostrzeżenia 2 4 6" xfId="35455"/>
    <cellStyle name="Tekst ostrzeżenia 2 4 7" xfId="35456"/>
    <cellStyle name="Tekst ostrzeżenia 2 40" xfId="35457"/>
    <cellStyle name="Tekst ostrzeżenia 2 41" xfId="35458"/>
    <cellStyle name="Tekst ostrzeżenia 2 42" xfId="35459"/>
    <cellStyle name="Tekst ostrzeżenia 2 43" xfId="35460"/>
    <cellStyle name="Tekst ostrzeżenia 2 44" xfId="35461"/>
    <cellStyle name="Tekst ostrzeżenia 2 45" xfId="35462"/>
    <cellStyle name="Tekst ostrzeżenia 2 46" xfId="35463"/>
    <cellStyle name="Tekst ostrzeżenia 2 47" xfId="35464"/>
    <cellStyle name="Tekst ostrzeżenia 2 48" xfId="35465"/>
    <cellStyle name="Tekst ostrzeżenia 2 49" xfId="35466"/>
    <cellStyle name="Tekst ostrzeżenia 2 5" xfId="35467"/>
    <cellStyle name="Tekst ostrzeżenia 2 5 2" xfId="35468"/>
    <cellStyle name="Tekst ostrzeżenia 2 5 3" xfId="35469"/>
    <cellStyle name="Tekst ostrzeżenia 2 5 4" xfId="35470"/>
    <cellStyle name="Tekst ostrzeżenia 2 5 5" xfId="35471"/>
    <cellStyle name="Tekst ostrzeżenia 2 5 6" xfId="35472"/>
    <cellStyle name="Tekst ostrzeżenia 2 5 7" xfId="35473"/>
    <cellStyle name="Tekst ostrzeżenia 2 50" xfId="35474"/>
    <cellStyle name="Tekst ostrzeżenia 2 51" xfId="35475"/>
    <cellStyle name="Tekst ostrzeżenia 2 52" xfId="35476"/>
    <cellStyle name="Tekst ostrzeżenia 2 6" xfId="35477"/>
    <cellStyle name="Tekst ostrzeżenia 2 6 2" xfId="35478"/>
    <cellStyle name="Tekst ostrzeżenia 2 6 3" xfId="35479"/>
    <cellStyle name="Tekst ostrzeżenia 2 6 4" xfId="35480"/>
    <cellStyle name="Tekst ostrzeżenia 2 6 5" xfId="35481"/>
    <cellStyle name="Tekst ostrzeżenia 2 6 6" xfId="35482"/>
    <cellStyle name="Tekst ostrzeżenia 2 6 7" xfId="35483"/>
    <cellStyle name="Tekst ostrzeżenia 2 7" xfId="35484"/>
    <cellStyle name="Tekst ostrzeżenia 2 7 2" xfId="35485"/>
    <cellStyle name="Tekst ostrzeżenia 2 7 3" xfId="35486"/>
    <cellStyle name="Tekst ostrzeżenia 2 7 4" xfId="35487"/>
    <cellStyle name="Tekst ostrzeżenia 2 7 5" xfId="35488"/>
    <cellStyle name="Tekst ostrzeżenia 2 7 6" xfId="35489"/>
    <cellStyle name="Tekst ostrzeżenia 2 7 7" xfId="35490"/>
    <cellStyle name="Tekst ostrzeżenia 2 8" xfId="35491"/>
    <cellStyle name="Tekst ostrzeżenia 2 8 2" xfId="35492"/>
    <cellStyle name="Tekst ostrzeżenia 2 8 3" xfId="35493"/>
    <cellStyle name="Tekst ostrzeżenia 2 8 4" xfId="35494"/>
    <cellStyle name="Tekst ostrzeżenia 2 8 5" xfId="35495"/>
    <cellStyle name="Tekst ostrzeżenia 2 8 6" xfId="35496"/>
    <cellStyle name="Tekst ostrzeżenia 2 8 7" xfId="35497"/>
    <cellStyle name="Tekst ostrzeżenia 2 9" xfId="35498"/>
    <cellStyle name="Tekst ostrzeżenia 2 9 2" xfId="35499"/>
    <cellStyle name="Tekst ostrzeżenia 2 9 3" xfId="35500"/>
    <cellStyle name="Tekst ostrzeżenia 2 9 4" xfId="35501"/>
    <cellStyle name="Tekst ostrzeżenia 2 9 5" xfId="35502"/>
    <cellStyle name="Tekst ostrzeżenia 2 9 6" xfId="35503"/>
    <cellStyle name="Tekst ostrzeżenia 2 9 7" xfId="35504"/>
    <cellStyle name="Tekst ostrzeżenia 3" xfId="35505"/>
    <cellStyle name="Tekst ostrzeżenia 3 2" xfId="35506"/>
    <cellStyle name="Tekst ostrzeżenia 3 2 2" xfId="35507"/>
    <cellStyle name="Tekst ostrzeżenia 3 3" xfId="35508"/>
    <cellStyle name="Tekst ostrzeżenia 3 4" xfId="35509"/>
    <cellStyle name="Tekst ostrzeżenia 3 5" xfId="35510"/>
    <cellStyle name="Tekst ostrzeżenia 3 6" xfId="35511"/>
    <cellStyle name="Tekst ostrzeżenia 3 7" xfId="35512"/>
    <cellStyle name="Tekst ostrzeżenia 3 8" xfId="35513"/>
    <cellStyle name="Tekst ostrzeżenia 3 9" xfId="35514"/>
    <cellStyle name="Tekst ostrzeżenia 4" xfId="35515"/>
    <cellStyle name="Tekst ostrzeżenia 4 2" xfId="35516"/>
    <cellStyle name="Tekst ostrzeżenia 4 3" xfId="35517"/>
    <cellStyle name="Tekst ostrzeżenia 4 4" xfId="35518"/>
    <cellStyle name="Tekst ostrzeżenia 4 5" xfId="35519"/>
    <cellStyle name="Tekst ostrzeżenia 4 6" xfId="35520"/>
    <cellStyle name="Tekst ostrzeżenia 4 7" xfId="35521"/>
    <cellStyle name="Tekst ostrzeżenia 4 8" xfId="35522"/>
    <cellStyle name="Tekst ostrzeżenia 4 9" xfId="35523"/>
    <cellStyle name="Tekst ostrzeżenia 5" xfId="35524"/>
    <cellStyle name="Tekst ostrzeżenia 5 2" xfId="35525"/>
    <cellStyle name="Tekst ostrzeżenia 6" xfId="35526"/>
    <cellStyle name="Tekst ostrzeżenia 7" xfId="35527"/>
    <cellStyle name="Tytuł 2" xfId="35528"/>
    <cellStyle name="Tytuł 2 10" xfId="35529"/>
    <cellStyle name="Tytuł 2 10 2" xfId="35530"/>
    <cellStyle name="Tytuł 2 10 3" xfId="35531"/>
    <cellStyle name="Tytuł 2 10 4" xfId="35532"/>
    <cellStyle name="Tytuł 2 10 5" xfId="35533"/>
    <cellStyle name="Tytuł 2 10 6" xfId="35534"/>
    <cellStyle name="Tytuł 2 10 7" xfId="35535"/>
    <cellStyle name="Tytuł 2 11" xfId="35536"/>
    <cellStyle name="Tytuł 2 11 2" xfId="35537"/>
    <cellStyle name="Tytuł 2 11 3" xfId="35538"/>
    <cellStyle name="Tytuł 2 11 4" xfId="35539"/>
    <cellStyle name="Tytuł 2 11 5" xfId="35540"/>
    <cellStyle name="Tytuł 2 11 6" xfId="35541"/>
    <cellStyle name="Tytuł 2 11 7" xfId="35542"/>
    <cellStyle name="Tytuł 2 12" xfId="35543"/>
    <cellStyle name="Tytuł 2 12 2" xfId="35544"/>
    <cellStyle name="Tytuł 2 12 3" xfId="35545"/>
    <cellStyle name="Tytuł 2 12 4" xfId="35546"/>
    <cellStyle name="Tytuł 2 12 5" xfId="35547"/>
    <cellStyle name="Tytuł 2 12 6" xfId="35548"/>
    <cellStyle name="Tytuł 2 12 7" xfId="35549"/>
    <cellStyle name="Tytuł 2 13" xfId="35550"/>
    <cellStyle name="Tytuł 2 13 2" xfId="35551"/>
    <cellStyle name="Tytuł 2 13 3" xfId="35552"/>
    <cellStyle name="Tytuł 2 13 4" xfId="35553"/>
    <cellStyle name="Tytuł 2 13 5" xfId="35554"/>
    <cellStyle name="Tytuł 2 13 6" xfId="35555"/>
    <cellStyle name="Tytuł 2 13 7" xfId="35556"/>
    <cellStyle name="Tytuł 2 14" xfId="35557"/>
    <cellStyle name="Tytuł 2 14 2" xfId="35558"/>
    <cellStyle name="Tytuł 2 14 3" xfId="35559"/>
    <cellStyle name="Tytuł 2 14 4" xfId="35560"/>
    <cellStyle name="Tytuł 2 14 5" xfId="35561"/>
    <cellStyle name="Tytuł 2 14 6" xfId="35562"/>
    <cellStyle name="Tytuł 2 14 7" xfId="35563"/>
    <cellStyle name="Tytuł 2 15" xfId="35564"/>
    <cellStyle name="Tytuł 2 15 2" xfId="35565"/>
    <cellStyle name="Tytuł 2 15 3" xfId="35566"/>
    <cellStyle name="Tytuł 2 15 4" xfId="35567"/>
    <cellStyle name="Tytuł 2 15 5" xfId="35568"/>
    <cellStyle name="Tytuł 2 15 6" xfId="35569"/>
    <cellStyle name="Tytuł 2 15 7" xfId="35570"/>
    <cellStyle name="Tytuł 2 16" xfId="35571"/>
    <cellStyle name="Tytuł 2 16 2" xfId="35572"/>
    <cellStyle name="Tytuł 2 16 3" xfId="35573"/>
    <cellStyle name="Tytuł 2 16 4" xfId="35574"/>
    <cellStyle name="Tytuł 2 16 5" xfId="35575"/>
    <cellStyle name="Tytuł 2 16 6" xfId="35576"/>
    <cellStyle name="Tytuł 2 16 7" xfId="35577"/>
    <cellStyle name="Tytuł 2 17" xfId="35578"/>
    <cellStyle name="Tytuł 2 17 2" xfId="35579"/>
    <cellStyle name="Tytuł 2 17 3" xfId="35580"/>
    <cellStyle name="Tytuł 2 17 4" xfId="35581"/>
    <cellStyle name="Tytuł 2 17 5" xfId="35582"/>
    <cellStyle name="Tytuł 2 17 6" xfId="35583"/>
    <cellStyle name="Tytuł 2 17 7" xfId="35584"/>
    <cellStyle name="Tytuł 2 18" xfId="35585"/>
    <cellStyle name="Tytuł 2 18 2" xfId="35586"/>
    <cellStyle name="Tytuł 2 18 3" xfId="35587"/>
    <cellStyle name="Tytuł 2 18 4" xfId="35588"/>
    <cellStyle name="Tytuł 2 18 5" xfId="35589"/>
    <cellStyle name="Tytuł 2 18 6" xfId="35590"/>
    <cellStyle name="Tytuł 2 18 7" xfId="35591"/>
    <cellStyle name="Tytuł 2 19" xfId="35592"/>
    <cellStyle name="Tytuł 2 19 2" xfId="35593"/>
    <cellStyle name="Tytuł 2 19 3" xfId="35594"/>
    <cellStyle name="Tytuł 2 19 4" xfId="35595"/>
    <cellStyle name="Tytuł 2 19 5" xfId="35596"/>
    <cellStyle name="Tytuł 2 19 6" xfId="35597"/>
    <cellStyle name="Tytuł 2 19 7" xfId="35598"/>
    <cellStyle name="Tytuł 2 2" xfId="35599"/>
    <cellStyle name="Tytuł 2 2 2" xfId="35600"/>
    <cellStyle name="Tytuł 2 2 3" xfId="35601"/>
    <cellStyle name="Tytuł 2 2 4" xfId="35602"/>
    <cellStyle name="Tytuł 2 2 5" xfId="35603"/>
    <cellStyle name="Tytuł 2 2 6" xfId="35604"/>
    <cellStyle name="Tytuł 2 2 7" xfId="35605"/>
    <cellStyle name="Tytuł 2 2 8" xfId="35606"/>
    <cellStyle name="Tytuł 2 20" xfId="35607"/>
    <cellStyle name="Tytuł 2 20 2" xfId="35608"/>
    <cellStyle name="Tytuł 2 20 3" xfId="35609"/>
    <cellStyle name="Tytuł 2 20 4" xfId="35610"/>
    <cellStyle name="Tytuł 2 20 5" xfId="35611"/>
    <cellStyle name="Tytuł 2 20 6" xfId="35612"/>
    <cellStyle name="Tytuł 2 20 7" xfId="35613"/>
    <cellStyle name="Tytuł 2 21" xfId="35614"/>
    <cellStyle name="Tytuł 2 21 2" xfId="35615"/>
    <cellStyle name="Tytuł 2 21 3" xfId="35616"/>
    <cellStyle name="Tytuł 2 21 4" xfId="35617"/>
    <cellStyle name="Tytuł 2 21 5" xfId="35618"/>
    <cellStyle name="Tytuł 2 21 6" xfId="35619"/>
    <cellStyle name="Tytuł 2 21 7" xfId="35620"/>
    <cellStyle name="Tytuł 2 22" xfId="35621"/>
    <cellStyle name="Tytuł 2 22 2" xfId="35622"/>
    <cellStyle name="Tytuł 2 22 3" xfId="35623"/>
    <cellStyle name="Tytuł 2 22 4" xfId="35624"/>
    <cellStyle name="Tytuł 2 22 5" xfId="35625"/>
    <cellStyle name="Tytuł 2 22 6" xfId="35626"/>
    <cellStyle name="Tytuł 2 22 7" xfId="35627"/>
    <cellStyle name="Tytuł 2 23" xfId="35628"/>
    <cellStyle name="Tytuł 2 23 2" xfId="35629"/>
    <cellStyle name="Tytuł 2 23 3" xfId="35630"/>
    <cellStyle name="Tytuł 2 23 4" xfId="35631"/>
    <cellStyle name="Tytuł 2 23 5" xfId="35632"/>
    <cellStyle name="Tytuł 2 23 6" xfId="35633"/>
    <cellStyle name="Tytuł 2 23 7" xfId="35634"/>
    <cellStyle name="Tytuł 2 24" xfId="35635"/>
    <cellStyle name="Tytuł 2 24 2" xfId="35636"/>
    <cellStyle name="Tytuł 2 24 3" xfId="35637"/>
    <cellStyle name="Tytuł 2 24 4" xfId="35638"/>
    <cellStyle name="Tytuł 2 24 5" xfId="35639"/>
    <cellStyle name="Tytuł 2 24 6" xfId="35640"/>
    <cellStyle name="Tytuł 2 24 7" xfId="35641"/>
    <cellStyle name="Tytuł 2 25" xfId="35642"/>
    <cellStyle name="Tytuł 2 25 2" xfId="35643"/>
    <cellStyle name="Tytuł 2 25 3" xfId="35644"/>
    <cellStyle name="Tytuł 2 25 4" xfId="35645"/>
    <cellStyle name="Tytuł 2 25 5" xfId="35646"/>
    <cellStyle name="Tytuł 2 25 6" xfId="35647"/>
    <cellStyle name="Tytuł 2 25 7" xfId="35648"/>
    <cellStyle name="Tytuł 2 26" xfId="35649"/>
    <cellStyle name="Tytuł 2 26 2" xfId="35650"/>
    <cellStyle name="Tytuł 2 26 3" xfId="35651"/>
    <cellStyle name="Tytuł 2 26 4" xfId="35652"/>
    <cellStyle name="Tytuł 2 26 5" xfId="35653"/>
    <cellStyle name="Tytuł 2 26 6" xfId="35654"/>
    <cellStyle name="Tytuł 2 26 7" xfId="35655"/>
    <cellStyle name="Tytuł 2 27" xfId="35656"/>
    <cellStyle name="Tytuł 2 27 2" xfId="35657"/>
    <cellStyle name="Tytuł 2 27 3" xfId="35658"/>
    <cellStyle name="Tytuł 2 27 4" xfId="35659"/>
    <cellStyle name="Tytuł 2 27 5" xfId="35660"/>
    <cellStyle name="Tytuł 2 27 6" xfId="35661"/>
    <cellStyle name="Tytuł 2 27 7" xfId="35662"/>
    <cellStyle name="Tytuł 2 28" xfId="35663"/>
    <cellStyle name="Tytuł 2 28 2" xfId="35664"/>
    <cellStyle name="Tytuł 2 28 3" xfId="35665"/>
    <cellStyle name="Tytuł 2 28 4" xfId="35666"/>
    <cellStyle name="Tytuł 2 28 5" xfId="35667"/>
    <cellStyle name="Tytuł 2 28 6" xfId="35668"/>
    <cellStyle name="Tytuł 2 28 7" xfId="35669"/>
    <cellStyle name="Tytuł 2 29" xfId="35670"/>
    <cellStyle name="Tytuł 2 3" xfId="35671"/>
    <cellStyle name="Tytuł 2 3 2" xfId="35672"/>
    <cellStyle name="Tytuł 2 3 3" xfId="35673"/>
    <cellStyle name="Tytuł 2 3 4" xfId="35674"/>
    <cellStyle name="Tytuł 2 3 5" xfId="35675"/>
    <cellStyle name="Tytuł 2 3 6" xfId="35676"/>
    <cellStyle name="Tytuł 2 3 7" xfId="35677"/>
    <cellStyle name="Tytuł 2 30" xfId="35678"/>
    <cellStyle name="Tytuł 2 31" xfId="35679"/>
    <cellStyle name="Tytuł 2 32" xfId="35680"/>
    <cellStyle name="Tytuł 2 33" xfId="35681"/>
    <cellStyle name="Tytuł 2 34" xfId="35682"/>
    <cellStyle name="Tytuł 2 35" xfId="35683"/>
    <cellStyle name="Tytuł 2 36" xfId="35684"/>
    <cellStyle name="Tytuł 2 37" xfId="35685"/>
    <cellStyle name="Tytuł 2 38" xfId="35686"/>
    <cellStyle name="Tytuł 2 39" xfId="35687"/>
    <cellStyle name="Tytuł 2 4" xfId="35688"/>
    <cellStyle name="Tytuł 2 4 2" xfId="35689"/>
    <cellStyle name="Tytuł 2 4 3" xfId="35690"/>
    <cellStyle name="Tytuł 2 4 4" xfId="35691"/>
    <cellStyle name="Tytuł 2 4 5" xfId="35692"/>
    <cellStyle name="Tytuł 2 4 6" xfId="35693"/>
    <cellStyle name="Tytuł 2 4 7" xfId="35694"/>
    <cellStyle name="Tytuł 2 40" xfId="35695"/>
    <cellStyle name="Tytuł 2 41" xfId="35696"/>
    <cellStyle name="Tytuł 2 42" xfId="35697"/>
    <cellStyle name="Tytuł 2 43" xfId="35698"/>
    <cellStyle name="Tytuł 2 44" xfId="35699"/>
    <cellStyle name="Tytuł 2 45" xfId="35700"/>
    <cellStyle name="Tytuł 2 46" xfId="35701"/>
    <cellStyle name="Tytuł 2 47" xfId="35702"/>
    <cellStyle name="Tytuł 2 48" xfId="35703"/>
    <cellStyle name="Tytuł 2 49" xfId="35704"/>
    <cellStyle name="Tytuł 2 5" xfId="35705"/>
    <cellStyle name="Tytuł 2 5 2" xfId="35706"/>
    <cellStyle name="Tytuł 2 5 3" xfId="35707"/>
    <cellStyle name="Tytuł 2 5 4" xfId="35708"/>
    <cellStyle name="Tytuł 2 5 5" xfId="35709"/>
    <cellStyle name="Tytuł 2 5 6" xfId="35710"/>
    <cellStyle name="Tytuł 2 5 7" xfId="35711"/>
    <cellStyle name="Tytuł 2 50" xfId="35712"/>
    <cellStyle name="Tytuł 2 51" xfId="35713"/>
    <cellStyle name="Tytuł 2 52" xfId="35714"/>
    <cellStyle name="Tytuł 2 6" xfId="35715"/>
    <cellStyle name="Tytuł 2 6 2" xfId="35716"/>
    <cellStyle name="Tytuł 2 6 3" xfId="35717"/>
    <cellStyle name="Tytuł 2 6 4" xfId="35718"/>
    <cellStyle name="Tytuł 2 6 5" xfId="35719"/>
    <cellStyle name="Tytuł 2 6 6" xfId="35720"/>
    <cellStyle name="Tytuł 2 6 7" xfId="35721"/>
    <cellStyle name="Tytuł 2 7" xfId="35722"/>
    <cellStyle name="Tytuł 2 7 2" xfId="35723"/>
    <cellStyle name="Tytuł 2 7 3" xfId="35724"/>
    <cellStyle name="Tytuł 2 7 4" xfId="35725"/>
    <cellStyle name="Tytuł 2 7 5" xfId="35726"/>
    <cellStyle name="Tytuł 2 7 6" xfId="35727"/>
    <cellStyle name="Tytuł 2 7 7" xfId="35728"/>
    <cellStyle name="Tytuł 2 8" xfId="35729"/>
    <cellStyle name="Tytuł 2 8 2" xfId="35730"/>
    <cellStyle name="Tytuł 2 8 3" xfId="35731"/>
    <cellStyle name="Tytuł 2 8 4" xfId="35732"/>
    <cellStyle name="Tytuł 2 8 5" xfId="35733"/>
    <cellStyle name="Tytuł 2 8 6" xfId="35734"/>
    <cellStyle name="Tytuł 2 8 7" xfId="35735"/>
    <cellStyle name="Tytuł 2 9" xfId="35736"/>
    <cellStyle name="Tytuł 2 9 2" xfId="35737"/>
    <cellStyle name="Tytuł 2 9 3" xfId="35738"/>
    <cellStyle name="Tytuł 2 9 4" xfId="35739"/>
    <cellStyle name="Tytuł 2 9 5" xfId="35740"/>
    <cellStyle name="Tytuł 2 9 6" xfId="35741"/>
    <cellStyle name="Tytuł 2 9 7" xfId="35742"/>
    <cellStyle name="Tytuł 3" xfId="35743"/>
    <cellStyle name="Tytuł 3 2" xfId="35744"/>
    <cellStyle name="Tytuł 3 2 2" xfId="35745"/>
    <cellStyle name="Tytuł 3 3" xfId="35746"/>
    <cellStyle name="Tytuł 3 4" xfId="35747"/>
    <cellStyle name="Tytuł 3 5" xfId="35748"/>
    <cellStyle name="Tytuł 3 6" xfId="35749"/>
    <cellStyle name="Tytuł 3 7" xfId="35750"/>
    <cellStyle name="Tytuł 3 8" xfId="35751"/>
    <cellStyle name="Tytuł 4" xfId="35752"/>
    <cellStyle name="Tytuł 4 2" xfId="35753"/>
    <cellStyle name="Tytuł 4 3" xfId="35754"/>
    <cellStyle name="Tytuł 4 4" xfId="35755"/>
    <cellStyle name="Tytuł 4 5" xfId="35756"/>
    <cellStyle name="Tytuł 4 6" xfId="35757"/>
    <cellStyle name="Tytuł 4 7" xfId="35758"/>
    <cellStyle name="Tytuł 4 8" xfId="35759"/>
    <cellStyle name="Tytuł 5" xfId="35760"/>
    <cellStyle name="Tytuł 6" xfId="35761"/>
    <cellStyle name="Tytuł 7" xfId="35762"/>
    <cellStyle name="Tytuł 8" xfId="35763"/>
    <cellStyle name="über" xfId="35764"/>
    <cellStyle name="Unit" xfId="35765"/>
    <cellStyle name="Uwaga 10" xfId="35766"/>
    <cellStyle name="Uwaga 100" xfId="35767"/>
    <cellStyle name="Uwaga 100 2" xfId="35768"/>
    <cellStyle name="Uwaga 101" xfId="35769"/>
    <cellStyle name="Uwaga 101 2" xfId="35770"/>
    <cellStyle name="Uwaga 102" xfId="35771"/>
    <cellStyle name="Uwaga 102 2" xfId="35772"/>
    <cellStyle name="Uwaga 103" xfId="35773"/>
    <cellStyle name="Uwaga 103 2" xfId="35774"/>
    <cellStyle name="Uwaga 104" xfId="35775"/>
    <cellStyle name="Uwaga 104 2" xfId="35776"/>
    <cellStyle name="Uwaga 105" xfId="35777"/>
    <cellStyle name="Uwaga 105 2" xfId="35778"/>
    <cellStyle name="Uwaga 106" xfId="35779"/>
    <cellStyle name="Uwaga 106 2" xfId="35780"/>
    <cellStyle name="Uwaga 107" xfId="35781"/>
    <cellStyle name="Uwaga 107 2" xfId="35782"/>
    <cellStyle name="Uwaga 108" xfId="35783"/>
    <cellStyle name="Uwaga 108 2" xfId="35784"/>
    <cellStyle name="Uwaga 109" xfId="35785"/>
    <cellStyle name="Uwaga 109 2" xfId="35786"/>
    <cellStyle name="Uwaga 11" xfId="35787"/>
    <cellStyle name="Uwaga 110" xfId="35788"/>
    <cellStyle name="Uwaga 110 2" xfId="35789"/>
    <cellStyle name="Uwaga 111" xfId="35790"/>
    <cellStyle name="Uwaga 111 2" xfId="35791"/>
    <cellStyle name="Uwaga 112" xfId="35792"/>
    <cellStyle name="Uwaga 112 2" xfId="35793"/>
    <cellStyle name="Uwaga 113" xfId="35794"/>
    <cellStyle name="Uwaga 113 2" xfId="35795"/>
    <cellStyle name="Uwaga 114" xfId="35796"/>
    <cellStyle name="Uwaga 114 2" xfId="35797"/>
    <cellStyle name="Uwaga 115" xfId="35798"/>
    <cellStyle name="Uwaga 115 2" xfId="35799"/>
    <cellStyle name="Uwaga 116" xfId="35800"/>
    <cellStyle name="Uwaga 116 2" xfId="35801"/>
    <cellStyle name="Uwaga 117" xfId="35802"/>
    <cellStyle name="Uwaga 117 2" xfId="35803"/>
    <cellStyle name="Uwaga 118" xfId="35804"/>
    <cellStyle name="Uwaga 118 2" xfId="35805"/>
    <cellStyle name="Uwaga 119" xfId="35806"/>
    <cellStyle name="Uwaga 119 2" xfId="35807"/>
    <cellStyle name="Uwaga 12" xfId="35808"/>
    <cellStyle name="Uwaga 120" xfId="35809"/>
    <cellStyle name="Uwaga 120 2" xfId="35810"/>
    <cellStyle name="Uwaga 121" xfId="35811"/>
    <cellStyle name="Uwaga 121 2" xfId="35812"/>
    <cellStyle name="Uwaga 122" xfId="35813"/>
    <cellStyle name="Uwaga 122 2" xfId="35814"/>
    <cellStyle name="Uwaga 123" xfId="35815"/>
    <cellStyle name="Uwaga 123 2" xfId="35816"/>
    <cellStyle name="Uwaga 124" xfId="35817"/>
    <cellStyle name="Uwaga 124 2" xfId="35818"/>
    <cellStyle name="Uwaga 125" xfId="35819"/>
    <cellStyle name="Uwaga 13" xfId="35820"/>
    <cellStyle name="Uwaga 14" xfId="35821"/>
    <cellStyle name="Uwaga 15" xfId="35822"/>
    <cellStyle name="Uwaga 16" xfId="35823"/>
    <cellStyle name="Uwaga 17" xfId="35824"/>
    <cellStyle name="Uwaga 18" xfId="35825"/>
    <cellStyle name="Uwaga 19" xfId="35826"/>
    <cellStyle name="Uwaga 2" xfId="35827"/>
    <cellStyle name="Uwaga 2 10" xfId="35828"/>
    <cellStyle name="Uwaga 2 10 10" xfId="35829"/>
    <cellStyle name="Uwaga 2 10 10 2" xfId="35830"/>
    <cellStyle name="Uwaga 2 10 10 3" xfId="35831"/>
    <cellStyle name="Uwaga 2 10 10 4" xfId="35832"/>
    <cellStyle name="Uwaga 2 10 11" xfId="35833"/>
    <cellStyle name="Uwaga 2 10 11 2" xfId="35834"/>
    <cellStyle name="Uwaga 2 10 11 3" xfId="35835"/>
    <cellStyle name="Uwaga 2 10 11 4" xfId="35836"/>
    <cellStyle name="Uwaga 2 10 12" xfId="35837"/>
    <cellStyle name="Uwaga 2 10 12 2" xfId="35838"/>
    <cellStyle name="Uwaga 2 10 12 3" xfId="35839"/>
    <cellStyle name="Uwaga 2 10 12 4" xfId="35840"/>
    <cellStyle name="Uwaga 2 10 13" xfId="35841"/>
    <cellStyle name="Uwaga 2 10 13 2" xfId="35842"/>
    <cellStyle name="Uwaga 2 10 13 3" xfId="35843"/>
    <cellStyle name="Uwaga 2 10 13 4" xfId="35844"/>
    <cellStyle name="Uwaga 2 10 14" xfId="35845"/>
    <cellStyle name="Uwaga 2 10 14 2" xfId="35846"/>
    <cellStyle name="Uwaga 2 10 14 3" xfId="35847"/>
    <cellStyle name="Uwaga 2 10 14 4" xfId="35848"/>
    <cellStyle name="Uwaga 2 10 15" xfId="35849"/>
    <cellStyle name="Uwaga 2 10 15 2" xfId="35850"/>
    <cellStyle name="Uwaga 2 10 15 3" xfId="35851"/>
    <cellStyle name="Uwaga 2 10 15 4" xfId="35852"/>
    <cellStyle name="Uwaga 2 10 16" xfId="35853"/>
    <cellStyle name="Uwaga 2 10 16 2" xfId="35854"/>
    <cellStyle name="Uwaga 2 10 16 3" xfId="35855"/>
    <cellStyle name="Uwaga 2 10 16 4" xfId="35856"/>
    <cellStyle name="Uwaga 2 10 17" xfId="35857"/>
    <cellStyle name="Uwaga 2 10 17 2" xfId="35858"/>
    <cellStyle name="Uwaga 2 10 17 3" xfId="35859"/>
    <cellStyle name="Uwaga 2 10 17 4" xfId="35860"/>
    <cellStyle name="Uwaga 2 10 18" xfId="35861"/>
    <cellStyle name="Uwaga 2 10 18 2" xfId="35862"/>
    <cellStyle name="Uwaga 2 10 18 3" xfId="35863"/>
    <cellStyle name="Uwaga 2 10 18 4" xfId="35864"/>
    <cellStyle name="Uwaga 2 10 19" xfId="35865"/>
    <cellStyle name="Uwaga 2 10 19 2" xfId="35866"/>
    <cellStyle name="Uwaga 2 10 19 3" xfId="35867"/>
    <cellStyle name="Uwaga 2 10 19 4" xfId="35868"/>
    <cellStyle name="Uwaga 2 10 2" xfId="35869"/>
    <cellStyle name="Uwaga 2 10 2 2" xfId="35870"/>
    <cellStyle name="Uwaga 2 10 2 3" xfId="35871"/>
    <cellStyle name="Uwaga 2 10 2 4" xfId="35872"/>
    <cellStyle name="Uwaga 2 10 20" xfId="35873"/>
    <cellStyle name="Uwaga 2 10 20 2" xfId="35874"/>
    <cellStyle name="Uwaga 2 10 20 3" xfId="35875"/>
    <cellStyle name="Uwaga 2 10 20 4" xfId="35876"/>
    <cellStyle name="Uwaga 2 10 21" xfId="35877"/>
    <cellStyle name="Uwaga 2 10 21 2" xfId="35878"/>
    <cellStyle name="Uwaga 2 10 21 3" xfId="35879"/>
    <cellStyle name="Uwaga 2 10 22" xfId="35880"/>
    <cellStyle name="Uwaga 2 10 22 2" xfId="35881"/>
    <cellStyle name="Uwaga 2 10 22 3" xfId="35882"/>
    <cellStyle name="Uwaga 2 10 23" xfId="35883"/>
    <cellStyle name="Uwaga 2 10 23 2" xfId="35884"/>
    <cellStyle name="Uwaga 2 10 23 3" xfId="35885"/>
    <cellStyle name="Uwaga 2 10 24" xfId="35886"/>
    <cellStyle name="Uwaga 2 10 24 2" xfId="35887"/>
    <cellStyle name="Uwaga 2 10 24 3" xfId="35888"/>
    <cellStyle name="Uwaga 2 10 25" xfId="35889"/>
    <cellStyle name="Uwaga 2 10 25 2" xfId="35890"/>
    <cellStyle name="Uwaga 2 10 25 3" xfId="35891"/>
    <cellStyle name="Uwaga 2 10 26" xfId="35892"/>
    <cellStyle name="Uwaga 2 10 26 2" xfId="35893"/>
    <cellStyle name="Uwaga 2 10 26 3" xfId="35894"/>
    <cellStyle name="Uwaga 2 10 27" xfId="35895"/>
    <cellStyle name="Uwaga 2 10 27 2" xfId="35896"/>
    <cellStyle name="Uwaga 2 10 27 3" xfId="35897"/>
    <cellStyle name="Uwaga 2 10 28" xfId="35898"/>
    <cellStyle name="Uwaga 2 10 28 2" xfId="35899"/>
    <cellStyle name="Uwaga 2 10 28 3" xfId="35900"/>
    <cellStyle name="Uwaga 2 10 29" xfId="35901"/>
    <cellStyle name="Uwaga 2 10 29 2" xfId="35902"/>
    <cellStyle name="Uwaga 2 10 29 3" xfId="35903"/>
    <cellStyle name="Uwaga 2 10 3" xfId="35904"/>
    <cellStyle name="Uwaga 2 10 3 2" xfId="35905"/>
    <cellStyle name="Uwaga 2 10 3 3" xfId="35906"/>
    <cellStyle name="Uwaga 2 10 3 4" xfId="35907"/>
    <cellStyle name="Uwaga 2 10 30" xfId="35908"/>
    <cellStyle name="Uwaga 2 10 30 2" xfId="35909"/>
    <cellStyle name="Uwaga 2 10 30 3" xfId="35910"/>
    <cellStyle name="Uwaga 2 10 31" xfId="35911"/>
    <cellStyle name="Uwaga 2 10 31 2" xfId="35912"/>
    <cellStyle name="Uwaga 2 10 31 3" xfId="35913"/>
    <cellStyle name="Uwaga 2 10 32" xfId="35914"/>
    <cellStyle name="Uwaga 2 10 32 2" xfId="35915"/>
    <cellStyle name="Uwaga 2 10 32 3" xfId="35916"/>
    <cellStyle name="Uwaga 2 10 33" xfId="35917"/>
    <cellStyle name="Uwaga 2 10 33 2" xfId="35918"/>
    <cellStyle name="Uwaga 2 10 33 3" xfId="35919"/>
    <cellStyle name="Uwaga 2 10 34" xfId="35920"/>
    <cellStyle name="Uwaga 2 10 34 2" xfId="35921"/>
    <cellStyle name="Uwaga 2 10 34 3" xfId="35922"/>
    <cellStyle name="Uwaga 2 10 35" xfId="35923"/>
    <cellStyle name="Uwaga 2 10 35 2" xfId="35924"/>
    <cellStyle name="Uwaga 2 10 35 3" xfId="35925"/>
    <cellStyle name="Uwaga 2 10 36" xfId="35926"/>
    <cellStyle name="Uwaga 2 10 36 2" xfId="35927"/>
    <cellStyle name="Uwaga 2 10 36 3" xfId="35928"/>
    <cellStyle name="Uwaga 2 10 37" xfId="35929"/>
    <cellStyle name="Uwaga 2 10 37 2" xfId="35930"/>
    <cellStyle name="Uwaga 2 10 37 3" xfId="35931"/>
    <cellStyle name="Uwaga 2 10 38" xfId="35932"/>
    <cellStyle name="Uwaga 2 10 38 2" xfId="35933"/>
    <cellStyle name="Uwaga 2 10 38 3" xfId="35934"/>
    <cellStyle name="Uwaga 2 10 39" xfId="35935"/>
    <cellStyle name="Uwaga 2 10 39 2" xfId="35936"/>
    <cellStyle name="Uwaga 2 10 39 3" xfId="35937"/>
    <cellStyle name="Uwaga 2 10 4" xfId="35938"/>
    <cellStyle name="Uwaga 2 10 4 2" xfId="35939"/>
    <cellStyle name="Uwaga 2 10 4 3" xfId="35940"/>
    <cellStyle name="Uwaga 2 10 4 4" xfId="35941"/>
    <cellStyle name="Uwaga 2 10 40" xfId="35942"/>
    <cellStyle name="Uwaga 2 10 40 2" xfId="35943"/>
    <cellStyle name="Uwaga 2 10 40 3" xfId="35944"/>
    <cellStyle name="Uwaga 2 10 41" xfId="35945"/>
    <cellStyle name="Uwaga 2 10 41 2" xfId="35946"/>
    <cellStyle name="Uwaga 2 10 41 3" xfId="35947"/>
    <cellStyle name="Uwaga 2 10 42" xfId="35948"/>
    <cellStyle name="Uwaga 2 10 42 2" xfId="35949"/>
    <cellStyle name="Uwaga 2 10 42 3" xfId="35950"/>
    <cellStyle name="Uwaga 2 10 43" xfId="35951"/>
    <cellStyle name="Uwaga 2 10 43 2" xfId="35952"/>
    <cellStyle name="Uwaga 2 10 43 3" xfId="35953"/>
    <cellStyle name="Uwaga 2 10 44" xfId="35954"/>
    <cellStyle name="Uwaga 2 10 44 2" xfId="35955"/>
    <cellStyle name="Uwaga 2 10 44 3" xfId="35956"/>
    <cellStyle name="Uwaga 2 10 45" xfId="35957"/>
    <cellStyle name="Uwaga 2 10 45 2" xfId="35958"/>
    <cellStyle name="Uwaga 2 10 45 3" xfId="35959"/>
    <cellStyle name="Uwaga 2 10 46" xfId="35960"/>
    <cellStyle name="Uwaga 2 10 46 2" xfId="35961"/>
    <cellStyle name="Uwaga 2 10 46 3" xfId="35962"/>
    <cellStyle name="Uwaga 2 10 47" xfId="35963"/>
    <cellStyle name="Uwaga 2 10 47 2" xfId="35964"/>
    <cellStyle name="Uwaga 2 10 47 3" xfId="35965"/>
    <cellStyle name="Uwaga 2 10 48" xfId="35966"/>
    <cellStyle name="Uwaga 2 10 48 2" xfId="35967"/>
    <cellStyle name="Uwaga 2 10 48 3" xfId="35968"/>
    <cellStyle name="Uwaga 2 10 49" xfId="35969"/>
    <cellStyle name="Uwaga 2 10 49 2" xfId="35970"/>
    <cellStyle name="Uwaga 2 10 49 3" xfId="35971"/>
    <cellStyle name="Uwaga 2 10 5" xfId="35972"/>
    <cellStyle name="Uwaga 2 10 5 2" xfId="35973"/>
    <cellStyle name="Uwaga 2 10 5 3" xfId="35974"/>
    <cellStyle name="Uwaga 2 10 5 4" xfId="35975"/>
    <cellStyle name="Uwaga 2 10 50" xfId="35976"/>
    <cellStyle name="Uwaga 2 10 50 2" xfId="35977"/>
    <cellStyle name="Uwaga 2 10 50 3" xfId="35978"/>
    <cellStyle name="Uwaga 2 10 51" xfId="35979"/>
    <cellStyle name="Uwaga 2 10 51 2" xfId="35980"/>
    <cellStyle name="Uwaga 2 10 51 3" xfId="35981"/>
    <cellStyle name="Uwaga 2 10 52" xfId="35982"/>
    <cellStyle name="Uwaga 2 10 52 2" xfId="35983"/>
    <cellStyle name="Uwaga 2 10 52 3" xfId="35984"/>
    <cellStyle name="Uwaga 2 10 53" xfId="35985"/>
    <cellStyle name="Uwaga 2 10 53 2" xfId="35986"/>
    <cellStyle name="Uwaga 2 10 53 3" xfId="35987"/>
    <cellStyle name="Uwaga 2 10 54" xfId="35988"/>
    <cellStyle name="Uwaga 2 10 54 2" xfId="35989"/>
    <cellStyle name="Uwaga 2 10 54 3" xfId="35990"/>
    <cellStyle name="Uwaga 2 10 55" xfId="35991"/>
    <cellStyle name="Uwaga 2 10 55 2" xfId="35992"/>
    <cellStyle name="Uwaga 2 10 55 3" xfId="35993"/>
    <cellStyle name="Uwaga 2 10 56" xfId="35994"/>
    <cellStyle name="Uwaga 2 10 56 2" xfId="35995"/>
    <cellStyle name="Uwaga 2 10 56 3" xfId="35996"/>
    <cellStyle name="Uwaga 2 10 57" xfId="35997"/>
    <cellStyle name="Uwaga 2 10 58" xfId="35998"/>
    <cellStyle name="Uwaga 2 10 6" xfId="35999"/>
    <cellStyle name="Uwaga 2 10 6 2" xfId="36000"/>
    <cellStyle name="Uwaga 2 10 6 3" xfId="36001"/>
    <cellStyle name="Uwaga 2 10 6 4" xfId="36002"/>
    <cellStyle name="Uwaga 2 10 7" xfId="36003"/>
    <cellStyle name="Uwaga 2 10 7 2" xfId="36004"/>
    <cellStyle name="Uwaga 2 10 7 3" xfId="36005"/>
    <cellStyle name="Uwaga 2 10 7 4" xfId="36006"/>
    <cellStyle name="Uwaga 2 10 8" xfId="36007"/>
    <cellStyle name="Uwaga 2 10 8 2" xfId="36008"/>
    <cellStyle name="Uwaga 2 10 8 3" xfId="36009"/>
    <cellStyle name="Uwaga 2 10 8 4" xfId="36010"/>
    <cellStyle name="Uwaga 2 10 9" xfId="36011"/>
    <cellStyle name="Uwaga 2 10 9 2" xfId="36012"/>
    <cellStyle name="Uwaga 2 10 9 3" xfId="36013"/>
    <cellStyle name="Uwaga 2 10 9 4" xfId="36014"/>
    <cellStyle name="Uwaga 2 11" xfId="36015"/>
    <cellStyle name="Uwaga 2 11 10" xfId="36016"/>
    <cellStyle name="Uwaga 2 11 10 2" xfId="36017"/>
    <cellStyle name="Uwaga 2 11 10 3" xfId="36018"/>
    <cellStyle name="Uwaga 2 11 10 4" xfId="36019"/>
    <cellStyle name="Uwaga 2 11 11" xfId="36020"/>
    <cellStyle name="Uwaga 2 11 11 2" xfId="36021"/>
    <cellStyle name="Uwaga 2 11 11 3" xfId="36022"/>
    <cellStyle name="Uwaga 2 11 11 4" xfId="36023"/>
    <cellStyle name="Uwaga 2 11 12" xfId="36024"/>
    <cellStyle name="Uwaga 2 11 12 2" xfId="36025"/>
    <cellStyle name="Uwaga 2 11 12 3" xfId="36026"/>
    <cellStyle name="Uwaga 2 11 12 4" xfId="36027"/>
    <cellStyle name="Uwaga 2 11 13" xfId="36028"/>
    <cellStyle name="Uwaga 2 11 13 2" xfId="36029"/>
    <cellStyle name="Uwaga 2 11 13 3" xfId="36030"/>
    <cellStyle name="Uwaga 2 11 13 4" xfId="36031"/>
    <cellStyle name="Uwaga 2 11 14" xfId="36032"/>
    <cellStyle name="Uwaga 2 11 14 2" xfId="36033"/>
    <cellStyle name="Uwaga 2 11 14 3" xfId="36034"/>
    <cellStyle name="Uwaga 2 11 14 4" xfId="36035"/>
    <cellStyle name="Uwaga 2 11 15" xfId="36036"/>
    <cellStyle name="Uwaga 2 11 15 2" xfId="36037"/>
    <cellStyle name="Uwaga 2 11 15 3" xfId="36038"/>
    <cellStyle name="Uwaga 2 11 15 4" xfId="36039"/>
    <cellStyle name="Uwaga 2 11 16" xfId="36040"/>
    <cellStyle name="Uwaga 2 11 16 2" xfId="36041"/>
    <cellStyle name="Uwaga 2 11 16 3" xfId="36042"/>
    <cellStyle name="Uwaga 2 11 16 4" xfId="36043"/>
    <cellStyle name="Uwaga 2 11 17" xfId="36044"/>
    <cellStyle name="Uwaga 2 11 17 2" xfId="36045"/>
    <cellStyle name="Uwaga 2 11 17 3" xfId="36046"/>
    <cellStyle name="Uwaga 2 11 17 4" xfId="36047"/>
    <cellStyle name="Uwaga 2 11 18" xfId="36048"/>
    <cellStyle name="Uwaga 2 11 18 2" xfId="36049"/>
    <cellStyle name="Uwaga 2 11 18 3" xfId="36050"/>
    <cellStyle name="Uwaga 2 11 18 4" xfId="36051"/>
    <cellStyle name="Uwaga 2 11 19" xfId="36052"/>
    <cellStyle name="Uwaga 2 11 19 2" xfId="36053"/>
    <cellStyle name="Uwaga 2 11 19 3" xfId="36054"/>
    <cellStyle name="Uwaga 2 11 19 4" xfId="36055"/>
    <cellStyle name="Uwaga 2 11 2" xfId="36056"/>
    <cellStyle name="Uwaga 2 11 2 2" xfId="36057"/>
    <cellStyle name="Uwaga 2 11 2 3" xfId="36058"/>
    <cellStyle name="Uwaga 2 11 2 4" xfId="36059"/>
    <cellStyle name="Uwaga 2 11 20" xfId="36060"/>
    <cellStyle name="Uwaga 2 11 20 2" xfId="36061"/>
    <cellStyle name="Uwaga 2 11 20 3" xfId="36062"/>
    <cellStyle name="Uwaga 2 11 20 4" xfId="36063"/>
    <cellStyle name="Uwaga 2 11 21" xfId="36064"/>
    <cellStyle name="Uwaga 2 11 21 2" xfId="36065"/>
    <cellStyle name="Uwaga 2 11 21 3" xfId="36066"/>
    <cellStyle name="Uwaga 2 11 22" xfId="36067"/>
    <cellStyle name="Uwaga 2 11 22 2" xfId="36068"/>
    <cellStyle name="Uwaga 2 11 22 3" xfId="36069"/>
    <cellStyle name="Uwaga 2 11 23" xfId="36070"/>
    <cellStyle name="Uwaga 2 11 23 2" xfId="36071"/>
    <cellStyle name="Uwaga 2 11 23 3" xfId="36072"/>
    <cellStyle name="Uwaga 2 11 24" xfId="36073"/>
    <cellStyle name="Uwaga 2 11 24 2" xfId="36074"/>
    <cellStyle name="Uwaga 2 11 24 3" xfId="36075"/>
    <cellStyle name="Uwaga 2 11 25" xfId="36076"/>
    <cellStyle name="Uwaga 2 11 25 2" xfId="36077"/>
    <cellStyle name="Uwaga 2 11 25 3" xfId="36078"/>
    <cellStyle name="Uwaga 2 11 26" xfId="36079"/>
    <cellStyle name="Uwaga 2 11 26 2" xfId="36080"/>
    <cellStyle name="Uwaga 2 11 26 3" xfId="36081"/>
    <cellStyle name="Uwaga 2 11 27" xfId="36082"/>
    <cellStyle name="Uwaga 2 11 27 2" xfId="36083"/>
    <cellStyle name="Uwaga 2 11 27 3" xfId="36084"/>
    <cellStyle name="Uwaga 2 11 28" xfId="36085"/>
    <cellStyle name="Uwaga 2 11 28 2" xfId="36086"/>
    <cellStyle name="Uwaga 2 11 28 3" xfId="36087"/>
    <cellStyle name="Uwaga 2 11 29" xfId="36088"/>
    <cellStyle name="Uwaga 2 11 29 2" xfId="36089"/>
    <cellStyle name="Uwaga 2 11 29 3" xfId="36090"/>
    <cellStyle name="Uwaga 2 11 3" xfId="36091"/>
    <cellStyle name="Uwaga 2 11 3 2" xfId="36092"/>
    <cellStyle name="Uwaga 2 11 3 3" xfId="36093"/>
    <cellStyle name="Uwaga 2 11 3 4" xfId="36094"/>
    <cellStyle name="Uwaga 2 11 30" xfId="36095"/>
    <cellStyle name="Uwaga 2 11 30 2" xfId="36096"/>
    <cellStyle name="Uwaga 2 11 30 3" xfId="36097"/>
    <cellStyle name="Uwaga 2 11 31" xfId="36098"/>
    <cellStyle name="Uwaga 2 11 31 2" xfId="36099"/>
    <cellStyle name="Uwaga 2 11 31 3" xfId="36100"/>
    <cellStyle name="Uwaga 2 11 32" xfId="36101"/>
    <cellStyle name="Uwaga 2 11 32 2" xfId="36102"/>
    <cellStyle name="Uwaga 2 11 32 3" xfId="36103"/>
    <cellStyle name="Uwaga 2 11 33" xfId="36104"/>
    <cellStyle name="Uwaga 2 11 33 2" xfId="36105"/>
    <cellStyle name="Uwaga 2 11 33 3" xfId="36106"/>
    <cellStyle name="Uwaga 2 11 34" xfId="36107"/>
    <cellStyle name="Uwaga 2 11 34 2" xfId="36108"/>
    <cellStyle name="Uwaga 2 11 34 3" xfId="36109"/>
    <cellStyle name="Uwaga 2 11 35" xfId="36110"/>
    <cellStyle name="Uwaga 2 11 35 2" xfId="36111"/>
    <cellStyle name="Uwaga 2 11 35 3" xfId="36112"/>
    <cellStyle name="Uwaga 2 11 36" xfId="36113"/>
    <cellStyle name="Uwaga 2 11 36 2" xfId="36114"/>
    <cellStyle name="Uwaga 2 11 36 3" xfId="36115"/>
    <cellStyle name="Uwaga 2 11 37" xfId="36116"/>
    <cellStyle name="Uwaga 2 11 37 2" xfId="36117"/>
    <cellStyle name="Uwaga 2 11 37 3" xfId="36118"/>
    <cellStyle name="Uwaga 2 11 38" xfId="36119"/>
    <cellStyle name="Uwaga 2 11 38 2" xfId="36120"/>
    <cellStyle name="Uwaga 2 11 38 3" xfId="36121"/>
    <cellStyle name="Uwaga 2 11 39" xfId="36122"/>
    <cellStyle name="Uwaga 2 11 39 2" xfId="36123"/>
    <cellStyle name="Uwaga 2 11 39 3" xfId="36124"/>
    <cellStyle name="Uwaga 2 11 4" xfId="36125"/>
    <cellStyle name="Uwaga 2 11 4 2" xfId="36126"/>
    <cellStyle name="Uwaga 2 11 4 3" xfId="36127"/>
    <cellStyle name="Uwaga 2 11 4 4" xfId="36128"/>
    <cellStyle name="Uwaga 2 11 40" xfId="36129"/>
    <cellStyle name="Uwaga 2 11 40 2" xfId="36130"/>
    <cellStyle name="Uwaga 2 11 40 3" xfId="36131"/>
    <cellStyle name="Uwaga 2 11 41" xfId="36132"/>
    <cellStyle name="Uwaga 2 11 41 2" xfId="36133"/>
    <cellStyle name="Uwaga 2 11 41 3" xfId="36134"/>
    <cellStyle name="Uwaga 2 11 42" xfId="36135"/>
    <cellStyle name="Uwaga 2 11 42 2" xfId="36136"/>
    <cellStyle name="Uwaga 2 11 42 3" xfId="36137"/>
    <cellStyle name="Uwaga 2 11 43" xfId="36138"/>
    <cellStyle name="Uwaga 2 11 43 2" xfId="36139"/>
    <cellStyle name="Uwaga 2 11 43 3" xfId="36140"/>
    <cellStyle name="Uwaga 2 11 44" xfId="36141"/>
    <cellStyle name="Uwaga 2 11 44 2" xfId="36142"/>
    <cellStyle name="Uwaga 2 11 44 3" xfId="36143"/>
    <cellStyle name="Uwaga 2 11 45" xfId="36144"/>
    <cellStyle name="Uwaga 2 11 45 2" xfId="36145"/>
    <cellStyle name="Uwaga 2 11 45 3" xfId="36146"/>
    <cellStyle name="Uwaga 2 11 46" xfId="36147"/>
    <cellStyle name="Uwaga 2 11 46 2" xfId="36148"/>
    <cellStyle name="Uwaga 2 11 46 3" xfId="36149"/>
    <cellStyle name="Uwaga 2 11 47" xfId="36150"/>
    <cellStyle name="Uwaga 2 11 47 2" xfId="36151"/>
    <cellStyle name="Uwaga 2 11 47 3" xfId="36152"/>
    <cellStyle name="Uwaga 2 11 48" xfId="36153"/>
    <cellStyle name="Uwaga 2 11 48 2" xfId="36154"/>
    <cellStyle name="Uwaga 2 11 48 3" xfId="36155"/>
    <cellStyle name="Uwaga 2 11 49" xfId="36156"/>
    <cellStyle name="Uwaga 2 11 49 2" xfId="36157"/>
    <cellStyle name="Uwaga 2 11 49 3" xfId="36158"/>
    <cellStyle name="Uwaga 2 11 5" xfId="36159"/>
    <cellStyle name="Uwaga 2 11 5 2" xfId="36160"/>
    <cellStyle name="Uwaga 2 11 5 3" xfId="36161"/>
    <cellStyle name="Uwaga 2 11 5 4" xfId="36162"/>
    <cellStyle name="Uwaga 2 11 50" xfId="36163"/>
    <cellStyle name="Uwaga 2 11 50 2" xfId="36164"/>
    <cellStyle name="Uwaga 2 11 50 3" xfId="36165"/>
    <cellStyle name="Uwaga 2 11 51" xfId="36166"/>
    <cellStyle name="Uwaga 2 11 51 2" xfId="36167"/>
    <cellStyle name="Uwaga 2 11 51 3" xfId="36168"/>
    <cellStyle name="Uwaga 2 11 52" xfId="36169"/>
    <cellStyle name="Uwaga 2 11 52 2" xfId="36170"/>
    <cellStyle name="Uwaga 2 11 52 3" xfId="36171"/>
    <cellStyle name="Uwaga 2 11 53" xfId="36172"/>
    <cellStyle name="Uwaga 2 11 53 2" xfId="36173"/>
    <cellStyle name="Uwaga 2 11 53 3" xfId="36174"/>
    <cellStyle name="Uwaga 2 11 54" xfId="36175"/>
    <cellStyle name="Uwaga 2 11 54 2" xfId="36176"/>
    <cellStyle name="Uwaga 2 11 54 3" xfId="36177"/>
    <cellStyle name="Uwaga 2 11 55" xfId="36178"/>
    <cellStyle name="Uwaga 2 11 55 2" xfId="36179"/>
    <cellStyle name="Uwaga 2 11 55 3" xfId="36180"/>
    <cellStyle name="Uwaga 2 11 56" xfId="36181"/>
    <cellStyle name="Uwaga 2 11 56 2" xfId="36182"/>
    <cellStyle name="Uwaga 2 11 56 3" xfId="36183"/>
    <cellStyle name="Uwaga 2 11 57" xfId="36184"/>
    <cellStyle name="Uwaga 2 11 58" xfId="36185"/>
    <cellStyle name="Uwaga 2 11 6" xfId="36186"/>
    <cellStyle name="Uwaga 2 11 6 2" xfId="36187"/>
    <cellStyle name="Uwaga 2 11 6 3" xfId="36188"/>
    <cellStyle name="Uwaga 2 11 6 4" xfId="36189"/>
    <cellStyle name="Uwaga 2 11 7" xfId="36190"/>
    <cellStyle name="Uwaga 2 11 7 2" xfId="36191"/>
    <cellStyle name="Uwaga 2 11 7 3" xfId="36192"/>
    <cellStyle name="Uwaga 2 11 7 4" xfId="36193"/>
    <cellStyle name="Uwaga 2 11 8" xfId="36194"/>
    <cellStyle name="Uwaga 2 11 8 2" xfId="36195"/>
    <cellStyle name="Uwaga 2 11 8 3" xfId="36196"/>
    <cellStyle name="Uwaga 2 11 8 4" xfId="36197"/>
    <cellStyle name="Uwaga 2 11 9" xfId="36198"/>
    <cellStyle name="Uwaga 2 11 9 2" xfId="36199"/>
    <cellStyle name="Uwaga 2 11 9 3" xfId="36200"/>
    <cellStyle name="Uwaga 2 11 9 4" xfId="36201"/>
    <cellStyle name="Uwaga 2 12" xfId="36202"/>
    <cellStyle name="Uwaga 2 12 10" xfId="36203"/>
    <cellStyle name="Uwaga 2 12 10 2" xfId="36204"/>
    <cellStyle name="Uwaga 2 12 10 3" xfId="36205"/>
    <cellStyle name="Uwaga 2 12 10 4" xfId="36206"/>
    <cellStyle name="Uwaga 2 12 11" xfId="36207"/>
    <cellStyle name="Uwaga 2 12 11 2" xfId="36208"/>
    <cellStyle name="Uwaga 2 12 11 3" xfId="36209"/>
    <cellStyle name="Uwaga 2 12 11 4" xfId="36210"/>
    <cellStyle name="Uwaga 2 12 12" xfId="36211"/>
    <cellStyle name="Uwaga 2 12 12 2" xfId="36212"/>
    <cellStyle name="Uwaga 2 12 12 3" xfId="36213"/>
    <cellStyle name="Uwaga 2 12 12 4" xfId="36214"/>
    <cellStyle name="Uwaga 2 12 13" xfId="36215"/>
    <cellStyle name="Uwaga 2 12 13 2" xfId="36216"/>
    <cellStyle name="Uwaga 2 12 13 3" xfId="36217"/>
    <cellStyle name="Uwaga 2 12 13 4" xfId="36218"/>
    <cellStyle name="Uwaga 2 12 14" xfId="36219"/>
    <cellStyle name="Uwaga 2 12 14 2" xfId="36220"/>
    <cellStyle name="Uwaga 2 12 14 3" xfId="36221"/>
    <cellStyle name="Uwaga 2 12 14 4" xfId="36222"/>
    <cellStyle name="Uwaga 2 12 15" xfId="36223"/>
    <cellStyle name="Uwaga 2 12 15 2" xfId="36224"/>
    <cellStyle name="Uwaga 2 12 15 3" xfId="36225"/>
    <cellStyle name="Uwaga 2 12 15 4" xfId="36226"/>
    <cellStyle name="Uwaga 2 12 16" xfId="36227"/>
    <cellStyle name="Uwaga 2 12 16 2" xfId="36228"/>
    <cellStyle name="Uwaga 2 12 16 3" xfId="36229"/>
    <cellStyle name="Uwaga 2 12 16 4" xfId="36230"/>
    <cellStyle name="Uwaga 2 12 17" xfId="36231"/>
    <cellStyle name="Uwaga 2 12 17 2" xfId="36232"/>
    <cellStyle name="Uwaga 2 12 17 3" xfId="36233"/>
    <cellStyle name="Uwaga 2 12 17 4" xfId="36234"/>
    <cellStyle name="Uwaga 2 12 18" xfId="36235"/>
    <cellStyle name="Uwaga 2 12 18 2" xfId="36236"/>
    <cellStyle name="Uwaga 2 12 18 3" xfId="36237"/>
    <cellStyle name="Uwaga 2 12 18 4" xfId="36238"/>
    <cellStyle name="Uwaga 2 12 19" xfId="36239"/>
    <cellStyle name="Uwaga 2 12 19 2" xfId="36240"/>
    <cellStyle name="Uwaga 2 12 19 3" xfId="36241"/>
    <cellStyle name="Uwaga 2 12 19 4" xfId="36242"/>
    <cellStyle name="Uwaga 2 12 2" xfId="36243"/>
    <cellStyle name="Uwaga 2 12 2 2" xfId="36244"/>
    <cellStyle name="Uwaga 2 12 2 3" xfId="36245"/>
    <cellStyle name="Uwaga 2 12 2 4" xfId="36246"/>
    <cellStyle name="Uwaga 2 12 20" xfId="36247"/>
    <cellStyle name="Uwaga 2 12 20 2" xfId="36248"/>
    <cellStyle name="Uwaga 2 12 20 3" xfId="36249"/>
    <cellStyle name="Uwaga 2 12 20 4" xfId="36250"/>
    <cellStyle name="Uwaga 2 12 21" xfId="36251"/>
    <cellStyle name="Uwaga 2 12 21 2" xfId="36252"/>
    <cellStyle name="Uwaga 2 12 21 3" xfId="36253"/>
    <cellStyle name="Uwaga 2 12 22" xfId="36254"/>
    <cellStyle name="Uwaga 2 12 22 2" xfId="36255"/>
    <cellStyle name="Uwaga 2 12 22 3" xfId="36256"/>
    <cellStyle name="Uwaga 2 12 23" xfId="36257"/>
    <cellStyle name="Uwaga 2 12 23 2" xfId="36258"/>
    <cellStyle name="Uwaga 2 12 23 3" xfId="36259"/>
    <cellStyle name="Uwaga 2 12 24" xfId="36260"/>
    <cellStyle name="Uwaga 2 12 24 2" xfId="36261"/>
    <cellStyle name="Uwaga 2 12 24 3" xfId="36262"/>
    <cellStyle name="Uwaga 2 12 25" xfId="36263"/>
    <cellStyle name="Uwaga 2 12 25 2" xfId="36264"/>
    <cellStyle name="Uwaga 2 12 25 3" xfId="36265"/>
    <cellStyle name="Uwaga 2 12 26" xfId="36266"/>
    <cellStyle name="Uwaga 2 12 26 2" xfId="36267"/>
    <cellStyle name="Uwaga 2 12 26 3" xfId="36268"/>
    <cellStyle name="Uwaga 2 12 27" xfId="36269"/>
    <cellStyle name="Uwaga 2 12 27 2" xfId="36270"/>
    <cellStyle name="Uwaga 2 12 27 3" xfId="36271"/>
    <cellStyle name="Uwaga 2 12 28" xfId="36272"/>
    <cellStyle name="Uwaga 2 12 28 2" xfId="36273"/>
    <cellStyle name="Uwaga 2 12 28 3" xfId="36274"/>
    <cellStyle name="Uwaga 2 12 29" xfId="36275"/>
    <cellStyle name="Uwaga 2 12 29 2" xfId="36276"/>
    <cellStyle name="Uwaga 2 12 29 3" xfId="36277"/>
    <cellStyle name="Uwaga 2 12 3" xfId="36278"/>
    <cellStyle name="Uwaga 2 12 3 2" xfId="36279"/>
    <cellStyle name="Uwaga 2 12 3 3" xfId="36280"/>
    <cellStyle name="Uwaga 2 12 3 4" xfId="36281"/>
    <cellStyle name="Uwaga 2 12 30" xfId="36282"/>
    <cellStyle name="Uwaga 2 12 30 2" xfId="36283"/>
    <cellStyle name="Uwaga 2 12 30 3" xfId="36284"/>
    <cellStyle name="Uwaga 2 12 31" xfId="36285"/>
    <cellStyle name="Uwaga 2 12 31 2" xfId="36286"/>
    <cellStyle name="Uwaga 2 12 31 3" xfId="36287"/>
    <cellStyle name="Uwaga 2 12 32" xfId="36288"/>
    <cellStyle name="Uwaga 2 12 32 2" xfId="36289"/>
    <cellStyle name="Uwaga 2 12 32 3" xfId="36290"/>
    <cellStyle name="Uwaga 2 12 33" xfId="36291"/>
    <cellStyle name="Uwaga 2 12 33 2" xfId="36292"/>
    <cellStyle name="Uwaga 2 12 33 3" xfId="36293"/>
    <cellStyle name="Uwaga 2 12 34" xfId="36294"/>
    <cellStyle name="Uwaga 2 12 34 2" xfId="36295"/>
    <cellStyle name="Uwaga 2 12 34 3" xfId="36296"/>
    <cellStyle name="Uwaga 2 12 35" xfId="36297"/>
    <cellStyle name="Uwaga 2 12 35 2" xfId="36298"/>
    <cellStyle name="Uwaga 2 12 35 3" xfId="36299"/>
    <cellStyle name="Uwaga 2 12 36" xfId="36300"/>
    <cellStyle name="Uwaga 2 12 36 2" xfId="36301"/>
    <cellStyle name="Uwaga 2 12 36 3" xfId="36302"/>
    <cellStyle name="Uwaga 2 12 37" xfId="36303"/>
    <cellStyle name="Uwaga 2 12 37 2" xfId="36304"/>
    <cellStyle name="Uwaga 2 12 37 3" xfId="36305"/>
    <cellStyle name="Uwaga 2 12 38" xfId="36306"/>
    <cellStyle name="Uwaga 2 12 38 2" xfId="36307"/>
    <cellStyle name="Uwaga 2 12 38 3" xfId="36308"/>
    <cellStyle name="Uwaga 2 12 39" xfId="36309"/>
    <cellStyle name="Uwaga 2 12 39 2" xfId="36310"/>
    <cellStyle name="Uwaga 2 12 39 3" xfId="36311"/>
    <cellStyle name="Uwaga 2 12 4" xfId="36312"/>
    <cellStyle name="Uwaga 2 12 4 2" xfId="36313"/>
    <cellStyle name="Uwaga 2 12 4 3" xfId="36314"/>
    <cellStyle name="Uwaga 2 12 4 4" xfId="36315"/>
    <cellStyle name="Uwaga 2 12 40" xfId="36316"/>
    <cellStyle name="Uwaga 2 12 40 2" xfId="36317"/>
    <cellStyle name="Uwaga 2 12 40 3" xfId="36318"/>
    <cellStyle name="Uwaga 2 12 41" xfId="36319"/>
    <cellStyle name="Uwaga 2 12 41 2" xfId="36320"/>
    <cellStyle name="Uwaga 2 12 41 3" xfId="36321"/>
    <cellStyle name="Uwaga 2 12 42" xfId="36322"/>
    <cellStyle name="Uwaga 2 12 42 2" xfId="36323"/>
    <cellStyle name="Uwaga 2 12 42 3" xfId="36324"/>
    <cellStyle name="Uwaga 2 12 43" xfId="36325"/>
    <cellStyle name="Uwaga 2 12 43 2" xfId="36326"/>
    <cellStyle name="Uwaga 2 12 43 3" xfId="36327"/>
    <cellStyle name="Uwaga 2 12 44" xfId="36328"/>
    <cellStyle name="Uwaga 2 12 44 2" xfId="36329"/>
    <cellStyle name="Uwaga 2 12 44 3" xfId="36330"/>
    <cellStyle name="Uwaga 2 12 45" xfId="36331"/>
    <cellStyle name="Uwaga 2 12 45 2" xfId="36332"/>
    <cellStyle name="Uwaga 2 12 45 3" xfId="36333"/>
    <cellStyle name="Uwaga 2 12 46" xfId="36334"/>
    <cellStyle name="Uwaga 2 12 46 2" xfId="36335"/>
    <cellStyle name="Uwaga 2 12 46 3" xfId="36336"/>
    <cellStyle name="Uwaga 2 12 47" xfId="36337"/>
    <cellStyle name="Uwaga 2 12 47 2" xfId="36338"/>
    <cellStyle name="Uwaga 2 12 47 3" xfId="36339"/>
    <cellStyle name="Uwaga 2 12 48" xfId="36340"/>
    <cellStyle name="Uwaga 2 12 48 2" xfId="36341"/>
    <cellStyle name="Uwaga 2 12 48 3" xfId="36342"/>
    <cellStyle name="Uwaga 2 12 49" xfId="36343"/>
    <cellStyle name="Uwaga 2 12 49 2" xfId="36344"/>
    <cellStyle name="Uwaga 2 12 49 3" xfId="36345"/>
    <cellStyle name="Uwaga 2 12 5" xfId="36346"/>
    <cellStyle name="Uwaga 2 12 5 2" xfId="36347"/>
    <cellStyle name="Uwaga 2 12 5 3" xfId="36348"/>
    <cellStyle name="Uwaga 2 12 5 4" xfId="36349"/>
    <cellStyle name="Uwaga 2 12 50" xfId="36350"/>
    <cellStyle name="Uwaga 2 12 50 2" xfId="36351"/>
    <cellStyle name="Uwaga 2 12 50 3" xfId="36352"/>
    <cellStyle name="Uwaga 2 12 51" xfId="36353"/>
    <cellStyle name="Uwaga 2 12 51 2" xfId="36354"/>
    <cellStyle name="Uwaga 2 12 51 3" xfId="36355"/>
    <cellStyle name="Uwaga 2 12 52" xfId="36356"/>
    <cellStyle name="Uwaga 2 12 52 2" xfId="36357"/>
    <cellStyle name="Uwaga 2 12 52 3" xfId="36358"/>
    <cellStyle name="Uwaga 2 12 53" xfId="36359"/>
    <cellStyle name="Uwaga 2 12 53 2" xfId="36360"/>
    <cellStyle name="Uwaga 2 12 53 3" xfId="36361"/>
    <cellStyle name="Uwaga 2 12 54" xfId="36362"/>
    <cellStyle name="Uwaga 2 12 54 2" xfId="36363"/>
    <cellStyle name="Uwaga 2 12 54 3" xfId="36364"/>
    <cellStyle name="Uwaga 2 12 55" xfId="36365"/>
    <cellStyle name="Uwaga 2 12 55 2" xfId="36366"/>
    <cellStyle name="Uwaga 2 12 55 3" xfId="36367"/>
    <cellStyle name="Uwaga 2 12 56" xfId="36368"/>
    <cellStyle name="Uwaga 2 12 56 2" xfId="36369"/>
    <cellStyle name="Uwaga 2 12 56 3" xfId="36370"/>
    <cellStyle name="Uwaga 2 12 57" xfId="36371"/>
    <cellStyle name="Uwaga 2 12 58" xfId="36372"/>
    <cellStyle name="Uwaga 2 12 6" xfId="36373"/>
    <cellStyle name="Uwaga 2 12 6 2" xfId="36374"/>
    <cellStyle name="Uwaga 2 12 6 3" xfId="36375"/>
    <cellStyle name="Uwaga 2 12 6 4" xfId="36376"/>
    <cellStyle name="Uwaga 2 12 7" xfId="36377"/>
    <cellStyle name="Uwaga 2 12 7 2" xfId="36378"/>
    <cellStyle name="Uwaga 2 12 7 3" xfId="36379"/>
    <cellStyle name="Uwaga 2 12 7 4" xfId="36380"/>
    <cellStyle name="Uwaga 2 12 8" xfId="36381"/>
    <cellStyle name="Uwaga 2 12 8 2" xfId="36382"/>
    <cellStyle name="Uwaga 2 12 8 3" xfId="36383"/>
    <cellStyle name="Uwaga 2 12 8 4" xfId="36384"/>
    <cellStyle name="Uwaga 2 12 9" xfId="36385"/>
    <cellStyle name="Uwaga 2 12 9 2" xfId="36386"/>
    <cellStyle name="Uwaga 2 12 9 3" xfId="36387"/>
    <cellStyle name="Uwaga 2 12 9 4" xfId="36388"/>
    <cellStyle name="Uwaga 2 13" xfId="36389"/>
    <cellStyle name="Uwaga 2 13 10" xfId="36390"/>
    <cellStyle name="Uwaga 2 13 10 2" xfId="36391"/>
    <cellStyle name="Uwaga 2 13 10 3" xfId="36392"/>
    <cellStyle name="Uwaga 2 13 10 4" xfId="36393"/>
    <cellStyle name="Uwaga 2 13 11" xfId="36394"/>
    <cellStyle name="Uwaga 2 13 11 2" xfId="36395"/>
    <cellStyle name="Uwaga 2 13 11 3" xfId="36396"/>
    <cellStyle name="Uwaga 2 13 11 4" xfId="36397"/>
    <cellStyle name="Uwaga 2 13 12" xfId="36398"/>
    <cellStyle name="Uwaga 2 13 12 2" xfId="36399"/>
    <cellStyle name="Uwaga 2 13 12 3" xfId="36400"/>
    <cellStyle name="Uwaga 2 13 12 4" xfId="36401"/>
    <cellStyle name="Uwaga 2 13 13" xfId="36402"/>
    <cellStyle name="Uwaga 2 13 13 2" xfId="36403"/>
    <cellStyle name="Uwaga 2 13 13 3" xfId="36404"/>
    <cellStyle name="Uwaga 2 13 13 4" xfId="36405"/>
    <cellStyle name="Uwaga 2 13 14" xfId="36406"/>
    <cellStyle name="Uwaga 2 13 14 2" xfId="36407"/>
    <cellStyle name="Uwaga 2 13 14 3" xfId="36408"/>
    <cellStyle name="Uwaga 2 13 14 4" xfId="36409"/>
    <cellStyle name="Uwaga 2 13 15" xfId="36410"/>
    <cellStyle name="Uwaga 2 13 15 2" xfId="36411"/>
    <cellStyle name="Uwaga 2 13 15 3" xfId="36412"/>
    <cellStyle name="Uwaga 2 13 15 4" xfId="36413"/>
    <cellStyle name="Uwaga 2 13 16" xfId="36414"/>
    <cellStyle name="Uwaga 2 13 16 2" xfId="36415"/>
    <cellStyle name="Uwaga 2 13 16 3" xfId="36416"/>
    <cellStyle name="Uwaga 2 13 16 4" xfId="36417"/>
    <cellStyle name="Uwaga 2 13 17" xfId="36418"/>
    <cellStyle name="Uwaga 2 13 17 2" xfId="36419"/>
    <cellStyle name="Uwaga 2 13 17 3" xfId="36420"/>
    <cellStyle name="Uwaga 2 13 17 4" xfId="36421"/>
    <cellStyle name="Uwaga 2 13 18" xfId="36422"/>
    <cellStyle name="Uwaga 2 13 18 2" xfId="36423"/>
    <cellStyle name="Uwaga 2 13 18 3" xfId="36424"/>
    <cellStyle name="Uwaga 2 13 18 4" xfId="36425"/>
    <cellStyle name="Uwaga 2 13 19" xfId="36426"/>
    <cellStyle name="Uwaga 2 13 19 2" xfId="36427"/>
    <cellStyle name="Uwaga 2 13 19 3" xfId="36428"/>
    <cellStyle name="Uwaga 2 13 19 4" xfId="36429"/>
    <cellStyle name="Uwaga 2 13 2" xfId="36430"/>
    <cellStyle name="Uwaga 2 13 2 2" xfId="36431"/>
    <cellStyle name="Uwaga 2 13 2 3" xfId="36432"/>
    <cellStyle name="Uwaga 2 13 2 4" xfId="36433"/>
    <cellStyle name="Uwaga 2 13 20" xfId="36434"/>
    <cellStyle name="Uwaga 2 13 20 2" xfId="36435"/>
    <cellStyle name="Uwaga 2 13 20 3" xfId="36436"/>
    <cellStyle name="Uwaga 2 13 20 4" xfId="36437"/>
    <cellStyle name="Uwaga 2 13 21" xfId="36438"/>
    <cellStyle name="Uwaga 2 13 21 2" xfId="36439"/>
    <cellStyle name="Uwaga 2 13 21 3" xfId="36440"/>
    <cellStyle name="Uwaga 2 13 22" xfId="36441"/>
    <cellStyle name="Uwaga 2 13 22 2" xfId="36442"/>
    <cellStyle name="Uwaga 2 13 22 3" xfId="36443"/>
    <cellStyle name="Uwaga 2 13 23" xfId="36444"/>
    <cellStyle name="Uwaga 2 13 23 2" xfId="36445"/>
    <cellStyle name="Uwaga 2 13 23 3" xfId="36446"/>
    <cellStyle name="Uwaga 2 13 24" xfId="36447"/>
    <cellStyle name="Uwaga 2 13 24 2" xfId="36448"/>
    <cellStyle name="Uwaga 2 13 24 3" xfId="36449"/>
    <cellStyle name="Uwaga 2 13 25" xfId="36450"/>
    <cellStyle name="Uwaga 2 13 25 2" xfId="36451"/>
    <cellStyle name="Uwaga 2 13 25 3" xfId="36452"/>
    <cellStyle name="Uwaga 2 13 26" xfId="36453"/>
    <cellStyle name="Uwaga 2 13 26 2" xfId="36454"/>
    <cellStyle name="Uwaga 2 13 26 3" xfId="36455"/>
    <cellStyle name="Uwaga 2 13 27" xfId="36456"/>
    <cellStyle name="Uwaga 2 13 27 2" xfId="36457"/>
    <cellStyle name="Uwaga 2 13 27 3" xfId="36458"/>
    <cellStyle name="Uwaga 2 13 28" xfId="36459"/>
    <cellStyle name="Uwaga 2 13 28 2" xfId="36460"/>
    <cellStyle name="Uwaga 2 13 28 3" xfId="36461"/>
    <cellStyle name="Uwaga 2 13 29" xfId="36462"/>
    <cellStyle name="Uwaga 2 13 29 2" xfId="36463"/>
    <cellStyle name="Uwaga 2 13 29 3" xfId="36464"/>
    <cellStyle name="Uwaga 2 13 3" xfId="36465"/>
    <cellStyle name="Uwaga 2 13 3 2" xfId="36466"/>
    <cellStyle name="Uwaga 2 13 3 3" xfId="36467"/>
    <cellStyle name="Uwaga 2 13 3 4" xfId="36468"/>
    <cellStyle name="Uwaga 2 13 30" xfId="36469"/>
    <cellStyle name="Uwaga 2 13 30 2" xfId="36470"/>
    <cellStyle name="Uwaga 2 13 30 3" xfId="36471"/>
    <cellStyle name="Uwaga 2 13 31" xfId="36472"/>
    <cellStyle name="Uwaga 2 13 31 2" xfId="36473"/>
    <cellStyle name="Uwaga 2 13 31 3" xfId="36474"/>
    <cellStyle name="Uwaga 2 13 32" xfId="36475"/>
    <cellStyle name="Uwaga 2 13 32 2" xfId="36476"/>
    <cellStyle name="Uwaga 2 13 32 3" xfId="36477"/>
    <cellStyle name="Uwaga 2 13 33" xfId="36478"/>
    <cellStyle name="Uwaga 2 13 33 2" xfId="36479"/>
    <cellStyle name="Uwaga 2 13 33 3" xfId="36480"/>
    <cellStyle name="Uwaga 2 13 34" xfId="36481"/>
    <cellStyle name="Uwaga 2 13 34 2" xfId="36482"/>
    <cellStyle name="Uwaga 2 13 34 3" xfId="36483"/>
    <cellStyle name="Uwaga 2 13 35" xfId="36484"/>
    <cellStyle name="Uwaga 2 13 35 2" xfId="36485"/>
    <cellStyle name="Uwaga 2 13 35 3" xfId="36486"/>
    <cellStyle name="Uwaga 2 13 36" xfId="36487"/>
    <cellStyle name="Uwaga 2 13 36 2" xfId="36488"/>
    <cellStyle name="Uwaga 2 13 36 3" xfId="36489"/>
    <cellStyle name="Uwaga 2 13 37" xfId="36490"/>
    <cellStyle name="Uwaga 2 13 37 2" xfId="36491"/>
    <cellStyle name="Uwaga 2 13 37 3" xfId="36492"/>
    <cellStyle name="Uwaga 2 13 38" xfId="36493"/>
    <cellStyle name="Uwaga 2 13 38 2" xfId="36494"/>
    <cellStyle name="Uwaga 2 13 38 3" xfId="36495"/>
    <cellStyle name="Uwaga 2 13 39" xfId="36496"/>
    <cellStyle name="Uwaga 2 13 39 2" xfId="36497"/>
    <cellStyle name="Uwaga 2 13 39 3" xfId="36498"/>
    <cellStyle name="Uwaga 2 13 4" xfId="36499"/>
    <cellStyle name="Uwaga 2 13 4 2" xfId="36500"/>
    <cellStyle name="Uwaga 2 13 4 3" xfId="36501"/>
    <cellStyle name="Uwaga 2 13 4 4" xfId="36502"/>
    <cellStyle name="Uwaga 2 13 40" xfId="36503"/>
    <cellStyle name="Uwaga 2 13 40 2" xfId="36504"/>
    <cellStyle name="Uwaga 2 13 40 3" xfId="36505"/>
    <cellStyle name="Uwaga 2 13 41" xfId="36506"/>
    <cellStyle name="Uwaga 2 13 41 2" xfId="36507"/>
    <cellStyle name="Uwaga 2 13 41 3" xfId="36508"/>
    <cellStyle name="Uwaga 2 13 42" xfId="36509"/>
    <cellStyle name="Uwaga 2 13 42 2" xfId="36510"/>
    <cellStyle name="Uwaga 2 13 42 3" xfId="36511"/>
    <cellStyle name="Uwaga 2 13 43" xfId="36512"/>
    <cellStyle name="Uwaga 2 13 43 2" xfId="36513"/>
    <cellStyle name="Uwaga 2 13 43 3" xfId="36514"/>
    <cellStyle name="Uwaga 2 13 44" xfId="36515"/>
    <cellStyle name="Uwaga 2 13 44 2" xfId="36516"/>
    <cellStyle name="Uwaga 2 13 44 3" xfId="36517"/>
    <cellStyle name="Uwaga 2 13 45" xfId="36518"/>
    <cellStyle name="Uwaga 2 13 45 2" xfId="36519"/>
    <cellStyle name="Uwaga 2 13 45 3" xfId="36520"/>
    <cellStyle name="Uwaga 2 13 46" xfId="36521"/>
    <cellStyle name="Uwaga 2 13 46 2" xfId="36522"/>
    <cellStyle name="Uwaga 2 13 46 3" xfId="36523"/>
    <cellStyle name="Uwaga 2 13 47" xfId="36524"/>
    <cellStyle name="Uwaga 2 13 47 2" xfId="36525"/>
    <cellStyle name="Uwaga 2 13 47 3" xfId="36526"/>
    <cellStyle name="Uwaga 2 13 48" xfId="36527"/>
    <cellStyle name="Uwaga 2 13 48 2" xfId="36528"/>
    <cellStyle name="Uwaga 2 13 48 3" xfId="36529"/>
    <cellStyle name="Uwaga 2 13 49" xfId="36530"/>
    <cellStyle name="Uwaga 2 13 49 2" xfId="36531"/>
    <cellStyle name="Uwaga 2 13 49 3" xfId="36532"/>
    <cellStyle name="Uwaga 2 13 5" xfId="36533"/>
    <cellStyle name="Uwaga 2 13 5 2" xfId="36534"/>
    <cellStyle name="Uwaga 2 13 5 3" xfId="36535"/>
    <cellStyle name="Uwaga 2 13 5 4" xfId="36536"/>
    <cellStyle name="Uwaga 2 13 50" xfId="36537"/>
    <cellStyle name="Uwaga 2 13 50 2" xfId="36538"/>
    <cellStyle name="Uwaga 2 13 50 3" xfId="36539"/>
    <cellStyle name="Uwaga 2 13 51" xfId="36540"/>
    <cellStyle name="Uwaga 2 13 51 2" xfId="36541"/>
    <cellStyle name="Uwaga 2 13 51 3" xfId="36542"/>
    <cellStyle name="Uwaga 2 13 52" xfId="36543"/>
    <cellStyle name="Uwaga 2 13 52 2" xfId="36544"/>
    <cellStyle name="Uwaga 2 13 52 3" xfId="36545"/>
    <cellStyle name="Uwaga 2 13 53" xfId="36546"/>
    <cellStyle name="Uwaga 2 13 53 2" xfId="36547"/>
    <cellStyle name="Uwaga 2 13 53 3" xfId="36548"/>
    <cellStyle name="Uwaga 2 13 54" xfId="36549"/>
    <cellStyle name="Uwaga 2 13 54 2" xfId="36550"/>
    <cellStyle name="Uwaga 2 13 54 3" xfId="36551"/>
    <cellStyle name="Uwaga 2 13 55" xfId="36552"/>
    <cellStyle name="Uwaga 2 13 55 2" xfId="36553"/>
    <cellStyle name="Uwaga 2 13 55 3" xfId="36554"/>
    <cellStyle name="Uwaga 2 13 56" xfId="36555"/>
    <cellStyle name="Uwaga 2 13 56 2" xfId="36556"/>
    <cellStyle name="Uwaga 2 13 56 3" xfId="36557"/>
    <cellStyle name="Uwaga 2 13 57" xfId="36558"/>
    <cellStyle name="Uwaga 2 13 58" xfId="36559"/>
    <cellStyle name="Uwaga 2 13 6" xfId="36560"/>
    <cellStyle name="Uwaga 2 13 6 2" xfId="36561"/>
    <cellStyle name="Uwaga 2 13 6 3" xfId="36562"/>
    <cellStyle name="Uwaga 2 13 6 4" xfId="36563"/>
    <cellStyle name="Uwaga 2 13 7" xfId="36564"/>
    <cellStyle name="Uwaga 2 13 7 2" xfId="36565"/>
    <cellStyle name="Uwaga 2 13 7 3" xfId="36566"/>
    <cellStyle name="Uwaga 2 13 7 4" xfId="36567"/>
    <cellStyle name="Uwaga 2 13 8" xfId="36568"/>
    <cellStyle name="Uwaga 2 13 8 2" xfId="36569"/>
    <cellStyle name="Uwaga 2 13 8 3" xfId="36570"/>
    <cellStyle name="Uwaga 2 13 8 4" xfId="36571"/>
    <cellStyle name="Uwaga 2 13 9" xfId="36572"/>
    <cellStyle name="Uwaga 2 13 9 2" xfId="36573"/>
    <cellStyle name="Uwaga 2 13 9 3" xfId="36574"/>
    <cellStyle name="Uwaga 2 13 9 4" xfId="36575"/>
    <cellStyle name="Uwaga 2 14" xfId="36576"/>
    <cellStyle name="Uwaga 2 14 10" xfId="36577"/>
    <cellStyle name="Uwaga 2 14 10 2" xfId="36578"/>
    <cellStyle name="Uwaga 2 14 10 3" xfId="36579"/>
    <cellStyle name="Uwaga 2 14 10 4" xfId="36580"/>
    <cellStyle name="Uwaga 2 14 11" xfId="36581"/>
    <cellStyle name="Uwaga 2 14 11 2" xfId="36582"/>
    <cellStyle name="Uwaga 2 14 11 3" xfId="36583"/>
    <cellStyle name="Uwaga 2 14 11 4" xfId="36584"/>
    <cellStyle name="Uwaga 2 14 12" xfId="36585"/>
    <cellStyle name="Uwaga 2 14 12 2" xfId="36586"/>
    <cellStyle name="Uwaga 2 14 12 3" xfId="36587"/>
    <cellStyle name="Uwaga 2 14 12 4" xfId="36588"/>
    <cellStyle name="Uwaga 2 14 13" xfId="36589"/>
    <cellStyle name="Uwaga 2 14 13 2" xfId="36590"/>
    <cellStyle name="Uwaga 2 14 13 3" xfId="36591"/>
    <cellStyle name="Uwaga 2 14 13 4" xfId="36592"/>
    <cellStyle name="Uwaga 2 14 14" xfId="36593"/>
    <cellStyle name="Uwaga 2 14 14 2" xfId="36594"/>
    <cellStyle name="Uwaga 2 14 14 3" xfId="36595"/>
    <cellStyle name="Uwaga 2 14 14 4" xfId="36596"/>
    <cellStyle name="Uwaga 2 14 15" xfId="36597"/>
    <cellStyle name="Uwaga 2 14 15 2" xfId="36598"/>
    <cellStyle name="Uwaga 2 14 15 3" xfId="36599"/>
    <cellStyle name="Uwaga 2 14 15 4" xfId="36600"/>
    <cellStyle name="Uwaga 2 14 16" xfId="36601"/>
    <cellStyle name="Uwaga 2 14 16 2" xfId="36602"/>
    <cellStyle name="Uwaga 2 14 16 3" xfId="36603"/>
    <cellStyle name="Uwaga 2 14 16 4" xfId="36604"/>
    <cellStyle name="Uwaga 2 14 17" xfId="36605"/>
    <cellStyle name="Uwaga 2 14 17 2" xfId="36606"/>
    <cellStyle name="Uwaga 2 14 17 3" xfId="36607"/>
    <cellStyle name="Uwaga 2 14 17 4" xfId="36608"/>
    <cellStyle name="Uwaga 2 14 18" xfId="36609"/>
    <cellStyle name="Uwaga 2 14 18 2" xfId="36610"/>
    <cellStyle name="Uwaga 2 14 18 3" xfId="36611"/>
    <cellStyle name="Uwaga 2 14 18 4" xfId="36612"/>
    <cellStyle name="Uwaga 2 14 19" xfId="36613"/>
    <cellStyle name="Uwaga 2 14 19 2" xfId="36614"/>
    <cellStyle name="Uwaga 2 14 19 3" xfId="36615"/>
    <cellStyle name="Uwaga 2 14 19 4" xfId="36616"/>
    <cellStyle name="Uwaga 2 14 2" xfId="36617"/>
    <cellStyle name="Uwaga 2 14 2 2" xfId="36618"/>
    <cellStyle name="Uwaga 2 14 2 3" xfId="36619"/>
    <cellStyle name="Uwaga 2 14 2 4" xfId="36620"/>
    <cellStyle name="Uwaga 2 14 20" xfId="36621"/>
    <cellStyle name="Uwaga 2 14 20 2" xfId="36622"/>
    <cellStyle name="Uwaga 2 14 20 3" xfId="36623"/>
    <cellStyle name="Uwaga 2 14 20 4" xfId="36624"/>
    <cellStyle name="Uwaga 2 14 21" xfId="36625"/>
    <cellStyle name="Uwaga 2 14 21 2" xfId="36626"/>
    <cellStyle name="Uwaga 2 14 21 3" xfId="36627"/>
    <cellStyle name="Uwaga 2 14 22" xfId="36628"/>
    <cellStyle name="Uwaga 2 14 22 2" xfId="36629"/>
    <cellStyle name="Uwaga 2 14 22 3" xfId="36630"/>
    <cellStyle name="Uwaga 2 14 23" xfId="36631"/>
    <cellStyle name="Uwaga 2 14 23 2" xfId="36632"/>
    <cellStyle name="Uwaga 2 14 23 3" xfId="36633"/>
    <cellStyle name="Uwaga 2 14 24" xfId="36634"/>
    <cellStyle name="Uwaga 2 14 24 2" xfId="36635"/>
    <cellStyle name="Uwaga 2 14 24 3" xfId="36636"/>
    <cellStyle name="Uwaga 2 14 25" xfId="36637"/>
    <cellStyle name="Uwaga 2 14 25 2" xfId="36638"/>
    <cellStyle name="Uwaga 2 14 25 3" xfId="36639"/>
    <cellStyle name="Uwaga 2 14 26" xfId="36640"/>
    <cellStyle name="Uwaga 2 14 26 2" xfId="36641"/>
    <cellStyle name="Uwaga 2 14 26 3" xfId="36642"/>
    <cellStyle name="Uwaga 2 14 27" xfId="36643"/>
    <cellStyle name="Uwaga 2 14 27 2" xfId="36644"/>
    <cellStyle name="Uwaga 2 14 27 3" xfId="36645"/>
    <cellStyle name="Uwaga 2 14 28" xfId="36646"/>
    <cellStyle name="Uwaga 2 14 28 2" xfId="36647"/>
    <cellStyle name="Uwaga 2 14 28 3" xfId="36648"/>
    <cellStyle name="Uwaga 2 14 29" xfId="36649"/>
    <cellStyle name="Uwaga 2 14 29 2" xfId="36650"/>
    <cellStyle name="Uwaga 2 14 29 3" xfId="36651"/>
    <cellStyle name="Uwaga 2 14 3" xfId="36652"/>
    <cellStyle name="Uwaga 2 14 3 2" xfId="36653"/>
    <cellStyle name="Uwaga 2 14 3 3" xfId="36654"/>
    <cellStyle name="Uwaga 2 14 3 4" xfId="36655"/>
    <cellStyle name="Uwaga 2 14 30" xfId="36656"/>
    <cellStyle name="Uwaga 2 14 30 2" xfId="36657"/>
    <cellStyle name="Uwaga 2 14 30 3" xfId="36658"/>
    <cellStyle name="Uwaga 2 14 31" xfId="36659"/>
    <cellStyle name="Uwaga 2 14 31 2" xfId="36660"/>
    <cellStyle name="Uwaga 2 14 31 3" xfId="36661"/>
    <cellStyle name="Uwaga 2 14 32" xfId="36662"/>
    <cellStyle name="Uwaga 2 14 32 2" xfId="36663"/>
    <cellStyle name="Uwaga 2 14 32 3" xfId="36664"/>
    <cellStyle name="Uwaga 2 14 33" xfId="36665"/>
    <cellStyle name="Uwaga 2 14 33 2" xfId="36666"/>
    <cellStyle name="Uwaga 2 14 33 3" xfId="36667"/>
    <cellStyle name="Uwaga 2 14 34" xfId="36668"/>
    <cellStyle name="Uwaga 2 14 34 2" xfId="36669"/>
    <cellStyle name="Uwaga 2 14 34 3" xfId="36670"/>
    <cellStyle name="Uwaga 2 14 35" xfId="36671"/>
    <cellStyle name="Uwaga 2 14 35 2" xfId="36672"/>
    <cellStyle name="Uwaga 2 14 35 3" xfId="36673"/>
    <cellStyle name="Uwaga 2 14 36" xfId="36674"/>
    <cellStyle name="Uwaga 2 14 36 2" xfId="36675"/>
    <cellStyle name="Uwaga 2 14 36 3" xfId="36676"/>
    <cellStyle name="Uwaga 2 14 37" xfId="36677"/>
    <cellStyle name="Uwaga 2 14 37 2" xfId="36678"/>
    <cellStyle name="Uwaga 2 14 37 3" xfId="36679"/>
    <cellStyle name="Uwaga 2 14 38" xfId="36680"/>
    <cellStyle name="Uwaga 2 14 38 2" xfId="36681"/>
    <cellStyle name="Uwaga 2 14 38 3" xfId="36682"/>
    <cellStyle name="Uwaga 2 14 39" xfId="36683"/>
    <cellStyle name="Uwaga 2 14 39 2" xfId="36684"/>
    <cellStyle name="Uwaga 2 14 39 3" xfId="36685"/>
    <cellStyle name="Uwaga 2 14 4" xfId="36686"/>
    <cellStyle name="Uwaga 2 14 4 2" xfId="36687"/>
    <cellStyle name="Uwaga 2 14 4 3" xfId="36688"/>
    <cellStyle name="Uwaga 2 14 4 4" xfId="36689"/>
    <cellStyle name="Uwaga 2 14 40" xfId="36690"/>
    <cellStyle name="Uwaga 2 14 40 2" xfId="36691"/>
    <cellStyle name="Uwaga 2 14 40 3" xfId="36692"/>
    <cellStyle name="Uwaga 2 14 41" xfId="36693"/>
    <cellStyle name="Uwaga 2 14 41 2" xfId="36694"/>
    <cellStyle name="Uwaga 2 14 41 3" xfId="36695"/>
    <cellStyle name="Uwaga 2 14 42" xfId="36696"/>
    <cellStyle name="Uwaga 2 14 42 2" xfId="36697"/>
    <cellStyle name="Uwaga 2 14 42 3" xfId="36698"/>
    <cellStyle name="Uwaga 2 14 43" xfId="36699"/>
    <cellStyle name="Uwaga 2 14 43 2" xfId="36700"/>
    <cellStyle name="Uwaga 2 14 43 3" xfId="36701"/>
    <cellStyle name="Uwaga 2 14 44" xfId="36702"/>
    <cellStyle name="Uwaga 2 14 44 2" xfId="36703"/>
    <cellStyle name="Uwaga 2 14 44 3" xfId="36704"/>
    <cellStyle name="Uwaga 2 14 45" xfId="36705"/>
    <cellStyle name="Uwaga 2 14 45 2" xfId="36706"/>
    <cellStyle name="Uwaga 2 14 45 3" xfId="36707"/>
    <cellStyle name="Uwaga 2 14 46" xfId="36708"/>
    <cellStyle name="Uwaga 2 14 46 2" xfId="36709"/>
    <cellStyle name="Uwaga 2 14 46 3" xfId="36710"/>
    <cellStyle name="Uwaga 2 14 47" xfId="36711"/>
    <cellStyle name="Uwaga 2 14 47 2" xfId="36712"/>
    <cellStyle name="Uwaga 2 14 47 3" xfId="36713"/>
    <cellStyle name="Uwaga 2 14 48" xfId="36714"/>
    <cellStyle name="Uwaga 2 14 48 2" xfId="36715"/>
    <cellStyle name="Uwaga 2 14 48 3" xfId="36716"/>
    <cellStyle name="Uwaga 2 14 49" xfId="36717"/>
    <cellStyle name="Uwaga 2 14 49 2" xfId="36718"/>
    <cellStyle name="Uwaga 2 14 49 3" xfId="36719"/>
    <cellStyle name="Uwaga 2 14 5" xfId="36720"/>
    <cellStyle name="Uwaga 2 14 5 2" xfId="36721"/>
    <cellStyle name="Uwaga 2 14 5 3" xfId="36722"/>
    <cellStyle name="Uwaga 2 14 5 4" xfId="36723"/>
    <cellStyle name="Uwaga 2 14 50" xfId="36724"/>
    <cellStyle name="Uwaga 2 14 50 2" xfId="36725"/>
    <cellStyle name="Uwaga 2 14 50 3" xfId="36726"/>
    <cellStyle name="Uwaga 2 14 51" xfId="36727"/>
    <cellStyle name="Uwaga 2 14 51 2" xfId="36728"/>
    <cellStyle name="Uwaga 2 14 51 3" xfId="36729"/>
    <cellStyle name="Uwaga 2 14 52" xfId="36730"/>
    <cellStyle name="Uwaga 2 14 52 2" xfId="36731"/>
    <cellStyle name="Uwaga 2 14 52 3" xfId="36732"/>
    <cellStyle name="Uwaga 2 14 53" xfId="36733"/>
    <cellStyle name="Uwaga 2 14 53 2" xfId="36734"/>
    <cellStyle name="Uwaga 2 14 53 3" xfId="36735"/>
    <cellStyle name="Uwaga 2 14 54" xfId="36736"/>
    <cellStyle name="Uwaga 2 14 54 2" xfId="36737"/>
    <cellStyle name="Uwaga 2 14 54 3" xfId="36738"/>
    <cellStyle name="Uwaga 2 14 55" xfId="36739"/>
    <cellStyle name="Uwaga 2 14 55 2" xfId="36740"/>
    <cellStyle name="Uwaga 2 14 55 3" xfId="36741"/>
    <cellStyle name="Uwaga 2 14 56" xfId="36742"/>
    <cellStyle name="Uwaga 2 14 56 2" xfId="36743"/>
    <cellStyle name="Uwaga 2 14 56 3" xfId="36744"/>
    <cellStyle name="Uwaga 2 14 57" xfId="36745"/>
    <cellStyle name="Uwaga 2 14 58" xfId="36746"/>
    <cellStyle name="Uwaga 2 14 6" xfId="36747"/>
    <cellStyle name="Uwaga 2 14 6 2" xfId="36748"/>
    <cellStyle name="Uwaga 2 14 6 3" xfId="36749"/>
    <cellStyle name="Uwaga 2 14 6 4" xfId="36750"/>
    <cellStyle name="Uwaga 2 14 7" xfId="36751"/>
    <cellStyle name="Uwaga 2 14 7 2" xfId="36752"/>
    <cellStyle name="Uwaga 2 14 7 3" xfId="36753"/>
    <cellStyle name="Uwaga 2 14 7 4" xfId="36754"/>
    <cellStyle name="Uwaga 2 14 8" xfId="36755"/>
    <cellStyle name="Uwaga 2 14 8 2" xfId="36756"/>
    <cellStyle name="Uwaga 2 14 8 3" xfId="36757"/>
    <cellStyle name="Uwaga 2 14 8 4" xfId="36758"/>
    <cellStyle name="Uwaga 2 14 9" xfId="36759"/>
    <cellStyle name="Uwaga 2 14 9 2" xfId="36760"/>
    <cellStyle name="Uwaga 2 14 9 3" xfId="36761"/>
    <cellStyle name="Uwaga 2 14 9 4" xfId="36762"/>
    <cellStyle name="Uwaga 2 15" xfId="36763"/>
    <cellStyle name="Uwaga 2 15 10" xfId="36764"/>
    <cellStyle name="Uwaga 2 15 10 2" xfId="36765"/>
    <cellStyle name="Uwaga 2 15 10 3" xfId="36766"/>
    <cellStyle name="Uwaga 2 15 10 4" xfId="36767"/>
    <cellStyle name="Uwaga 2 15 11" xfId="36768"/>
    <cellStyle name="Uwaga 2 15 11 2" xfId="36769"/>
    <cellStyle name="Uwaga 2 15 11 3" xfId="36770"/>
    <cellStyle name="Uwaga 2 15 11 4" xfId="36771"/>
    <cellStyle name="Uwaga 2 15 12" xfId="36772"/>
    <cellStyle name="Uwaga 2 15 12 2" xfId="36773"/>
    <cellStyle name="Uwaga 2 15 12 3" xfId="36774"/>
    <cellStyle name="Uwaga 2 15 12 4" xfId="36775"/>
    <cellStyle name="Uwaga 2 15 13" xfId="36776"/>
    <cellStyle name="Uwaga 2 15 13 2" xfId="36777"/>
    <cellStyle name="Uwaga 2 15 13 3" xfId="36778"/>
    <cellStyle name="Uwaga 2 15 13 4" xfId="36779"/>
    <cellStyle name="Uwaga 2 15 14" xfId="36780"/>
    <cellStyle name="Uwaga 2 15 14 2" xfId="36781"/>
    <cellStyle name="Uwaga 2 15 14 3" xfId="36782"/>
    <cellStyle name="Uwaga 2 15 14 4" xfId="36783"/>
    <cellStyle name="Uwaga 2 15 15" xfId="36784"/>
    <cellStyle name="Uwaga 2 15 15 2" xfId="36785"/>
    <cellStyle name="Uwaga 2 15 15 3" xfId="36786"/>
    <cellStyle name="Uwaga 2 15 15 4" xfId="36787"/>
    <cellStyle name="Uwaga 2 15 16" xfId="36788"/>
    <cellStyle name="Uwaga 2 15 16 2" xfId="36789"/>
    <cellStyle name="Uwaga 2 15 16 3" xfId="36790"/>
    <cellStyle name="Uwaga 2 15 16 4" xfId="36791"/>
    <cellStyle name="Uwaga 2 15 17" xfId="36792"/>
    <cellStyle name="Uwaga 2 15 17 2" xfId="36793"/>
    <cellStyle name="Uwaga 2 15 17 3" xfId="36794"/>
    <cellStyle name="Uwaga 2 15 17 4" xfId="36795"/>
    <cellStyle name="Uwaga 2 15 18" xfId="36796"/>
    <cellStyle name="Uwaga 2 15 18 2" xfId="36797"/>
    <cellStyle name="Uwaga 2 15 18 3" xfId="36798"/>
    <cellStyle name="Uwaga 2 15 18 4" xfId="36799"/>
    <cellStyle name="Uwaga 2 15 19" xfId="36800"/>
    <cellStyle name="Uwaga 2 15 19 2" xfId="36801"/>
    <cellStyle name="Uwaga 2 15 19 3" xfId="36802"/>
    <cellStyle name="Uwaga 2 15 19 4" xfId="36803"/>
    <cellStyle name="Uwaga 2 15 2" xfId="36804"/>
    <cellStyle name="Uwaga 2 15 2 2" xfId="36805"/>
    <cellStyle name="Uwaga 2 15 2 3" xfId="36806"/>
    <cellStyle name="Uwaga 2 15 2 4" xfId="36807"/>
    <cellStyle name="Uwaga 2 15 20" xfId="36808"/>
    <cellStyle name="Uwaga 2 15 20 2" xfId="36809"/>
    <cellStyle name="Uwaga 2 15 20 3" xfId="36810"/>
    <cellStyle name="Uwaga 2 15 20 4" xfId="36811"/>
    <cellStyle name="Uwaga 2 15 21" xfId="36812"/>
    <cellStyle name="Uwaga 2 15 21 2" xfId="36813"/>
    <cellStyle name="Uwaga 2 15 21 3" xfId="36814"/>
    <cellStyle name="Uwaga 2 15 22" xfId="36815"/>
    <cellStyle name="Uwaga 2 15 22 2" xfId="36816"/>
    <cellStyle name="Uwaga 2 15 22 3" xfId="36817"/>
    <cellStyle name="Uwaga 2 15 23" xfId="36818"/>
    <cellStyle name="Uwaga 2 15 23 2" xfId="36819"/>
    <cellStyle name="Uwaga 2 15 23 3" xfId="36820"/>
    <cellStyle name="Uwaga 2 15 24" xfId="36821"/>
    <cellStyle name="Uwaga 2 15 24 2" xfId="36822"/>
    <cellStyle name="Uwaga 2 15 24 3" xfId="36823"/>
    <cellStyle name="Uwaga 2 15 25" xfId="36824"/>
    <cellStyle name="Uwaga 2 15 25 2" xfId="36825"/>
    <cellStyle name="Uwaga 2 15 25 3" xfId="36826"/>
    <cellStyle name="Uwaga 2 15 26" xfId="36827"/>
    <cellStyle name="Uwaga 2 15 26 2" xfId="36828"/>
    <cellStyle name="Uwaga 2 15 26 3" xfId="36829"/>
    <cellStyle name="Uwaga 2 15 27" xfId="36830"/>
    <cellStyle name="Uwaga 2 15 27 2" xfId="36831"/>
    <cellStyle name="Uwaga 2 15 27 3" xfId="36832"/>
    <cellStyle name="Uwaga 2 15 28" xfId="36833"/>
    <cellStyle name="Uwaga 2 15 28 2" xfId="36834"/>
    <cellStyle name="Uwaga 2 15 28 3" xfId="36835"/>
    <cellStyle name="Uwaga 2 15 29" xfId="36836"/>
    <cellStyle name="Uwaga 2 15 29 2" xfId="36837"/>
    <cellStyle name="Uwaga 2 15 29 3" xfId="36838"/>
    <cellStyle name="Uwaga 2 15 3" xfId="36839"/>
    <cellStyle name="Uwaga 2 15 3 2" xfId="36840"/>
    <cellStyle name="Uwaga 2 15 3 3" xfId="36841"/>
    <cellStyle name="Uwaga 2 15 3 4" xfId="36842"/>
    <cellStyle name="Uwaga 2 15 30" xfId="36843"/>
    <cellStyle name="Uwaga 2 15 30 2" xfId="36844"/>
    <cellStyle name="Uwaga 2 15 30 3" xfId="36845"/>
    <cellStyle name="Uwaga 2 15 31" xfId="36846"/>
    <cellStyle name="Uwaga 2 15 31 2" xfId="36847"/>
    <cellStyle name="Uwaga 2 15 31 3" xfId="36848"/>
    <cellStyle name="Uwaga 2 15 32" xfId="36849"/>
    <cellStyle name="Uwaga 2 15 32 2" xfId="36850"/>
    <cellStyle name="Uwaga 2 15 32 3" xfId="36851"/>
    <cellStyle name="Uwaga 2 15 33" xfId="36852"/>
    <cellStyle name="Uwaga 2 15 33 2" xfId="36853"/>
    <cellStyle name="Uwaga 2 15 33 3" xfId="36854"/>
    <cellStyle name="Uwaga 2 15 34" xfId="36855"/>
    <cellStyle name="Uwaga 2 15 34 2" xfId="36856"/>
    <cellStyle name="Uwaga 2 15 34 3" xfId="36857"/>
    <cellStyle name="Uwaga 2 15 35" xfId="36858"/>
    <cellStyle name="Uwaga 2 15 35 2" xfId="36859"/>
    <cellStyle name="Uwaga 2 15 35 3" xfId="36860"/>
    <cellStyle name="Uwaga 2 15 36" xfId="36861"/>
    <cellStyle name="Uwaga 2 15 36 2" xfId="36862"/>
    <cellStyle name="Uwaga 2 15 36 3" xfId="36863"/>
    <cellStyle name="Uwaga 2 15 37" xfId="36864"/>
    <cellStyle name="Uwaga 2 15 37 2" xfId="36865"/>
    <cellStyle name="Uwaga 2 15 37 3" xfId="36866"/>
    <cellStyle name="Uwaga 2 15 38" xfId="36867"/>
    <cellStyle name="Uwaga 2 15 38 2" xfId="36868"/>
    <cellStyle name="Uwaga 2 15 38 3" xfId="36869"/>
    <cellStyle name="Uwaga 2 15 39" xfId="36870"/>
    <cellStyle name="Uwaga 2 15 39 2" xfId="36871"/>
    <cellStyle name="Uwaga 2 15 39 3" xfId="36872"/>
    <cellStyle name="Uwaga 2 15 4" xfId="36873"/>
    <cellStyle name="Uwaga 2 15 4 2" xfId="36874"/>
    <cellStyle name="Uwaga 2 15 4 3" xfId="36875"/>
    <cellStyle name="Uwaga 2 15 4 4" xfId="36876"/>
    <cellStyle name="Uwaga 2 15 40" xfId="36877"/>
    <cellStyle name="Uwaga 2 15 40 2" xfId="36878"/>
    <cellStyle name="Uwaga 2 15 40 3" xfId="36879"/>
    <cellStyle name="Uwaga 2 15 41" xfId="36880"/>
    <cellStyle name="Uwaga 2 15 41 2" xfId="36881"/>
    <cellStyle name="Uwaga 2 15 41 3" xfId="36882"/>
    <cellStyle name="Uwaga 2 15 42" xfId="36883"/>
    <cellStyle name="Uwaga 2 15 42 2" xfId="36884"/>
    <cellStyle name="Uwaga 2 15 42 3" xfId="36885"/>
    <cellStyle name="Uwaga 2 15 43" xfId="36886"/>
    <cellStyle name="Uwaga 2 15 43 2" xfId="36887"/>
    <cellStyle name="Uwaga 2 15 43 3" xfId="36888"/>
    <cellStyle name="Uwaga 2 15 44" xfId="36889"/>
    <cellStyle name="Uwaga 2 15 44 2" xfId="36890"/>
    <cellStyle name="Uwaga 2 15 44 3" xfId="36891"/>
    <cellStyle name="Uwaga 2 15 45" xfId="36892"/>
    <cellStyle name="Uwaga 2 15 45 2" xfId="36893"/>
    <cellStyle name="Uwaga 2 15 45 3" xfId="36894"/>
    <cellStyle name="Uwaga 2 15 46" xfId="36895"/>
    <cellStyle name="Uwaga 2 15 46 2" xfId="36896"/>
    <cellStyle name="Uwaga 2 15 46 3" xfId="36897"/>
    <cellStyle name="Uwaga 2 15 47" xfId="36898"/>
    <cellStyle name="Uwaga 2 15 47 2" xfId="36899"/>
    <cellStyle name="Uwaga 2 15 47 3" xfId="36900"/>
    <cellStyle name="Uwaga 2 15 48" xfId="36901"/>
    <cellStyle name="Uwaga 2 15 48 2" xfId="36902"/>
    <cellStyle name="Uwaga 2 15 48 3" xfId="36903"/>
    <cellStyle name="Uwaga 2 15 49" xfId="36904"/>
    <cellStyle name="Uwaga 2 15 49 2" xfId="36905"/>
    <cellStyle name="Uwaga 2 15 49 3" xfId="36906"/>
    <cellStyle name="Uwaga 2 15 5" xfId="36907"/>
    <cellStyle name="Uwaga 2 15 5 2" xfId="36908"/>
    <cellStyle name="Uwaga 2 15 5 3" xfId="36909"/>
    <cellStyle name="Uwaga 2 15 5 4" xfId="36910"/>
    <cellStyle name="Uwaga 2 15 50" xfId="36911"/>
    <cellStyle name="Uwaga 2 15 50 2" xfId="36912"/>
    <cellStyle name="Uwaga 2 15 50 3" xfId="36913"/>
    <cellStyle name="Uwaga 2 15 51" xfId="36914"/>
    <cellStyle name="Uwaga 2 15 51 2" xfId="36915"/>
    <cellStyle name="Uwaga 2 15 51 3" xfId="36916"/>
    <cellStyle name="Uwaga 2 15 52" xfId="36917"/>
    <cellStyle name="Uwaga 2 15 52 2" xfId="36918"/>
    <cellStyle name="Uwaga 2 15 52 3" xfId="36919"/>
    <cellStyle name="Uwaga 2 15 53" xfId="36920"/>
    <cellStyle name="Uwaga 2 15 53 2" xfId="36921"/>
    <cellStyle name="Uwaga 2 15 53 3" xfId="36922"/>
    <cellStyle name="Uwaga 2 15 54" xfId="36923"/>
    <cellStyle name="Uwaga 2 15 54 2" xfId="36924"/>
    <cellStyle name="Uwaga 2 15 54 3" xfId="36925"/>
    <cellStyle name="Uwaga 2 15 55" xfId="36926"/>
    <cellStyle name="Uwaga 2 15 55 2" xfId="36927"/>
    <cellStyle name="Uwaga 2 15 55 3" xfId="36928"/>
    <cellStyle name="Uwaga 2 15 56" xfId="36929"/>
    <cellStyle name="Uwaga 2 15 56 2" xfId="36930"/>
    <cellStyle name="Uwaga 2 15 56 3" xfId="36931"/>
    <cellStyle name="Uwaga 2 15 57" xfId="36932"/>
    <cellStyle name="Uwaga 2 15 58" xfId="36933"/>
    <cellStyle name="Uwaga 2 15 6" xfId="36934"/>
    <cellStyle name="Uwaga 2 15 6 2" xfId="36935"/>
    <cellStyle name="Uwaga 2 15 6 3" xfId="36936"/>
    <cellStyle name="Uwaga 2 15 6 4" xfId="36937"/>
    <cellStyle name="Uwaga 2 15 7" xfId="36938"/>
    <cellStyle name="Uwaga 2 15 7 2" xfId="36939"/>
    <cellStyle name="Uwaga 2 15 7 3" xfId="36940"/>
    <cellStyle name="Uwaga 2 15 7 4" xfId="36941"/>
    <cellStyle name="Uwaga 2 15 8" xfId="36942"/>
    <cellStyle name="Uwaga 2 15 8 2" xfId="36943"/>
    <cellStyle name="Uwaga 2 15 8 3" xfId="36944"/>
    <cellStyle name="Uwaga 2 15 8 4" xfId="36945"/>
    <cellStyle name="Uwaga 2 15 9" xfId="36946"/>
    <cellStyle name="Uwaga 2 15 9 2" xfId="36947"/>
    <cellStyle name="Uwaga 2 15 9 3" xfId="36948"/>
    <cellStyle name="Uwaga 2 15 9 4" xfId="36949"/>
    <cellStyle name="Uwaga 2 16" xfId="36950"/>
    <cellStyle name="Uwaga 2 16 10" xfId="36951"/>
    <cellStyle name="Uwaga 2 16 10 2" xfId="36952"/>
    <cellStyle name="Uwaga 2 16 10 3" xfId="36953"/>
    <cellStyle name="Uwaga 2 16 10 4" xfId="36954"/>
    <cellStyle name="Uwaga 2 16 11" xfId="36955"/>
    <cellStyle name="Uwaga 2 16 11 2" xfId="36956"/>
    <cellStyle name="Uwaga 2 16 11 3" xfId="36957"/>
    <cellStyle name="Uwaga 2 16 11 4" xfId="36958"/>
    <cellStyle name="Uwaga 2 16 12" xfId="36959"/>
    <cellStyle name="Uwaga 2 16 12 2" xfId="36960"/>
    <cellStyle name="Uwaga 2 16 12 3" xfId="36961"/>
    <cellStyle name="Uwaga 2 16 12 4" xfId="36962"/>
    <cellStyle name="Uwaga 2 16 13" xfId="36963"/>
    <cellStyle name="Uwaga 2 16 13 2" xfId="36964"/>
    <cellStyle name="Uwaga 2 16 13 3" xfId="36965"/>
    <cellStyle name="Uwaga 2 16 13 4" xfId="36966"/>
    <cellStyle name="Uwaga 2 16 14" xfId="36967"/>
    <cellStyle name="Uwaga 2 16 14 2" xfId="36968"/>
    <cellStyle name="Uwaga 2 16 14 3" xfId="36969"/>
    <cellStyle name="Uwaga 2 16 14 4" xfId="36970"/>
    <cellStyle name="Uwaga 2 16 15" xfId="36971"/>
    <cellStyle name="Uwaga 2 16 15 2" xfId="36972"/>
    <cellStyle name="Uwaga 2 16 15 3" xfId="36973"/>
    <cellStyle name="Uwaga 2 16 15 4" xfId="36974"/>
    <cellStyle name="Uwaga 2 16 16" xfId="36975"/>
    <cellStyle name="Uwaga 2 16 16 2" xfId="36976"/>
    <cellStyle name="Uwaga 2 16 16 3" xfId="36977"/>
    <cellStyle name="Uwaga 2 16 16 4" xfId="36978"/>
    <cellStyle name="Uwaga 2 16 17" xfId="36979"/>
    <cellStyle name="Uwaga 2 16 17 2" xfId="36980"/>
    <cellStyle name="Uwaga 2 16 17 3" xfId="36981"/>
    <cellStyle name="Uwaga 2 16 17 4" xfId="36982"/>
    <cellStyle name="Uwaga 2 16 18" xfId="36983"/>
    <cellStyle name="Uwaga 2 16 18 2" xfId="36984"/>
    <cellStyle name="Uwaga 2 16 18 3" xfId="36985"/>
    <cellStyle name="Uwaga 2 16 18 4" xfId="36986"/>
    <cellStyle name="Uwaga 2 16 19" xfId="36987"/>
    <cellStyle name="Uwaga 2 16 19 2" xfId="36988"/>
    <cellStyle name="Uwaga 2 16 19 3" xfId="36989"/>
    <cellStyle name="Uwaga 2 16 19 4" xfId="36990"/>
    <cellStyle name="Uwaga 2 16 2" xfId="36991"/>
    <cellStyle name="Uwaga 2 16 2 2" xfId="36992"/>
    <cellStyle name="Uwaga 2 16 2 3" xfId="36993"/>
    <cellStyle name="Uwaga 2 16 2 4" xfId="36994"/>
    <cellStyle name="Uwaga 2 16 20" xfId="36995"/>
    <cellStyle name="Uwaga 2 16 20 2" xfId="36996"/>
    <cellStyle name="Uwaga 2 16 20 3" xfId="36997"/>
    <cellStyle name="Uwaga 2 16 20 4" xfId="36998"/>
    <cellStyle name="Uwaga 2 16 21" xfId="36999"/>
    <cellStyle name="Uwaga 2 16 21 2" xfId="37000"/>
    <cellStyle name="Uwaga 2 16 21 3" xfId="37001"/>
    <cellStyle name="Uwaga 2 16 22" xfId="37002"/>
    <cellStyle name="Uwaga 2 16 22 2" xfId="37003"/>
    <cellStyle name="Uwaga 2 16 22 3" xfId="37004"/>
    <cellStyle name="Uwaga 2 16 23" xfId="37005"/>
    <cellStyle name="Uwaga 2 16 23 2" xfId="37006"/>
    <cellStyle name="Uwaga 2 16 23 3" xfId="37007"/>
    <cellStyle name="Uwaga 2 16 24" xfId="37008"/>
    <cellStyle name="Uwaga 2 16 24 2" xfId="37009"/>
    <cellStyle name="Uwaga 2 16 24 3" xfId="37010"/>
    <cellStyle name="Uwaga 2 16 25" xfId="37011"/>
    <cellStyle name="Uwaga 2 16 25 2" xfId="37012"/>
    <cellStyle name="Uwaga 2 16 25 3" xfId="37013"/>
    <cellStyle name="Uwaga 2 16 26" xfId="37014"/>
    <cellStyle name="Uwaga 2 16 26 2" xfId="37015"/>
    <cellStyle name="Uwaga 2 16 26 3" xfId="37016"/>
    <cellStyle name="Uwaga 2 16 27" xfId="37017"/>
    <cellStyle name="Uwaga 2 16 27 2" xfId="37018"/>
    <cellStyle name="Uwaga 2 16 27 3" xfId="37019"/>
    <cellStyle name="Uwaga 2 16 28" xfId="37020"/>
    <cellStyle name="Uwaga 2 16 28 2" xfId="37021"/>
    <cellStyle name="Uwaga 2 16 28 3" xfId="37022"/>
    <cellStyle name="Uwaga 2 16 29" xfId="37023"/>
    <cellStyle name="Uwaga 2 16 29 2" xfId="37024"/>
    <cellStyle name="Uwaga 2 16 29 3" xfId="37025"/>
    <cellStyle name="Uwaga 2 16 3" xfId="37026"/>
    <cellStyle name="Uwaga 2 16 3 2" xfId="37027"/>
    <cellStyle name="Uwaga 2 16 3 3" xfId="37028"/>
    <cellStyle name="Uwaga 2 16 3 4" xfId="37029"/>
    <cellStyle name="Uwaga 2 16 30" xfId="37030"/>
    <cellStyle name="Uwaga 2 16 30 2" xfId="37031"/>
    <cellStyle name="Uwaga 2 16 30 3" xfId="37032"/>
    <cellStyle name="Uwaga 2 16 31" xfId="37033"/>
    <cellStyle name="Uwaga 2 16 31 2" xfId="37034"/>
    <cellStyle name="Uwaga 2 16 31 3" xfId="37035"/>
    <cellStyle name="Uwaga 2 16 32" xfId="37036"/>
    <cellStyle name="Uwaga 2 16 32 2" xfId="37037"/>
    <cellStyle name="Uwaga 2 16 32 3" xfId="37038"/>
    <cellStyle name="Uwaga 2 16 33" xfId="37039"/>
    <cellStyle name="Uwaga 2 16 33 2" xfId="37040"/>
    <cellStyle name="Uwaga 2 16 33 3" xfId="37041"/>
    <cellStyle name="Uwaga 2 16 34" xfId="37042"/>
    <cellStyle name="Uwaga 2 16 34 2" xfId="37043"/>
    <cellStyle name="Uwaga 2 16 34 3" xfId="37044"/>
    <cellStyle name="Uwaga 2 16 35" xfId="37045"/>
    <cellStyle name="Uwaga 2 16 35 2" xfId="37046"/>
    <cellStyle name="Uwaga 2 16 35 3" xfId="37047"/>
    <cellStyle name="Uwaga 2 16 36" xfId="37048"/>
    <cellStyle name="Uwaga 2 16 36 2" xfId="37049"/>
    <cellStyle name="Uwaga 2 16 36 3" xfId="37050"/>
    <cellStyle name="Uwaga 2 16 37" xfId="37051"/>
    <cellStyle name="Uwaga 2 16 37 2" xfId="37052"/>
    <cellStyle name="Uwaga 2 16 37 3" xfId="37053"/>
    <cellStyle name="Uwaga 2 16 38" xfId="37054"/>
    <cellStyle name="Uwaga 2 16 38 2" xfId="37055"/>
    <cellStyle name="Uwaga 2 16 38 3" xfId="37056"/>
    <cellStyle name="Uwaga 2 16 39" xfId="37057"/>
    <cellStyle name="Uwaga 2 16 39 2" xfId="37058"/>
    <cellStyle name="Uwaga 2 16 39 3" xfId="37059"/>
    <cellStyle name="Uwaga 2 16 4" xfId="37060"/>
    <cellStyle name="Uwaga 2 16 4 2" xfId="37061"/>
    <cellStyle name="Uwaga 2 16 4 3" xfId="37062"/>
    <cellStyle name="Uwaga 2 16 4 4" xfId="37063"/>
    <cellStyle name="Uwaga 2 16 40" xfId="37064"/>
    <cellStyle name="Uwaga 2 16 40 2" xfId="37065"/>
    <cellStyle name="Uwaga 2 16 40 3" xfId="37066"/>
    <cellStyle name="Uwaga 2 16 41" xfId="37067"/>
    <cellStyle name="Uwaga 2 16 41 2" xfId="37068"/>
    <cellStyle name="Uwaga 2 16 41 3" xfId="37069"/>
    <cellStyle name="Uwaga 2 16 42" xfId="37070"/>
    <cellStyle name="Uwaga 2 16 42 2" xfId="37071"/>
    <cellStyle name="Uwaga 2 16 42 3" xfId="37072"/>
    <cellStyle name="Uwaga 2 16 43" xfId="37073"/>
    <cellStyle name="Uwaga 2 16 43 2" xfId="37074"/>
    <cellStyle name="Uwaga 2 16 43 3" xfId="37075"/>
    <cellStyle name="Uwaga 2 16 44" xfId="37076"/>
    <cellStyle name="Uwaga 2 16 44 2" xfId="37077"/>
    <cellStyle name="Uwaga 2 16 44 3" xfId="37078"/>
    <cellStyle name="Uwaga 2 16 45" xfId="37079"/>
    <cellStyle name="Uwaga 2 16 45 2" xfId="37080"/>
    <cellStyle name="Uwaga 2 16 45 3" xfId="37081"/>
    <cellStyle name="Uwaga 2 16 46" xfId="37082"/>
    <cellStyle name="Uwaga 2 16 46 2" xfId="37083"/>
    <cellStyle name="Uwaga 2 16 46 3" xfId="37084"/>
    <cellStyle name="Uwaga 2 16 47" xfId="37085"/>
    <cellStyle name="Uwaga 2 16 47 2" xfId="37086"/>
    <cellStyle name="Uwaga 2 16 47 3" xfId="37087"/>
    <cellStyle name="Uwaga 2 16 48" xfId="37088"/>
    <cellStyle name="Uwaga 2 16 48 2" xfId="37089"/>
    <cellStyle name="Uwaga 2 16 48 3" xfId="37090"/>
    <cellStyle name="Uwaga 2 16 49" xfId="37091"/>
    <cellStyle name="Uwaga 2 16 49 2" xfId="37092"/>
    <cellStyle name="Uwaga 2 16 49 3" xfId="37093"/>
    <cellStyle name="Uwaga 2 16 5" xfId="37094"/>
    <cellStyle name="Uwaga 2 16 5 2" xfId="37095"/>
    <cellStyle name="Uwaga 2 16 5 3" xfId="37096"/>
    <cellStyle name="Uwaga 2 16 5 4" xfId="37097"/>
    <cellStyle name="Uwaga 2 16 50" xfId="37098"/>
    <cellStyle name="Uwaga 2 16 50 2" xfId="37099"/>
    <cellStyle name="Uwaga 2 16 50 3" xfId="37100"/>
    <cellStyle name="Uwaga 2 16 51" xfId="37101"/>
    <cellStyle name="Uwaga 2 16 51 2" xfId="37102"/>
    <cellStyle name="Uwaga 2 16 51 3" xfId="37103"/>
    <cellStyle name="Uwaga 2 16 52" xfId="37104"/>
    <cellStyle name="Uwaga 2 16 52 2" xfId="37105"/>
    <cellStyle name="Uwaga 2 16 52 3" xfId="37106"/>
    <cellStyle name="Uwaga 2 16 53" xfId="37107"/>
    <cellStyle name="Uwaga 2 16 53 2" xfId="37108"/>
    <cellStyle name="Uwaga 2 16 53 3" xfId="37109"/>
    <cellStyle name="Uwaga 2 16 54" xfId="37110"/>
    <cellStyle name="Uwaga 2 16 54 2" xfId="37111"/>
    <cellStyle name="Uwaga 2 16 54 3" xfId="37112"/>
    <cellStyle name="Uwaga 2 16 55" xfId="37113"/>
    <cellStyle name="Uwaga 2 16 55 2" xfId="37114"/>
    <cellStyle name="Uwaga 2 16 55 3" xfId="37115"/>
    <cellStyle name="Uwaga 2 16 56" xfId="37116"/>
    <cellStyle name="Uwaga 2 16 56 2" xfId="37117"/>
    <cellStyle name="Uwaga 2 16 56 3" xfId="37118"/>
    <cellStyle name="Uwaga 2 16 57" xfId="37119"/>
    <cellStyle name="Uwaga 2 16 58" xfId="37120"/>
    <cellStyle name="Uwaga 2 16 6" xfId="37121"/>
    <cellStyle name="Uwaga 2 16 6 2" xfId="37122"/>
    <cellStyle name="Uwaga 2 16 6 3" xfId="37123"/>
    <cellStyle name="Uwaga 2 16 6 4" xfId="37124"/>
    <cellStyle name="Uwaga 2 16 7" xfId="37125"/>
    <cellStyle name="Uwaga 2 16 7 2" xfId="37126"/>
    <cellStyle name="Uwaga 2 16 7 3" xfId="37127"/>
    <cellStyle name="Uwaga 2 16 7 4" xfId="37128"/>
    <cellStyle name="Uwaga 2 16 8" xfId="37129"/>
    <cellStyle name="Uwaga 2 16 8 2" xfId="37130"/>
    <cellStyle name="Uwaga 2 16 8 3" xfId="37131"/>
    <cellStyle name="Uwaga 2 16 8 4" xfId="37132"/>
    <cellStyle name="Uwaga 2 16 9" xfId="37133"/>
    <cellStyle name="Uwaga 2 16 9 2" xfId="37134"/>
    <cellStyle name="Uwaga 2 16 9 3" xfId="37135"/>
    <cellStyle name="Uwaga 2 16 9 4" xfId="37136"/>
    <cellStyle name="Uwaga 2 17" xfId="37137"/>
    <cellStyle name="Uwaga 2 17 10" xfId="37138"/>
    <cellStyle name="Uwaga 2 17 10 2" xfId="37139"/>
    <cellStyle name="Uwaga 2 17 10 3" xfId="37140"/>
    <cellStyle name="Uwaga 2 17 10 4" xfId="37141"/>
    <cellStyle name="Uwaga 2 17 11" xfId="37142"/>
    <cellStyle name="Uwaga 2 17 11 2" xfId="37143"/>
    <cellStyle name="Uwaga 2 17 11 3" xfId="37144"/>
    <cellStyle name="Uwaga 2 17 11 4" xfId="37145"/>
    <cellStyle name="Uwaga 2 17 12" xfId="37146"/>
    <cellStyle name="Uwaga 2 17 12 2" xfId="37147"/>
    <cellStyle name="Uwaga 2 17 12 3" xfId="37148"/>
    <cellStyle name="Uwaga 2 17 12 4" xfId="37149"/>
    <cellStyle name="Uwaga 2 17 13" xfId="37150"/>
    <cellStyle name="Uwaga 2 17 13 2" xfId="37151"/>
    <cellStyle name="Uwaga 2 17 13 3" xfId="37152"/>
    <cellStyle name="Uwaga 2 17 13 4" xfId="37153"/>
    <cellStyle name="Uwaga 2 17 14" xfId="37154"/>
    <cellStyle name="Uwaga 2 17 14 2" xfId="37155"/>
    <cellStyle name="Uwaga 2 17 14 3" xfId="37156"/>
    <cellStyle name="Uwaga 2 17 14 4" xfId="37157"/>
    <cellStyle name="Uwaga 2 17 15" xfId="37158"/>
    <cellStyle name="Uwaga 2 17 15 2" xfId="37159"/>
    <cellStyle name="Uwaga 2 17 15 3" xfId="37160"/>
    <cellStyle name="Uwaga 2 17 15 4" xfId="37161"/>
    <cellStyle name="Uwaga 2 17 16" xfId="37162"/>
    <cellStyle name="Uwaga 2 17 16 2" xfId="37163"/>
    <cellStyle name="Uwaga 2 17 16 3" xfId="37164"/>
    <cellStyle name="Uwaga 2 17 16 4" xfId="37165"/>
    <cellStyle name="Uwaga 2 17 17" xfId="37166"/>
    <cellStyle name="Uwaga 2 17 17 2" xfId="37167"/>
    <cellStyle name="Uwaga 2 17 17 3" xfId="37168"/>
    <cellStyle name="Uwaga 2 17 17 4" xfId="37169"/>
    <cellStyle name="Uwaga 2 17 18" xfId="37170"/>
    <cellStyle name="Uwaga 2 17 18 2" xfId="37171"/>
    <cellStyle name="Uwaga 2 17 18 3" xfId="37172"/>
    <cellStyle name="Uwaga 2 17 18 4" xfId="37173"/>
    <cellStyle name="Uwaga 2 17 19" xfId="37174"/>
    <cellStyle name="Uwaga 2 17 19 2" xfId="37175"/>
    <cellStyle name="Uwaga 2 17 19 3" xfId="37176"/>
    <cellStyle name="Uwaga 2 17 19 4" xfId="37177"/>
    <cellStyle name="Uwaga 2 17 2" xfId="37178"/>
    <cellStyle name="Uwaga 2 17 2 2" xfId="37179"/>
    <cellStyle name="Uwaga 2 17 2 3" xfId="37180"/>
    <cellStyle name="Uwaga 2 17 2 4" xfId="37181"/>
    <cellStyle name="Uwaga 2 17 20" xfId="37182"/>
    <cellStyle name="Uwaga 2 17 20 2" xfId="37183"/>
    <cellStyle name="Uwaga 2 17 20 3" xfId="37184"/>
    <cellStyle name="Uwaga 2 17 20 4" xfId="37185"/>
    <cellStyle name="Uwaga 2 17 21" xfId="37186"/>
    <cellStyle name="Uwaga 2 17 21 2" xfId="37187"/>
    <cellStyle name="Uwaga 2 17 21 3" xfId="37188"/>
    <cellStyle name="Uwaga 2 17 22" xfId="37189"/>
    <cellStyle name="Uwaga 2 17 22 2" xfId="37190"/>
    <cellStyle name="Uwaga 2 17 22 3" xfId="37191"/>
    <cellStyle name="Uwaga 2 17 23" xfId="37192"/>
    <cellStyle name="Uwaga 2 17 23 2" xfId="37193"/>
    <cellStyle name="Uwaga 2 17 23 3" xfId="37194"/>
    <cellStyle name="Uwaga 2 17 24" xfId="37195"/>
    <cellStyle name="Uwaga 2 17 24 2" xfId="37196"/>
    <cellStyle name="Uwaga 2 17 24 3" xfId="37197"/>
    <cellStyle name="Uwaga 2 17 25" xfId="37198"/>
    <cellStyle name="Uwaga 2 17 25 2" xfId="37199"/>
    <cellStyle name="Uwaga 2 17 25 3" xfId="37200"/>
    <cellStyle name="Uwaga 2 17 26" xfId="37201"/>
    <cellStyle name="Uwaga 2 17 26 2" xfId="37202"/>
    <cellStyle name="Uwaga 2 17 26 3" xfId="37203"/>
    <cellStyle name="Uwaga 2 17 27" xfId="37204"/>
    <cellStyle name="Uwaga 2 17 27 2" xfId="37205"/>
    <cellStyle name="Uwaga 2 17 27 3" xfId="37206"/>
    <cellStyle name="Uwaga 2 17 28" xfId="37207"/>
    <cellStyle name="Uwaga 2 17 28 2" xfId="37208"/>
    <cellStyle name="Uwaga 2 17 28 3" xfId="37209"/>
    <cellStyle name="Uwaga 2 17 29" xfId="37210"/>
    <cellStyle name="Uwaga 2 17 29 2" xfId="37211"/>
    <cellStyle name="Uwaga 2 17 29 3" xfId="37212"/>
    <cellStyle name="Uwaga 2 17 3" xfId="37213"/>
    <cellStyle name="Uwaga 2 17 3 2" xfId="37214"/>
    <cellStyle name="Uwaga 2 17 3 3" xfId="37215"/>
    <cellStyle name="Uwaga 2 17 3 4" xfId="37216"/>
    <cellStyle name="Uwaga 2 17 30" xfId="37217"/>
    <cellStyle name="Uwaga 2 17 30 2" xfId="37218"/>
    <cellStyle name="Uwaga 2 17 30 3" xfId="37219"/>
    <cellStyle name="Uwaga 2 17 31" xfId="37220"/>
    <cellStyle name="Uwaga 2 17 31 2" xfId="37221"/>
    <cellStyle name="Uwaga 2 17 31 3" xfId="37222"/>
    <cellStyle name="Uwaga 2 17 32" xfId="37223"/>
    <cellStyle name="Uwaga 2 17 32 2" xfId="37224"/>
    <cellStyle name="Uwaga 2 17 32 3" xfId="37225"/>
    <cellStyle name="Uwaga 2 17 33" xfId="37226"/>
    <cellStyle name="Uwaga 2 17 33 2" xfId="37227"/>
    <cellStyle name="Uwaga 2 17 33 3" xfId="37228"/>
    <cellStyle name="Uwaga 2 17 34" xfId="37229"/>
    <cellStyle name="Uwaga 2 17 34 2" xfId="37230"/>
    <cellStyle name="Uwaga 2 17 34 3" xfId="37231"/>
    <cellStyle name="Uwaga 2 17 35" xfId="37232"/>
    <cellStyle name="Uwaga 2 17 35 2" xfId="37233"/>
    <cellStyle name="Uwaga 2 17 35 3" xfId="37234"/>
    <cellStyle name="Uwaga 2 17 36" xfId="37235"/>
    <cellStyle name="Uwaga 2 17 36 2" xfId="37236"/>
    <cellStyle name="Uwaga 2 17 36 3" xfId="37237"/>
    <cellStyle name="Uwaga 2 17 37" xfId="37238"/>
    <cellStyle name="Uwaga 2 17 37 2" xfId="37239"/>
    <cellStyle name="Uwaga 2 17 37 3" xfId="37240"/>
    <cellStyle name="Uwaga 2 17 38" xfId="37241"/>
    <cellStyle name="Uwaga 2 17 38 2" xfId="37242"/>
    <cellStyle name="Uwaga 2 17 38 3" xfId="37243"/>
    <cellStyle name="Uwaga 2 17 39" xfId="37244"/>
    <cellStyle name="Uwaga 2 17 39 2" xfId="37245"/>
    <cellStyle name="Uwaga 2 17 39 3" xfId="37246"/>
    <cellStyle name="Uwaga 2 17 4" xfId="37247"/>
    <cellStyle name="Uwaga 2 17 4 2" xfId="37248"/>
    <cellStyle name="Uwaga 2 17 4 3" xfId="37249"/>
    <cellStyle name="Uwaga 2 17 4 4" xfId="37250"/>
    <cellStyle name="Uwaga 2 17 40" xfId="37251"/>
    <cellStyle name="Uwaga 2 17 40 2" xfId="37252"/>
    <cellStyle name="Uwaga 2 17 40 3" xfId="37253"/>
    <cellStyle name="Uwaga 2 17 41" xfId="37254"/>
    <cellStyle name="Uwaga 2 17 41 2" xfId="37255"/>
    <cellStyle name="Uwaga 2 17 41 3" xfId="37256"/>
    <cellStyle name="Uwaga 2 17 42" xfId="37257"/>
    <cellStyle name="Uwaga 2 17 42 2" xfId="37258"/>
    <cellStyle name="Uwaga 2 17 42 3" xfId="37259"/>
    <cellStyle name="Uwaga 2 17 43" xfId="37260"/>
    <cellStyle name="Uwaga 2 17 43 2" xfId="37261"/>
    <cellStyle name="Uwaga 2 17 43 3" xfId="37262"/>
    <cellStyle name="Uwaga 2 17 44" xfId="37263"/>
    <cellStyle name="Uwaga 2 17 44 2" xfId="37264"/>
    <cellStyle name="Uwaga 2 17 44 3" xfId="37265"/>
    <cellStyle name="Uwaga 2 17 45" xfId="37266"/>
    <cellStyle name="Uwaga 2 17 45 2" xfId="37267"/>
    <cellStyle name="Uwaga 2 17 45 3" xfId="37268"/>
    <cellStyle name="Uwaga 2 17 46" xfId="37269"/>
    <cellStyle name="Uwaga 2 17 46 2" xfId="37270"/>
    <cellStyle name="Uwaga 2 17 46 3" xfId="37271"/>
    <cellStyle name="Uwaga 2 17 47" xfId="37272"/>
    <cellStyle name="Uwaga 2 17 47 2" xfId="37273"/>
    <cellStyle name="Uwaga 2 17 47 3" xfId="37274"/>
    <cellStyle name="Uwaga 2 17 48" xfId="37275"/>
    <cellStyle name="Uwaga 2 17 48 2" xfId="37276"/>
    <cellStyle name="Uwaga 2 17 48 3" xfId="37277"/>
    <cellStyle name="Uwaga 2 17 49" xfId="37278"/>
    <cellStyle name="Uwaga 2 17 49 2" xfId="37279"/>
    <cellStyle name="Uwaga 2 17 49 3" xfId="37280"/>
    <cellStyle name="Uwaga 2 17 5" xfId="37281"/>
    <cellStyle name="Uwaga 2 17 5 2" xfId="37282"/>
    <cellStyle name="Uwaga 2 17 5 3" xfId="37283"/>
    <cellStyle name="Uwaga 2 17 5 4" xfId="37284"/>
    <cellStyle name="Uwaga 2 17 50" xfId="37285"/>
    <cellStyle name="Uwaga 2 17 50 2" xfId="37286"/>
    <cellStyle name="Uwaga 2 17 50 3" xfId="37287"/>
    <cellStyle name="Uwaga 2 17 51" xfId="37288"/>
    <cellStyle name="Uwaga 2 17 51 2" xfId="37289"/>
    <cellStyle name="Uwaga 2 17 51 3" xfId="37290"/>
    <cellStyle name="Uwaga 2 17 52" xfId="37291"/>
    <cellStyle name="Uwaga 2 17 52 2" xfId="37292"/>
    <cellStyle name="Uwaga 2 17 52 3" xfId="37293"/>
    <cellStyle name="Uwaga 2 17 53" xfId="37294"/>
    <cellStyle name="Uwaga 2 17 53 2" xfId="37295"/>
    <cellStyle name="Uwaga 2 17 53 3" xfId="37296"/>
    <cellStyle name="Uwaga 2 17 54" xfId="37297"/>
    <cellStyle name="Uwaga 2 17 54 2" xfId="37298"/>
    <cellStyle name="Uwaga 2 17 54 3" xfId="37299"/>
    <cellStyle name="Uwaga 2 17 55" xfId="37300"/>
    <cellStyle name="Uwaga 2 17 55 2" xfId="37301"/>
    <cellStyle name="Uwaga 2 17 55 3" xfId="37302"/>
    <cellStyle name="Uwaga 2 17 56" xfId="37303"/>
    <cellStyle name="Uwaga 2 17 56 2" xfId="37304"/>
    <cellStyle name="Uwaga 2 17 56 3" xfId="37305"/>
    <cellStyle name="Uwaga 2 17 57" xfId="37306"/>
    <cellStyle name="Uwaga 2 17 58" xfId="37307"/>
    <cellStyle name="Uwaga 2 17 6" xfId="37308"/>
    <cellStyle name="Uwaga 2 17 6 2" xfId="37309"/>
    <cellStyle name="Uwaga 2 17 6 3" xfId="37310"/>
    <cellStyle name="Uwaga 2 17 6 4" xfId="37311"/>
    <cellStyle name="Uwaga 2 17 7" xfId="37312"/>
    <cellStyle name="Uwaga 2 17 7 2" xfId="37313"/>
    <cellStyle name="Uwaga 2 17 7 3" xfId="37314"/>
    <cellStyle name="Uwaga 2 17 7 4" xfId="37315"/>
    <cellStyle name="Uwaga 2 17 8" xfId="37316"/>
    <cellStyle name="Uwaga 2 17 8 2" xfId="37317"/>
    <cellStyle name="Uwaga 2 17 8 3" xfId="37318"/>
    <cellStyle name="Uwaga 2 17 8 4" xfId="37319"/>
    <cellStyle name="Uwaga 2 17 9" xfId="37320"/>
    <cellStyle name="Uwaga 2 17 9 2" xfId="37321"/>
    <cellStyle name="Uwaga 2 17 9 3" xfId="37322"/>
    <cellStyle name="Uwaga 2 17 9 4" xfId="37323"/>
    <cellStyle name="Uwaga 2 18" xfId="37324"/>
    <cellStyle name="Uwaga 2 18 10" xfId="37325"/>
    <cellStyle name="Uwaga 2 18 10 2" xfId="37326"/>
    <cellStyle name="Uwaga 2 18 10 3" xfId="37327"/>
    <cellStyle name="Uwaga 2 18 10 4" xfId="37328"/>
    <cellStyle name="Uwaga 2 18 11" xfId="37329"/>
    <cellStyle name="Uwaga 2 18 11 2" xfId="37330"/>
    <cellStyle name="Uwaga 2 18 11 3" xfId="37331"/>
    <cellStyle name="Uwaga 2 18 11 4" xfId="37332"/>
    <cellStyle name="Uwaga 2 18 12" xfId="37333"/>
    <cellStyle name="Uwaga 2 18 12 2" xfId="37334"/>
    <cellStyle name="Uwaga 2 18 12 3" xfId="37335"/>
    <cellStyle name="Uwaga 2 18 12 4" xfId="37336"/>
    <cellStyle name="Uwaga 2 18 13" xfId="37337"/>
    <cellStyle name="Uwaga 2 18 13 2" xfId="37338"/>
    <cellStyle name="Uwaga 2 18 13 3" xfId="37339"/>
    <cellStyle name="Uwaga 2 18 13 4" xfId="37340"/>
    <cellStyle name="Uwaga 2 18 14" xfId="37341"/>
    <cellStyle name="Uwaga 2 18 14 2" xfId="37342"/>
    <cellStyle name="Uwaga 2 18 14 3" xfId="37343"/>
    <cellStyle name="Uwaga 2 18 14 4" xfId="37344"/>
    <cellStyle name="Uwaga 2 18 15" xfId="37345"/>
    <cellStyle name="Uwaga 2 18 15 2" xfId="37346"/>
    <cellStyle name="Uwaga 2 18 15 3" xfId="37347"/>
    <cellStyle name="Uwaga 2 18 15 4" xfId="37348"/>
    <cellStyle name="Uwaga 2 18 16" xfId="37349"/>
    <cellStyle name="Uwaga 2 18 16 2" xfId="37350"/>
    <cellStyle name="Uwaga 2 18 16 3" xfId="37351"/>
    <cellStyle name="Uwaga 2 18 16 4" xfId="37352"/>
    <cellStyle name="Uwaga 2 18 17" xfId="37353"/>
    <cellStyle name="Uwaga 2 18 17 2" xfId="37354"/>
    <cellStyle name="Uwaga 2 18 17 3" xfId="37355"/>
    <cellStyle name="Uwaga 2 18 17 4" xfId="37356"/>
    <cellStyle name="Uwaga 2 18 18" xfId="37357"/>
    <cellStyle name="Uwaga 2 18 18 2" xfId="37358"/>
    <cellStyle name="Uwaga 2 18 18 3" xfId="37359"/>
    <cellStyle name="Uwaga 2 18 18 4" xfId="37360"/>
    <cellStyle name="Uwaga 2 18 19" xfId="37361"/>
    <cellStyle name="Uwaga 2 18 19 2" xfId="37362"/>
    <cellStyle name="Uwaga 2 18 19 3" xfId="37363"/>
    <cellStyle name="Uwaga 2 18 19 4" xfId="37364"/>
    <cellStyle name="Uwaga 2 18 2" xfId="37365"/>
    <cellStyle name="Uwaga 2 18 2 2" xfId="37366"/>
    <cellStyle name="Uwaga 2 18 2 3" xfId="37367"/>
    <cellStyle name="Uwaga 2 18 2 4" xfId="37368"/>
    <cellStyle name="Uwaga 2 18 20" xfId="37369"/>
    <cellStyle name="Uwaga 2 18 20 2" xfId="37370"/>
    <cellStyle name="Uwaga 2 18 20 3" xfId="37371"/>
    <cellStyle name="Uwaga 2 18 20 4" xfId="37372"/>
    <cellStyle name="Uwaga 2 18 21" xfId="37373"/>
    <cellStyle name="Uwaga 2 18 21 2" xfId="37374"/>
    <cellStyle name="Uwaga 2 18 21 3" xfId="37375"/>
    <cellStyle name="Uwaga 2 18 22" xfId="37376"/>
    <cellStyle name="Uwaga 2 18 22 2" xfId="37377"/>
    <cellStyle name="Uwaga 2 18 22 3" xfId="37378"/>
    <cellStyle name="Uwaga 2 18 23" xfId="37379"/>
    <cellStyle name="Uwaga 2 18 23 2" xfId="37380"/>
    <cellStyle name="Uwaga 2 18 23 3" xfId="37381"/>
    <cellStyle name="Uwaga 2 18 24" xfId="37382"/>
    <cellStyle name="Uwaga 2 18 24 2" xfId="37383"/>
    <cellStyle name="Uwaga 2 18 24 3" xfId="37384"/>
    <cellStyle name="Uwaga 2 18 25" xfId="37385"/>
    <cellStyle name="Uwaga 2 18 25 2" xfId="37386"/>
    <cellStyle name="Uwaga 2 18 25 3" xfId="37387"/>
    <cellStyle name="Uwaga 2 18 26" xfId="37388"/>
    <cellStyle name="Uwaga 2 18 26 2" xfId="37389"/>
    <cellStyle name="Uwaga 2 18 26 3" xfId="37390"/>
    <cellStyle name="Uwaga 2 18 27" xfId="37391"/>
    <cellStyle name="Uwaga 2 18 27 2" xfId="37392"/>
    <cellStyle name="Uwaga 2 18 27 3" xfId="37393"/>
    <cellStyle name="Uwaga 2 18 28" xfId="37394"/>
    <cellStyle name="Uwaga 2 18 28 2" xfId="37395"/>
    <cellStyle name="Uwaga 2 18 28 3" xfId="37396"/>
    <cellStyle name="Uwaga 2 18 29" xfId="37397"/>
    <cellStyle name="Uwaga 2 18 29 2" xfId="37398"/>
    <cellStyle name="Uwaga 2 18 29 3" xfId="37399"/>
    <cellStyle name="Uwaga 2 18 3" xfId="37400"/>
    <cellStyle name="Uwaga 2 18 3 2" xfId="37401"/>
    <cellStyle name="Uwaga 2 18 3 3" xfId="37402"/>
    <cellStyle name="Uwaga 2 18 3 4" xfId="37403"/>
    <cellStyle name="Uwaga 2 18 30" xfId="37404"/>
    <cellStyle name="Uwaga 2 18 30 2" xfId="37405"/>
    <cellStyle name="Uwaga 2 18 30 3" xfId="37406"/>
    <cellStyle name="Uwaga 2 18 31" xfId="37407"/>
    <cellStyle name="Uwaga 2 18 31 2" xfId="37408"/>
    <cellStyle name="Uwaga 2 18 31 3" xfId="37409"/>
    <cellStyle name="Uwaga 2 18 32" xfId="37410"/>
    <cellStyle name="Uwaga 2 18 32 2" xfId="37411"/>
    <cellStyle name="Uwaga 2 18 32 3" xfId="37412"/>
    <cellStyle name="Uwaga 2 18 33" xfId="37413"/>
    <cellStyle name="Uwaga 2 18 33 2" xfId="37414"/>
    <cellStyle name="Uwaga 2 18 33 3" xfId="37415"/>
    <cellStyle name="Uwaga 2 18 34" xfId="37416"/>
    <cellStyle name="Uwaga 2 18 34 2" xfId="37417"/>
    <cellStyle name="Uwaga 2 18 34 3" xfId="37418"/>
    <cellStyle name="Uwaga 2 18 35" xfId="37419"/>
    <cellStyle name="Uwaga 2 18 35 2" xfId="37420"/>
    <cellStyle name="Uwaga 2 18 35 3" xfId="37421"/>
    <cellStyle name="Uwaga 2 18 36" xfId="37422"/>
    <cellStyle name="Uwaga 2 18 36 2" xfId="37423"/>
    <cellStyle name="Uwaga 2 18 36 3" xfId="37424"/>
    <cellStyle name="Uwaga 2 18 37" xfId="37425"/>
    <cellStyle name="Uwaga 2 18 37 2" xfId="37426"/>
    <cellStyle name="Uwaga 2 18 37 3" xfId="37427"/>
    <cellStyle name="Uwaga 2 18 38" xfId="37428"/>
    <cellStyle name="Uwaga 2 18 38 2" xfId="37429"/>
    <cellStyle name="Uwaga 2 18 38 3" xfId="37430"/>
    <cellStyle name="Uwaga 2 18 39" xfId="37431"/>
    <cellStyle name="Uwaga 2 18 39 2" xfId="37432"/>
    <cellStyle name="Uwaga 2 18 39 3" xfId="37433"/>
    <cellStyle name="Uwaga 2 18 4" xfId="37434"/>
    <cellStyle name="Uwaga 2 18 4 2" xfId="37435"/>
    <cellStyle name="Uwaga 2 18 4 3" xfId="37436"/>
    <cellStyle name="Uwaga 2 18 4 4" xfId="37437"/>
    <cellStyle name="Uwaga 2 18 40" xfId="37438"/>
    <cellStyle name="Uwaga 2 18 40 2" xfId="37439"/>
    <cellStyle name="Uwaga 2 18 40 3" xfId="37440"/>
    <cellStyle name="Uwaga 2 18 41" xfId="37441"/>
    <cellStyle name="Uwaga 2 18 41 2" xfId="37442"/>
    <cellStyle name="Uwaga 2 18 41 3" xfId="37443"/>
    <cellStyle name="Uwaga 2 18 42" xfId="37444"/>
    <cellStyle name="Uwaga 2 18 42 2" xfId="37445"/>
    <cellStyle name="Uwaga 2 18 42 3" xfId="37446"/>
    <cellStyle name="Uwaga 2 18 43" xfId="37447"/>
    <cellStyle name="Uwaga 2 18 43 2" xfId="37448"/>
    <cellStyle name="Uwaga 2 18 43 3" xfId="37449"/>
    <cellStyle name="Uwaga 2 18 44" xfId="37450"/>
    <cellStyle name="Uwaga 2 18 44 2" xfId="37451"/>
    <cellStyle name="Uwaga 2 18 44 3" xfId="37452"/>
    <cellStyle name="Uwaga 2 18 45" xfId="37453"/>
    <cellStyle name="Uwaga 2 18 45 2" xfId="37454"/>
    <cellStyle name="Uwaga 2 18 45 3" xfId="37455"/>
    <cellStyle name="Uwaga 2 18 46" xfId="37456"/>
    <cellStyle name="Uwaga 2 18 46 2" xfId="37457"/>
    <cellStyle name="Uwaga 2 18 46 3" xfId="37458"/>
    <cellStyle name="Uwaga 2 18 47" xfId="37459"/>
    <cellStyle name="Uwaga 2 18 47 2" xfId="37460"/>
    <cellStyle name="Uwaga 2 18 47 3" xfId="37461"/>
    <cellStyle name="Uwaga 2 18 48" xfId="37462"/>
    <cellStyle name="Uwaga 2 18 48 2" xfId="37463"/>
    <cellStyle name="Uwaga 2 18 48 3" xfId="37464"/>
    <cellStyle name="Uwaga 2 18 49" xfId="37465"/>
    <cellStyle name="Uwaga 2 18 49 2" xfId="37466"/>
    <cellStyle name="Uwaga 2 18 49 3" xfId="37467"/>
    <cellStyle name="Uwaga 2 18 5" xfId="37468"/>
    <cellStyle name="Uwaga 2 18 5 2" xfId="37469"/>
    <cellStyle name="Uwaga 2 18 5 3" xfId="37470"/>
    <cellStyle name="Uwaga 2 18 5 4" xfId="37471"/>
    <cellStyle name="Uwaga 2 18 50" xfId="37472"/>
    <cellStyle name="Uwaga 2 18 50 2" xfId="37473"/>
    <cellStyle name="Uwaga 2 18 50 3" xfId="37474"/>
    <cellStyle name="Uwaga 2 18 51" xfId="37475"/>
    <cellStyle name="Uwaga 2 18 51 2" xfId="37476"/>
    <cellStyle name="Uwaga 2 18 51 3" xfId="37477"/>
    <cellStyle name="Uwaga 2 18 52" xfId="37478"/>
    <cellStyle name="Uwaga 2 18 52 2" xfId="37479"/>
    <cellStyle name="Uwaga 2 18 52 3" xfId="37480"/>
    <cellStyle name="Uwaga 2 18 53" xfId="37481"/>
    <cellStyle name="Uwaga 2 18 53 2" xfId="37482"/>
    <cellStyle name="Uwaga 2 18 53 3" xfId="37483"/>
    <cellStyle name="Uwaga 2 18 54" xfId="37484"/>
    <cellStyle name="Uwaga 2 18 54 2" xfId="37485"/>
    <cellStyle name="Uwaga 2 18 54 3" xfId="37486"/>
    <cellStyle name="Uwaga 2 18 55" xfId="37487"/>
    <cellStyle name="Uwaga 2 18 55 2" xfId="37488"/>
    <cellStyle name="Uwaga 2 18 55 3" xfId="37489"/>
    <cellStyle name="Uwaga 2 18 56" xfId="37490"/>
    <cellStyle name="Uwaga 2 18 56 2" xfId="37491"/>
    <cellStyle name="Uwaga 2 18 56 3" xfId="37492"/>
    <cellStyle name="Uwaga 2 18 57" xfId="37493"/>
    <cellStyle name="Uwaga 2 18 58" xfId="37494"/>
    <cellStyle name="Uwaga 2 18 6" xfId="37495"/>
    <cellStyle name="Uwaga 2 18 6 2" xfId="37496"/>
    <cellStyle name="Uwaga 2 18 6 3" xfId="37497"/>
    <cellStyle name="Uwaga 2 18 6 4" xfId="37498"/>
    <cellStyle name="Uwaga 2 18 7" xfId="37499"/>
    <cellStyle name="Uwaga 2 18 7 2" xfId="37500"/>
    <cellStyle name="Uwaga 2 18 7 3" xfId="37501"/>
    <cellStyle name="Uwaga 2 18 7 4" xfId="37502"/>
    <cellStyle name="Uwaga 2 18 8" xfId="37503"/>
    <cellStyle name="Uwaga 2 18 8 2" xfId="37504"/>
    <cellStyle name="Uwaga 2 18 8 3" xfId="37505"/>
    <cellStyle name="Uwaga 2 18 8 4" xfId="37506"/>
    <cellStyle name="Uwaga 2 18 9" xfId="37507"/>
    <cellStyle name="Uwaga 2 18 9 2" xfId="37508"/>
    <cellStyle name="Uwaga 2 18 9 3" xfId="37509"/>
    <cellStyle name="Uwaga 2 18 9 4" xfId="37510"/>
    <cellStyle name="Uwaga 2 19" xfId="37511"/>
    <cellStyle name="Uwaga 2 19 10" xfId="37512"/>
    <cellStyle name="Uwaga 2 19 10 2" xfId="37513"/>
    <cellStyle name="Uwaga 2 19 10 3" xfId="37514"/>
    <cellStyle name="Uwaga 2 19 10 4" xfId="37515"/>
    <cellStyle name="Uwaga 2 19 11" xfId="37516"/>
    <cellStyle name="Uwaga 2 19 11 2" xfId="37517"/>
    <cellStyle name="Uwaga 2 19 11 3" xfId="37518"/>
    <cellStyle name="Uwaga 2 19 11 4" xfId="37519"/>
    <cellStyle name="Uwaga 2 19 12" xfId="37520"/>
    <cellStyle name="Uwaga 2 19 12 2" xfId="37521"/>
    <cellStyle name="Uwaga 2 19 12 3" xfId="37522"/>
    <cellStyle name="Uwaga 2 19 12 4" xfId="37523"/>
    <cellStyle name="Uwaga 2 19 13" xfId="37524"/>
    <cellStyle name="Uwaga 2 19 13 2" xfId="37525"/>
    <cellStyle name="Uwaga 2 19 13 3" xfId="37526"/>
    <cellStyle name="Uwaga 2 19 13 4" xfId="37527"/>
    <cellStyle name="Uwaga 2 19 14" xfId="37528"/>
    <cellStyle name="Uwaga 2 19 14 2" xfId="37529"/>
    <cellStyle name="Uwaga 2 19 14 3" xfId="37530"/>
    <cellStyle name="Uwaga 2 19 14 4" xfId="37531"/>
    <cellStyle name="Uwaga 2 19 15" xfId="37532"/>
    <cellStyle name="Uwaga 2 19 15 2" xfId="37533"/>
    <cellStyle name="Uwaga 2 19 15 3" xfId="37534"/>
    <cellStyle name="Uwaga 2 19 15 4" xfId="37535"/>
    <cellStyle name="Uwaga 2 19 16" xfId="37536"/>
    <cellStyle name="Uwaga 2 19 16 2" xfId="37537"/>
    <cellStyle name="Uwaga 2 19 16 3" xfId="37538"/>
    <cellStyle name="Uwaga 2 19 16 4" xfId="37539"/>
    <cellStyle name="Uwaga 2 19 17" xfId="37540"/>
    <cellStyle name="Uwaga 2 19 17 2" xfId="37541"/>
    <cellStyle name="Uwaga 2 19 17 3" xfId="37542"/>
    <cellStyle name="Uwaga 2 19 17 4" xfId="37543"/>
    <cellStyle name="Uwaga 2 19 18" xfId="37544"/>
    <cellStyle name="Uwaga 2 19 18 2" xfId="37545"/>
    <cellStyle name="Uwaga 2 19 18 3" xfId="37546"/>
    <cellStyle name="Uwaga 2 19 18 4" xfId="37547"/>
    <cellStyle name="Uwaga 2 19 19" xfId="37548"/>
    <cellStyle name="Uwaga 2 19 19 2" xfId="37549"/>
    <cellStyle name="Uwaga 2 19 19 3" xfId="37550"/>
    <cellStyle name="Uwaga 2 19 19 4" xfId="37551"/>
    <cellStyle name="Uwaga 2 19 2" xfId="37552"/>
    <cellStyle name="Uwaga 2 19 2 2" xfId="37553"/>
    <cellStyle name="Uwaga 2 19 2 3" xfId="37554"/>
    <cellStyle name="Uwaga 2 19 2 4" xfId="37555"/>
    <cellStyle name="Uwaga 2 19 20" xfId="37556"/>
    <cellStyle name="Uwaga 2 19 20 2" xfId="37557"/>
    <cellStyle name="Uwaga 2 19 20 3" xfId="37558"/>
    <cellStyle name="Uwaga 2 19 20 4" xfId="37559"/>
    <cellStyle name="Uwaga 2 19 21" xfId="37560"/>
    <cellStyle name="Uwaga 2 19 21 2" xfId="37561"/>
    <cellStyle name="Uwaga 2 19 21 3" xfId="37562"/>
    <cellStyle name="Uwaga 2 19 22" xfId="37563"/>
    <cellStyle name="Uwaga 2 19 22 2" xfId="37564"/>
    <cellStyle name="Uwaga 2 19 22 3" xfId="37565"/>
    <cellStyle name="Uwaga 2 19 23" xfId="37566"/>
    <cellStyle name="Uwaga 2 19 23 2" xfId="37567"/>
    <cellStyle name="Uwaga 2 19 23 3" xfId="37568"/>
    <cellStyle name="Uwaga 2 19 24" xfId="37569"/>
    <cellStyle name="Uwaga 2 19 24 2" xfId="37570"/>
    <cellStyle name="Uwaga 2 19 24 3" xfId="37571"/>
    <cellStyle name="Uwaga 2 19 25" xfId="37572"/>
    <cellStyle name="Uwaga 2 19 25 2" xfId="37573"/>
    <cellStyle name="Uwaga 2 19 25 3" xfId="37574"/>
    <cellStyle name="Uwaga 2 19 26" xfId="37575"/>
    <cellStyle name="Uwaga 2 19 26 2" xfId="37576"/>
    <cellStyle name="Uwaga 2 19 26 3" xfId="37577"/>
    <cellStyle name="Uwaga 2 19 27" xfId="37578"/>
    <cellStyle name="Uwaga 2 19 27 2" xfId="37579"/>
    <cellStyle name="Uwaga 2 19 27 3" xfId="37580"/>
    <cellStyle name="Uwaga 2 19 28" xfId="37581"/>
    <cellStyle name="Uwaga 2 19 28 2" xfId="37582"/>
    <cellStyle name="Uwaga 2 19 28 3" xfId="37583"/>
    <cellStyle name="Uwaga 2 19 29" xfId="37584"/>
    <cellStyle name="Uwaga 2 19 29 2" xfId="37585"/>
    <cellStyle name="Uwaga 2 19 29 3" xfId="37586"/>
    <cellStyle name="Uwaga 2 19 3" xfId="37587"/>
    <cellStyle name="Uwaga 2 19 3 2" xfId="37588"/>
    <cellStyle name="Uwaga 2 19 3 3" xfId="37589"/>
    <cellStyle name="Uwaga 2 19 3 4" xfId="37590"/>
    <cellStyle name="Uwaga 2 19 30" xfId="37591"/>
    <cellStyle name="Uwaga 2 19 30 2" xfId="37592"/>
    <cellStyle name="Uwaga 2 19 30 3" xfId="37593"/>
    <cellStyle name="Uwaga 2 19 31" xfId="37594"/>
    <cellStyle name="Uwaga 2 19 31 2" xfId="37595"/>
    <cellStyle name="Uwaga 2 19 31 3" xfId="37596"/>
    <cellStyle name="Uwaga 2 19 32" xfId="37597"/>
    <cellStyle name="Uwaga 2 19 32 2" xfId="37598"/>
    <cellStyle name="Uwaga 2 19 32 3" xfId="37599"/>
    <cellStyle name="Uwaga 2 19 33" xfId="37600"/>
    <cellStyle name="Uwaga 2 19 33 2" xfId="37601"/>
    <cellStyle name="Uwaga 2 19 33 3" xfId="37602"/>
    <cellStyle name="Uwaga 2 19 34" xfId="37603"/>
    <cellStyle name="Uwaga 2 19 34 2" xfId="37604"/>
    <cellStyle name="Uwaga 2 19 34 3" xfId="37605"/>
    <cellStyle name="Uwaga 2 19 35" xfId="37606"/>
    <cellStyle name="Uwaga 2 19 35 2" xfId="37607"/>
    <cellStyle name="Uwaga 2 19 35 3" xfId="37608"/>
    <cellStyle name="Uwaga 2 19 36" xfId="37609"/>
    <cellStyle name="Uwaga 2 19 36 2" xfId="37610"/>
    <cellStyle name="Uwaga 2 19 36 3" xfId="37611"/>
    <cellStyle name="Uwaga 2 19 37" xfId="37612"/>
    <cellStyle name="Uwaga 2 19 37 2" xfId="37613"/>
    <cellStyle name="Uwaga 2 19 37 3" xfId="37614"/>
    <cellStyle name="Uwaga 2 19 38" xfId="37615"/>
    <cellStyle name="Uwaga 2 19 38 2" xfId="37616"/>
    <cellStyle name="Uwaga 2 19 38 3" xfId="37617"/>
    <cellStyle name="Uwaga 2 19 39" xfId="37618"/>
    <cellStyle name="Uwaga 2 19 39 2" xfId="37619"/>
    <cellStyle name="Uwaga 2 19 39 3" xfId="37620"/>
    <cellStyle name="Uwaga 2 19 4" xfId="37621"/>
    <cellStyle name="Uwaga 2 19 4 2" xfId="37622"/>
    <cellStyle name="Uwaga 2 19 4 3" xfId="37623"/>
    <cellStyle name="Uwaga 2 19 4 4" xfId="37624"/>
    <cellStyle name="Uwaga 2 19 40" xfId="37625"/>
    <cellStyle name="Uwaga 2 19 40 2" xfId="37626"/>
    <cellStyle name="Uwaga 2 19 40 3" xfId="37627"/>
    <cellStyle name="Uwaga 2 19 41" xfId="37628"/>
    <cellStyle name="Uwaga 2 19 41 2" xfId="37629"/>
    <cellStyle name="Uwaga 2 19 41 3" xfId="37630"/>
    <cellStyle name="Uwaga 2 19 42" xfId="37631"/>
    <cellStyle name="Uwaga 2 19 42 2" xfId="37632"/>
    <cellStyle name="Uwaga 2 19 42 3" xfId="37633"/>
    <cellStyle name="Uwaga 2 19 43" xfId="37634"/>
    <cellStyle name="Uwaga 2 19 43 2" xfId="37635"/>
    <cellStyle name="Uwaga 2 19 43 3" xfId="37636"/>
    <cellStyle name="Uwaga 2 19 44" xfId="37637"/>
    <cellStyle name="Uwaga 2 19 44 2" xfId="37638"/>
    <cellStyle name="Uwaga 2 19 44 3" xfId="37639"/>
    <cellStyle name="Uwaga 2 19 45" xfId="37640"/>
    <cellStyle name="Uwaga 2 19 45 2" xfId="37641"/>
    <cellStyle name="Uwaga 2 19 45 3" xfId="37642"/>
    <cellStyle name="Uwaga 2 19 46" xfId="37643"/>
    <cellStyle name="Uwaga 2 19 46 2" xfId="37644"/>
    <cellStyle name="Uwaga 2 19 46 3" xfId="37645"/>
    <cellStyle name="Uwaga 2 19 47" xfId="37646"/>
    <cellStyle name="Uwaga 2 19 47 2" xfId="37647"/>
    <cellStyle name="Uwaga 2 19 47 3" xfId="37648"/>
    <cellStyle name="Uwaga 2 19 48" xfId="37649"/>
    <cellStyle name="Uwaga 2 19 48 2" xfId="37650"/>
    <cellStyle name="Uwaga 2 19 48 3" xfId="37651"/>
    <cellStyle name="Uwaga 2 19 49" xfId="37652"/>
    <cellStyle name="Uwaga 2 19 49 2" xfId="37653"/>
    <cellStyle name="Uwaga 2 19 49 3" xfId="37654"/>
    <cellStyle name="Uwaga 2 19 5" xfId="37655"/>
    <cellStyle name="Uwaga 2 19 5 2" xfId="37656"/>
    <cellStyle name="Uwaga 2 19 5 3" xfId="37657"/>
    <cellStyle name="Uwaga 2 19 5 4" xfId="37658"/>
    <cellStyle name="Uwaga 2 19 50" xfId="37659"/>
    <cellStyle name="Uwaga 2 19 50 2" xfId="37660"/>
    <cellStyle name="Uwaga 2 19 50 3" xfId="37661"/>
    <cellStyle name="Uwaga 2 19 51" xfId="37662"/>
    <cellStyle name="Uwaga 2 19 51 2" xfId="37663"/>
    <cellStyle name="Uwaga 2 19 51 3" xfId="37664"/>
    <cellStyle name="Uwaga 2 19 52" xfId="37665"/>
    <cellStyle name="Uwaga 2 19 52 2" xfId="37666"/>
    <cellStyle name="Uwaga 2 19 52 3" xfId="37667"/>
    <cellStyle name="Uwaga 2 19 53" xfId="37668"/>
    <cellStyle name="Uwaga 2 19 53 2" xfId="37669"/>
    <cellStyle name="Uwaga 2 19 53 3" xfId="37670"/>
    <cellStyle name="Uwaga 2 19 54" xfId="37671"/>
    <cellStyle name="Uwaga 2 19 54 2" xfId="37672"/>
    <cellStyle name="Uwaga 2 19 54 3" xfId="37673"/>
    <cellStyle name="Uwaga 2 19 55" xfId="37674"/>
    <cellStyle name="Uwaga 2 19 55 2" xfId="37675"/>
    <cellStyle name="Uwaga 2 19 55 3" xfId="37676"/>
    <cellStyle name="Uwaga 2 19 56" xfId="37677"/>
    <cellStyle name="Uwaga 2 19 56 2" xfId="37678"/>
    <cellStyle name="Uwaga 2 19 56 3" xfId="37679"/>
    <cellStyle name="Uwaga 2 19 57" xfId="37680"/>
    <cellStyle name="Uwaga 2 19 58" xfId="37681"/>
    <cellStyle name="Uwaga 2 19 6" xfId="37682"/>
    <cellStyle name="Uwaga 2 19 6 2" xfId="37683"/>
    <cellStyle name="Uwaga 2 19 6 3" xfId="37684"/>
    <cellStyle name="Uwaga 2 19 6 4" xfId="37685"/>
    <cellStyle name="Uwaga 2 19 7" xfId="37686"/>
    <cellStyle name="Uwaga 2 19 7 2" xfId="37687"/>
    <cellStyle name="Uwaga 2 19 7 3" xfId="37688"/>
    <cellStyle name="Uwaga 2 19 7 4" xfId="37689"/>
    <cellStyle name="Uwaga 2 19 8" xfId="37690"/>
    <cellStyle name="Uwaga 2 19 8 2" xfId="37691"/>
    <cellStyle name="Uwaga 2 19 8 3" xfId="37692"/>
    <cellStyle name="Uwaga 2 19 8 4" xfId="37693"/>
    <cellStyle name="Uwaga 2 19 9" xfId="37694"/>
    <cellStyle name="Uwaga 2 19 9 2" xfId="37695"/>
    <cellStyle name="Uwaga 2 19 9 3" xfId="37696"/>
    <cellStyle name="Uwaga 2 19 9 4" xfId="37697"/>
    <cellStyle name="Uwaga 2 2" xfId="37698"/>
    <cellStyle name="Uwaga 2 2 10" xfId="37699"/>
    <cellStyle name="Uwaga 2 2 10 2" xfId="37700"/>
    <cellStyle name="Uwaga 2 2 10 3" xfId="37701"/>
    <cellStyle name="Uwaga 2 2 10 4" xfId="37702"/>
    <cellStyle name="Uwaga 2 2 11" xfId="37703"/>
    <cellStyle name="Uwaga 2 2 11 2" xfId="37704"/>
    <cellStyle name="Uwaga 2 2 11 3" xfId="37705"/>
    <cellStyle name="Uwaga 2 2 11 4" xfId="37706"/>
    <cellStyle name="Uwaga 2 2 12" xfId="37707"/>
    <cellStyle name="Uwaga 2 2 12 2" xfId="37708"/>
    <cellStyle name="Uwaga 2 2 12 3" xfId="37709"/>
    <cellStyle name="Uwaga 2 2 12 4" xfId="37710"/>
    <cellStyle name="Uwaga 2 2 13" xfId="37711"/>
    <cellStyle name="Uwaga 2 2 13 2" xfId="37712"/>
    <cellStyle name="Uwaga 2 2 13 3" xfId="37713"/>
    <cellStyle name="Uwaga 2 2 13 4" xfId="37714"/>
    <cellStyle name="Uwaga 2 2 14" xfId="37715"/>
    <cellStyle name="Uwaga 2 2 14 2" xfId="37716"/>
    <cellStyle name="Uwaga 2 2 14 3" xfId="37717"/>
    <cellStyle name="Uwaga 2 2 14 4" xfId="37718"/>
    <cellStyle name="Uwaga 2 2 15" xfId="37719"/>
    <cellStyle name="Uwaga 2 2 15 2" xfId="37720"/>
    <cellStyle name="Uwaga 2 2 15 3" xfId="37721"/>
    <cellStyle name="Uwaga 2 2 15 4" xfId="37722"/>
    <cellStyle name="Uwaga 2 2 16" xfId="37723"/>
    <cellStyle name="Uwaga 2 2 16 2" xfId="37724"/>
    <cellStyle name="Uwaga 2 2 16 3" xfId="37725"/>
    <cellStyle name="Uwaga 2 2 16 4" xfId="37726"/>
    <cellStyle name="Uwaga 2 2 17" xfId="37727"/>
    <cellStyle name="Uwaga 2 2 17 2" xfId="37728"/>
    <cellStyle name="Uwaga 2 2 17 3" xfId="37729"/>
    <cellStyle name="Uwaga 2 2 17 4" xfId="37730"/>
    <cellStyle name="Uwaga 2 2 18" xfId="37731"/>
    <cellStyle name="Uwaga 2 2 18 2" xfId="37732"/>
    <cellStyle name="Uwaga 2 2 18 3" xfId="37733"/>
    <cellStyle name="Uwaga 2 2 18 4" xfId="37734"/>
    <cellStyle name="Uwaga 2 2 19" xfId="37735"/>
    <cellStyle name="Uwaga 2 2 19 2" xfId="37736"/>
    <cellStyle name="Uwaga 2 2 19 3" xfId="37737"/>
    <cellStyle name="Uwaga 2 2 19 4" xfId="37738"/>
    <cellStyle name="Uwaga 2 2 2" xfId="37739"/>
    <cellStyle name="Uwaga 2 2 2 2" xfId="37740"/>
    <cellStyle name="Uwaga 2 2 2 3" xfId="37741"/>
    <cellStyle name="Uwaga 2 2 2 4" xfId="37742"/>
    <cellStyle name="Uwaga 2 2 20" xfId="37743"/>
    <cellStyle name="Uwaga 2 2 20 2" xfId="37744"/>
    <cellStyle name="Uwaga 2 2 20 3" xfId="37745"/>
    <cellStyle name="Uwaga 2 2 20 4" xfId="37746"/>
    <cellStyle name="Uwaga 2 2 21" xfId="37747"/>
    <cellStyle name="Uwaga 2 2 21 2" xfId="37748"/>
    <cellStyle name="Uwaga 2 2 21 3" xfId="37749"/>
    <cellStyle name="Uwaga 2 2 22" xfId="37750"/>
    <cellStyle name="Uwaga 2 2 22 2" xfId="37751"/>
    <cellStyle name="Uwaga 2 2 22 3" xfId="37752"/>
    <cellStyle name="Uwaga 2 2 23" xfId="37753"/>
    <cellStyle name="Uwaga 2 2 23 2" xfId="37754"/>
    <cellStyle name="Uwaga 2 2 23 3" xfId="37755"/>
    <cellStyle name="Uwaga 2 2 24" xfId="37756"/>
    <cellStyle name="Uwaga 2 2 24 2" xfId="37757"/>
    <cellStyle name="Uwaga 2 2 24 3" xfId="37758"/>
    <cellStyle name="Uwaga 2 2 25" xfId="37759"/>
    <cellStyle name="Uwaga 2 2 25 2" xfId="37760"/>
    <cellStyle name="Uwaga 2 2 25 3" xfId="37761"/>
    <cellStyle name="Uwaga 2 2 26" xfId="37762"/>
    <cellStyle name="Uwaga 2 2 26 2" xfId="37763"/>
    <cellStyle name="Uwaga 2 2 26 3" xfId="37764"/>
    <cellStyle name="Uwaga 2 2 27" xfId="37765"/>
    <cellStyle name="Uwaga 2 2 27 2" xfId="37766"/>
    <cellStyle name="Uwaga 2 2 27 3" xfId="37767"/>
    <cellStyle name="Uwaga 2 2 28" xfId="37768"/>
    <cellStyle name="Uwaga 2 2 28 2" xfId="37769"/>
    <cellStyle name="Uwaga 2 2 28 3" xfId="37770"/>
    <cellStyle name="Uwaga 2 2 29" xfId="37771"/>
    <cellStyle name="Uwaga 2 2 29 2" xfId="37772"/>
    <cellStyle name="Uwaga 2 2 29 3" xfId="37773"/>
    <cellStyle name="Uwaga 2 2 3" xfId="37774"/>
    <cellStyle name="Uwaga 2 2 3 2" xfId="37775"/>
    <cellStyle name="Uwaga 2 2 3 3" xfId="37776"/>
    <cellStyle name="Uwaga 2 2 3 4" xfId="37777"/>
    <cellStyle name="Uwaga 2 2 30" xfId="37778"/>
    <cellStyle name="Uwaga 2 2 30 2" xfId="37779"/>
    <cellStyle name="Uwaga 2 2 30 3" xfId="37780"/>
    <cellStyle name="Uwaga 2 2 31" xfId="37781"/>
    <cellStyle name="Uwaga 2 2 31 2" xfId="37782"/>
    <cellStyle name="Uwaga 2 2 31 3" xfId="37783"/>
    <cellStyle name="Uwaga 2 2 32" xfId="37784"/>
    <cellStyle name="Uwaga 2 2 32 2" xfId="37785"/>
    <cellStyle name="Uwaga 2 2 32 3" xfId="37786"/>
    <cellStyle name="Uwaga 2 2 33" xfId="37787"/>
    <cellStyle name="Uwaga 2 2 33 2" xfId="37788"/>
    <cellStyle name="Uwaga 2 2 33 3" xfId="37789"/>
    <cellStyle name="Uwaga 2 2 34" xfId="37790"/>
    <cellStyle name="Uwaga 2 2 34 2" xfId="37791"/>
    <cellStyle name="Uwaga 2 2 34 3" xfId="37792"/>
    <cellStyle name="Uwaga 2 2 35" xfId="37793"/>
    <cellStyle name="Uwaga 2 2 35 2" xfId="37794"/>
    <cellStyle name="Uwaga 2 2 35 3" xfId="37795"/>
    <cellStyle name="Uwaga 2 2 36" xfId="37796"/>
    <cellStyle name="Uwaga 2 2 36 2" xfId="37797"/>
    <cellStyle name="Uwaga 2 2 36 3" xfId="37798"/>
    <cellStyle name="Uwaga 2 2 37" xfId="37799"/>
    <cellStyle name="Uwaga 2 2 37 2" xfId="37800"/>
    <cellStyle name="Uwaga 2 2 37 3" xfId="37801"/>
    <cellStyle name="Uwaga 2 2 38" xfId="37802"/>
    <cellStyle name="Uwaga 2 2 38 2" xfId="37803"/>
    <cellStyle name="Uwaga 2 2 38 3" xfId="37804"/>
    <cellStyle name="Uwaga 2 2 39" xfId="37805"/>
    <cellStyle name="Uwaga 2 2 39 2" xfId="37806"/>
    <cellStyle name="Uwaga 2 2 39 3" xfId="37807"/>
    <cellStyle name="Uwaga 2 2 4" xfId="37808"/>
    <cellStyle name="Uwaga 2 2 4 2" xfId="37809"/>
    <cellStyle name="Uwaga 2 2 4 3" xfId="37810"/>
    <cellStyle name="Uwaga 2 2 4 4" xfId="37811"/>
    <cellStyle name="Uwaga 2 2 40" xfId="37812"/>
    <cellStyle name="Uwaga 2 2 40 2" xfId="37813"/>
    <cellStyle name="Uwaga 2 2 40 3" xfId="37814"/>
    <cellStyle name="Uwaga 2 2 41" xfId="37815"/>
    <cellStyle name="Uwaga 2 2 41 2" xfId="37816"/>
    <cellStyle name="Uwaga 2 2 41 3" xfId="37817"/>
    <cellStyle name="Uwaga 2 2 42" xfId="37818"/>
    <cellStyle name="Uwaga 2 2 42 2" xfId="37819"/>
    <cellStyle name="Uwaga 2 2 42 3" xfId="37820"/>
    <cellStyle name="Uwaga 2 2 43" xfId="37821"/>
    <cellStyle name="Uwaga 2 2 43 2" xfId="37822"/>
    <cellStyle name="Uwaga 2 2 43 3" xfId="37823"/>
    <cellStyle name="Uwaga 2 2 44" xfId="37824"/>
    <cellStyle name="Uwaga 2 2 44 2" xfId="37825"/>
    <cellStyle name="Uwaga 2 2 44 3" xfId="37826"/>
    <cellStyle name="Uwaga 2 2 45" xfId="37827"/>
    <cellStyle name="Uwaga 2 2 45 2" xfId="37828"/>
    <cellStyle name="Uwaga 2 2 45 3" xfId="37829"/>
    <cellStyle name="Uwaga 2 2 46" xfId="37830"/>
    <cellStyle name="Uwaga 2 2 46 2" xfId="37831"/>
    <cellStyle name="Uwaga 2 2 46 3" xfId="37832"/>
    <cellStyle name="Uwaga 2 2 47" xfId="37833"/>
    <cellStyle name="Uwaga 2 2 47 2" xfId="37834"/>
    <cellStyle name="Uwaga 2 2 47 3" xfId="37835"/>
    <cellStyle name="Uwaga 2 2 48" xfId="37836"/>
    <cellStyle name="Uwaga 2 2 48 2" xfId="37837"/>
    <cellStyle name="Uwaga 2 2 48 3" xfId="37838"/>
    <cellStyle name="Uwaga 2 2 49" xfId="37839"/>
    <cellStyle name="Uwaga 2 2 49 2" xfId="37840"/>
    <cellStyle name="Uwaga 2 2 49 3" xfId="37841"/>
    <cellStyle name="Uwaga 2 2 5" xfId="37842"/>
    <cellStyle name="Uwaga 2 2 5 2" xfId="37843"/>
    <cellStyle name="Uwaga 2 2 5 3" xfId="37844"/>
    <cellStyle name="Uwaga 2 2 5 4" xfId="37845"/>
    <cellStyle name="Uwaga 2 2 50" xfId="37846"/>
    <cellStyle name="Uwaga 2 2 50 2" xfId="37847"/>
    <cellStyle name="Uwaga 2 2 50 3" xfId="37848"/>
    <cellStyle name="Uwaga 2 2 51" xfId="37849"/>
    <cellStyle name="Uwaga 2 2 51 2" xfId="37850"/>
    <cellStyle name="Uwaga 2 2 51 3" xfId="37851"/>
    <cellStyle name="Uwaga 2 2 52" xfId="37852"/>
    <cellStyle name="Uwaga 2 2 52 2" xfId="37853"/>
    <cellStyle name="Uwaga 2 2 52 3" xfId="37854"/>
    <cellStyle name="Uwaga 2 2 53" xfId="37855"/>
    <cellStyle name="Uwaga 2 2 53 2" xfId="37856"/>
    <cellStyle name="Uwaga 2 2 53 3" xfId="37857"/>
    <cellStyle name="Uwaga 2 2 54" xfId="37858"/>
    <cellStyle name="Uwaga 2 2 54 2" xfId="37859"/>
    <cellStyle name="Uwaga 2 2 54 3" xfId="37860"/>
    <cellStyle name="Uwaga 2 2 55" xfId="37861"/>
    <cellStyle name="Uwaga 2 2 55 2" xfId="37862"/>
    <cellStyle name="Uwaga 2 2 55 3" xfId="37863"/>
    <cellStyle name="Uwaga 2 2 56" xfId="37864"/>
    <cellStyle name="Uwaga 2 2 56 2" xfId="37865"/>
    <cellStyle name="Uwaga 2 2 56 3" xfId="37866"/>
    <cellStyle name="Uwaga 2 2 57" xfId="37867"/>
    <cellStyle name="Uwaga 2 2 58" xfId="37868"/>
    <cellStyle name="Uwaga 2 2 59" xfId="37869"/>
    <cellStyle name="Uwaga 2 2 6" xfId="37870"/>
    <cellStyle name="Uwaga 2 2 6 2" xfId="37871"/>
    <cellStyle name="Uwaga 2 2 6 3" xfId="37872"/>
    <cellStyle name="Uwaga 2 2 6 4" xfId="37873"/>
    <cellStyle name="Uwaga 2 2 7" xfId="37874"/>
    <cellStyle name="Uwaga 2 2 7 2" xfId="37875"/>
    <cellStyle name="Uwaga 2 2 7 3" xfId="37876"/>
    <cellStyle name="Uwaga 2 2 7 4" xfId="37877"/>
    <cellStyle name="Uwaga 2 2 8" xfId="37878"/>
    <cellStyle name="Uwaga 2 2 8 2" xfId="37879"/>
    <cellStyle name="Uwaga 2 2 8 3" xfId="37880"/>
    <cellStyle name="Uwaga 2 2 8 4" xfId="37881"/>
    <cellStyle name="Uwaga 2 2 9" xfId="37882"/>
    <cellStyle name="Uwaga 2 2 9 2" xfId="37883"/>
    <cellStyle name="Uwaga 2 2 9 3" xfId="37884"/>
    <cellStyle name="Uwaga 2 2 9 4" xfId="37885"/>
    <cellStyle name="Uwaga 2 20" xfId="37886"/>
    <cellStyle name="Uwaga 2 20 10" xfId="37887"/>
    <cellStyle name="Uwaga 2 20 10 2" xfId="37888"/>
    <cellStyle name="Uwaga 2 20 10 3" xfId="37889"/>
    <cellStyle name="Uwaga 2 20 10 4" xfId="37890"/>
    <cellStyle name="Uwaga 2 20 11" xfId="37891"/>
    <cellStyle name="Uwaga 2 20 11 2" xfId="37892"/>
    <cellStyle name="Uwaga 2 20 11 3" xfId="37893"/>
    <cellStyle name="Uwaga 2 20 11 4" xfId="37894"/>
    <cellStyle name="Uwaga 2 20 12" xfId="37895"/>
    <cellStyle name="Uwaga 2 20 12 2" xfId="37896"/>
    <cellStyle name="Uwaga 2 20 12 3" xfId="37897"/>
    <cellStyle name="Uwaga 2 20 12 4" xfId="37898"/>
    <cellStyle name="Uwaga 2 20 13" xfId="37899"/>
    <cellStyle name="Uwaga 2 20 13 2" xfId="37900"/>
    <cellStyle name="Uwaga 2 20 13 3" xfId="37901"/>
    <cellStyle name="Uwaga 2 20 13 4" xfId="37902"/>
    <cellStyle name="Uwaga 2 20 14" xfId="37903"/>
    <cellStyle name="Uwaga 2 20 14 2" xfId="37904"/>
    <cellStyle name="Uwaga 2 20 14 3" xfId="37905"/>
    <cellStyle name="Uwaga 2 20 14 4" xfId="37906"/>
    <cellStyle name="Uwaga 2 20 15" xfId="37907"/>
    <cellStyle name="Uwaga 2 20 15 2" xfId="37908"/>
    <cellStyle name="Uwaga 2 20 15 3" xfId="37909"/>
    <cellStyle name="Uwaga 2 20 15 4" xfId="37910"/>
    <cellStyle name="Uwaga 2 20 16" xfId="37911"/>
    <cellStyle name="Uwaga 2 20 16 2" xfId="37912"/>
    <cellStyle name="Uwaga 2 20 16 3" xfId="37913"/>
    <cellStyle name="Uwaga 2 20 16 4" xfId="37914"/>
    <cellStyle name="Uwaga 2 20 17" xfId="37915"/>
    <cellStyle name="Uwaga 2 20 17 2" xfId="37916"/>
    <cellStyle name="Uwaga 2 20 17 3" xfId="37917"/>
    <cellStyle name="Uwaga 2 20 17 4" xfId="37918"/>
    <cellStyle name="Uwaga 2 20 18" xfId="37919"/>
    <cellStyle name="Uwaga 2 20 18 2" xfId="37920"/>
    <cellStyle name="Uwaga 2 20 18 3" xfId="37921"/>
    <cellStyle name="Uwaga 2 20 18 4" xfId="37922"/>
    <cellStyle name="Uwaga 2 20 19" xfId="37923"/>
    <cellStyle name="Uwaga 2 20 19 2" xfId="37924"/>
    <cellStyle name="Uwaga 2 20 19 3" xfId="37925"/>
    <cellStyle name="Uwaga 2 20 19 4" xfId="37926"/>
    <cellStyle name="Uwaga 2 20 2" xfId="37927"/>
    <cellStyle name="Uwaga 2 20 2 2" xfId="37928"/>
    <cellStyle name="Uwaga 2 20 2 3" xfId="37929"/>
    <cellStyle name="Uwaga 2 20 2 4" xfId="37930"/>
    <cellStyle name="Uwaga 2 20 20" xfId="37931"/>
    <cellStyle name="Uwaga 2 20 20 2" xfId="37932"/>
    <cellStyle name="Uwaga 2 20 20 3" xfId="37933"/>
    <cellStyle name="Uwaga 2 20 20 4" xfId="37934"/>
    <cellStyle name="Uwaga 2 20 21" xfId="37935"/>
    <cellStyle name="Uwaga 2 20 21 2" xfId="37936"/>
    <cellStyle name="Uwaga 2 20 21 3" xfId="37937"/>
    <cellStyle name="Uwaga 2 20 22" xfId="37938"/>
    <cellStyle name="Uwaga 2 20 22 2" xfId="37939"/>
    <cellStyle name="Uwaga 2 20 22 3" xfId="37940"/>
    <cellStyle name="Uwaga 2 20 23" xfId="37941"/>
    <cellStyle name="Uwaga 2 20 23 2" xfId="37942"/>
    <cellStyle name="Uwaga 2 20 23 3" xfId="37943"/>
    <cellStyle name="Uwaga 2 20 24" xfId="37944"/>
    <cellStyle name="Uwaga 2 20 24 2" xfId="37945"/>
    <cellStyle name="Uwaga 2 20 24 3" xfId="37946"/>
    <cellStyle name="Uwaga 2 20 25" xfId="37947"/>
    <cellStyle name="Uwaga 2 20 25 2" xfId="37948"/>
    <cellStyle name="Uwaga 2 20 25 3" xfId="37949"/>
    <cellStyle name="Uwaga 2 20 26" xfId="37950"/>
    <cellStyle name="Uwaga 2 20 26 2" xfId="37951"/>
    <cellStyle name="Uwaga 2 20 26 3" xfId="37952"/>
    <cellStyle name="Uwaga 2 20 27" xfId="37953"/>
    <cellStyle name="Uwaga 2 20 27 2" xfId="37954"/>
    <cellStyle name="Uwaga 2 20 27 3" xfId="37955"/>
    <cellStyle name="Uwaga 2 20 28" xfId="37956"/>
    <cellStyle name="Uwaga 2 20 28 2" xfId="37957"/>
    <cellStyle name="Uwaga 2 20 28 3" xfId="37958"/>
    <cellStyle name="Uwaga 2 20 29" xfId="37959"/>
    <cellStyle name="Uwaga 2 20 29 2" xfId="37960"/>
    <cellStyle name="Uwaga 2 20 29 3" xfId="37961"/>
    <cellStyle name="Uwaga 2 20 3" xfId="37962"/>
    <cellStyle name="Uwaga 2 20 3 2" xfId="37963"/>
    <cellStyle name="Uwaga 2 20 3 3" xfId="37964"/>
    <cellStyle name="Uwaga 2 20 3 4" xfId="37965"/>
    <cellStyle name="Uwaga 2 20 30" xfId="37966"/>
    <cellStyle name="Uwaga 2 20 30 2" xfId="37967"/>
    <cellStyle name="Uwaga 2 20 30 3" xfId="37968"/>
    <cellStyle name="Uwaga 2 20 31" xfId="37969"/>
    <cellStyle name="Uwaga 2 20 31 2" xfId="37970"/>
    <cellStyle name="Uwaga 2 20 31 3" xfId="37971"/>
    <cellStyle name="Uwaga 2 20 32" xfId="37972"/>
    <cellStyle name="Uwaga 2 20 32 2" xfId="37973"/>
    <cellStyle name="Uwaga 2 20 32 3" xfId="37974"/>
    <cellStyle name="Uwaga 2 20 33" xfId="37975"/>
    <cellStyle name="Uwaga 2 20 33 2" xfId="37976"/>
    <cellStyle name="Uwaga 2 20 33 3" xfId="37977"/>
    <cellStyle name="Uwaga 2 20 34" xfId="37978"/>
    <cellStyle name="Uwaga 2 20 34 2" xfId="37979"/>
    <cellStyle name="Uwaga 2 20 34 3" xfId="37980"/>
    <cellStyle name="Uwaga 2 20 35" xfId="37981"/>
    <cellStyle name="Uwaga 2 20 35 2" xfId="37982"/>
    <cellStyle name="Uwaga 2 20 35 3" xfId="37983"/>
    <cellStyle name="Uwaga 2 20 36" xfId="37984"/>
    <cellStyle name="Uwaga 2 20 36 2" xfId="37985"/>
    <cellStyle name="Uwaga 2 20 36 3" xfId="37986"/>
    <cellStyle name="Uwaga 2 20 37" xfId="37987"/>
    <cellStyle name="Uwaga 2 20 37 2" xfId="37988"/>
    <cellStyle name="Uwaga 2 20 37 3" xfId="37989"/>
    <cellStyle name="Uwaga 2 20 38" xfId="37990"/>
    <cellStyle name="Uwaga 2 20 38 2" xfId="37991"/>
    <cellStyle name="Uwaga 2 20 38 3" xfId="37992"/>
    <cellStyle name="Uwaga 2 20 39" xfId="37993"/>
    <cellStyle name="Uwaga 2 20 39 2" xfId="37994"/>
    <cellStyle name="Uwaga 2 20 39 3" xfId="37995"/>
    <cellStyle name="Uwaga 2 20 4" xfId="37996"/>
    <cellStyle name="Uwaga 2 20 4 2" xfId="37997"/>
    <cellStyle name="Uwaga 2 20 4 3" xfId="37998"/>
    <cellStyle name="Uwaga 2 20 4 4" xfId="37999"/>
    <cellStyle name="Uwaga 2 20 40" xfId="38000"/>
    <cellStyle name="Uwaga 2 20 40 2" xfId="38001"/>
    <cellStyle name="Uwaga 2 20 40 3" xfId="38002"/>
    <cellStyle name="Uwaga 2 20 41" xfId="38003"/>
    <cellStyle name="Uwaga 2 20 41 2" xfId="38004"/>
    <cellStyle name="Uwaga 2 20 41 3" xfId="38005"/>
    <cellStyle name="Uwaga 2 20 42" xfId="38006"/>
    <cellStyle name="Uwaga 2 20 42 2" xfId="38007"/>
    <cellStyle name="Uwaga 2 20 42 3" xfId="38008"/>
    <cellStyle name="Uwaga 2 20 43" xfId="38009"/>
    <cellStyle name="Uwaga 2 20 43 2" xfId="38010"/>
    <cellStyle name="Uwaga 2 20 43 3" xfId="38011"/>
    <cellStyle name="Uwaga 2 20 44" xfId="38012"/>
    <cellStyle name="Uwaga 2 20 44 2" xfId="38013"/>
    <cellStyle name="Uwaga 2 20 44 3" xfId="38014"/>
    <cellStyle name="Uwaga 2 20 45" xfId="38015"/>
    <cellStyle name="Uwaga 2 20 45 2" xfId="38016"/>
    <cellStyle name="Uwaga 2 20 45 3" xfId="38017"/>
    <cellStyle name="Uwaga 2 20 46" xfId="38018"/>
    <cellStyle name="Uwaga 2 20 46 2" xfId="38019"/>
    <cellStyle name="Uwaga 2 20 46 3" xfId="38020"/>
    <cellStyle name="Uwaga 2 20 47" xfId="38021"/>
    <cellStyle name="Uwaga 2 20 47 2" xfId="38022"/>
    <cellStyle name="Uwaga 2 20 47 3" xfId="38023"/>
    <cellStyle name="Uwaga 2 20 48" xfId="38024"/>
    <cellStyle name="Uwaga 2 20 48 2" xfId="38025"/>
    <cellStyle name="Uwaga 2 20 48 3" xfId="38026"/>
    <cellStyle name="Uwaga 2 20 49" xfId="38027"/>
    <cellStyle name="Uwaga 2 20 49 2" xfId="38028"/>
    <cellStyle name="Uwaga 2 20 49 3" xfId="38029"/>
    <cellStyle name="Uwaga 2 20 5" xfId="38030"/>
    <cellStyle name="Uwaga 2 20 5 2" xfId="38031"/>
    <cellStyle name="Uwaga 2 20 5 3" xfId="38032"/>
    <cellStyle name="Uwaga 2 20 5 4" xfId="38033"/>
    <cellStyle name="Uwaga 2 20 50" xfId="38034"/>
    <cellStyle name="Uwaga 2 20 50 2" xfId="38035"/>
    <cellStyle name="Uwaga 2 20 50 3" xfId="38036"/>
    <cellStyle name="Uwaga 2 20 51" xfId="38037"/>
    <cellStyle name="Uwaga 2 20 51 2" xfId="38038"/>
    <cellStyle name="Uwaga 2 20 51 3" xfId="38039"/>
    <cellStyle name="Uwaga 2 20 52" xfId="38040"/>
    <cellStyle name="Uwaga 2 20 52 2" xfId="38041"/>
    <cellStyle name="Uwaga 2 20 52 3" xfId="38042"/>
    <cellStyle name="Uwaga 2 20 53" xfId="38043"/>
    <cellStyle name="Uwaga 2 20 53 2" xfId="38044"/>
    <cellStyle name="Uwaga 2 20 53 3" xfId="38045"/>
    <cellStyle name="Uwaga 2 20 54" xfId="38046"/>
    <cellStyle name="Uwaga 2 20 54 2" xfId="38047"/>
    <cellStyle name="Uwaga 2 20 54 3" xfId="38048"/>
    <cellStyle name="Uwaga 2 20 55" xfId="38049"/>
    <cellStyle name="Uwaga 2 20 55 2" xfId="38050"/>
    <cellStyle name="Uwaga 2 20 55 3" xfId="38051"/>
    <cellStyle name="Uwaga 2 20 56" xfId="38052"/>
    <cellStyle name="Uwaga 2 20 56 2" xfId="38053"/>
    <cellStyle name="Uwaga 2 20 56 3" xfId="38054"/>
    <cellStyle name="Uwaga 2 20 57" xfId="38055"/>
    <cellStyle name="Uwaga 2 20 58" xfId="38056"/>
    <cellStyle name="Uwaga 2 20 6" xfId="38057"/>
    <cellStyle name="Uwaga 2 20 6 2" xfId="38058"/>
    <cellStyle name="Uwaga 2 20 6 3" xfId="38059"/>
    <cellStyle name="Uwaga 2 20 6 4" xfId="38060"/>
    <cellStyle name="Uwaga 2 20 7" xfId="38061"/>
    <cellStyle name="Uwaga 2 20 7 2" xfId="38062"/>
    <cellStyle name="Uwaga 2 20 7 3" xfId="38063"/>
    <cellStyle name="Uwaga 2 20 7 4" xfId="38064"/>
    <cellStyle name="Uwaga 2 20 8" xfId="38065"/>
    <cellStyle name="Uwaga 2 20 8 2" xfId="38066"/>
    <cellStyle name="Uwaga 2 20 8 3" xfId="38067"/>
    <cellStyle name="Uwaga 2 20 8 4" xfId="38068"/>
    <cellStyle name="Uwaga 2 20 9" xfId="38069"/>
    <cellStyle name="Uwaga 2 20 9 2" xfId="38070"/>
    <cellStyle name="Uwaga 2 20 9 3" xfId="38071"/>
    <cellStyle name="Uwaga 2 20 9 4" xfId="38072"/>
    <cellStyle name="Uwaga 2 21" xfId="38073"/>
    <cellStyle name="Uwaga 2 21 10" xfId="38074"/>
    <cellStyle name="Uwaga 2 21 10 2" xfId="38075"/>
    <cellStyle name="Uwaga 2 21 10 3" xfId="38076"/>
    <cellStyle name="Uwaga 2 21 10 4" xfId="38077"/>
    <cellStyle name="Uwaga 2 21 11" xfId="38078"/>
    <cellStyle name="Uwaga 2 21 11 2" xfId="38079"/>
    <cellStyle name="Uwaga 2 21 11 3" xfId="38080"/>
    <cellStyle name="Uwaga 2 21 11 4" xfId="38081"/>
    <cellStyle name="Uwaga 2 21 12" xfId="38082"/>
    <cellStyle name="Uwaga 2 21 12 2" xfId="38083"/>
    <cellStyle name="Uwaga 2 21 12 3" xfId="38084"/>
    <cellStyle name="Uwaga 2 21 12 4" xfId="38085"/>
    <cellStyle name="Uwaga 2 21 13" xfId="38086"/>
    <cellStyle name="Uwaga 2 21 13 2" xfId="38087"/>
    <cellStyle name="Uwaga 2 21 13 3" xfId="38088"/>
    <cellStyle name="Uwaga 2 21 13 4" xfId="38089"/>
    <cellStyle name="Uwaga 2 21 14" xfId="38090"/>
    <cellStyle name="Uwaga 2 21 14 2" xfId="38091"/>
    <cellStyle name="Uwaga 2 21 14 3" xfId="38092"/>
    <cellStyle name="Uwaga 2 21 14 4" xfId="38093"/>
    <cellStyle name="Uwaga 2 21 15" xfId="38094"/>
    <cellStyle name="Uwaga 2 21 15 2" xfId="38095"/>
    <cellStyle name="Uwaga 2 21 15 3" xfId="38096"/>
    <cellStyle name="Uwaga 2 21 15 4" xfId="38097"/>
    <cellStyle name="Uwaga 2 21 16" xfId="38098"/>
    <cellStyle name="Uwaga 2 21 16 2" xfId="38099"/>
    <cellStyle name="Uwaga 2 21 16 3" xfId="38100"/>
    <cellStyle name="Uwaga 2 21 16 4" xfId="38101"/>
    <cellStyle name="Uwaga 2 21 17" xfId="38102"/>
    <cellStyle name="Uwaga 2 21 17 2" xfId="38103"/>
    <cellStyle name="Uwaga 2 21 17 3" xfId="38104"/>
    <cellStyle name="Uwaga 2 21 17 4" xfId="38105"/>
    <cellStyle name="Uwaga 2 21 18" xfId="38106"/>
    <cellStyle name="Uwaga 2 21 18 2" xfId="38107"/>
    <cellStyle name="Uwaga 2 21 18 3" xfId="38108"/>
    <cellStyle name="Uwaga 2 21 18 4" xfId="38109"/>
    <cellStyle name="Uwaga 2 21 19" xfId="38110"/>
    <cellStyle name="Uwaga 2 21 19 2" xfId="38111"/>
    <cellStyle name="Uwaga 2 21 19 3" xfId="38112"/>
    <cellStyle name="Uwaga 2 21 19 4" xfId="38113"/>
    <cellStyle name="Uwaga 2 21 2" xfId="38114"/>
    <cellStyle name="Uwaga 2 21 2 2" xfId="38115"/>
    <cellStyle name="Uwaga 2 21 2 3" xfId="38116"/>
    <cellStyle name="Uwaga 2 21 2 4" xfId="38117"/>
    <cellStyle name="Uwaga 2 21 20" xfId="38118"/>
    <cellStyle name="Uwaga 2 21 20 2" xfId="38119"/>
    <cellStyle name="Uwaga 2 21 20 3" xfId="38120"/>
    <cellStyle name="Uwaga 2 21 20 4" xfId="38121"/>
    <cellStyle name="Uwaga 2 21 21" xfId="38122"/>
    <cellStyle name="Uwaga 2 21 21 2" xfId="38123"/>
    <cellStyle name="Uwaga 2 21 21 3" xfId="38124"/>
    <cellStyle name="Uwaga 2 21 22" xfId="38125"/>
    <cellStyle name="Uwaga 2 21 22 2" xfId="38126"/>
    <cellStyle name="Uwaga 2 21 22 3" xfId="38127"/>
    <cellStyle name="Uwaga 2 21 23" xfId="38128"/>
    <cellStyle name="Uwaga 2 21 23 2" xfId="38129"/>
    <cellStyle name="Uwaga 2 21 23 3" xfId="38130"/>
    <cellStyle name="Uwaga 2 21 24" xfId="38131"/>
    <cellStyle name="Uwaga 2 21 24 2" xfId="38132"/>
    <cellStyle name="Uwaga 2 21 24 3" xfId="38133"/>
    <cellStyle name="Uwaga 2 21 25" xfId="38134"/>
    <cellStyle name="Uwaga 2 21 25 2" xfId="38135"/>
    <cellStyle name="Uwaga 2 21 25 3" xfId="38136"/>
    <cellStyle name="Uwaga 2 21 26" xfId="38137"/>
    <cellStyle name="Uwaga 2 21 26 2" xfId="38138"/>
    <cellStyle name="Uwaga 2 21 26 3" xfId="38139"/>
    <cellStyle name="Uwaga 2 21 27" xfId="38140"/>
    <cellStyle name="Uwaga 2 21 27 2" xfId="38141"/>
    <cellStyle name="Uwaga 2 21 27 3" xfId="38142"/>
    <cellStyle name="Uwaga 2 21 28" xfId="38143"/>
    <cellStyle name="Uwaga 2 21 28 2" xfId="38144"/>
    <cellStyle name="Uwaga 2 21 28 3" xfId="38145"/>
    <cellStyle name="Uwaga 2 21 29" xfId="38146"/>
    <cellStyle name="Uwaga 2 21 29 2" xfId="38147"/>
    <cellStyle name="Uwaga 2 21 29 3" xfId="38148"/>
    <cellStyle name="Uwaga 2 21 3" xfId="38149"/>
    <cellStyle name="Uwaga 2 21 3 2" xfId="38150"/>
    <cellStyle name="Uwaga 2 21 3 3" xfId="38151"/>
    <cellStyle name="Uwaga 2 21 3 4" xfId="38152"/>
    <cellStyle name="Uwaga 2 21 30" xfId="38153"/>
    <cellStyle name="Uwaga 2 21 30 2" xfId="38154"/>
    <cellStyle name="Uwaga 2 21 30 3" xfId="38155"/>
    <cellStyle name="Uwaga 2 21 31" xfId="38156"/>
    <cellStyle name="Uwaga 2 21 31 2" xfId="38157"/>
    <cellStyle name="Uwaga 2 21 31 3" xfId="38158"/>
    <cellStyle name="Uwaga 2 21 32" xfId="38159"/>
    <cellStyle name="Uwaga 2 21 32 2" xfId="38160"/>
    <cellStyle name="Uwaga 2 21 32 3" xfId="38161"/>
    <cellStyle name="Uwaga 2 21 33" xfId="38162"/>
    <cellStyle name="Uwaga 2 21 33 2" xfId="38163"/>
    <cellStyle name="Uwaga 2 21 33 3" xfId="38164"/>
    <cellStyle name="Uwaga 2 21 34" xfId="38165"/>
    <cellStyle name="Uwaga 2 21 34 2" xfId="38166"/>
    <cellStyle name="Uwaga 2 21 34 3" xfId="38167"/>
    <cellStyle name="Uwaga 2 21 35" xfId="38168"/>
    <cellStyle name="Uwaga 2 21 35 2" xfId="38169"/>
    <cellStyle name="Uwaga 2 21 35 3" xfId="38170"/>
    <cellStyle name="Uwaga 2 21 36" xfId="38171"/>
    <cellStyle name="Uwaga 2 21 36 2" xfId="38172"/>
    <cellStyle name="Uwaga 2 21 36 3" xfId="38173"/>
    <cellStyle name="Uwaga 2 21 37" xfId="38174"/>
    <cellStyle name="Uwaga 2 21 37 2" xfId="38175"/>
    <cellStyle name="Uwaga 2 21 37 3" xfId="38176"/>
    <cellStyle name="Uwaga 2 21 38" xfId="38177"/>
    <cellStyle name="Uwaga 2 21 38 2" xfId="38178"/>
    <cellStyle name="Uwaga 2 21 38 3" xfId="38179"/>
    <cellStyle name="Uwaga 2 21 39" xfId="38180"/>
    <cellStyle name="Uwaga 2 21 39 2" xfId="38181"/>
    <cellStyle name="Uwaga 2 21 39 3" xfId="38182"/>
    <cellStyle name="Uwaga 2 21 4" xfId="38183"/>
    <cellStyle name="Uwaga 2 21 4 2" xfId="38184"/>
    <cellStyle name="Uwaga 2 21 4 3" xfId="38185"/>
    <cellStyle name="Uwaga 2 21 4 4" xfId="38186"/>
    <cellStyle name="Uwaga 2 21 40" xfId="38187"/>
    <cellStyle name="Uwaga 2 21 40 2" xfId="38188"/>
    <cellStyle name="Uwaga 2 21 40 3" xfId="38189"/>
    <cellStyle name="Uwaga 2 21 41" xfId="38190"/>
    <cellStyle name="Uwaga 2 21 41 2" xfId="38191"/>
    <cellStyle name="Uwaga 2 21 41 3" xfId="38192"/>
    <cellStyle name="Uwaga 2 21 42" xfId="38193"/>
    <cellStyle name="Uwaga 2 21 42 2" xfId="38194"/>
    <cellStyle name="Uwaga 2 21 42 3" xfId="38195"/>
    <cellStyle name="Uwaga 2 21 43" xfId="38196"/>
    <cellStyle name="Uwaga 2 21 43 2" xfId="38197"/>
    <cellStyle name="Uwaga 2 21 43 3" xfId="38198"/>
    <cellStyle name="Uwaga 2 21 44" xfId="38199"/>
    <cellStyle name="Uwaga 2 21 44 2" xfId="38200"/>
    <cellStyle name="Uwaga 2 21 44 3" xfId="38201"/>
    <cellStyle name="Uwaga 2 21 45" xfId="38202"/>
    <cellStyle name="Uwaga 2 21 45 2" xfId="38203"/>
    <cellStyle name="Uwaga 2 21 45 3" xfId="38204"/>
    <cellStyle name="Uwaga 2 21 46" xfId="38205"/>
    <cellStyle name="Uwaga 2 21 46 2" xfId="38206"/>
    <cellStyle name="Uwaga 2 21 46 3" xfId="38207"/>
    <cellStyle name="Uwaga 2 21 47" xfId="38208"/>
    <cellStyle name="Uwaga 2 21 47 2" xfId="38209"/>
    <cellStyle name="Uwaga 2 21 47 3" xfId="38210"/>
    <cellStyle name="Uwaga 2 21 48" xfId="38211"/>
    <cellStyle name="Uwaga 2 21 48 2" xfId="38212"/>
    <cellStyle name="Uwaga 2 21 48 3" xfId="38213"/>
    <cellStyle name="Uwaga 2 21 49" xfId="38214"/>
    <cellStyle name="Uwaga 2 21 49 2" xfId="38215"/>
    <cellStyle name="Uwaga 2 21 49 3" xfId="38216"/>
    <cellStyle name="Uwaga 2 21 5" xfId="38217"/>
    <cellStyle name="Uwaga 2 21 5 2" xfId="38218"/>
    <cellStyle name="Uwaga 2 21 5 3" xfId="38219"/>
    <cellStyle name="Uwaga 2 21 5 4" xfId="38220"/>
    <cellStyle name="Uwaga 2 21 50" xfId="38221"/>
    <cellStyle name="Uwaga 2 21 50 2" xfId="38222"/>
    <cellStyle name="Uwaga 2 21 50 3" xfId="38223"/>
    <cellStyle name="Uwaga 2 21 51" xfId="38224"/>
    <cellStyle name="Uwaga 2 21 51 2" xfId="38225"/>
    <cellStyle name="Uwaga 2 21 51 3" xfId="38226"/>
    <cellStyle name="Uwaga 2 21 52" xfId="38227"/>
    <cellStyle name="Uwaga 2 21 52 2" xfId="38228"/>
    <cellStyle name="Uwaga 2 21 52 3" xfId="38229"/>
    <cellStyle name="Uwaga 2 21 53" xfId="38230"/>
    <cellStyle name="Uwaga 2 21 53 2" xfId="38231"/>
    <cellStyle name="Uwaga 2 21 53 3" xfId="38232"/>
    <cellStyle name="Uwaga 2 21 54" xfId="38233"/>
    <cellStyle name="Uwaga 2 21 54 2" xfId="38234"/>
    <cellStyle name="Uwaga 2 21 54 3" xfId="38235"/>
    <cellStyle name="Uwaga 2 21 55" xfId="38236"/>
    <cellStyle name="Uwaga 2 21 55 2" xfId="38237"/>
    <cellStyle name="Uwaga 2 21 55 3" xfId="38238"/>
    <cellStyle name="Uwaga 2 21 56" xfId="38239"/>
    <cellStyle name="Uwaga 2 21 56 2" xfId="38240"/>
    <cellStyle name="Uwaga 2 21 56 3" xfId="38241"/>
    <cellStyle name="Uwaga 2 21 57" xfId="38242"/>
    <cellStyle name="Uwaga 2 21 58" xfId="38243"/>
    <cellStyle name="Uwaga 2 21 6" xfId="38244"/>
    <cellStyle name="Uwaga 2 21 6 2" xfId="38245"/>
    <cellStyle name="Uwaga 2 21 6 3" xfId="38246"/>
    <cellStyle name="Uwaga 2 21 6 4" xfId="38247"/>
    <cellStyle name="Uwaga 2 21 7" xfId="38248"/>
    <cellStyle name="Uwaga 2 21 7 2" xfId="38249"/>
    <cellStyle name="Uwaga 2 21 7 3" xfId="38250"/>
    <cellStyle name="Uwaga 2 21 7 4" xfId="38251"/>
    <cellStyle name="Uwaga 2 21 8" xfId="38252"/>
    <cellStyle name="Uwaga 2 21 8 2" xfId="38253"/>
    <cellStyle name="Uwaga 2 21 8 3" xfId="38254"/>
    <cellStyle name="Uwaga 2 21 8 4" xfId="38255"/>
    <cellStyle name="Uwaga 2 21 9" xfId="38256"/>
    <cellStyle name="Uwaga 2 21 9 2" xfId="38257"/>
    <cellStyle name="Uwaga 2 21 9 3" xfId="38258"/>
    <cellStyle name="Uwaga 2 21 9 4" xfId="38259"/>
    <cellStyle name="Uwaga 2 22" xfId="38260"/>
    <cellStyle name="Uwaga 2 22 10" xfId="38261"/>
    <cellStyle name="Uwaga 2 22 10 2" xfId="38262"/>
    <cellStyle name="Uwaga 2 22 10 3" xfId="38263"/>
    <cellStyle name="Uwaga 2 22 10 4" xfId="38264"/>
    <cellStyle name="Uwaga 2 22 11" xfId="38265"/>
    <cellStyle name="Uwaga 2 22 11 2" xfId="38266"/>
    <cellStyle name="Uwaga 2 22 11 3" xfId="38267"/>
    <cellStyle name="Uwaga 2 22 11 4" xfId="38268"/>
    <cellStyle name="Uwaga 2 22 12" xfId="38269"/>
    <cellStyle name="Uwaga 2 22 12 2" xfId="38270"/>
    <cellStyle name="Uwaga 2 22 12 3" xfId="38271"/>
    <cellStyle name="Uwaga 2 22 12 4" xfId="38272"/>
    <cellStyle name="Uwaga 2 22 13" xfId="38273"/>
    <cellStyle name="Uwaga 2 22 13 2" xfId="38274"/>
    <cellStyle name="Uwaga 2 22 13 3" xfId="38275"/>
    <cellStyle name="Uwaga 2 22 13 4" xfId="38276"/>
    <cellStyle name="Uwaga 2 22 14" xfId="38277"/>
    <cellStyle name="Uwaga 2 22 14 2" xfId="38278"/>
    <cellStyle name="Uwaga 2 22 14 3" xfId="38279"/>
    <cellStyle name="Uwaga 2 22 14 4" xfId="38280"/>
    <cellStyle name="Uwaga 2 22 15" xfId="38281"/>
    <cellStyle name="Uwaga 2 22 15 2" xfId="38282"/>
    <cellStyle name="Uwaga 2 22 15 3" xfId="38283"/>
    <cellStyle name="Uwaga 2 22 15 4" xfId="38284"/>
    <cellStyle name="Uwaga 2 22 16" xfId="38285"/>
    <cellStyle name="Uwaga 2 22 16 2" xfId="38286"/>
    <cellStyle name="Uwaga 2 22 16 3" xfId="38287"/>
    <cellStyle name="Uwaga 2 22 16 4" xfId="38288"/>
    <cellStyle name="Uwaga 2 22 17" xfId="38289"/>
    <cellStyle name="Uwaga 2 22 17 2" xfId="38290"/>
    <cellStyle name="Uwaga 2 22 17 3" xfId="38291"/>
    <cellStyle name="Uwaga 2 22 17 4" xfId="38292"/>
    <cellStyle name="Uwaga 2 22 18" xfId="38293"/>
    <cellStyle name="Uwaga 2 22 18 2" xfId="38294"/>
    <cellStyle name="Uwaga 2 22 18 3" xfId="38295"/>
    <cellStyle name="Uwaga 2 22 18 4" xfId="38296"/>
    <cellStyle name="Uwaga 2 22 19" xfId="38297"/>
    <cellStyle name="Uwaga 2 22 19 2" xfId="38298"/>
    <cellStyle name="Uwaga 2 22 19 3" xfId="38299"/>
    <cellStyle name="Uwaga 2 22 19 4" xfId="38300"/>
    <cellStyle name="Uwaga 2 22 2" xfId="38301"/>
    <cellStyle name="Uwaga 2 22 2 2" xfId="38302"/>
    <cellStyle name="Uwaga 2 22 2 3" xfId="38303"/>
    <cellStyle name="Uwaga 2 22 2 4" xfId="38304"/>
    <cellStyle name="Uwaga 2 22 20" xfId="38305"/>
    <cellStyle name="Uwaga 2 22 20 2" xfId="38306"/>
    <cellStyle name="Uwaga 2 22 20 3" xfId="38307"/>
    <cellStyle name="Uwaga 2 22 20 4" xfId="38308"/>
    <cellStyle name="Uwaga 2 22 21" xfId="38309"/>
    <cellStyle name="Uwaga 2 22 21 2" xfId="38310"/>
    <cellStyle name="Uwaga 2 22 21 3" xfId="38311"/>
    <cellStyle name="Uwaga 2 22 22" xfId="38312"/>
    <cellStyle name="Uwaga 2 22 22 2" xfId="38313"/>
    <cellStyle name="Uwaga 2 22 22 3" xfId="38314"/>
    <cellStyle name="Uwaga 2 22 23" xfId="38315"/>
    <cellStyle name="Uwaga 2 22 23 2" xfId="38316"/>
    <cellStyle name="Uwaga 2 22 23 3" xfId="38317"/>
    <cellStyle name="Uwaga 2 22 24" xfId="38318"/>
    <cellStyle name="Uwaga 2 22 24 2" xfId="38319"/>
    <cellStyle name="Uwaga 2 22 24 3" xfId="38320"/>
    <cellStyle name="Uwaga 2 22 25" xfId="38321"/>
    <cellStyle name="Uwaga 2 22 25 2" xfId="38322"/>
    <cellStyle name="Uwaga 2 22 25 3" xfId="38323"/>
    <cellStyle name="Uwaga 2 22 26" xfId="38324"/>
    <cellStyle name="Uwaga 2 22 26 2" xfId="38325"/>
    <cellStyle name="Uwaga 2 22 26 3" xfId="38326"/>
    <cellStyle name="Uwaga 2 22 27" xfId="38327"/>
    <cellStyle name="Uwaga 2 22 27 2" xfId="38328"/>
    <cellStyle name="Uwaga 2 22 27 3" xfId="38329"/>
    <cellStyle name="Uwaga 2 22 28" xfId="38330"/>
    <cellStyle name="Uwaga 2 22 28 2" xfId="38331"/>
    <cellStyle name="Uwaga 2 22 28 3" xfId="38332"/>
    <cellStyle name="Uwaga 2 22 29" xfId="38333"/>
    <cellStyle name="Uwaga 2 22 29 2" xfId="38334"/>
    <cellStyle name="Uwaga 2 22 29 3" xfId="38335"/>
    <cellStyle name="Uwaga 2 22 3" xfId="38336"/>
    <cellStyle name="Uwaga 2 22 3 2" xfId="38337"/>
    <cellStyle name="Uwaga 2 22 3 3" xfId="38338"/>
    <cellStyle name="Uwaga 2 22 3 4" xfId="38339"/>
    <cellStyle name="Uwaga 2 22 30" xfId="38340"/>
    <cellStyle name="Uwaga 2 22 30 2" xfId="38341"/>
    <cellStyle name="Uwaga 2 22 30 3" xfId="38342"/>
    <cellStyle name="Uwaga 2 22 31" xfId="38343"/>
    <cellStyle name="Uwaga 2 22 31 2" xfId="38344"/>
    <cellStyle name="Uwaga 2 22 31 3" xfId="38345"/>
    <cellStyle name="Uwaga 2 22 32" xfId="38346"/>
    <cellStyle name="Uwaga 2 22 32 2" xfId="38347"/>
    <cellStyle name="Uwaga 2 22 32 3" xfId="38348"/>
    <cellStyle name="Uwaga 2 22 33" xfId="38349"/>
    <cellStyle name="Uwaga 2 22 33 2" xfId="38350"/>
    <cellStyle name="Uwaga 2 22 33 3" xfId="38351"/>
    <cellStyle name="Uwaga 2 22 34" xfId="38352"/>
    <cellStyle name="Uwaga 2 22 34 2" xfId="38353"/>
    <cellStyle name="Uwaga 2 22 34 3" xfId="38354"/>
    <cellStyle name="Uwaga 2 22 35" xfId="38355"/>
    <cellStyle name="Uwaga 2 22 35 2" xfId="38356"/>
    <cellStyle name="Uwaga 2 22 35 3" xfId="38357"/>
    <cellStyle name="Uwaga 2 22 36" xfId="38358"/>
    <cellStyle name="Uwaga 2 22 36 2" xfId="38359"/>
    <cellStyle name="Uwaga 2 22 36 3" xfId="38360"/>
    <cellStyle name="Uwaga 2 22 37" xfId="38361"/>
    <cellStyle name="Uwaga 2 22 37 2" xfId="38362"/>
    <cellStyle name="Uwaga 2 22 37 3" xfId="38363"/>
    <cellStyle name="Uwaga 2 22 38" xfId="38364"/>
    <cellStyle name="Uwaga 2 22 38 2" xfId="38365"/>
    <cellStyle name="Uwaga 2 22 38 3" xfId="38366"/>
    <cellStyle name="Uwaga 2 22 39" xfId="38367"/>
    <cellStyle name="Uwaga 2 22 39 2" xfId="38368"/>
    <cellStyle name="Uwaga 2 22 39 3" xfId="38369"/>
    <cellStyle name="Uwaga 2 22 4" xfId="38370"/>
    <cellStyle name="Uwaga 2 22 4 2" xfId="38371"/>
    <cellStyle name="Uwaga 2 22 4 3" xfId="38372"/>
    <cellStyle name="Uwaga 2 22 4 4" xfId="38373"/>
    <cellStyle name="Uwaga 2 22 40" xfId="38374"/>
    <cellStyle name="Uwaga 2 22 40 2" xfId="38375"/>
    <cellStyle name="Uwaga 2 22 40 3" xfId="38376"/>
    <cellStyle name="Uwaga 2 22 41" xfId="38377"/>
    <cellStyle name="Uwaga 2 22 41 2" xfId="38378"/>
    <cellStyle name="Uwaga 2 22 41 3" xfId="38379"/>
    <cellStyle name="Uwaga 2 22 42" xfId="38380"/>
    <cellStyle name="Uwaga 2 22 42 2" xfId="38381"/>
    <cellStyle name="Uwaga 2 22 42 3" xfId="38382"/>
    <cellStyle name="Uwaga 2 22 43" xfId="38383"/>
    <cellStyle name="Uwaga 2 22 43 2" xfId="38384"/>
    <cellStyle name="Uwaga 2 22 43 3" xfId="38385"/>
    <cellStyle name="Uwaga 2 22 44" xfId="38386"/>
    <cellStyle name="Uwaga 2 22 44 2" xfId="38387"/>
    <cellStyle name="Uwaga 2 22 44 3" xfId="38388"/>
    <cellStyle name="Uwaga 2 22 45" xfId="38389"/>
    <cellStyle name="Uwaga 2 22 45 2" xfId="38390"/>
    <cellStyle name="Uwaga 2 22 45 3" xfId="38391"/>
    <cellStyle name="Uwaga 2 22 46" xfId="38392"/>
    <cellStyle name="Uwaga 2 22 46 2" xfId="38393"/>
    <cellStyle name="Uwaga 2 22 46 3" xfId="38394"/>
    <cellStyle name="Uwaga 2 22 47" xfId="38395"/>
    <cellStyle name="Uwaga 2 22 47 2" xfId="38396"/>
    <cellStyle name="Uwaga 2 22 47 3" xfId="38397"/>
    <cellStyle name="Uwaga 2 22 48" xfId="38398"/>
    <cellStyle name="Uwaga 2 22 48 2" xfId="38399"/>
    <cellStyle name="Uwaga 2 22 48 3" xfId="38400"/>
    <cellStyle name="Uwaga 2 22 49" xfId="38401"/>
    <cellStyle name="Uwaga 2 22 49 2" xfId="38402"/>
    <cellStyle name="Uwaga 2 22 49 3" xfId="38403"/>
    <cellStyle name="Uwaga 2 22 5" xfId="38404"/>
    <cellStyle name="Uwaga 2 22 5 2" xfId="38405"/>
    <cellStyle name="Uwaga 2 22 5 3" xfId="38406"/>
    <cellStyle name="Uwaga 2 22 5 4" xfId="38407"/>
    <cellStyle name="Uwaga 2 22 50" xfId="38408"/>
    <cellStyle name="Uwaga 2 22 50 2" xfId="38409"/>
    <cellStyle name="Uwaga 2 22 50 3" xfId="38410"/>
    <cellStyle name="Uwaga 2 22 51" xfId="38411"/>
    <cellStyle name="Uwaga 2 22 51 2" xfId="38412"/>
    <cellStyle name="Uwaga 2 22 51 3" xfId="38413"/>
    <cellStyle name="Uwaga 2 22 52" xfId="38414"/>
    <cellStyle name="Uwaga 2 22 52 2" xfId="38415"/>
    <cellStyle name="Uwaga 2 22 52 3" xfId="38416"/>
    <cellStyle name="Uwaga 2 22 53" xfId="38417"/>
    <cellStyle name="Uwaga 2 22 53 2" xfId="38418"/>
    <cellStyle name="Uwaga 2 22 53 3" xfId="38419"/>
    <cellStyle name="Uwaga 2 22 54" xfId="38420"/>
    <cellStyle name="Uwaga 2 22 54 2" xfId="38421"/>
    <cellStyle name="Uwaga 2 22 54 3" xfId="38422"/>
    <cellStyle name="Uwaga 2 22 55" xfId="38423"/>
    <cellStyle name="Uwaga 2 22 55 2" xfId="38424"/>
    <cellStyle name="Uwaga 2 22 55 3" xfId="38425"/>
    <cellStyle name="Uwaga 2 22 56" xfId="38426"/>
    <cellStyle name="Uwaga 2 22 56 2" xfId="38427"/>
    <cellStyle name="Uwaga 2 22 56 3" xfId="38428"/>
    <cellStyle name="Uwaga 2 22 57" xfId="38429"/>
    <cellStyle name="Uwaga 2 22 58" xfId="38430"/>
    <cellStyle name="Uwaga 2 22 6" xfId="38431"/>
    <cellStyle name="Uwaga 2 22 6 2" xfId="38432"/>
    <cellStyle name="Uwaga 2 22 6 3" xfId="38433"/>
    <cellStyle name="Uwaga 2 22 6 4" xfId="38434"/>
    <cellStyle name="Uwaga 2 22 7" xfId="38435"/>
    <cellStyle name="Uwaga 2 22 7 2" xfId="38436"/>
    <cellStyle name="Uwaga 2 22 7 3" xfId="38437"/>
    <cellStyle name="Uwaga 2 22 7 4" xfId="38438"/>
    <cellStyle name="Uwaga 2 22 8" xfId="38439"/>
    <cellStyle name="Uwaga 2 22 8 2" xfId="38440"/>
    <cellStyle name="Uwaga 2 22 8 3" xfId="38441"/>
    <cellStyle name="Uwaga 2 22 8 4" xfId="38442"/>
    <cellStyle name="Uwaga 2 22 9" xfId="38443"/>
    <cellStyle name="Uwaga 2 22 9 2" xfId="38444"/>
    <cellStyle name="Uwaga 2 22 9 3" xfId="38445"/>
    <cellStyle name="Uwaga 2 22 9 4" xfId="38446"/>
    <cellStyle name="Uwaga 2 23" xfId="38447"/>
    <cellStyle name="Uwaga 2 23 10" xfId="38448"/>
    <cellStyle name="Uwaga 2 23 10 2" xfId="38449"/>
    <cellStyle name="Uwaga 2 23 10 3" xfId="38450"/>
    <cellStyle name="Uwaga 2 23 10 4" xfId="38451"/>
    <cellStyle name="Uwaga 2 23 11" xfId="38452"/>
    <cellStyle name="Uwaga 2 23 11 2" xfId="38453"/>
    <cellStyle name="Uwaga 2 23 11 3" xfId="38454"/>
    <cellStyle name="Uwaga 2 23 11 4" xfId="38455"/>
    <cellStyle name="Uwaga 2 23 12" xfId="38456"/>
    <cellStyle name="Uwaga 2 23 12 2" xfId="38457"/>
    <cellStyle name="Uwaga 2 23 12 3" xfId="38458"/>
    <cellStyle name="Uwaga 2 23 12 4" xfId="38459"/>
    <cellStyle name="Uwaga 2 23 13" xfId="38460"/>
    <cellStyle name="Uwaga 2 23 13 2" xfId="38461"/>
    <cellStyle name="Uwaga 2 23 13 3" xfId="38462"/>
    <cellStyle name="Uwaga 2 23 13 4" xfId="38463"/>
    <cellStyle name="Uwaga 2 23 14" xfId="38464"/>
    <cellStyle name="Uwaga 2 23 14 2" xfId="38465"/>
    <cellStyle name="Uwaga 2 23 14 3" xfId="38466"/>
    <cellStyle name="Uwaga 2 23 14 4" xfId="38467"/>
    <cellStyle name="Uwaga 2 23 15" xfId="38468"/>
    <cellStyle name="Uwaga 2 23 15 2" xfId="38469"/>
    <cellStyle name="Uwaga 2 23 15 3" xfId="38470"/>
    <cellStyle name="Uwaga 2 23 15 4" xfId="38471"/>
    <cellStyle name="Uwaga 2 23 16" xfId="38472"/>
    <cellStyle name="Uwaga 2 23 16 2" xfId="38473"/>
    <cellStyle name="Uwaga 2 23 16 3" xfId="38474"/>
    <cellStyle name="Uwaga 2 23 16 4" xfId="38475"/>
    <cellStyle name="Uwaga 2 23 17" xfId="38476"/>
    <cellStyle name="Uwaga 2 23 17 2" xfId="38477"/>
    <cellStyle name="Uwaga 2 23 17 3" xfId="38478"/>
    <cellStyle name="Uwaga 2 23 17 4" xfId="38479"/>
    <cellStyle name="Uwaga 2 23 18" xfId="38480"/>
    <cellStyle name="Uwaga 2 23 18 2" xfId="38481"/>
    <cellStyle name="Uwaga 2 23 18 3" xfId="38482"/>
    <cellStyle name="Uwaga 2 23 18 4" xfId="38483"/>
    <cellStyle name="Uwaga 2 23 19" xfId="38484"/>
    <cellStyle name="Uwaga 2 23 19 2" xfId="38485"/>
    <cellStyle name="Uwaga 2 23 19 3" xfId="38486"/>
    <cellStyle name="Uwaga 2 23 19 4" xfId="38487"/>
    <cellStyle name="Uwaga 2 23 2" xfId="38488"/>
    <cellStyle name="Uwaga 2 23 2 2" xfId="38489"/>
    <cellStyle name="Uwaga 2 23 2 3" xfId="38490"/>
    <cellStyle name="Uwaga 2 23 2 4" xfId="38491"/>
    <cellStyle name="Uwaga 2 23 20" xfId="38492"/>
    <cellStyle name="Uwaga 2 23 20 2" xfId="38493"/>
    <cellStyle name="Uwaga 2 23 20 3" xfId="38494"/>
    <cellStyle name="Uwaga 2 23 20 4" xfId="38495"/>
    <cellStyle name="Uwaga 2 23 21" xfId="38496"/>
    <cellStyle name="Uwaga 2 23 21 2" xfId="38497"/>
    <cellStyle name="Uwaga 2 23 21 3" xfId="38498"/>
    <cellStyle name="Uwaga 2 23 22" xfId="38499"/>
    <cellStyle name="Uwaga 2 23 22 2" xfId="38500"/>
    <cellStyle name="Uwaga 2 23 22 3" xfId="38501"/>
    <cellStyle name="Uwaga 2 23 23" xfId="38502"/>
    <cellStyle name="Uwaga 2 23 23 2" xfId="38503"/>
    <cellStyle name="Uwaga 2 23 23 3" xfId="38504"/>
    <cellStyle name="Uwaga 2 23 24" xfId="38505"/>
    <cellStyle name="Uwaga 2 23 24 2" xfId="38506"/>
    <cellStyle name="Uwaga 2 23 24 3" xfId="38507"/>
    <cellStyle name="Uwaga 2 23 25" xfId="38508"/>
    <cellStyle name="Uwaga 2 23 25 2" xfId="38509"/>
    <cellStyle name="Uwaga 2 23 25 3" xfId="38510"/>
    <cellStyle name="Uwaga 2 23 26" xfId="38511"/>
    <cellStyle name="Uwaga 2 23 26 2" xfId="38512"/>
    <cellStyle name="Uwaga 2 23 26 3" xfId="38513"/>
    <cellStyle name="Uwaga 2 23 27" xfId="38514"/>
    <cellStyle name="Uwaga 2 23 27 2" xfId="38515"/>
    <cellStyle name="Uwaga 2 23 27 3" xfId="38516"/>
    <cellStyle name="Uwaga 2 23 28" xfId="38517"/>
    <cellStyle name="Uwaga 2 23 28 2" xfId="38518"/>
    <cellStyle name="Uwaga 2 23 28 3" xfId="38519"/>
    <cellStyle name="Uwaga 2 23 29" xfId="38520"/>
    <cellStyle name="Uwaga 2 23 29 2" xfId="38521"/>
    <cellStyle name="Uwaga 2 23 29 3" xfId="38522"/>
    <cellStyle name="Uwaga 2 23 3" xfId="38523"/>
    <cellStyle name="Uwaga 2 23 3 2" xfId="38524"/>
    <cellStyle name="Uwaga 2 23 3 3" xfId="38525"/>
    <cellStyle name="Uwaga 2 23 3 4" xfId="38526"/>
    <cellStyle name="Uwaga 2 23 30" xfId="38527"/>
    <cellStyle name="Uwaga 2 23 30 2" xfId="38528"/>
    <cellStyle name="Uwaga 2 23 30 3" xfId="38529"/>
    <cellStyle name="Uwaga 2 23 31" xfId="38530"/>
    <cellStyle name="Uwaga 2 23 31 2" xfId="38531"/>
    <cellStyle name="Uwaga 2 23 31 3" xfId="38532"/>
    <cellStyle name="Uwaga 2 23 32" xfId="38533"/>
    <cellStyle name="Uwaga 2 23 32 2" xfId="38534"/>
    <cellStyle name="Uwaga 2 23 32 3" xfId="38535"/>
    <cellStyle name="Uwaga 2 23 33" xfId="38536"/>
    <cellStyle name="Uwaga 2 23 33 2" xfId="38537"/>
    <cellStyle name="Uwaga 2 23 33 3" xfId="38538"/>
    <cellStyle name="Uwaga 2 23 34" xfId="38539"/>
    <cellStyle name="Uwaga 2 23 34 2" xfId="38540"/>
    <cellStyle name="Uwaga 2 23 34 3" xfId="38541"/>
    <cellStyle name="Uwaga 2 23 35" xfId="38542"/>
    <cellStyle name="Uwaga 2 23 35 2" xfId="38543"/>
    <cellStyle name="Uwaga 2 23 35 3" xfId="38544"/>
    <cellStyle name="Uwaga 2 23 36" xfId="38545"/>
    <cellStyle name="Uwaga 2 23 36 2" xfId="38546"/>
    <cellStyle name="Uwaga 2 23 36 3" xfId="38547"/>
    <cellStyle name="Uwaga 2 23 37" xfId="38548"/>
    <cellStyle name="Uwaga 2 23 37 2" xfId="38549"/>
    <cellStyle name="Uwaga 2 23 37 3" xfId="38550"/>
    <cellStyle name="Uwaga 2 23 38" xfId="38551"/>
    <cellStyle name="Uwaga 2 23 38 2" xfId="38552"/>
    <cellStyle name="Uwaga 2 23 38 3" xfId="38553"/>
    <cellStyle name="Uwaga 2 23 39" xfId="38554"/>
    <cellStyle name="Uwaga 2 23 39 2" xfId="38555"/>
    <cellStyle name="Uwaga 2 23 39 3" xfId="38556"/>
    <cellStyle name="Uwaga 2 23 4" xfId="38557"/>
    <cellStyle name="Uwaga 2 23 4 2" xfId="38558"/>
    <cellStyle name="Uwaga 2 23 4 3" xfId="38559"/>
    <cellStyle name="Uwaga 2 23 4 4" xfId="38560"/>
    <cellStyle name="Uwaga 2 23 40" xfId="38561"/>
    <cellStyle name="Uwaga 2 23 40 2" xfId="38562"/>
    <cellStyle name="Uwaga 2 23 40 3" xfId="38563"/>
    <cellStyle name="Uwaga 2 23 41" xfId="38564"/>
    <cellStyle name="Uwaga 2 23 41 2" xfId="38565"/>
    <cellStyle name="Uwaga 2 23 41 3" xfId="38566"/>
    <cellStyle name="Uwaga 2 23 42" xfId="38567"/>
    <cellStyle name="Uwaga 2 23 42 2" xfId="38568"/>
    <cellStyle name="Uwaga 2 23 42 3" xfId="38569"/>
    <cellStyle name="Uwaga 2 23 43" xfId="38570"/>
    <cellStyle name="Uwaga 2 23 43 2" xfId="38571"/>
    <cellStyle name="Uwaga 2 23 43 3" xfId="38572"/>
    <cellStyle name="Uwaga 2 23 44" xfId="38573"/>
    <cellStyle name="Uwaga 2 23 44 2" xfId="38574"/>
    <cellStyle name="Uwaga 2 23 44 3" xfId="38575"/>
    <cellStyle name="Uwaga 2 23 45" xfId="38576"/>
    <cellStyle name="Uwaga 2 23 45 2" xfId="38577"/>
    <cellStyle name="Uwaga 2 23 45 3" xfId="38578"/>
    <cellStyle name="Uwaga 2 23 46" xfId="38579"/>
    <cellStyle name="Uwaga 2 23 46 2" xfId="38580"/>
    <cellStyle name="Uwaga 2 23 46 3" xfId="38581"/>
    <cellStyle name="Uwaga 2 23 47" xfId="38582"/>
    <cellStyle name="Uwaga 2 23 47 2" xfId="38583"/>
    <cellStyle name="Uwaga 2 23 47 3" xfId="38584"/>
    <cellStyle name="Uwaga 2 23 48" xfId="38585"/>
    <cellStyle name="Uwaga 2 23 48 2" xfId="38586"/>
    <cellStyle name="Uwaga 2 23 48 3" xfId="38587"/>
    <cellStyle name="Uwaga 2 23 49" xfId="38588"/>
    <cellStyle name="Uwaga 2 23 49 2" xfId="38589"/>
    <cellStyle name="Uwaga 2 23 49 3" xfId="38590"/>
    <cellStyle name="Uwaga 2 23 5" xfId="38591"/>
    <cellStyle name="Uwaga 2 23 5 2" xfId="38592"/>
    <cellStyle name="Uwaga 2 23 5 3" xfId="38593"/>
    <cellStyle name="Uwaga 2 23 5 4" xfId="38594"/>
    <cellStyle name="Uwaga 2 23 50" xfId="38595"/>
    <cellStyle name="Uwaga 2 23 50 2" xfId="38596"/>
    <cellStyle name="Uwaga 2 23 50 3" xfId="38597"/>
    <cellStyle name="Uwaga 2 23 51" xfId="38598"/>
    <cellStyle name="Uwaga 2 23 51 2" xfId="38599"/>
    <cellStyle name="Uwaga 2 23 51 3" xfId="38600"/>
    <cellStyle name="Uwaga 2 23 52" xfId="38601"/>
    <cellStyle name="Uwaga 2 23 52 2" xfId="38602"/>
    <cellStyle name="Uwaga 2 23 52 3" xfId="38603"/>
    <cellStyle name="Uwaga 2 23 53" xfId="38604"/>
    <cellStyle name="Uwaga 2 23 53 2" xfId="38605"/>
    <cellStyle name="Uwaga 2 23 53 3" xfId="38606"/>
    <cellStyle name="Uwaga 2 23 54" xfId="38607"/>
    <cellStyle name="Uwaga 2 23 54 2" xfId="38608"/>
    <cellStyle name="Uwaga 2 23 54 3" xfId="38609"/>
    <cellStyle name="Uwaga 2 23 55" xfId="38610"/>
    <cellStyle name="Uwaga 2 23 55 2" xfId="38611"/>
    <cellStyle name="Uwaga 2 23 55 3" xfId="38612"/>
    <cellStyle name="Uwaga 2 23 56" xfId="38613"/>
    <cellStyle name="Uwaga 2 23 56 2" xfId="38614"/>
    <cellStyle name="Uwaga 2 23 56 3" xfId="38615"/>
    <cellStyle name="Uwaga 2 23 57" xfId="38616"/>
    <cellStyle name="Uwaga 2 23 58" xfId="38617"/>
    <cellStyle name="Uwaga 2 23 6" xfId="38618"/>
    <cellStyle name="Uwaga 2 23 6 2" xfId="38619"/>
    <cellStyle name="Uwaga 2 23 6 3" xfId="38620"/>
    <cellStyle name="Uwaga 2 23 6 4" xfId="38621"/>
    <cellStyle name="Uwaga 2 23 7" xfId="38622"/>
    <cellStyle name="Uwaga 2 23 7 2" xfId="38623"/>
    <cellStyle name="Uwaga 2 23 7 3" xfId="38624"/>
    <cellStyle name="Uwaga 2 23 7 4" xfId="38625"/>
    <cellStyle name="Uwaga 2 23 8" xfId="38626"/>
    <cellStyle name="Uwaga 2 23 8 2" xfId="38627"/>
    <cellStyle name="Uwaga 2 23 8 3" xfId="38628"/>
    <cellStyle name="Uwaga 2 23 8 4" xfId="38629"/>
    <cellStyle name="Uwaga 2 23 9" xfId="38630"/>
    <cellStyle name="Uwaga 2 23 9 2" xfId="38631"/>
    <cellStyle name="Uwaga 2 23 9 3" xfId="38632"/>
    <cellStyle name="Uwaga 2 23 9 4" xfId="38633"/>
    <cellStyle name="Uwaga 2 24" xfId="38634"/>
    <cellStyle name="Uwaga 2 24 10" xfId="38635"/>
    <cellStyle name="Uwaga 2 24 10 2" xfId="38636"/>
    <cellStyle name="Uwaga 2 24 10 3" xfId="38637"/>
    <cellStyle name="Uwaga 2 24 10 4" xfId="38638"/>
    <cellStyle name="Uwaga 2 24 11" xfId="38639"/>
    <cellStyle name="Uwaga 2 24 11 2" xfId="38640"/>
    <cellStyle name="Uwaga 2 24 11 3" xfId="38641"/>
    <cellStyle name="Uwaga 2 24 11 4" xfId="38642"/>
    <cellStyle name="Uwaga 2 24 12" xfId="38643"/>
    <cellStyle name="Uwaga 2 24 12 2" xfId="38644"/>
    <cellStyle name="Uwaga 2 24 12 3" xfId="38645"/>
    <cellStyle name="Uwaga 2 24 12 4" xfId="38646"/>
    <cellStyle name="Uwaga 2 24 13" xfId="38647"/>
    <cellStyle name="Uwaga 2 24 13 2" xfId="38648"/>
    <cellStyle name="Uwaga 2 24 13 3" xfId="38649"/>
    <cellStyle name="Uwaga 2 24 13 4" xfId="38650"/>
    <cellStyle name="Uwaga 2 24 14" xfId="38651"/>
    <cellStyle name="Uwaga 2 24 14 2" xfId="38652"/>
    <cellStyle name="Uwaga 2 24 14 3" xfId="38653"/>
    <cellStyle name="Uwaga 2 24 14 4" xfId="38654"/>
    <cellStyle name="Uwaga 2 24 15" xfId="38655"/>
    <cellStyle name="Uwaga 2 24 15 2" xfId="38656"/>
    <cellStyle name="Uwaga 2 24 15 3" xfId="38657"/>
    <cellStyle name="Uwaga 2 24 15 4" xfId="38658"/>
    <cellStyle name="Uwaga 2 24 16" xfId="38659"/>
    <cellStyle name="Uwaga 2 24 16 2" xfId="38660"/>
    <cellStyle name="Uwaga 2 24 16 3" xfId="38661"/>
    <cellStyle name="Uwaga 2 24 16 4" xfId="38662"/>
    <cellStyle name="Uwaga 2 24 17" xfId="38663"/>
    <cellStyle name="Uwaga 2 24 17 2" xfId="38664"/>
    <cellStyle name="Uwaga 2 24 17 3" xfId="38665"/>
    <cellStyle name="Uwaga 2 24 17 4" xfId="38666"/>
    <cellStyle name="Uwaga 2 24 18" xfId="38667"/>
    <cellStyle name="Uwaga 2 24 18 2" xfId="38668"/>
    <cellStyle name="Uwaga 2 24 18 3" xfId="38669"/>
    <cellStyle name="Uwaga 2 24 18 4" xfId="38670"/>
    <cellStyle name="Uwaga 2 24 19" xfId="38671"/>
    <cellStyle name="Uwaga 2 24 19 2" xfId="38672"/>
    <cellStyle name="Uwaga 2 24 19 3" xfId="38673"/>
    <cellStyle name="Uwaga 2 24 19 4" xfId="38674"/>
    <cellStyle name="Uwaga 2 24 2" xfId="38675"/>
    <cellStyle name="Uwaga 2 24 2 2" xfId="38676"/>
    <cellStyle name="Uwaga 2 24 2 3" xfId="38677"/>
    <cellStyle name="Uwaga 2 24 2 4" xfId="38678"/>
    <cellStyle name="Uwaga 2 24 20" xfId="38679"/>
    <cellStyle name="Uwaga 2 24 20 2" xfId="38680"/>
    <cellStyle name="Uwaga 2 24 20 3" xfId="38681"/>
    <cellStyle name="Uwaga 2 24 20 4" xfId="38682"/>
    <cellStyle name="Uwaga 2 24 21" xfId="38683"/>
    <cellStyle name="Uwaga 2 24 21 2" xfId="38684"/>
    <cellStyle name="Uwaga 2 24 21 3" xfId="38685"/>
    <cellStyle name="Uwaga 2 24 22" xfId="38686"/>
    <cellStyle name="Uwaga 2 24 22 2" xfId="38687"/>
    <cellStyle name="Uwaga 2 24 22 3" xfId="38688"/>
    <cellStyle name="Uwaga 2 24 23" xfId="38689"/>
    <cellStyle name="Uwaga 2 24 23 2" xfId="38690"/>
    <cellStyle name="Uwaga 2 24 23 3" xfId="38691"/>
    <cellStyle name="Uwaga 2 24 24" xfId="38692"/>
    <cellStyle name="Uwaga 2 24 24 2" xfId="38693"/>
    <cellStyle name="Uwaga 2 24 24 3" xfId="38694"/>
    <cellStyle name="Uwaga 2 24 25" xfId="38695"/>
    <cellStyle name="Uwaga 2 24 25 2" xfId="38696"/>
    <cellStyle name="Uwaga 2 24 25 3" xfId="38697"/>
    <cellStyle name="Uwaga 2 24 26" xfId="38698"/>
    <cellStyle name="Uwaga 2 24 26 2" xfId="38699"/>
    <cellStyle name="Uwaga 2 24 26 3" xfId="38700"/>
    <cellStyle name="Uwaga 2 24 27" xfId="38701"/>
    <cellStyle name="Uwaga 2 24 27 2" xfId="38702"/>
    <cellStyle name="Uwaga 2 24 27 3" xfId="38703"/>
    <cellStyle name="Uwaga 2 24 28" xfId="38704"/>
    <cellStyle name="Uwaga 2 24 28 2" xfId="38705"/>
    <cellStyle name="Uwaga 2 24 28 3" xfId="38706"/>
    <cellStyle name="Uwaga 2 24 29" xfId="38707"/>
    <cellStyle name="Uwaga 2 24 29 2" xfId="38708"/>
    <cellStyle name="Uwaga 2 24 29 3" xfId="38709"/>
    <cellStyle name="Uwaga 2 24 3" xfId="38710"/>
    <cellStyle name="Uwaga 2 24 3 2" xfId="38711"/>
    <cellStyle name="Uwaga 2 24 3 3" xfId="38712"/>
    <cellStyle name="Uwaga 2 24 3 4" xfId="38713"/>
    <cellStyle name="Uwaga 2 24 30" xfId="38714"/>
    <cellStyle name="Uwaga 2 24 30 2" xfId="38715"/>
    <cellStyle name="Uwaga 2 24 30 3" xfId="38716"/>
    <cellStyle name="Uwaga 2 24 31" xfId="38717"/>
    <cellStyle name="Uwaga 2 24 31 2" xfId="38718"/>
    <cellStyle name="Uwaga 2 24 31 3" xfId="38719"/>
    <cellStyle name="Uwaga 2 24 32" xfId="38720"/>
    <cellStyle name="Uwaga 2 24 32 2" xfId="38721"/>
    <cellStyle name="Uwaga 2 24 32 3" xfId="38722"/>
    <cellStyle name="Uwaga 2 24 33" xfId="38723"/>
    <cellStyle name="Uwaga 2 24 33 2" xfId="38724"/>
    <cellStyle name="Uwaga 2 24 33 3" xfId="38725"/>
    <cellStyle name="Uwaga 2 24 34" xfId="38726"/>
    <cellStyle name="Uwaga 2 24 34 2" xfId="38727"/>
    <cellStyle name="Uwaga 2 24 34 3" xfId="38728"/>
    <cellStyle name="Uwaga 2 24 35" xfId="38729"/>
    <cellStyle name="Uwaga 2 24 35 2" xfId="38730"/>
    <cellStyle name="Uwaga 2 24 35 3" xfId="38731"/>
    <cellStyle name="Uwaga 2 24 36" xfId="38732"/>
    <cellStyle name="Uwaga 2 24 36 2" xfId="38733"/>
    <cellStyle name="Uwaga 2 24 36 3" xfId="38734"/>
    <cellStyle name="Uwaga 2 24 37" xfId="38735"/>
    <cellStyle name="Uwaga 2 24 37 2" xfId="38736"/>
    <cellStyle name="Uwaga 2 24 37 3" xfId="38737"/>
    <cellStyle name="Uwaga 2 24 38" xfId="38738"/>
    <cellStyle name="Uwaga 2 24 38 2" xfId="38739"/>
    <cellStyle name="Uwaga 2 24 38 3" xfId="38740"/>
    <cellStyle name="Uwaga 2 24 39" xfId="38741"/>
    <cellStyle name="Uwaga 2 24 39 2" xfId="38742"/>
    <cellStyle name="Uwaga 2 24 39 3" xfId="38743"/>
    <cellStyle name="Uwaga 2 24 4" xfId="38744"/>
    <cellStyle name="Uwaga 2 24 4 2" xfId="38745"/>
    <cellStyle name="Uwaga 2 24 4 3" xfId="38746"/>
    <cellStyle name="Uwaga 2 24 4 4" xfId="38747"/>
    <cellStyle name="Uwaga 2 24 40" xfId="38748"/>
    <cellStyle name="Uwaga 2 24 40 2" xfId="38749"/>
    <cellStyle name="Uwaga 2 24 40 3" xfId="38750"/>
    <cellStyle name="Uwaga 2 24 41" xfId="38751"/>
    <cellStyle name="Uwaga 2 24 41 2" xfId="38752"/>
    <cellStyle name="Uwaga 2 24 41 3" xfId="38753"/>
    <cellStyle name="Uwaga 2 24 42" xfId="38754"/>
    <cellStyle name="Uwaga 2 24 42 2" xfId="38755"/>
    <cellStyle name="Uwaga 2 24 42 3" xfId="38756"/>
    <cellStyle name="Uwaga 2 24 43" xfId="38757"/>
    <cellStyle name="Uwaga 2 24 43 2" xfId="38758"/>
    <cellStyle name="Uwaga 2 24 43 3" xfId="38759"/>
    <cellStyle name="Uwaga 2 24 44" xfId="38760"/>
    <cellStyle name="Uwaga 2 24 44 2" xfId="38761"/>
    <cellStyle name="Uwaga 2 24 44 3" xfId="38762"/>
    <cellStyle name="Uwaga 2 24 45" xfId="38763"/>
    <cellStyle name="Uwaga 2 24 45 2" xfId="38764"/>
    <cellStyle name="Uwaga 2 24 45 3" xfId="38765"/>
    <cellStyle name="Uwaga 2 24 46" xfId="38766"/>
    <cellStyle name="Uwaga 2 24 46 2" xfId="38767"/>
    <cellStyle name="Uwaga 2 24 46 3" xfId="38768"/>
    <cellStyle name="Uwaga 2 24 47" xfId="38769"/>
    <cellStyle name="Uwaga 2 24 47 2" xfId="38770"/>
    <cellStyle name="Uwaga 2 24 47 3" xfId="38771"/>
    <cellStyle name="Uwaga 2 24 48" xfId="38772"/>
    <cellStyle name="Uwaga 2 24 48 2" xfId="38773"/>
    <cellStyle name="Uwaga 2 24 48 3" xfId="38774"/>
    <cellStyle name="Uwaga 2 24 49" xfId="38775"/>
    <cellStyle name="Uwaga 2 24 49 2" xfId="38776"/>
    <cellStyle name="Uwaga 2 24 49 3" xfId="38777"/>
    <cellStyle name="Uwaga 2 24 5" xfId="38778"/>
    <cellStyle name="Uwaga 2 24 5 2" xfId="38779"/>
    <cellStyle name="Uwaga 2 24 5 3" xfId="38780"/>
    <cellStyle name="Uwaga 2 24 5 4" xfId="38781"/>
    <cellStyle name="Uwaga 2 24 50" xfId="38782"/>
    <cellStyle name="Uwaga 2 24 50 2" xfId="38783"/>
    <cellStyle name="Uwaga 2 24 50 3" xfId="38784"/>
    <cellStyle name="Uwaga 2 24 51" xfId="38785"/>
    <cellStyle name="Uwaga 2 24 51 2" xfId="38786"/>
    <cellStyle name="Uwaga 2 24 51 3" xfId="38787"/>
    <cellStyle name="Uwaga 2 24 52" xfId="38788"/>
    <cellStyle name="Uwaga 2 24 52 2" xfId="38789"/>
    <cellStyle name="Uwaga 2 24 52 3" xfId="38790"/>
    <cellStyle name="Uwaga 2 24 53" xfId="38791"/>
    <cellStyle name="Uwaga 2 24 53 2" xfId="38792"/>
    <cellStyle name="Uwaga 2 24 53 3" xfId="38793"/>
    <cellStyle name="Uwaga 2 24 54" xfId="38794"/>
    <cellStyle name="Uwaga 2 24 54 2" xfId="38795"/>
    <cellStyle name="Uwaga 2 24 54 3" xfId="38796"/>
    <cellStyle name="Uwaga 2 24 55" xfId="38797"/>
    <cellStyle name="Uwaga 2 24 55 2" xfId="38798"/>
    <cellStyle name="Uwaga 2 24 55 3" xfId="38799"/>
    <cellStyle name="Uwaga 2 24 56" xfId="38800"/>
    <cellStyle name="Uwaga 2 24 56 2" xfId="38801"/>
    <cellStyle name="Uwaga 2 24 56 3" xfId="38802"/>
    <cellStyle name="Uwaga 2 24 57" xfId="38803"/>
    <cellStyle name="Uwaga 2 24 58" xfId="38804"/>
    <cellStyle name="Uwaga 2 24 6" xfId="38805"/>
    <cellStyle name="Uwaga 2 24 6 2" xfId="38806"/>
    <cellStyle name="Uwaga 2 24 6 3" xfId="38807"/>
    <cellStyle name="Uwaga 2 24 6 4" xfId="38808"/>
    <cellStyle name="Uwaga 2 24 7" xfId="38809"/>
    <cellStyle name="Uwaga 2 24 7 2" xfId="38810"/>
    <cellStyle name="Uwaga 2 24 7 3" xfId="38811"/>
    <cellStyle name="Uwaga 2 24 7 4" xfId="38812"/>
    <cellStyle name="Uwaga 2 24 8" xfId="38813"/>
    <cellStyle name="Uwaga 2 24 8 2" xfId="38814"/>
    <cellStyle name="Uwaga 2 24 8 3" xfId="38815"/>
    <cellStyle name="Uwaga 2 24 8 4" xfId="38816"/>
    <cellStyle name="Uwaga 2 24 9" xfId="38817"/>
    <cellStyle name="Uwaga 2 24 9 2" xfId="38818"/>
    <cellStyle name="Uwaga 2 24 9 3" xfId="38819"/>
    <cellStyle name="Uwaga 2 24 9 4" xfId="38820"/>
    <cellStyle name="Uwaga 2 25" xfId="38821"/>
    <cellStyle name="Uwaga 2 25 10" xfId="38822"/>
    <cellStyle name="Uwaga 2 25 10 2" xfId="38823"/>
    <cellStyle name="Uwaga 2 25 10 3" xfId="38824"/>
    <cellStyle name="Uwaga 2 25 10 4" xfId="38825"/>
    <cellStyle name="Uwaga 2 25 11" xfId="38826"/>
    <cellStyle name="Uwaga 2 25 11 2" xfId="38827"/>
    <cellStyle name="Uwaga 2 25 11 3" xfId="38828"/>
    <cellStyle name="Uwaga 2 25 11 4" xfId="38829"/>
    <cellStyle name="Uwaga 2 25 12" xfId="38830"/>
    <cellStyle name="Uwaga 2 25 12 2" xfId="38831"/>
    <cellStyle name="Uwaga 2 25 12 3" xfId="38832"/>
    <cellStyle name="Uwaga 2 25 12 4" xfId="38833"/>
    <cellStyle name="Uwaga 2 25 13" xfId="38834"/>
    <cellStyle name="Uwaga 2 25 13 2" xfId="38835"/>
    <cellStyle name="Uwaga 2 25 13 3" xfId="38836"/>
    <cellStyle name="Uwaga 2 25 13 4" xfId="38837"/>
    <cellStyle name="Uwaga 2 25 14" xfId="38838"/>
    <cellStyle name="Uwaga 2 25 14 2" xfId="38839"/>
    <cellStyle name="Uwaga 2 25 14 3" xfId="38840"/>
    <cellStyle name="Uwaga 2 25 14 4" xfId="38841"/>
    <cellStyle name="Uwaga 2 25 15" xfId="38842"/>
    <cellStyle name="Uwaga 2 25 15 2" xfId="38843"/>
    <cellStyle name="Uwaga 2 25 15 3" xfId="38844"/>
    <cellStyle name="Uwaga 2 25 15 4" xfId="38845"/>
    <cellStyle name="Uwaga 2 25 16" xfId="38846"/>
    <cellStyle name="Uwaga 2 25 16 2" xfId="38847"/>
    <cellStyle name="Uwaga 2 25 16 3" xfId="38848"/>
    <cellStyle name="Uwaga 2 25 16 4" xfId="38849"/>
    <cellStyle name="Uwaga 2 25 17" xfId="38850"/>
    <cellStyle name="Uwaga 2 25 17 2" xfId="38851"/>
    <cellStyle name="Uwaga 2 25 17 3" xfId="38852"/>
    <cellStyle name="Uwaga 2 25 17 4" xfId="38853"/>
    <cellStyle name="Uwaga 2 25 18" xfId="38854"/>
    <cellStyle name="Uwaga 2 25 18 2" xfId="38855"/>
    <cellStyle name="Uwaga 2 25 18 3" xfId="38856"/>
    <cellStyle name="Uwaga 2 25 18 4" xfId="38857"/>
    <cellStyle name="Uwaga 2 25 19" xfId="38858"/>
    <cellStyle name="Uwaga 2 25 19 2" xfId="38859"/>
    <cellStyle name="Uwaga 2 25 19 3" xfId="38860"/>
    <cellStyle name="Uwaga 2 25 19 4" xfId="38861"/>
    <cellStyle name="Uwaga 2 25 2" xfId="38862"/>
    <cellStyle name="Uwaga 2 25 2 2" xfId="38863"/>
    <cellStyle name="Uwaga 2 25 2 3" xfId="38864"/>
    <cellStyle name="Uwaga 2 25 2 4" xfId="38865"/>
    <cellStyle name="Uwaga 2 25 20" xfId="38866"/>
    <cellStyle name="Uwaga 2 25 20 2" xfId="38867"/>
    <cellStyle name="Uwaga 2 25 20 3" xfId="38868"/>
    <cellStyle name="Uwaga 2 25 20 4" xfId="38869"/>
    <cellStyle name="Uwaga 2 25 21" xfId="38870"/>
    <cellStyle name="Uwaga 2 25 21 2" xfId="38871"/>
    <cellStyle name="Uwaga 2 25 21 3" xfId="38872"/>
    <cellStyle name="Uwaga 2 25 22" xfId="38873"/>
    <cellStyle name="Uwaga 2 25 22 2" xfId="38874"/>
    <cellStyle name="Uwaga 2 25 22 3" xfId="38875"/>
    <cellStyle name="Uwaga 2 25 23" xfId="38876"/>
    <cellStyle name="Uwaga 2 25 23 2" xfId="38877"/>
    <cellStyle name="Uwaga 2 25 23 3" xfId="38878"/>
    <cellStyle name="Uwaga 2 25 24" xfId="38879"/>
    <cellStyle name="Uwaga 2 25 24 2" xfId="38880"/>
    <cellStyle name="Uwaga 2 25 24 3" xfId="38881"/>
    <cellStyle name="Uwaga 2 25 25" xfId="38882"/>
    <cellStyle name="Uwaga 2 25 25 2" xfId="38883"/>
    <cellStyle name="Uwaga 2 25 25 3" xfId="38884"/>
    <cellStyle name="Uwaga 2 25 26" xfId="38885"/>
    <cellStyle name="Uwaga 2 25 26 2" xfId="38886"/>
    <cellStyle name="Uwaga 2 25 26 3" xfId="38887"/>
    <cellStyle name="Uwaga 2 25 27" xfId="38888"/>
    <cellStyle name="Uwaga 2 25 27 2" xfId="38889"/>
    <cellStyle name="Uwaga 2 25 27 3" xfId="38890"/>
    <cellStyle name="Uwaga 2 25 28" xfId="38891"/>
    <cellStyle name="Uwaga 2 25 28 2" xfId="38892"/>
    <cellStyle name="Uwaga 2 25 28 3" xfId="38893"/>
    <cellStyle name="Uwaga 2 25 29" xfId="38894"/>
    <cellStyle name="Uwaga 2 25 29 2" xfId="38895"/>
    <cellStyle name="Uwaga 2 25 29 3" xfId="38896"/>
    <cellStyle name="Uwaga 2 25 3" xfId="38897"/>
    <cellStyle name="Uwaga 2 25 3 2" xfId="38898"/>
    <cellStyle name="Uwaga 2 25 3 3" xfId="38899"/>
    <cellStyle name="Uwaga 2 25 3 4" xfId="38900"/>
    <cellStyle name="Uwaga 2 25 30" xfId="38901"/>
    <cellStyle name="Uwaga 2 25 30 2" xfId="38902"/>
    <cellStyle name="Uwaga 2 25 30 3" xfId="38903"/>
    <cellStyle name="Uwaga 2 25 31" xfId="38904"/>
    <cellStyle name="Uwaga 2 25 31 2" xfId="38905"/>
    <cellStyle name="Uwaga 2 25 31 3" xfId="38906"/>
    <cellStyle name="Uwaga 2 25 32" xfId="38907"/>
    <cellStyle name="Uwaga 2 25 32 2" xfId="38908"/>
    <cellStyle name="Uwaga 2 25 32 3" xfId="38909"/>
    <cellStyle name="Uwaga 2 25 33" xfId="38910"/>
    <cellStyle name="Uwaga 2 25 33 2" xfId="38911"/>
    <cellStyle name="Uwaga 2 25 33 3" xfId="38912"/>
    <cellStyle name="Uwaga 2 25 34" xfId="38913"/>
    <cellStyle name="Uwaga 2 25 34 2" xfId="38914"/>
    <cellStyle name="Uwaga 2 25 34 3" xfId="38915"/>
    <cellStyle name="Uwaga 2 25 35" xfId="38916"/>
    <cellStyle name="Uwaga 2 25 35 2" xfId="38917"/>
    <cellStyle name="Uwaga 2 25 35 3" xfId="38918"/>
    <cellStyle name="Uwaga 2 25 36" xfId="38919"/>
    <cellStyle name="Uwaga 2 25 36 2" xfId="38920"/>
    <cellStyle name="Uwaga 2 25 36 3" xfId="38921"/>
    <cellStyle name="Uwaga 2 25 37" xfId="38922"/>
    <cellStyle name="Uwaga 2 25 37 2" xfId="38923"/>
    <cellStyle name="Uwaga 2 25 37 3" xfId="38924"/>
    <cellStyle name="Uwaga 2 25 38" xfId="38925"/>
    <cellStyle name="Uwaga 2 25 38 2" xfId="38926"/>
    <cellStyle name="Uwaga 2 25 38 3" xfId="38927"/>
    <cellStyle name="Uwaga 2 25 39" xfId="38928"/>
    <cellStyle name="Uwaga 2 25 39 2" xfId="38929"/>
    <cellStyle name="Uwaga 2 25 39 3" xfId="38930"/>
    <cellStyle name="Uwaga 2 25 4" xfId="38931"/>
    <cellStyle name="Uwaga 2 25 4 2" xfId="38932"/>
    <cellStyle name="Uwaga 2 25 4 3" xfId="38933"/>
    <cellStyle name="Uwaga 2 25 4 4" xfId="38934"/>
    <cellStyle name="Uwaga 2 25 40" xfId="38935"/>
    <cellStyle name="Uwaga 2 25 40 2" xfId="38936"/>
    <cellStyle name="Uwaga 2 25 40 3" xfId="38937"/>
    <cellStyle name="Uwaga 2 25 41" xfId="38938"/>
    <cellStyle name="Uwaga 2 25 41 2" xfId="38939"/>
    <cellStyle name="Uwaga 2 25 41 3" xfId="38940"/>
    <cellStyle name="Uwaga 2 25 42" xfId="38941"/>
    <cellStyle name="Uwaga 2 25 42 2" xfId="38942"/>
    <cellStyle name="Uwaga 2 25 42 3" xfId="38943"/>
    <cellStyle name="Uwaga 2 25 43" xfId="38944"/>
    <cellStyle name="Uwaga 2 25 43 2" xfId="38945"/>
    <cellStyle name="Uwaga 2 25 43 3" xfId="38946"/>
    <cellStyle name="Uwaga 2 25 44" xfId="38947"/>
    <cellStyle name="Uwaga 2 25 44 2" xfId="38948"/>
    <cellStyle name="Uwaga 2 25 44 3" xfId="38949"/>
    <cellStyle name="Uwaga 2 25 45" xfId="38950"/>
    <cellStyle name="Uwaga 2 25 45 2" xfId="38951"/>
    <cellStyle name="Uwaga 2 25 45 3" xfId="38952"/>
    <cellStyle name="Uwaga 2 25 46" xfId="38953"/>
    <cellStyle name="Uwaga 2 25 46 2" xfId="38954"/>
    <cellStyle name="Uwaga 2 25 46 3" xfId="38955"/>
    <cellStyle name="Uwaga 2 25 47" xfId="38956"/>
    <cellStyle name="Uwaga 2 25 47 2" xfId="38957"/>
    <cellStyle name="Uwaga 2 25 47 3" xfId="38958"/>
    <cellStyle name="Uwaga 2 25 48" xfId="38959"/>
    <cellStyle name="Uwaga 2 25 48 2" xfId="38960"/>
    <cellStyle name="Uwaga 2 25 48 3" xfId="38961"/>
    <cellStyle name="Uwaga 2 25 49" xfId="38962"/>
    <cellStyle name="Uwaga 2 25 49 2" xfId="38963"/>
    <cellStyle name="Uwaga 2 25 49 3" xfId="38964"/>
    <cellStyle name="Uwaga 2 25 5" xfId="38965"/>
    <cellStyle name="Uwaga 2 25 5 2" xfId="38966"/>
    <cellStyle name="Uwaga 2 25 5 3" xfId="38967"/>
    <cellStyle name="Uwaga 2 25 5 4" xfId="38968"/>
    <cellStyle name="Uwaga 2 25 50" xfId="38969"/>
    <cellStyle name="Uwaga 2 25 50 2" xfId="38970"/>
    <cellStyle name="Uwaga 2 25 50 3" xfId="38971"/>
    <cellStyle name="Uwaga 2 25 51" xfId="38972"/>
    <cellStyle name="Uwaga 2 25 51 2" xfId="38973"/>
    <cellStyle name="Uwaga 2 25 51 3" xfId="38974"/>
    <cellStyle name="Uwaga 2 25 52" xfId="38975"/>
    <cellStyle name="Uwaga 2 25 52 2" xfId="38976"/>
    <cellStyle name="Uwaga 2 25 52 3" xfId="38977"/>
    <cellStyle name="Uwaga 2 25 53" xfId="38978"/>
    <cellStyle name="Uwaga 2 25 53 2" xfId="38979"/>
    <cellStyle name="Uwaga 2 25 53 3" xfId="38980"/>
    <cellStyle name="Uwaga 2 25 54" xfId="38981"/>
    <cellStyle name="Uwaga 2 25 54 2" xfId="38982"/>
    <cellStyle name="Uwaga 2 25 54 3" xfId="38983"/>
    <cellStyle name="Uwaga 2 25 55" xfId="38984"/>
    <cellStyle name="Uwaga 2 25 55 2" xfId="38985"/>
    <cellStyle name="Uwaga 2 25 55 3" xfId="38986"/>
    <cellStyle name="Uwaga 2 25 56" xfId="38987"/>
    <cellStyle name="Uwaga 2 25 56 2" xfId="38988"/>
    <cellStyle name="Uwaga 2 25 56 3" xfId="38989"/>
    <cellStyle name="Uwaga 2 25 57" xfId="38990"/>
    <cellStyle name="Uwaga 2 25 58" xfId="38991"/>
    <cellStyle name="Uwaga 2 25 6" xfId="38992"/>
    <cellStyle name="Uwaga 2 25 6 2" xfId="38993"/>
    <cellStyle name="Uwaga 2 25 6 3" xfId="38994"/>
    <cellStyle name="Uwaga 2 25 6 4" xfId="38995"/>
    <cellStyle name="Uwaga 2 25 7" xfId="38996"/>
    <cellStyle name="Uwaga 2 25 7 2" xfId="38997"/>
    <cellStyle name="Uwaga 2 25 7 3" xfId="38998"/>
    <cellStyle name="Uwaga 2 25 7 4" xfId="38999"/>
    <cellStyle name="Uwaga 2 25 8" xfId="39000"/>
    <cellStyle name="Uwaga 2 25 8 2" xfId="39001"/>
    <cellStyle name="Uwaga 2 25 8 3" xfId="39002"/>
    <cellStyle name="Uwaga 2 25 8 4" xfId="39003"/>
    <cellStyle name="Uwaga 2 25 9" xfId="39004"/>
    <cellStyle name="Uwaga 2 25 9 2" xfId="39005"/>
    <cellStyle name="Uwaga 2 25 9 3" xfId="39006"/>
    <cellStyle name="Uwaga 2 25 9 4" xfId="39007"/>
    <cellStyle name="Uwaga 2 26" xfId="39008"/>
    <cellStyle name="Uwaga 2 26 10" xfId="39009"/>
    <cellStyle name="Uwaga 2 26 10 2" xfId="39010"/>
    <cellStyle name="Uwaga 2 26 10 3" xfId="39011"/>
    <cellStyle name="Uwaga 2 26 10 4" xfId="39012"/>
    <cellStyle name="Uwaga 2 26 11" xfId="39013"/>
    <cellStyle name="Uwaga 2 26 11 2" xfId="39014"/>
    <cellStyle name="Uwaga 2 26 11 3" xfId="39015"/>
    <cellStyle name="Uwaga 2 26 11 4" xfId="39016"/>
    <cellStyle name="Uwaga 2 26 12" xfId="39017"/>
    <cellStyle name="Uwaga 2 26 12 2" xfId="39018"/>
    <cellStyle name="Uwaga 2 26 12 3" xfId="39019"/>
    <cellStyle name="Uwaga 2 26 12 4" xfId="39020"/>
    <cellStyle name="Uwaga 2 26 13" xfId="39021"/>
    <cellStyle name="Uwaga 2 26 13 2" xfId="39022"/>
    <cellStyle name="Uwaga 2 26 13 3" xfId="39023"/>
    <cellStyle name="Uwaga 2 26 13 4" xfId="39024"/>
    <cellStyle name="Uwaga 2 26 14" xfId="39025"/>
    <cellStyle name="Uwaga 2 26 14 2" xfId="39026"/>
    <cellStyle name="Uwaga 2 26 14 3" xfId="39027"/>
    <cellStyle name="Uwaga 2 26 14 4" xfId="39028"/>
    <cellStyle name="Uwaga 2 26 15" xfId="39029"/>
    <cellStyle name="Uwaga 2 26 15 2" xfId="39030"/>
    <cellStyle name="Uwaga 2 26 15 3" xfId="39031"/>
    <cellStyle name="Uwaga 2 26 15 4" xfId="39032"/>
    <cellStyle name="Uwaga 2 26 16" xfId="39033"/>
    <cellStyle name="Uwaga 2 26 16 2" xfId="39034"/>
    <cellStyle name="Uwaga 2 26 16 3" xfId="39035"/>
    <cellStyle name="Uwaga 2 26 16 4" xfId="39036"/>
    <cellStyle name="Uwaga 2 26 17" xfId="39037"/>
    <cellStyle name="Uwaga 2 26 17 2" xfId="39038"/>
    <cellStyle name="Uwaga 2 26 17 3" xfId="39039"/>
    <cellStyle name="Uwaga 2 26 17 4" xfId="39040"/>
    <cellStyle name="Uwaga 2 26 18" xfId="39041"/>
    <cellStyle name="Uwaga 2 26 18 2" xfId="39042"/>
    <cellStyle name="Uwaga 2 26 18 3" xfId="39043"/>
    <cellStyle name="Uwaga 2 26 18 4" xfId="39044"/>
    <cellStyle name="Uwaga 2 26 19" xfId="39045"/>
    <cellStyle name="Uwaga 2 26 19 2" xfId="39046"/>
    <cellStyle name="Uwaga 2 26 19 3" xfId="39047"/>
    <cellStyle name="Uwaga 2 26 19 4" xfId="39048"/>
    <cellStyle name="Uwaga 2 26 2" xfId="39049"/>
    <cellStyle name="Uwaga 2 26 2 2" xfId="39050"/>
    <cellStyle name="Uwaga 2 26 2 3" xfId="39051"/>
    <cellStyle name="Uwaga 2 26 2 4" xfId="39052"/>
    <cellStyle name="Uwaga 2 26 20" xfId="39053"/>
    <cellStyle name="Uwaga 2 26 20 2" xfId="39054"/>
    <cellStyle name="Uwaga 2 26 20 3" xfId="39055"/>
    <cellStyle name="Uwaga 2 26 20 4" xfId="39056"/>
    <cellStyle name="Uwaga 2 26 21" xfId="39057"/>
    <cellStyle name="Uwaga 2 26 21 2" xfId="39058"/>
    <cellStyle name="Uwaga 2 26 21 3" xfId="39059"/>
    <cellStyle name="Uwaga 2 26 22" xfId="39060"/>
    <cellStyle name="Uwaga 2 26 22 2" xfId="39061"/>
    <cellStyle name="Uwaga 2 26 22 3" xfId="39062"/>
    <cellStyle name="Uwaga 2 26 23" xfId="39063"/>
    <cellStyle name="Uwaga 2 26 23 2" xfId="39064"/>
    <cellStyle name="Uwaga 2 26 23 3" xfId="39065"/>
    <cellStyle name="Uwaga 2 26 24" xfId="39066"/>
    <cellStyle name="Uwaga 2 26 24 2" xfId="39067"/>
    <cellStyle name="Uwaga 2 26 24 3" xfId="39068"/>
    <cellStyle name="Uwaga 2 26 25" xfId="39069"/>
    <cellStyle name="Uwaga 2 26 25 2" xfId="39070"/>
    <cellStyle name="Uwaga 2 26 25 3" xfId="39071"/>
    <cellStyle name="Uwaga 2 26 26" xfId="39072"/>
    <cellStyle name="Uwaga 2 26 26 2" xfId="39073"/>
    <cellStyle name="Uwaga 2 26 26 3" xfId="39074"/>
    <cellStyle name="Uwaga 2 26 27" xfId="39075"/>
    <cellStyle name="Uwaga 2 26 27 2" xfId="39076"/>
    <cellStyle name="Uwaga 2 26 27 3" xfId="39077"/>
    <cellStyle name="Uwaga 2 26 28" xfId="39078"/>
    <cellStyle name="Uwaga 2 26 28 2" xfId="39079"/>
    <cellStyle name="Uwaga 2 26 28 3" xfId="39080"/>
    <cellStyle name="Uwaga 2 26 29" xfId="39081"/>
    <cellStyle name="Uwaga 2 26 29 2" xfId="39082"/>
    <cellStyle name="Uwaga 2 26 29 3" xfId="39083"/>
    <cellStyle name="Uwaga 2 26 3" xfId="39084"/>
    <cellStyle name="Uwaga 2 26 3 2" xfId="39085"/>
    <cellStyle name="Uwaga 2 26 3 3" xfId="39086"/>
    <cellStyle name="Uwaga 2 26 3 4" xfId="39087"/>
    <cellStyle name="Uwaga 2 26 30" xfId="39088"/>
    <cellStyle name="Uwaga 2 26 30 2" xfId="39089"/>
    <cellStyle name="Uwaga 2 26 30 3" xfId="39090"/>
    <cellStyle name="Uwaga 2 26 31" xfId="39091"/>
    <cellStyle name="Uwaga 2 26 31 2" xfId="39092"/>
    <cellStyle name="Uwaga 2 26 31 3" xfId="39093"/>
    <cellStyle name="Uwaga 2 26 32" xfId="39094"/>
    <cellStyle name="Uwaga 2 26 32 2" xfId="39095"/>
    <cellStyle name="Uwaga 2 26 32 3" xfId="39096"/>
    <cellStyle name="Uwaga 2 26 33" xfId="39097"/>
    <cellStyle name="Uwaga 2 26 33 2" xfId="39098"/>
    <cellStyle name="Uwaga 2 26 33 3" xfId="39099"/>
    <cellStyle name="Uwaga 2 26 34" xfId="39100"/>
    <cellStyle name="Uwaga 2 26 34 2" xfId="39101"/>
    <cellStyle name="Uwaga 2 26 34 3" xfId="39102"/>
    <cellStyle name="Uwaga 2 26 35" xfId="39103"/>
    <cellStyle name="Uwaga 2 26 35 2" xfId="39104"/>
    <cellStyle name="Uwaga 2 26 35 3" xfId="39105"/>
    <cellStyle name="Uwaga 2 26 36" xfId="39106"/>
    <cellStyle name="Uwaga 2 26 36 2" xfId="39107"/>
    <cellStyle name="Uwaga 2 26 36 3" xfId="39108"/>
    <cellStyle name="Uwaga 2 26 37" xfId="39109"/>
    <cellStyle name="Uwaga 2 26 37 2" xfId="39110"/>
    <cellStyle name="Uwaga 2 26 37 3" xfId="39111"/>
    <cellStyle name="Uwaga 2 26 38" xfId="39112"/>
    <cellStyle name="Uwaga 2 26 38 2" xfId="39113"/>
    <cellStyle name="Uwaga 2 26 38 3" xfId="39114"/>
    <cellStyle name="Uwaga 2 26 39" xfId="39115"/>
    <cellStyle name="Uwaga 2 26 39 2" xfId="39116"/>
    <cellStyle name="Uwaga 2 26 39 3" xfId="39117"/>
    <cellStyle name="Uwaga 2 26 4" xfId="39118"/>
    <cellStyle name="Uwaga 2 26 4 2" xfId="39119"/>
    <cellStyle name="Uwaga 2 26 4 3" xfId="39120"/>
    <cellStyle name="Uwaga 2 26 4 4" xfId="39121"/>
    <cellStyle name="Uwaga 2 26 40" xfId="39122"/>
    <cellStyle name="Uwaga 2 26 40 2" xfId="39123"/>
    <cellStyle name="Uwaga 2 26 40 3" xfId="39124"/>
    <cellStyle name="Uwaga 2 26 41" xfId="39125"/>
    <cellStyle name="Uwaga 2 26 41 2" xfId="39126"/>
    <cellStyle name="Uwaga 2 26 41 3" xfId="39127"/>
    <cellStyle name="Uwaga 2 26 42" xfId="39128"/>
    <cellStyle name="Uwaga 2 26 42 2" xfId="39129"/>
    <cellStyle name="Uwaga 2 26 42 3" xfId="39130"/>
    <cellStyle name="Uwaga 2 26 43" xfId="39131"/>
    <cellStyle name="Uwaga 2 26 43 2" xfId="39132"/>
    <cellStyle name="Uwaga 2 26 43 3" xfId="39133"/>
    <cellStyle name="Uwaga 2 26 44" xfId="39134"/>
    <cellStyle name="Uwaga 2 26 44 2" xfId="39135"/>
    <cellStyle name="Uwaga 2 26 44 3" xfId="39136"/>
    <cellStyle name="Uwaga 2 26 45" xfId="39137"/>
    <cellStyle name="Uwaga 2 26 45 2" xfId="39138"/>
    <cellStyle name="Uwaga 2 26 45 3" xfId="39139"/>
    <cellStyle name="Uwaga 2 26 46" xfId="39140"/>
    <cellStyle name="Uwaga 2 26 46 2" xfId="39141"/>
    <cellStyle name="Uwaga 2 26 46 3" xfId="39142"/>
    <cellStyle name="Uwaga 2 26 47" xfId="39143"/>
    <cellStyle name="Uwaga 2 26 47 2" xfId="39144"/>
    <cellStyle name="Uwaga 2 26 47 3" xfId="39145"/>
    <cellStyle name="Uwaga 2 26 48" xfId="39146"/>
    <cellStyle name="Uwaga 2 26 48 2" xfId="39147"/>
    <cellStyle name="Uwaga 2 26 48 3" xfId="39148"/>
    <cellStyle name="Uwaga 2 26 49" xfId="39149"/>
    <cellStyle name="Uwaga 2 26 49 2" xfId="39150"/>
    <cellStyle name="Uwaga 2 26 49 3" xfId="39151"/>
    <cellStyle name="Uwaga 2 26 5" xfId="39152"/>
    <cellStyle name="Uwaga 2 26 5 2" xfId="39153"/>
    <cellStyle name="Uwaga 2 26 5 3" xfId="39154"/>
    <cellStyle name="Uwaga 2 26 5 4" xfId="39155"/>
    <cellStyle name="Uwaga 2 26 50" xfId="39156"/>
    <cellStyle name="Uwaga 2 26 50 2" xfId="39157"/>
    <cellStyle name="Uwaga 2 26 50 3" xfId="39158"/>
    <cellStyle name="Uwaga 2 26 51" xfId="39159"/>
    <cellStyle name="Uwaga 2 26 51 2" xfId="39160"/>
    <cellStyle name="Uwaga 2 26 51 3" xfId="39161"/>
    <cellStyle name="Uwaga 2 26 52" xfId="39162"/>
    <cellStyle name="Uwaga 2 26 52 2" xfId="39163"/>
    <cellStyle name="Uwaga 2 26 52 3" xfId="39164"/>
    <cellStyle name="Uwaga 2 26 53" xfId="39165"/>
    <cellStyle name="Uwaga 2 26 53 2" xfId="39166"/>
    <cellStyle name="Uwaga 2 26 53 3" xfId="39167"/>
    <cellStyle name="Uwaga 2 26 54" xfId="39168"/>
    <cellStyle name="Uwaga 2 26 54 2" xfId="39169"/>
    <cellStyle name="Uwaga 2 26 54 3" xfId="39170"/>
    <cellStyle name="Uwaga 2 26 55" xfId="39171"/>
    <cellStyle name="Uwaga 2 26 55 2" xfId="39172"/>
    <cellStyle name="Uwaga 2 26 55 3" xfId="39173"/>
    <cellStyle name="Uwaga 2 26 56" xfId="39174"/>
    <cellStyle name="Uwaga 2 26 56 2" xfId="39175"/>
    <cellStyle name="Uwaga 2 26 56 3" xfId="39176"/>
    <cellStyle name="Uwaga 2 26 57" xfId="39177"/>
    <cellStyle name="Uwaga 2 26 58" xfId="39178"/>
    <cellStyle name="Uwaga 2 26 6" xfId="39179"/>
    <cellStyle name="Uwaga 2 26 6 2" xfId="39180"/>
    <cellStyle name="Uwaga 2 26 6 3" xfId="39181"/>
    <cellStyle name="Uwaga 2 26 6 4" xfId="39182"/>
    <cellStyle name="Uwaga 2 26 7" xfId="39183"/>
    <cellStyle name="Uwaga 2 26 7 2" xfId="39184"/>
    <cellStyle name="Uwaga 2 26 7 3" xfId="39185"/>
    <cellStyle name="Uwaga 2 26 7 4" xfId="39186"/>
    <cellStyle name="Uwaga 2 26 8" xfId="39187"/>
    <cellStyle name="Uwaga 2 26 8 2" xfId="39188"/>
    <cellStyle name="Uwaga 2 26 8 3" xfId="39189"/>
    <cellStyle name="Uwaga 2 26 8 4" xfId="39190"/>
    <cellStyle name="Uwaga 2 26 9" xfId="39191"/>
    <cellStyle name="Uwaga 2 26 9 2" xfId="39192"/>
    <cellStyle name="Uwaga 2 26 9 3" xfId="39193"/>
    <cellStyle name="Uwaga 2 26 9 4" xfId="39194"/>
    <cellStyle name="Uwaga 2 27" xfId="39195"/>
    <cellStyle name="Uwaga 2 27 10" xfId="39196"/>
    <cellStyle name="Uwaga 2 27 10 2" xfId="39197"/>
    <cellStyle name="Uwaga 2 27 10 3" xfId="39198"/>
    <cellStyle name="Uwaga 2 27 10 4" xfId="39199"/>
    <cellStyle name="Uwaga 2 27 11" xfId="39200"/>
    <cellStyle name="Uwaga 2 27 11 2" xfId="39201"/>
    <cellStyle name="Uwaga 2 27 11 3" xfId="39202"/>
    <cellStyle name="Uwaga 2 27 11 4" xfId="39203"/>
    <cellStyle name="Uwaga 2 27 12" xfId="39204"/>
    <cellStyle name="Uwaga 2 27 12 2" xfId="39205"/>
    <cellStyle name="Uwaga 2 27 12 3" xfId="39206"/>
    <cellStyle name="Uwaga 2 27 12 4" xfId="39207"/>
    <cellStyle name="Uwaga 2 27 13" xfId="39208"/>
    <cellStyle name="Uwaga 2 27 13 2" xfId="39209"/>
    <cellStyle name="Uwaga 2 27 13 3" xfId="39210"/>
    <cellStyle name="Uwaga 2 27 13 4" xfId="39211"/>
    <cellStyle name="Uwaga 2 27 14" xfId="39212"/>
    <cellStyle name="Uwaga 2 27 14 2" xfId="39213"/>
    <cellStyle name="Uwaga 2 27 14 3" xfId="39214"/>
    <cellStyle name="Uwaga 2 27 14 4" xfId="39215"/>
    <cellStyle name="Uwaga 2 27 15" xfId="39216"/>
    <cellStyle name="Uwaga 2 27 15 2" xfId="39217"/>
    <cellStyle name="Uwaga 2 27 15 3" xfId="39218"/>
    <cellStyle name="Uwaga 2 27 15 4" xfId="39219"/>
    <cellStyle name="Uwaga 2 27 16" xfId="39220"/>
    <cellStyle name="Uwaga 2 27 16 2" xfId="39221"/>
    <cellStyle name="Uwaga 2 27 16 3" xfId="39222"/>
    <cellStyle name="Uwaga 2 27 16 4" xfId="39223"/>
    <cellStyle name="Uwaga 2 27 17" xfId="39224"/>
    <cellStyle name="Uwaga 2 27 17 2" xfId="39225"/>
    <cellStyle name="Uwaga 2 27 17 3" xfId="39226"/>
    <cellStyle name="Uwaga 2 27 17 4" xfId="39227"/>
    <cellStyle name="Uwaga 2 27 18" xfId="39228"/>
    <cellStyle name="Uwaga 2 27 18 2" xfId="39229"/>
    <cellStyle name="Uwaga 2 27 18 3" xfId="39230"/>
    <cellStyle name="Uwaga 2 27 18 4" xfId="39231"/>
    <cellStyle name="Uwaga 2 27 19" xfId="39232"/>
    <cellStyle name="Uwaga 2 27 19 2" xfId="39233"/>
    <cellStyle name="Uwaga 2 27 19 3" xfId="39234"/>
    <cellStyle name="Uwaga 2 27 19 4" xfId="39235"/>
    <cellStyle name="Uwaga 2 27 2" xfId="39236"/>
    <cellStyle name="Uwaga 2 27 2 2" xfId="39237"/>
    <cellStyle name="Uwaga 2 27 2 3" xfId="39238"/>
    <cellStyle name="Uwaga 2 27 2 4" xfId="39239"/>
    <cellStyle name="Uwaga 2 27 20" xfId="39240"/>
    <cellStyle name="Uwaga 2 27 20 2" xfId="39241"/>
    <cellStyle name="Uwaga 2 27 20 3" xfId="39242"/>
    <cellStyle name="Uwaga 2 27 20 4" xfId="39243"/>
    <cellStyle name="Uwaga 2 27 21" xfId="39244"/>
    <cellStyle name="Uwaga 2 27 21 2" xfId="39245"/>
    <cellStyle name="Uwaga 2 27 21 3" xfId="39246"/>
    <cellStyle name="Uwaga 2 27 22" xfId="39247"/>
    <cellStyle name="Uwaga 2 27 22 2" xfId="39248"/>
    <cellStyle name="Uwaga 2 27 22 3" xfId="39249"/>
    <cellStyle name="Uwaga 2 27 23" xfId="39250"/>
    <cellStyle name="Uwaga 2 27 23 2" xfId="39251"/>
    <cellStyle name="Uwaga 2 27 23 3" xfId="39252"/>
    <cellStyle name="Uwaga 2 27 24" xfId="39253"/>
    <cellStyle name="Uwaga 2 27 24 2" xfId="39254"/>
    <cellStyle name="Uwaga 2 27 24 3" xfId="39255"/>
    <cellStyle name="Uwaga 2 27 25" xfId="39256"/>
    <cellStyle name="Uwaga 2 27 25 2" xfId="39257"/>
    <cellStyle name="Uwaga 2 27 25 3" xfId="39258"/>
    <cellStyle name="Uwaga 2 27 26" xfId="39259"/>
    <cellStyle name="Uwaga 2 27 26 2" xfId="39260"/>
    <cellStyle name="Uwaga 2 27 26 3" xfId="39261"/>
    <cellStyle name="Uwaga 2 27 27" xfId="39262"/>
    <cellStyle name="Uwaga 2 27 27 2" xfId="39263"/>
    <cellStyle name="Uwaga 2 27 27 3" xfId="39264"/>
    <cellStyle name="Uwaga 2 27 28" xfId="39265"/>
    <cellStyle name="Uwaga 2 27 28 2" xfId="39266"/>
    <cellStyle name="Uwaga 2 27 28 3" xfId="39267"/>
    <cellStyle name="Uwaga 2 27 29" xfId="39268"/>
    <cellStyle name="Uwaga 2 27 29 2" xfId="39269"/>
    <cellStyle name="Uwaga 2 27 29 3" xfId="39270"/>
    <cellStyle name="Uwaga 2 27 3" xfId="39271"/>
    <cellStyle name="Uwaga 2 27 3 2" xfId="39272"/>
    <cellStyle name="Uwaga 2 27 3 3" xfId="39273"/>
    <cellStyle name="Uwaga 2 27 3 4" xfId="39274"/>
    <cellStyle name="Uwaga 2 27 30" xfId="39275"/>
    <cellStyle name="Uwaga 2 27 30 2" xfId="39276"/>
    <cellStyle name="Uwaga 2 27 30 3" xfId="39277"/>
    <cellStyle name="Uwaga 2 27 31" xfId="39278"/>
    <cellStyle name="Uwaga 2 27 31 2" xfId="39279"/>
    <cellStyle name="Uwaga 2 27 31 3" xfId="39280"/>
    <cellStyle name="Uwaga 2 27 32" xfId="39281"/>
    <cellStyle name="Uwaga 2 27 32 2" xfId="39282"/>
    <cellStyle name="Uwaga 2 27 32 3" xfId="39283"/>
    <cellStyle name="Uwaga 2 27 33" xfId="39284"/>
    <cellStyle name="Uwaga 2 27 33 2" xfId="39285"/>
    <cellStyle name="Uwaga 2 27 33 3" xfId="39286"/>
    <cellStyle name="Uwaga 2 27 34" xfId="39287"/>
    <cellStyle name="Uwaga 2 27 34 2" xfId="39288"/>
    <cellStyle name="Uwaga 2 27 34 3" xfId="39289"/>
    <cellStyle name="Uwaga 2 27 35" xfId="39290"/>
    <cellStyle name="Uwaga 2 27 35 2" xfId="39291"/>
    <cellStyle name="Uwaga 2 27 35 3" xfId="39292"/>
    <cellStyle name="Uwaga 2 27 36" xfId="39293"/>
    <cellStyle name="Uwaga 2 27 36 2" xfId="39294"/>
    <cellStyle name="Uwaga 2 27 36 3" xfId="39295"/>
    <cellStyle name="Uwaga 2 27 37" xfId="39296"/>
    <cellStyle name="Uwaga 2 27 37 2" xfId="39297"/>
    <cellStyle name="Uwaga 2 27 37 3" xfId="39298"/>
    <cellStyle name="Uwaga 2 27 38" xfId="39299"/>
    <cellStyle name="Uwaga 2 27 38 2" xfId="39300"/>
    <cellStyle name="Uwaga 2 27 38 3" xfId="39301"/>
    <cellStyle name="Uwaga 2 27 39" xfId="39302"/>
    <cellStyle name="Uwaga 2 27 39 2" xfId="39303"/>
    <cellStyle name="Uwaga 2 27 39 3" xfId="39304"/>
    <cellStyle name="Uwaga 2 27 4" xfId="39305"/>
    <cellStyle name="Uwaga 2 27 4 2" xfId="39306"/>
    <cellStyle name="Uwaga 2 27 4 3" xfId="39307"/>
    <cellStyle name="Uwaga 2 27 4 4" xfId="39308"/>
    <cellStyle name="Uwaga 2 27 40" xfId="39309"/>
    <cellStyle name="Uwaga 2 27 40 2" xfId="39310"/>
    <cellStyle name="Uwaga 2 27 40 3" xfId="39311"/>
    <cellStyle name="Uwaga 2 27 41" xfId="39312"/>
    <cellStyle name="Uwaga 2 27 41 2" xfId="39313"/>
    <cellStyle name="Uwaga 2 27 41 3" xfId="39314"/>
    <cellStyle name="Uwaga 2 27 42" xfId="39315"/>
    <cellStyle name="Uwaga 2 27 42 2" xfId="39316"/>
    <cellStyle name="Uwaga 2 27 42 3" xfId="39317"/>
    <cellStyle name="Uwaga 2 27 43" xfId="39318"/>
    <cellStyle name="Uwaga 2 27 43 2" xfId="39319"/>
    <cellStyle name="Uwaga 2 27 43 3" xfId="39320"/>
    <cellStyle name="Uwaga 2 27 44" xfId="39321"/>
    <cellStyle name="Uwaga 2 27 44 2" xfId="39322"/>
    <cellStyle name="Uwaga 2 27 44 3" xfId="39323"/>
    <cellStyle name="Uwaga 2 27 45" xfId="39324"/>
    <cellStyle name="Uwaga 2 27 45 2" xfId="39325"/>
    <cellStyle name="Uwaga 2 27 45 3" xfId="39326"/>
    <cellStyle name="Uwaga 2 27 46" xfId="39327"/>
    <cellStyle name="Uwaga 2 27 46 2" xfId="39328"/>
    <cellStyle name="Uwaga 2 27 46 3" xfId="39329"/>
    <cellStyle name="Uwaga 2 27 47" xfId="39330"/>
    <cellStyle name="Uwaga 2 27 47 2" xfId="39331"/>
    <cellStyle name="Uwaga 2 27 47 3" xfId="39332"/>
    <cellStyle name="Uwaga 2 27 48" xfId="39333"/>
    <cellStyle name="Uwaga 2 27 48 2" xfId="39334"/>
    <cellStyle name="Uwaga 2 27 48 3" xfId="39335"/>
    <cellStyle name="Uwaga 2 27 49" xfId="39336"/>
    <cellStyle name="Uwaga 2 27 49 2" xfId="39337"/>
    <cellStyle name="Uwaga 2 27 49 3" xfId="39338"/>
    <cellStyle name="Uwaga 2 27 5" xfId="39339"/>
    <cellStyle name="Uwaga 2 27 5 2" xfId="39340"/>
    <cellStyle name="Uwaga 2 27 5 3" xfId="39341"/>
    <cellStyle name="Uwaga 2 27 5 4" xfId="39342"/>
    <cellStyle name="Uwaga 2 27 50" xfId="39343"/>
    <cellStyle name="Uwaga 2 27 50 2" xfId="39344"/>
    <cellStyle name="Uwaga 2 27 50 3" xfId="39345"/>
    <cellStyle name="Uwaga 2 27 51" xfId="39346"/>
    <cellStyle name="Uwaga 2 27 51 2" xfId="39347"/>
    <cellStyle name="Uwaga 2 27 51 3" xfId="39348"/>
    <cellStyle name="Uwaga 2 27 52" xfId="39349"/>
    <cellStyle name="Uwaga 2 27 52 2" xfId="39350"/>
    <cellStyle name="Uwaga 2 27 52 3" xfId="39351"/>
    <cellStyle name="Uwaga 2 27 53" xfId="39352"/>
    <cellStyle name="Uwaga 2 27 53 2" xfId="39353"/>
    <cellStyle name="Uwaga 2 27 53 3" xfId="39354"/>
    <cellStyle name="Uwaga 2 27 54" xfId="39355"/>
    <cellStyle name="Uwaga 2 27 54 2" xfId="39356"/>
    <cellStyle name="Uwaga 2 27 54 3" xfId="39357"/>
    <cellStyle name="Uwaga 2 27 55" xfId="39358"/>
    <cellStyle name="Uwaga 2 27 55 2" xfId="39359"/>
    <cellStyle name="Uwaga 2 27 55 3" xfId="39360"/>
    <cellStyle name="Uwaga 2 27 56" xfId="39361"/>
    <cellStyle name="Uwaga 2 27 56 2" xfId="39362"/>
    <cellStyle name="Uwaga 2 27 56 3" xfId="39363"/>
    <cellStyle name="Uwaga 2 27 57" xfId="39364"/>
    <cellStyle name="Uwaga 2 27 58" xfId="39365"/>
    <cellStyle name="Uwaga 2 27 6" xfId="39366"/>
    <cellStyle name="Uwaga 2 27 6 2" xfId="39367"/>
    <cellStyle name="Uwaga 2 27 6 3" xfId="39368"/>
    <cellStyle name="Uwaga 2 27 6 4" xfId="39369"/>
    <cellStyle name="Uwaga 2 27 7" xfId="39370"/>
    <cellStyle name="Uwaga 2 27 7 2" xfId="39371"/>
    <cellStyle name="Uwaga 2 27 7 3" xfId="39372"/>
    <cellStyle name="Uwaga 2 27 7 4" xfId="39373"/>
    <cellStyle name="Uwaga 2 27 8" xfId="39374"/>
    <cellStyle name="Uwaga 2 27 8 2" xfId="39375"/>
    <cellStyle name="Uwaga 2 27 8 3" xfId="39376"/>
    <cellStyle name="Uwaga 2 27 8 4" xfId="39377"/>
    <cellStyle name="Uwaga 2 27 9" xfId="39378"/>
    <cellStyle name="Uwaga 2 27 9 2" xfId="39379"/>
    <cellStyle name="Uwaga 2 27 9 3" xfId="39380"/>
    <cellStyle name="Uwaga 2 27 9 4" xfId="39381"/>
    <cellStyle name="Uwaga 2 28" xfId="39382"/>
    <cellStyle name="Uwaga 2 28 10" xfId="39383"/>
    <cellStyle name="Uwaga 2 28 10 2" xfId="39384"/>
    <cellStyle name="Uwaga 2 28 10 3" xfId="39385"/>
    <cellStyle name="Uwaga 2 28 10 4" xfId="39386"/>
    <cellStyle name="Uwaga 2 28 11" xfId="39387"/>
    <cellStyle name="Uwaga 2 28 11 2" xfId="39388"/>
    <cellStyle name="Uwaga 2 28 11 3" xfId="39389"/>
    <cellStyle name="Uwaga 2 28 11 4" xfId="39390"/>
    <cellStyle name="Uwaga 2 28 12" xfId="39391"/>
    <cellStyle name="Uwaga 2 28 12 2" xfId="39392"/>
    <cellStyle name="Uwaga 2 28 12 3" xfId="39393"/>
    <cellStyle name="Uwaga 2 28 12 4" xfId="39394"/>
    <cellStyle name="Uwaga 2 28 13" xfId="39395"/>
    <cellStyle name="Uwaga 2 28 13 2" xfId="39396"/>
    <cellStyle name="Uwaga 2 28 13 3" xfId="39397"/>
    <cellStyle name="Uwaga 2 28 13 4" xfId="39398"/>
    <cellStyle name="Uwaga 2 28 14" xfId="39399"/>
    <cellStyle name="Uwaga 2 28 14 2" xfId="39400"/>
    <cellStyle name="Uwaga 2 28 14 3" xfId="39401"/>
    <cellStyle name="Uwaga 2 28 14 4" xfId="39402"/>
    <cellStyle name="Uwaga 2 28 15" xfId="39403"/>
    <cellStyle name="Uwaga 2 28 15 2" xfId="39404"/>
    <cellStyle name="Uwaga 2 28 15 3" xfId="39405"/>
    <cellStyle name="Uwaga 2 28 15 4" xfId="39406"/>
    <cellStyle name="Uwaga 2 28 16" xfId="39407"/>
    <cellStyle name="Uwaga 2 28 16 2" xfId="39408"/>
    <cellStyle name="Uwaga 2 28 16 3" xfId="39409"/>
    <cellStyle name="Uwaga 2 28 16 4" xfId="39410"/>
    <cellStyle name="Uwaga 2 28 17" xfId="39411"/>
    <cellStyle name="Uwaga 2 28 17 2" xfId="39412"/>
    <cellStyle name="Uwaga 2 28 17 3" xfId="39413"/>
    <cellStyle name="Uwaga 2 28 17 4" xfId="39414"/>
    <cellStyle name="Uwaga 2 28 18" xfId="39415"/>
    <cellStyle name="Uwaga 2 28 18 2" xfId="39416"/>
    <cellStyle name="Uwaga 2 28 18 3" xfId="39417"/>
    <cellStyle name="Uwaga 2 28 18 4" xfId="39418"/>
    <cellStyle name="Uwaga 2 28 19" xfId="39419"/>
    <cellStyle name="Uwaga 2 28 19 2" xfId="39420"/>
    <cellStyle name="Uwaga 2 28 19 3" xfId="39421"/>
    <cellStyle name="Uwaga 2 28 19 4" xfId="39422"/>
    <cellStyle name="Uwaga 2 28 2" xfId="39423"/>
    <cellStyle name="Uwaga 2 28 2 2" xfId="39424"/>
    <cellStyle name="Uwaga 2 28 2 3" xfId="39425"/>
    <cellStyle name="Uwaga 2 28 2 4" xfId="39426"/>
    <cellStyle name="Uwaga 2 28 20" xfId="39427"/>
    <cellStyle name="Uwaga 2 28 20 2" xfId="39428"/>
    <cellStyle name="Uwaga 2 28 20 3" xfId="39429"/>
    <cellStyle name="Uwaga 2 28 20 4" xfId="39430"/>
    <cellStyle name="Uwaga 2 28 21" xfId="39431"/>
    <cellStyle name="Uwaga 2 28 21 2" xfId="39432"/>
    <cellStyle name="Uwaga 2 28 21 3" xfId="39433"/>
    <cellStyle name="Uwaga 2 28 22" xfId="39434"/>
    <cellStyle name="Uwaga 2 28 22 2" xfId="39435"/>
    <cellStyle name="Uwaga 2 28 22 3" xfId="39436"/>
    <cellStyle name="Uwaga 2 28 23" xfId="39437"/>
    <cellStyle name="Uwaga 2 28 23 2" xfId="39438"/>
    <cellStyle name="Uwaga 2 28 23 3" xfId="39439"/>
    <cellStyle name="Uwaga 2 28 24" xfId="39440"/>
    <cellStyle name="Uwaga 2 28 24 2" xfId="39441"/>
    <cellStyle name="Uwaga 2 28 24 3" xfId="39442"/>
    <cellStyle name="Uwaga 2 28 25" xfId="39443"/>
    <cellStyle name="Uwaga 2 28 25 2" xfId="39444"/>
    <cellStyle name="Uwaga 2 28 25 3" xfId="39445"/>
    <cellStyle name="Uwaga 2 28 26" xfId="39446"/>
    <cellStyle name="Uwaga 2 28 26 2" xfId="39447"/>
    <cellStyle name="Uwaga 2 28 26 3" xfId="39448"/>
    <cellStyle name="Uwaga 2 28 27" xfId="39449"/>
    <cellStyle name="Uwaga 2 28 27 2" xfId="39450"/>
    <cellStyle name="Uwaga 2 28 27 3" xfId="39451"/>
    <cellStyle name="Uwaga 2 28 28" xfId="39452"/>
    <cellStyle name="Uwaga 2 28 28 2" xfId="39453"/>
    <cellStyle name="Uwaga 2 28 28 3" xfId="39454"/>
    <cellStyle name="Uwaga 2 28 29" xfId="39455"/>
    <cellStyle name="Uwaga 2 28 29 2" xfId="39456"/>
    <cellStyle name="Uwaga 2 28 29 3" xfId="39457"/>
    <cellStyle name="Uwaga 2 28 3" xfId="39458"/>
    <cellStyle name="Uwaga 2 28 3 2" xfId="39459"/>
    <cellStyle name="Uwaga 2 28 3 3" xfId="39460"/>
    <cellStyle name="Uwaga 2 28 3 4" xfId="39461"/>
    <cellStyle name="Uwaga 2 28 30" xfId="39462"/>
    <cellStyle name="Uwaga 2 28 30 2" xfId="39463"/>
    <cellStyle name="Uwaga 2 28 30 3" xfId="39464"/>
    <cellStyle name="Uwaga 2 28 31" xfId="39465"/>
    <cellStyle name="Uwaga 2 28 31 2" xfId="39466"/>
    <cellStyle name="Uwaga 2 28 31 3" xfId="39467"/>
    <cellStyle name="Uwaga 2 28 32" xfId="39468"/>
    <cellStyle name="Uwaga 2 28 32 2" xfId="39469"/>
    <cellStyle name="Uwaga 2 28 32 3" xfId="39470"/>
    <cellStyle name="Uwaga 2 28 33" xfId="39471"/>
    <cellStyle name="Uwaga 2 28 33 2" xfId="39472"/>
    <cellStyle name="Uwaga 2 28 33 3" xfId="39473"/>
    <cellStyle name="Uwaga 2 28 34" xfId="39474"/>
    <cellStyle name="Uwaga 2 28 34 2" xfId="39475"/>
    <cellStyle name="Uwaga 2 28 34 3" xfId="39476"/>
    <cellStyle name="Uwaga 2 28 35" xfId="39477"/>
    <cellStyle name="Uwaga 2 28 35 2" xfId="39478"/>
    <cellStyle name="Uwaga 2 28 35 3" xfId="39479"/>
    <cellStyle name="Uwaga 2 28 36" xfId="39480"/>
    <cellStyle name="Uwaga 2 28 36 2" xfId="39481"/>
    <cellStyle name="Uwaga 2 28 36 3" xfId="39482"/>
    <cellStyle name="Uwaga 2 28 37" xfId="39483"/>
    <cellStyle name="Uwaga 2 28 37 2" xfId="39484"/>
    <cellStyle name="Uwaga 2 28 37 3" xfId="39485"/>
    <cellStyle name="Uwaga 2 28 38" xfId="39486"/>
    <cellStyle name="Uwaga 2 28 38 2" xfId="39487"/>
    <cellStyle name="Uwaga 2 28 38 3" xfId="39488"/>
    <cellStyle name="Uwaga 2 28 39" xfId="39489"/>
    <cellStyle name="Uwaga 2 28 39 2" xfId="39490"/>
    <cellStyle name="Uwaga 2 28 39 3" xfId="39491"/>
    <cellStyle name="Uwaga 2 28 4" xfId="39492"/>
    <cellStyle name="Uwaga 2 28 4 2" xfId="39493"/>
    <cellStyle name="Uwaga 2 28 4 3" xfId="39494"/>
    <cellStyle name="Uwaga 2 28 4 4" xfId="39495"/>
    <cellStyle name="Uwaga 2 28 40" xfId="39496"/>
    <cellStyle name="Uwaga 2 28 40 2" xfId="39497"/>
    <cellStyle name="Uwaga 2 28 40 3" xfId="39498"/>
    <cellStyle name="Uwaga 2 28 41" xfId="39499"/>
    <cellStyle name="Uwaga 2 28 41 2" xfId="39500"/>
    <cellStyle name="Uwaga 2 28 41 3" xfId="39501"/>
    <cellStyle name="Uwaga 2 28 42" xfId="39502"/>
    <cellStyle name="Uwaga 2 28 42 2" xfId="39503"/>
    <cellStyle name="Uwaga 2 28 42 3" xfId="39504"/>
    <cellStyle name="Uwaga 2 28 43" xfId="39505"/>
    <cellStyle name="Uwaga 2 28 43 2" xfId="39506"/>
    <cellStyle name="Uwaga 2 28 43 3" xfId="39507"/>
    <cellStyle name="Uwaga 2 28 44" xfId="39508"/>
    <cellStyle name="Uwaga 2 28 44 2" xfId="39509"/>
    <cellStyle name="Uwaga 2 28 44 3" xfId="39510"/>
    <cellStyle name="Uwaga 2 28 45" xfId="39511"/>
    <cellStyle name="Uwaga 2 28 45 2" xfId="39512"/>
    <cellStyle name="Uwaga 2 28 45 3" xfId="39513"/>
    <cellStyle name="Uwaga 2 28 46" xfId="39514"/>
    <cellStyle name="Uwaga 2 28 46 2" xfId="39515"/>
    <cellStyle name="Uwaga 2 28 46 3" xfId="39516"/>
    <cellStyle name="Uwaga 2 28 47" xfId="39517"/>
    <cellStyle name="Uwaga 2 28 47 2" xfId="39518"/>
    <cellStyle name="Uwaga 2 28 47 3" xfId="39519"/>
    <cellStyle name="Uwaga 2 28 48" xfId="39520"/>
    <cellStyle name="Uwaga 2 28 48 2" xfId="39521"/>
    <cellStyle name="Uwaga 2 28 48 3" xfId="39522"/>
    <cellStyle name="Uwaga 2 28 49" xfId="39523"/>
    <cellStyle name="Uwaga 2 28 49 2" xfId="39524"/>
    <cellStyle name="Uwaga 2 28 49 3" xfId="39525"/>
    <cellStyle name="Uwaga 2 28 5" xfId="39526"/>
    <cellStyle name="Uwaga 2 28 5 2" xfId="39527"/>
    <cellStyle name="Uwaga 2 28 5 3" xfId="39528"/>
    <cellStyle name="Uwaga 2 28 5 4" xfId="39529"/>
    <cellStyle name="Uwaga 2 28 50" xfId="39530"/>
    <cellStyle name="Uwaga 2 28 50 2" xfId="39531"/>
    <cellStyle name="Uwaga 2 28 50 3" xfId="39532"/>
    <cellStyle name="Uwaga 2 28 51" xfId="39533"/>
    <cellStyle name="Uwaga 2 28 51 2" xfId="39534"/>
    <cellStyle name="Uwaga 2 28 51 3" xfId="39535"/>
    <cellStyle name="Uwaga 2 28 52" xfId="39536"/>
    <cellStyle name="Uwaga 2 28 52 2" xfId="39537"/>
    <cellStyle name="Uwaga 2 28 52 3" xfId="39538"/>
    <cellStyle name="Uwaga 2 28 53" xfId="39539"/>
    <cellStyle name="Uwaga 2 28 53 2" xfId="39540"/>
    <cellStyle name="Uwaga 2 28 53 3" xfId="39541"/>
    <cellStyle name="Uwaga 2 28 54" xfId="39542"/>
    <cellStyle name="Uwaga 2 28 54 2" xfId="39543"/>
    <cellStyle name="Uwaga 2 28 54 3" xfId="39544"/>
    <cellStyle name="Uwaga 2 28 55" xfId="39545"/>
    <cellStyle name="Uwaga 2 28 55 2" xfId="39546"/>
    <cellStyle name="Uwaga 2 28 55 3" xfId="39547"/>
    <cellStyle name="Uwaga 2 28 56" xfId="39548"/>
    <cellStyle name="Uwaga 2 28 56 2" xfId="39549"/>
    <cellStyle name="Uwaga 2 28 56 3" xfId="39550"/>
    <cellStyle name="Uwaga 2 28 57" xfId="39551"/>
    <cellStyle name="Uwaga 2 28 58" xfId="39552"/>
    <cellStyle name="Uwaga 2 28 6" xfId="39553"/>
    <cellStyle name="Uwaga 2 28 6 2" xfId="39554"/>
    <cellStyle name="Uwaga 2 28 6 3" xfId="39555"/>
    <cellStyle name="Uwaga 2 28 6 4" xfId="39556"/>
    <cellStyle name="Uwaga 2 28 7" xfId="39557"/>
    <cellStyle name="Uwaga 2 28 7 2" xfId="39558"/>
    <cellStyle name="Uwaga 2 28 7 3" xfId="39559"/>
    <cellStyle name="Uwaga 2 28 7 4" xfId="39560"/>
    <cellStyle name="Uwaga 2 28 8" xfId="39561"/>
    <cellStyle name="Uwaga 2 28 8 2" xfId="39562"/>
    <cellStyle name="Uwaga 2 28 8 3" xfId="39563"/>
    <cellStyle name="Uwaga 2 28 8 4" xfId="39564"/>
    <cellStyle name="Uwaga 2 28 9" xfId="39565"/>
    <cellStyle name="Uwaga 2 28 9 2" xfId="39566"/>
    <cellStyle name="Uwaga 2 28 9 3" xfId="39567"/>
    <cellStyle name="Uwaga 2 28 9 4" xfId="39568"/>
    <cellStyle name="Uwaga 2 29" xfId="39569"/>
    <cellStyle name="Uwaga 2 29 2" xfId="39570"/>
    <cellStyle name="Uwaga 2 3" xfId="39571"/>
    <cellStyle name="Uwaga 2 3 10" xfId="39572"/>
    <cellStyle name="Uwaga 2 3 10 2" xfId="39573"/>
    <cellStyle name="Uwaga 2 3 10 3" xfId="39574"/>
    <cellStyle name="Uwaga 2 3 10 4" xfId="39575"/>
    <cellStyle name="Uwaga 2 3 11" xfId="39576"/>
    <cellStyle name="Uwaga 2 3 11 2" xfId="39577"/>
    <cellStyle name="Uwaga 2 3 11 3" xfId="39578"/>
    <cellStyle name="Uwaga 2 3 11 4" xfId="39579"/>
    <cellStyle name="Uwaga 2 3 12" xfId="39580"/>
    <cellStyle name="Uwaga 2 3 12 2" xfId="39581"/>
    <cellStyle name="Uwaga 2 3 12 3" xfId="39582"/>
    <cellStyle name="Uwaga 2 3 12 4" xfId="39583"/>
    <cellStyle name="Uwaga 2 3 13" xfId="39584"/>
    <cellStyle name="Uwaga 2 3 13 2" xfId="39585"/>
    <cellStyle name="Uwaga 2 3 13 3" xfId="39586"/>
    <cellStyle name="Uwaga 2 3 13 4" xfId="39587"/>
    <cellStyle name="Uwaga 2 3 14" xfId="39588"/>
    <cellStyle name="Uwaga 2 3 14 2" xfId="39589"/>
    <cellStyle name="Uwaga 2 3 14 3" xfId="39590"/>
    <cellStyle name="Uwaga 2 3 14 4" xfId="39591"/>
    <cellStyle name="Uwaga 2 3 15" xfId="39592"/>
    <cellStyle name="Uwaga 2 3 15 2" xfId="39593"/>
    <cellStyle name="Uwaga 2 3 15 3" xfId="39594"/>
    <cellStyle name="Uwaga 2 3 15 4" xfId="39595"/>
    <cellStyle name="Uwaga 2 3 16" xfId="39596"/>
    <cellStyle name="Uwaga 2 3 16 2" xfId="39597"/>
    <cellStyle name="Uwaga 2 3 16 3" xfId="39598"/>
    <cellStyle name="Uwaga 2 3 16 4" xfId="39599"/>
    <cellStyle name="Uwaga 2 3 17" xfId="39600"/>
    <cellStyle name="Uwaga 2 3 17 2" xfId="39601"/>
    <cellStyle name="Uwaga 2 3 17 3" xfId="39602"/>
    <cellStyle name="Uwaga 2 3 17 4" xfId="39603"/>
    <cellStyle name="Uwaga 2 3 18" xfId="39604"/>
    <cellStyle name="Uwaga 2 3 18 2" xfId="39605"/>
    <cellStyle name="Uwaga 2 3 18 3" xfId="39606"/>
    <cellStyle name="Uwaga 2 3 18 4" xfId="39607"/>
    <cellStyle name="Uwaga 2 3 19" xfId="39608"/>
    <cellStyle name="Uwaga 2 3 19 2" xfId="39609"/>
    <cellStyle name="Uwaga 2 3 19 3" xfId="39610"/>
    <cellStyle name="Uwaga 2 3 19 4" xfId="39611"/>
    <cellStyle name="Uwaga 2 3 2" xfId="39612"/>
    <cellStyle name="Uwaga 2 3 2 2" xfId="39613"/>
    <cellStyle name="Uwaga 2 3 2 3" xfId="39614"/>
    <cellStyle name="Uwaga 2 3 2 4" xfId="39615"/>
    <cellStyle name="Uwaga 2 3 20" xfId="39616"/>
    <cellStyle name="Uwaga 2 3 20 2" xfId="39617"/>
    <cellStyle name="Uwaga 2 3 20 3" xfId="39618"/>
    <cellStyle name="Uwaga 2 3 20 4" xfId="39619"/>
    <cellStyle name="Uwaga 2 3 21" xfId="39620"/>
    <cellStyle name="Uwaga 2 3 21 2" xfId="39621"/>
    <cellStyle name="Uwaga 2 3 21 3" xfId="39622"/>
    <cellStyle name="Uwaga 2 3 22" xfId="39623"/>
    <cellStyle name="Uwaga 2 3 22 2" xfId="39624"/>
    <cellStyle name="Uwaga 2 3 22 3" xfId="39625"/>
    <cellStyle name="Uwaga 2 3 23" xfId="39626"/>
    <cellStyle name="Uwaga 2 3 23 2" xfId="39627"/>
    <cellStyle name="Uwaga 2 3 23 3" xfId="39628"/>
    <cellStyle name="Uwaga 2 3 24" xfId="39629"/>
    <cellStyle name="Uwaga 2 3 24 2" xfId="39630"/>
    <cellStyle name="Uwaga 2 3 24 3" xfId="39631"/>
    <cellStyle name="Uwaga 2 3 25" xfId="39632"/>
    <cellStyle name="Uwaga 2 3 25 2" xfId="39633"/>
    <cellStyle name="Uwaga 2 3 25 3" xfId="39634"/>
    <cellStyle name="Uwaga 2 3 26" xfId="39635"/>
    <cellStyle name="Uwaga 2 3 26 2" xfId="39636"/>
    <cellStyle name="Uwaga 2 3 26 3" xfId="39637"/>
    <cellStyle name="Uwaga 2 3 27" xfId="39638"/>
    <cellStyle name="Uwaga 2 3 27 2" xfId="39639"/>
    <cellStyle name="Uwaga 2 3 27 3" xfId="39640"/>
    <cellStyle name="Uwaga 2 3 28" xfId="39641"/>
    <cellStyle name="Uwaga 2 3 28 2" xfId="39642"/>
    <cellStyle name="Uwaga 2 3 28 3" xfId="39643"/>
    <cellStyle name="Uwaga 2 3 29" xfId="39644"/>
    <cellStyle name="Uwaga 2 3 29 2" xfId="39645"/>
    <cellStyle name="Uwaga 2 3 29 3" xfId="39646"/>
    <cellStyle name="Uwaga 2 3 3" xfId="39647"/>
    <cellStyle name="Uwaga 2 3 3 2" xfId="39648"/>
    <cellStyle name="Uwaga 2 3 3 3" xfId="39649"/>
    <cellStyle name="Uwaga 2 3 3 4" xfId="39650"/>
    <cellStyle name="Uwaga 2 3 30" xfId="39651"/>
    <cellStyle name="Uwaga 2 3 30 2" xfId="39652"/>
    <cellStyle name="Uwaga 2 3 30 3" xfId="39653"/>
    <cellStyle name="Uwaga 2 3 31" xfId="39654"/>
    <cellStyle name="Uwaga 2 3 31 2" xfId="39655"/>
    <cellStyle name="Uwaga 2 3 31 3" xfId="39656"/>
    <cellStyle name="Uwaga 2 3 32" xfId="39657"/>
    <cellStyle name="Uwaga 2 3 32 2" xfId="39658"/>
    <cellStyle name="Uwaga 2 3 32 3" xfId="39659"/>
    <cellStyle name="Uwaga 2 3 33" xfId="39660"/>
    <cellStyle name="Uwaga 2 3 33 2" xfId="39661"/>
    <cellStyle name="Uwaga 2 3 33 3" xfId="39662"/>
    <cellStyle name="Uwaga 2 3 34" xfId="39663"/>
    <cellStyle name="Uwaga 2 3 34 2" xfId="39664"/>
    <cellStyle name="Uwaga 2 3 34 3" xfId="39665"/>
    <cellStyle name="Uwaga 2 3 35" xfId="39666"/>
    <cellStyle name="Uwaga 2 3 35 2" xfId="39667"/>
    <cellStyle name="Uwaga 2 3 35 3" xfId="39668"/>
    <cellStyle name="Uwaga 2 3 36" xfId="39669"/>
    <cellStyle name="Uwaga 2 3 36 2" xfId="39670"/>
    <cellStyle name="Uwaga 2 3 36 3" xfId="39671"/>
    <cellStyle name="Uwaga 2 3 37" xfId="39672"/>
    <cellStyle name="Uwaga 2 3 37 2" xfId="39673"/>
    <cellStyle name="Uwaga 2 3 37 3" xfId="39674"/>
    <cellStyle name="Uwaga 2 3 38" xfId="39675"/>
    <cellStyle name="Uwaga 2 3 38 2" xfId="39676"/>
    <cellStyle name="Uwaga 2 3 38 3" xfId="39677"/>
    <cellStyle name="Uwaga 2 3 39" xfId="39678"/>
    <cellStyle name="Uwaga 2 3 39 2" xfId="39679"/>
    <cellStyle name="Uwaga 2 3 39 3" xfId="39680"/>
    <cellStyle name="Uwaga 2 3 4" xfId="39681"/>
    <cellStyle name="Uwaga 2 3 4 2" xfId="39682"/>
    <cellStyle name="Uwaga 2 3 4 3" xfId="39683"/>
    <cellStyle name="Uwaga 2 3 4 4" xfId="39684"/>
    <cellStyle name="Uwaga 2 3 40" xfId="39685"/>
    <cellStyle name="Uwaga 2 3 40 2" xfId="39686"/>
    <cellStyle name="Uwaga 2 3 40 3" xfId="39687"/>
    <cellStyle name="Uwaga 2 3 41" xfId="39688"/>
    <cellStyle name="Uwaga 2 3 41 2" xfId="39689"/>
    <cellStyle name="Uwaga 2 3 41 3" xfId="39690"/>
    <cellStyle name="Uwaga 2 3 42" xfId="39691"/>
    <cellStyle name="Uwaga 2 3 42 2" xfId="39692"/>
    <cellStyle name="Uwaga 2 3 42 3" xfId="39693"/>
    <cellStyle name="Uwaga 2 3 43" xfId="39694"/>
    <cellStyle name="Uwaga 2 3 43 2" xfId="39695"/>
    <cellStyle name="Uwaga 2 3 43 3" xfId="39696"/>
    <cellStyle name="Uwaga 2 3 44" xfId="39697"/>
    <cellStyle name="Uwaga 2 3 44 2" xfId="39698"/>
    <cellStyle name="Uwaga 2 3 44 3" xfId="39699"/>
    <cellStyle name="Uwaga 2 3 45" xfId="39700"/>
    <cellStyle name="Uwaga 2 3 45 2" xfId="39701"/>
    <cellStyle name="Uwaga 2 3 45 3" xfId="39702"/>
    <cellStyle name="Uwaga 2 3 46" xfId="39703"/>
    <cellStyle name="Uwaga 2 3 46 2" xfId="39704"/>
    <cellStyle name="Uwaga 2 3 46 3" xfId="39705"/>
    <cellStyle name="Uwaga 2 3 47" xfId="39706"/>
    <cellStyle name="Uwaga 2 3 47 2" xfId="39707"/>
    <cellStyle name="Uwaga 2 3 47 3" xfId="39708"/>
    <cellStyle name="Uwaga 2 3 48" xfId="39709"/>
    <cellStyle name="Uwaga 2 3 48 2" xfId="39710"/>
    <cellStyle name="Uwaga 2 3 48 3" xfId="39711"/>
    <cellStyle name="Uwaga 2 3 49" xfId="39712"/>
    <cellStyle name="Uwaga 2 3 49 2" xfId="39713"/>
    <cellStyle name="Uwaga 2 3 49 3" xfId="39714"/>
    <cellStyle name="Uwaga 2 3 5" xfId="39715"/>
    <cellStyle name="Uwaga 2 3 5 2" xfId="39716"/>
    <cellStyle name="Uwaga 2 3 5 3" xfId="39717"/>
    <cellStyle name="Uwaga 2 3 5 4" xfId="39718"/>
    <cellStyle name="Uwaga 2 3 50" xfId="39719"/>
    <cellStyle name="Uwaga 2 3 50 2" xfId="39720"/>
    <cellStyle name="Uwaga 2 3 50 3" xfId="39721"/>
    <cellStyle name="Uwaga 2 3 51" xfId="39722"/>
    <cellStyle name="Uwaga 2 3 51 2" xfId="39723"/>
    <cellStyle name="Uwaga 2 3 51 3" xfId="39724"/>
    <cellStyle name="Uwaga 2 3 52" xfId="39725"/>
    <cellStyle name="Uwaga 2 3 52 2" xfId="39726"/>
    <cellStyle name="Uwaga 2 3 52 3" xfId="39727"/>
    <cellStyle name="Uwaga 2 3 53" xfId="39728"/>
    <cellStyle name="Uwaga 2 3 53 2" xfId="39729"/>
    <cellStyle name="Uwaga 2 3 53 3" xfId="39730"/>
    <cellStyle name="Uwaga 2 3 54" xfId="39731"/>
    <cellStyle name="Uwaga 2 3 54 2" xfId="39732"/>
    <cellStyle name="Uwaga 2 3 54 3" xfId="39733"/>
    <cellStyle name="Uwaga 2 3 55" xfId="39734"/>
    <cellStyle name="Uwaga 2 3 55 2" xfId="39735"/>
    <cellStyle name="Uwaga 2 3 55 3" xfId="39736"/>
    <cellStyle name="Uwaga 2 3 56" xfId="39737"/>
    <cellStyle name="Uwaga 2 3 56 2" xfId="39738"/>
    <cellStyle name="Uwaga 2 3 56 3" xfId="39739"/>
    <cellStyle name="Uwaga 2 3 57" xfId="39740"/>
    <cellStyle name="Uwaga 2 3 58" xfId="39741"/>
    <cellStyle name="Uwaga 2 3 59" xfId="39742"/>
    <cellStyle name="Uwaga 2 3 6" xfId="39743"/>
    <cellStyle name="Uwaga 2 3 6 2" xfId="39744"/>
    <cellStyle name="Uwaga 2 3 6 3" xfId="39745"/>
    <cellStyle name="Uwaga 2 3 6 4" xfId="39746"/>
    <cellStyle name="Uwaga 2 3 7" xfId="39747"/>
    <cellStyle name="Uwaga 2 3 7 2" xfId="39748"/>
    <cellStyle name="Uwaga 2 3 7 3" xfId="39749"/>
    <cellStyle name="Uwaga 2 3 7 4" xfId="39750"/>
    <cellStyle name="Uwaga 2 3 8" xfId="39751"/>
    <cellStyle name="Uwaga 2 3 8 2" xfId="39752"/>
    <cellStyle name="Uwaga 2 3 8 3" xfId="39753"/>
    <cellStyle name="Uwaga 2 3 8 4" xfId="39754"/>
    <cellStyle name="Uwaga 2 3 9" xfId="39755"/>
    <cellStyle name="Uwaga 2 3 9 2" xfId="39756"/>
    <cellStyle name="Uwaga 2 3 9 3" xfId="39757"/>
    <cellStyle name="Uwaga 2 3 9 4" xfId="39758"/>
    <cellStyle name="Uwaga 2 30" xfId="39759"/>
    <cellStyle name="Uwaga 2 30 2" xfId="39760"/>
    <cellStyle name="Uwaga 2 31" xfId="39761"/>
    <cellStyle name="Uwaga 2 31 2" xfId="39762"/>
    <cellStyle name="Uwaga 2 31 3" xfId="39763"/>
    <cellStyle name="Uwaga 2 31 4" xfId="39764"/>
    <cellStyle name="Uwaga 2 32" xfId="39765"/>
    <cellStyle name="Uwaga 2 32 2" xfId="39766"/>
    <cellStyle name="Uwaga 2 32 3" xfId="39767"/>
    <cellStyle name="Uwaga 2 32 4" xfId="39768"/>
    <cellStyle name="Uwaga 2 33" xfId="39769"/>
    <cellStyle name="Uwaga 2 33 2" xfId="39770"/>
    <cellStyle name="Uwaga 2 33 3" xfId="39771"/>
    <cellStyle name="Uwaga 2 33 4" xfId="39772"/>
    <cellStyle name="Uwaga 2 34" xfId="39773"/>
    <cellStyle name="Uwaga 2 34 2" xfId="39774"/>
    <cellStyle name="Uwaga 2 34 3" xfId="39775"/>
    <cellStyle name="Uwaga 2 34 4" xfId="39776"/>
    <cellStyle name="Uwaga 2 35" xfId="39777"/>
    <cellStyle name="Uwaga 2 35 2" xfId="39778"/>
    <cellStyle name="Uwaga 2 35 3" xfId="39779"/>
    <cellStyle name="Uwaga 2 35 4" xfId="39780"/>
    <cellStyle name="Uwaga 2 36" xfId="39781"/>
    <cellStyle name="Uwaga 2 36 2" xfId="39782"/>
    <cellStyle name="Uwaga 2 36 3" xfId="39783"/>
    <cellStyle name="Uwaga 2 36 4" xfId="39784"/>
    <cellStyle name="Uwaga 2 37" xfId="39785"/>
    <cellStyle name="Uwaga 2 37 2" xfId="39786"/>
    <cellStyle name="Uwaga 2 37 3" xfId="39787"/>
    <cellStyle name="Uwaga 2 37 4" xfId="39788"/>
    <cellStyle name="Uwaga 2 38" xfId="39789"/>
    <cellStyle name="Uwaga 2 38 2" xfId="39790"/>
    <cellStyle name="Uwaga 2 38 3" xfId="39791"/>
    <cellStyle name="Uwaga 2 38 4" xfId="39792"/>
    <cellStyle name="Uwaga 2 39" xfId="39793"/>
    <cellStyle name="Uwaga 2 39 2" xfId="39794"/>
    <cellStyle name="Uwaga 2 39 3" xfId="39795"/>
    <cellStyle name="Uwaga 2 39 4" xfId="39796"/>
    <cellStyle name="Uwaga 2 4" xfId="39797"/>
    <cellStyle name="Uwaga 2 4 10" xfId="39798"/>
    <cellStyle name="Uwaga 2 4 10 2" xfId="39799"/>
    <cellStyle name="Uwaga 2 4 10 3" xfId="39800"/>
    <cellStyle name="Uwaga 2 4 10 4" xfId="39801"/>
    <cellStyle name="Uwaga 2 4 11" xfId="39802"/>
    <cellStyle name="Uwaga 2 4 11 2" xfId="39803"/>
    <cellStyle name="Uwaga 2 4 11 3" xfId="39804"/>
    <cellStyle name="Uwaga 2 4 11 4" xfId="39805"/>
    <cellStyle name="Uwaga 2 4 12" xfId="39806"/>
    <cellStyle name="Uwaga 2 4 12 2" xfId="39807"/>
    <cellStyle name="Uwaga 2 4 12 3" xfId="39808"/>
    <cellStyle name="Uwaga 2 4 12 4" xfId="39809"/>
    <cellStyle name="Uwaga 2 4 13" xfId="39810"/>
    <cellStyle name="Uwaga 2 4 13 2" xfId="39811"/>
    <cellStyle name="Uwaga 2 4 13 3" xfId="39812"/>
    <cellStyle name="Uwaga 2 4 13 4" xfId="39813"/>
    <cellStyle name="Uwaga 2 4 14" xfId="39814"/>
    <cellStyle name="Uwaga 2 4 14 2" xfId="39815"/>
    <cellStyle name="Uwaga 2 4 14 3" xfId="39816"/>
    <cellStyle name="Uwaga 2 4 14 4" xfId="39817"/>
    <cellStyle name="Uwaga 2 4 15" xfId="39818"/>
    <cellStyle name="Uwaga 2 4 15 2" xfId="39819"/>
    <cellStyle name="Uwaga 2 4 15 3" xfId="39820"/>
    <cellStyle name="Uwaga 2 4 15 4" xfId="39821"/>
    <cellStyle name="Uwaga 2 4 16" xfId="39822"/>
    <cellStyle name="Uwaga 2 4 16 2" xfId="39823"/>
    <cellStyle name="Uwaga 2 4 16 3" xfId="39824"/>
    <cellStyle name="Uwaga 2 4 16 4" xfId="39825"/>
    <cellStyle name="Uwaga 2 4 17" xfId="39826"/>
    <cellStyle name="Uwaga 2 4 17 2" xfId="39827"/>
    <cellStyle name="Uwaga 2 4 17 3" xfId="39828"/>
    <cellStyle name="Uwaga 2 4 17 4" xfId="39829"/>
    <cellStyle name="Uwaga 2 4 18" xfId="39830"/>
    <cellStyle name="Uwaga 2 4 18 2" xfId="39831"/>
    <cellStyle name="Uwaga 2 4 18 3" xfId="39832"/>
    <cellStyle name="Uwaga 2 4 18 4" xfId="39833"/>
    <cellStyle name="Uwaga 2 4 19" xfId="39834"/>
    <cellStyle name="Uwaga 2 4 19 2" xfId="39835"/>
    <cellStyle name="Uwaga 2 4 19 3" xfId="39836"/>
    <cellStyle name="Uwaga 2 4 19 4" xfId="39837"/>
    <cellStyle name="Uwaga 2 4 2" xfId="39838"/>
    <cellStyle name="Uwaga 2 4 2 2" xfId="39839"/>
    <cellStyle name="Uwaga 2 4 2 3" xfId="39840"/>
    <cellStyle name="Uwaga 2 4 2 4" xfId="39841"/>
    <cellStyle name="Uwaga 2 4 20" xfId="39842"/>
    <cellStyle name="Uwaga 2 4 20 2" xfId="39843"/>
    <cellStyle name="Uwaga 2 4 20 3" xfId="39844"/>
    <cellStyle name="Uwaga 2 4 20 4" xfId="39845"/>
    <cellStyle name="Uwaga 2 4 21" xfId="39846"/>
    <cellStyle name="Uwaga 2 4 21 2" xfId="39847"/>
    <cellStyle name="Uwaga 2 4 21 3" xfId="39848"/>
    <cellStyle name="Uwaga 2 4 22" xfId="39849"/>
    <cellStyle name="Uwaga 2 4 22 2" xfId="39850"/>
    <cellStyle name="Uwaga 2 4 22 3" xfId="39851"/>
    <cellStyle name="Uwaga 2 4 23" xfId="39852"/>
    <cellStyle name="Uwaga 2 4 23 2" xfId="39853"/>
    <cellStyle name="Uwaga 2 4 23 3" xfId="39854"/>
    <cellStyle name="Uwaga 2 4 24" xfId="39855"/>
    <cellStyle name="Uwaga 2 4 24 2" xfId="39856"/>
    <cellStyle name="Uwaga 2 4 24 3" xfId="39857"/>
    <cellStyle name="Uwaga 2 4 25" xfId="39858"/>
    <cellStyle name="Uwaga 2 4 25 2" xfId="39859"/>
    <cellStyle name="Uwaga 2 4 25 3" xfId="39860"/>
    <cellStyle name="Uwaga 2 4 26" xfId="39861"/>
    <cellStyle name="Uwaga 2 4 26 2" xfId="39862"/>
    <cellStyle name="Uwaga 2 4 26 3" xfId="39863"/>
    <cellStyle name="Uwaga 2 4 27" xfId="39864"/>
    <cellStyle name="Uwaga 2 4 27 2" xfId="39865"/>
    <cellStyle name="Uwaga 2 4 27 3" xfId="39866"/>
    <cellStyle name="Uwaga 2 4 28" xfId="39867"/>
    <cellStyle name="Uwaga 2 4 28 2" xfId="39868"/>
    <cellStyle name="Uwaga 2 4 28 3" xfId="39869"/>
    <cellStyle name="Uwaga 2 4 29" xfId="39870"/>
    <cellStyle name="Uwaga 2 4 29 2" xfId="39871"/>
    <cellStyle name="Uwaga 2 4 29 3" xfId="39872"/>
    <cellStyle name="Uwaga 2 4 3" xfId="39873"/>
    <cellStyle name="Uwaga 2 4 3 2" xfId="39874"/>
    <cellStyle name="Uwaga 2 4 3 3" xfId="39875"/>
    <cellStyle name="Uwaga 2 4 3 4" xfId="39876"/>
    <cellStyle name="Uwaga 2 4 30" xfId="39877"/>
    <cellStyle name="Uwaga 2 4 30 2" xfId="39878"/>
    <cellStyle name="Uwaga 2 4 30 3" xfId="39879"/>
    <cellStyle name="Uwaga 2 4 31" xfId="39880"/>
    <cellStyle name="Uwaga 2 4 31 2" xfId="39881"/>
    <cellStyle name="Uwaga 2 4 31 3" xfId="39882"/>
    <cellStyle name="Uwaga 2 4 32" xfId="39883"/>
    <cellStyle name="Uwaga 2 4 32 2" xfId="39884"/>
    <cellStyle name="Uwaga 2 4 32 3" xfId="39885"/>
    <cellStyle name="Uwaga 2 4 33" xfId="39886"/>
    <cellStyle name="Uwaga 2 4 33 2" xfId="39887"/>
    <cellStyle name="Uwaga 2 4 33 3" xfId="39888"/>
    <cellStyle name="Uwaga 2 4 34" xfId="39889"/>
    <cellStyle name="Uwaga 2 4 34 2" xfId="39890"/>
    <cellStyle name="Uwaga 2 4 34 3" xfId="39891"/>
    <cellStyle name="Uwaga 2 4 35" xfId="39892"/>
    <cellStyle name="Uwaga 2 4 35 2" xfId="39893"/>
    <cellStyle name="Uwaga 2 4 35 3" xfId="39894"/>
    <cellStyle name="Uwaga 2 4 36" xfId="39895"/>
    <cellStyle name="Uwaga 2 4 36 2" xfId="39896"/>
    <cellStyle name="Uwaga 2 4 36 3" xfId="39897"/>
    <cellStyle name="Uwaga 2 4 37" xfId="39898"/>
    <cellStyle name="Uwaga 2 4 37 2" xfId="39899"/>
    <cellStyle name="Uwaga 2 4 37 3" xfId="39900"/>
    <cellStyle name="Uwaga 2 4 38" xfId="39901"/>
    <cellStyle name="Uwaga 2 4 38 2" xfId="39902"/>
    <cellStyle name="Uwaga 2 4 38 3" xfId="39903"/>
    <cellStyle name="Uwaga 2 4 39" xfId="39904"/>
    <cellStyle name="Uwaga 2 4 39 2" xfId="39905"/>
    <cellStyle name="Uwaga 2 4 39 3" xfId="39906"/>
    <cellStyle name="Uwaga 2 4 4" xfId="39907"/>
    <cellStyle name="Uwaga 2 4 4 2" xfId="39908"/>
    <cellStyle name="Uwaga 2 4 4 3" xfId="39909"/>
    <cellStyle name="Uwaga 2 4 4 4" xfId="39910"/>
    <cellStyle name="Uwaga 2 4 40" xfId="39911"/>
    <cellStyle name="Uwaga 2 4 40 2" xfId="39912"/>
    <cellStyle name="Uwaga 2 4 40 3" xfId="39913"/>
    <cellStyle name="Uwaga 2 4 41" xfId="39914"/>
    <cellStyle name="Uwaga 2 4 41 2" xfId="39915"/>
    <cellStyle name="Uwaga 2 4 41 3" xfId="39916"/>
    <cellStyle name="Uwaga 2 4 42" xfId="39917"/>
    <cellStyle name="Uwaga 2 4 42 2" xfId="39918"/>
    <cellStyle name="Uwaga 2 4 42 3" xfId="39919"/>
    <cellStyle name="Uwaga 2 4 43" xfId="39920"/>
    <cellStyle name="Uwaga 2 4 43 2" xfId="39921"/>
    <cellStyle name="Uwaga 2 4 43 3" xfId="39922"/>
    <cellStyle name="Uwaga 2 4 44" xfId="39923"/>
    <cellStyle name="Uwaga 2 4 44 2" xfId="39924"/>
    <cellStyle name="Uwaga 2 4 44 3" xfId="39925"/>
    <cellStyle name="Uwaga 2 4 45" xfId="39926"/>
    <cellStyle name="Uwaga 2 4 45 2" xfId="39927"/>
    <cellStyle name="Uwaga 2 4 45 3" xfId="39928"/>
    <cellStyle name="Uwaga 2 4 46" xfId="39929"/>
    <cellStyle name="Uwaga 2 4 46 2" xfId="39930"/>
    <cellStyle name="Uwaga 2 4 46 3" xfId="39931"/>
    <cellStyle name="Uwaga 2 4 47" xfId="39932"/>
    <cellStyle name="Uwaga 2 4 47 2" xfId="39933"/>
    <cellStyle name="Uwaga 2 4 47 3" xfId="39934"/>
    <cellStyle name="Uwaga 2 4 48" xfId="39935"/>
    <cellStyle name="Uwaga 2 4 48 2" xfId="39936"/>
    <cellStyle name="Uwaga 2 4 48 3" xfId="39937"/>
    <cellStyle name="Uwaga 2 4 49" xfId="39938"/>
    <cellStyle name="Uwaga 2 4 49 2" xfId="39939"/>
    <cellStyle name="Uwaga 2 4 49 3" xfId="39940"/>
    <cellStyle name="Uwaga 2 4 5" xfId="39941"/>
    <cellStyle name="Uwaga 2 4 5 2" xfId="39942"/>
    <cellStyle name="Uwaga 2 4 5 3" xfId="39943"/>
    <cellStyle name="Uwaga 2 4 5 4" xfId="39944"/>
    <cellStyle name="Uwaga 2 4 50" xfId="39945"/>
    <cellStyle name="Uwaga 2 4 50 2" xfId="39946"/>
    <cellStyle name="Uwaga 2 4 50 3" xfId="39947"/>
    <cellStyle name="Uwaga 2 4 51" xfId="39948"/>
    <cellStyle name="Uwaga 2 4 51 2" xfId="39949"/>
    <cellStyle name="Uwaga 2 4 51 3" xfId="39950"/>
    <cellStyle name="Uwaga 2 4 52" xfId="39951"/>
    <cellStyle name="Uwaga 2 4 52 2" xfId="39952"/>
    <cellStyle name="Uwaga 2 4 52 3" xfId="39953"/>
    <cellStyle name="Uwaga 2 4 53" xfId="39954"/>
    <cellStyle name="Uwaga 2 4 53 2" xfId="39955"/>
    <cellStyle name="Uwaga 2 4 53 3" xfId="39956"/>
    <cellStyle name="Uwaga 2 4 54" xfId="39957"/>
    <cellStyle name="Uwaga 2 4 54 2" xfId="39958"/>
    <cellStyle name="Uwaga 2 4 54 3" xfId="39959"/>
    <cellStyle name="Uwaga 2 4 55" xfId="39960"/>
    <cellStyle name="Uwaga 2 4 55 2" xfId="39961"/>
    <cellStyle name="Uwaga 2 4 55 3" xfId="39962"/>
    <cellStyle name="Uwaga 2 4 56" xfId="39963"/>
    <cellStyle name="Uwaga 2 4 56 2" xfId="39964"/>
    <cellStyle name="Uwaga 2 4 56 3" xfId="39965"/>
    <cellStyle name="Uwaga 2 4 57" xfId="39966"/>
    <cellStyle name="Uwaga 2 4 58" xfId="39967"/>
    <cellStyle name="Uwaga 2 4 59" xfId="39968"/>
    <cellStyle name="Uwaga 2 4 6" xfId="39969"/>
    <cellStyle name="Uwaga 2 4 6 2" xfId="39970"/>
    <cellStyle name="Uwaga 2 4 6 3" xfId="39971"/>
    <cellStyle name="Uwaga 2 4 6 4" xfId="39972"/>
    <cellStyle name="Uwaga 2 4 7" xfId="39973"/>
    <cellStyle name="Uwaga 2 4 7 2" xfId="39974"/>
    <cellStyle name="Uwaga 2 4 7 3" xfId="39975"/>
    <cellStyle name="Uwaga 2 4 7 4" xfId="39976"/>
    <cellStyle name="Uwaga 2 4 8" xfId="39977"/>
    <cellStyle name="Uwaga 2 4 8 2" xfId="39978"/>
    <cellStyle name="Uwaga 2 4 8 3" xfId="39979"/>
    <cellStyle name="Uwaga 2 4 8 4" xfId="39980"/>
    <cellStyle name="Uwaga 2 4 9" xfId="39981"/>
    <cellStyle name="Uwaga 2 4 9 2" xfId="39982"/>
    <cellStyle name="Uwaga 2 4 9 3" xfId="39983"/>
    <cellStyle name="Uwaga 2 4 9 4" xfId="39984"/>
    <cellStyle name="Uwaga 2 40" xfId="39985"/>
    <cellStyle name="Uwaga 2 40 2" xfId="39986"/>
    <cellStyle name="Uwaga 2 40 3" xfId="39987"/>
    <cellStyle name="Uwaga 2 40 4" xfId="39988"/>
    <cellStyle name="Uwaga 2 41" xfId="39989"/>
    <cellStyle name="Uwaga 2 41 2" xfId="39990"/>
    <cellStyle name="Uwaga 2 41 3" xfId="39991"/>
    <cellStyle name="Uwaga 2 41 4" xfId="39992"/>
    <cellStyle name="Uwaga 2 42" xfId="39993"/>
    <cellStyle name="Uwaga 2 42 2" xfId="39994"/>
    <cellStyle name="Uwaga 2 42 3" xfId="39995"/>
    <cellStyle name="Uwaga 2 42 4" xfId="39996"/>
    <cellStyle name="Uwaga 2 43" xfId="39997"/>
    <cellStyle name="Uwaga 2 43 2" xfId="39998"/>
    <cellStyle name="Uwaga 2 43 3" xfId="39999"/>
    <cellStyle name="Uwaga 2 43 4" xfId="40000"/>
    <cellStyle name="Uwaga 2 44" xfId="40001"/>
    <cellStyle name="Uwaga 2 44 2" xfId="40002"/>
    <cellStyle name="Uwaga 2 44 3" xfId="40003"/>
    <cellStyle name="Uwaga 2 44 4" xfId="40004"/>
    <cellStyle name="Uwaga 2 45" xfId="40005"/>
    <cellStyle name="Uwaga 2 45 2" xfId="40006"/>
    <cellStyle name="Uwaga 2 45 3" xfId="40007"/>
    <cellStyle name="Uwaga 2 45 4" xfId="40008"/>
    <cellStyle name="Uwaga 2 46" xfId="40009"/>
    <cellStyle name="Uwaga 2 46 2" xfId="40010"/>
    <cellStyle name="Uwaga 2 46 3" xfId="40011"/>
    <cellStyle name="Uwaga 2 46 4" xfId="40012"/>
    <cellStyle name="Uwaga 2 47" xfId="40013"/>
    <cellStyle name="Uwaga 2 47 2" xfId="40014"/>
    <cellStyle name="Uwaga 2 47 3" xfId="40015"/>
    <cellStyle name="Uwaga 2 47 4" xfId="40016"/>
    <cellStyle name="Uwaga 2 48" xfId="40017"/>
    <cellStyle name="Uwaga 2 48 2" xfId="40018"/>
    <cellStyle name="Uwaga 2 48 3" xfId="40019"/>
    <cellStyle name="Uwaga 2 48 4" xfId="40020"/>
    <cellStyle name="Uwaga 2 49" xfId="40021"/>
    <cellStyle name="Uwaga 2 49 2" xfId="40022"/>
    <cellStyle name="Uwaga 2 49 3" xfId="40023"/>
    <cellStyle name="Uwaga 2 49 4" xfId="40024"/>
    <cellStyle name="Uwaga 2 5" xfId="40025"/>
    <cellStyle name="Uwaga 2 5 10" xfId="40026"/>
    <cellStyle name="Uwaga 2 5 10 2" xfId="40027"/>
    <cellStyle name="Uwaga 2 5 10 3" xfId="40028"/>
    <cellStyle name="Uwaga 2 5 10 4" xfId="40029"/>
    <cellStyle name="Uwaga 2 5 11" xfId="40030"/>
    <cellStyle name="Uwaga 2 5 11 2" xfId="40031"/>
    <cellStyle name="Uwaga 2 5 11 3" xfId="40032"/>
    <cellStyle name="Uwaga 2 5 11 4" xfId="40033"/>
    <cellStyle name="Uwaga 2 5 12" xfId="40034"/>
    <cellStyle name="Uwaga 2 5 12 2" xfId="40035"/>
    <cellStyle name="Uwaga 2 5 12 3" xfId="40036"/>
    <cellStyle name="Uwaga 2 5 12 4" xfId="40037"/>
    <cellStyle name="Uwaga 2 5 13" xfId="40038"/>
    <cellStyle name="Uwaga 2 5 13 2" xfId="40039"/>
    <cellStyle name="Uwaga 2 5 13 3" xfId="40040"/>
    <cellStyle name="Uwaga 2 5 13 4" xfId="40041"/>
    <cellStyle name="Uwaga 2 5 14" xfId="40042"/>
    <cellStyle name="Uwaga 2 5 14 2" xfId="40043"/>
    <cellStyle name="Uwaga 2 5 14 3" xfId="40044"/>
    <cellStyle name="Uwaga 2 5 14 4" xfId="40045"/>
    <cellStyle name="Uwaga 2 5 15" xfId="40046"/>
    <cellStyle name="Uwaga 2 5 15 2" xfId="40047"/>
    <cellStyle name="Uwaga 2 5 15 3" xfId="40048"/>
    <cellStyle name="Uwaga 2 5 15 4" xfId="40049"/>
    <cellStyle name="Uwaga 2 5 16" xfId="40050"/>
    <cellStyle name="Uwaga 2 5 16 2" xfId="40051"/>
    <cellStyle name="Uwaga 2 5 16 3" xfId="40052"/>
    <cellStyle name="Uwaga 2 5 16 4" xfId="40053"/>
    <cellStyle name="Uwaga 2 5 17" xfId="40054"/>
    <cellStyle name="Uwaga 2 5 17 2" xfId="40055"/>
    <cellStyle name="Uwaga 2 5 17 3" xfId="40056"/>
    <cellStyle name="Uwaga 2 5 17 4" xfId="40057"/>
    <cellStyle name="Uwaga 2 5 18" xfId="40058"/>
    <cellStyle name="Uwaga 2 5 18 2" xfId="40059"/>
    <cellStyle name="Uwaga 2 5 18 3" xfId="40060"/>
    <cellStyle name="Uwaga 2 5 18 4" xfId="40061"/>
    <cellStyle name="Uwaga 2 5 19" xfId="40062"/>
    <cellStyle name="Uwaga 2 5 19 2" xfId="40063"/>
    <cellStyle name="Uwaga 2 5 19 3" xfId="40064"/>
    <cellStyle name="Uwaga 2 5 19 4" xfId="40065"/>
    <cellStyle name="Uwaga 2 5 2" xfId="40066"/>
    <cellStyle name="Uwaga 2 5 2 2" xfId="40067"/>
    <cellStyle name="Uwaga 2 5 2 3" xfId="40068"/>
    <cellStyle name="Uwaga 2 5 2 4" xfId="40069"/>
    <cellStyle name="Uwaga 2 5 20" xfId="40070"/>
    <cellStyle name="Uwaga 2 5 20 2" xfId="40071"/>
    <cellStyle name="Uwaga 2 5 20 3" xfId="40072"/>
    <cellStyle name="Uwaga 2 5 20 4" xfId="40073"/>
    <cellStyle name="Uwaga 2 5 21" xfId="40074"/>
    <cellStyle name="Uwaga 2 5 21 2" xfId="40075"/>
    <cellStyle name="Uwaga 2 5 21 3" xfId="40076"/>
    <cellStyle name="Uwaga 2 5 22" xfId="40077"/>
    <cellStyle name="Uwaga 2 5 22 2" xfId="40078"/>
    <cellStyle name="Uwaga 2 5 22 3" xfId="40079"/>
    <cellStyle name="Uwaga 2 5 23" xfId="40080"/>
    <cellStyle name="Uwaga 2 5 23 2" xfId="40081"/>
    <cellStyle name="Uwaga 2 5 23 3" xfId="40082"/>
    <cellStyle name="Uwaga 2 5 24" xfId="40083"/>
    <cellStyle name="Uwaga 2 5 24 2" xfId="40084"/>
    <cellStyle name="Uwaga 2 5 24 3" xfId="40085"/>
    <cellStyle name="Uwaga 2 5 25" xfId="40086"/>
    <cellStyle name="Uwaga 2 5 25 2" xfId="40087"/>
    <cellStyle name="Uwaga 2 5 25 3" xfId="40088"/>
    <cellStyle name="Uwaga 2 5 26" xfId="40089"/>
    <cellStyle name="Uwaga 2 5 26 2" xfId="40090"/>
    <cellStyle name="Uwaga 2 5 26 3" xfId="40091"/>
    <cellStyle name="Uwaga 2 5 27" xfId="40092"/>
    <cellStyle name="Uwaga 2 5 27 2" xfId="40093"/>
    <cellStyle name="Uwaga 2 5 27 3" xfId="40094"/>
    <cellStyle name="Uwaga 2 5 28" xfId="40095"/>
    <cellStyle name="Uwaga 2 5 28 2" xfId="40096"/>
    <cellStyle name="Uwaga 2 5 28 3" xfId="40097"/>
    <cellStyle name="Uwaga 2 5 29" xfId="40098"/>
    <cellStyle name="Uwaga 2 5 29 2" xfId="40099"/>
    <cellStyle name="Uwaga 2 5 29 3" xfId="40100"/>
    <cellStyle name="Uwaga 2 5 3" xfId="40101"/>
    <cellStyle name="Uwaga 2 5 3 2" xfId="40102"/>
    <cellStyle name="Uwaga 2 5 3 3" xfId="40103"/>
    <cellStyle name="Uwaga 2 5 3 4" xfId="40104"/>
    <cellStyle name="Uwaga 2 5 30" xfId="40105"/>
    <cellStyle name="Uwaga 2 5 30 2" xfId="40106"/>
    <cellStyle name="Uwaga 2 5 30 3" xfId="40107"/>
    <cellStyle name="Uwaga 2 5 31" xfId="40108"/>
    <cellStyle name="Uwaga 2 5 31 2" xfId="40109"/>
    <cellStyle name="Uwaga 2 5 31 3" xfId="40110"/>
    <cellStyle name="Uwaga 2 5 32" xfId="40111"/>
    <cellStyle name="Uwaga 2 5 32 2" xfId="40112"/>
    <cellStyle name="Uwaga 2 5 32 3" xfId="40113"/>
    <cellStyle name="Uwaga 2 5 33" xfId="40114"/>
    <cellStyle name="Uwaga 2 5 33 2" xfId="40115"/>
    <cellStyle name="Uwaga 2 5 33 3" xfId="40116"/>
    <cellStyle name="Uwaga 2 5 34" xfId="40117"/>
    <cellStyle name="Uwaga 2 5 34 2" xfId="40118"/>
    <cellStyle name="Uwaga 2 5 34 3" xfId="40119"/>
    <cellStyle name="Uwaga 2 5 35" xfId="40120"/>
    <cellStyle name="Uwaga 2 5 35 2" xfId="40121"/>
    <cellStyle name="Uwaga 2 5 35 3" xfId="40122"/>
    <cellStyle name="Uwaga 2 5 36" xfId="40123"/>
    <cellStyle name="Uwaga 2 5 36 2" xfId="40124"/>
    <cellStyle name="Uwaga 2 5 36 3" xfId="40125"/>
    <cellStyle name="Uwaga 2 5 37" xfId="40126"/>
    <cellStyle name="Uwaga 2 5 37 2" xfId="40127"/>
    <cellStyle name="Uwaga 2 5 37 3" xfId="40128"/>
    <cellStyle name="Uwaga 2 5 38" xfId="40129"/>
    <cellStyle name="Uwaga 2 5 38 2" xfId="40130"/>
    <cellStyle name="Uwaga 2 5 38 3" xfId="40131"/>
    <cellStyle name="Uwaga 2 5 39" xfId="40132"/>
    <cellStyle name="Uwaga 2 5 39 2" xfId="40133"/>
    <cellStyle name="Uwaga 2 5 39 3" xfId="40134"/>
    <cellStyle name="Uwaga 2 5 4" xfId="40135"/>
    <cellStyle name="Uwaga 2 5 4 2" xfId="40136"/>
    <cellStyle name="Uwaga 2 5 4 3" xfId="40137"/>
    <cellStyle name="Uwaga 2 5 4 4" xfId="40138"/>
    <cellStyle name="Uwaga 2 5 40" xfId="40139"/>
    <cellStyle name="Uwaga 2 5 40 2" xfId="40140"/>
    <cellStyle name="Uwaga 2 5 40 3" xfId="40141"/>
    <cellStyle name="Uwaga 2 5 41" xfId="40142"/>
    <cellStyle name="Uwaga 2 5 41 2" xfId="40143"/>
    <cellStyle name="Uwaga 2 5 41 3" xfId="40144"/>
    <cellStyle name="Uwaga 2 5 42" xfId="40145"/>
    <cellStyle name="Uwaga 2 5 42 2" xfId="40146"/>
    <cellStyle name="Uwaga 2 5 42 3" xfId="40147"/>
    <cellStyle name="Uwaga 2 5 43" xfId="40148"/>
    <cellStyle name="Uwaga 2 5 43 2" xfId="40149"/>
    <cellStyle name="Uwaga 2 5 43 3" xfId="40150"/>
    <cellStyle name="Uwaga 2 5 44" xfId="40151"/>
    <cellStyle name="Uwaga 2 5 44 2" xfId="40152"/>
    <cellStyle name="Uwaga 2 5 44 3" xfId="40153"/>
    <cellStyle name="Uwaga 2 5 45" xfId="40154"/>
    <cellStyle name="Uwaga 2 5 45 2" xfId="40155"/>
    <cellStyle name="Uwaga 2 5 45 3" xfId="40156"/>
    <cellStyle name="Uwaga 2 5 46" xfId="40157"/>
    <cellStyle name="Uwaga 2 5 46 2" xfId="40158"/>
    <cellStyle name="Uwaga 2 5 46 3" xfId="40159"/>
    <cellStyle name="Uwaga 2 5 47" xfId="40160"/>
    <cellStyle name="Uwaga 2 5 47 2" xfId="40161"/>
    <cellStyle name="Uwaga 2 5 47 3" xfId="40162"/>
    <cellStyle name="Uwaga 2 5 48" xfId="40163"/>
    <cellStyle name="Uwaga 2 5 48 2" xfId="40164"/>
    <cellStyle name="Uwaga 2 5 48 3" xfId="40165"/>
    <cellStyle name="Uwaga 2 5 49" xfId="40166"/>
    <cellStyle name="Uwaga 2 5 49 2" xfId="40167"/>
    <cellStyle name="Uwaga 2 5 49 3" xfId="40168"/>
    <cellStyle name="Uwaga 2 5 5" xfId="40169"/>
    <cellStyle name="Uwaga 2 5 5 2" xfId="40170"/>
    <cellStyle name="Uwaga 2 5 5 3" xfId="40171"/>
    <cellStyle name="Uwaga 2 5 5 4" xfId="40172"/>
    <cellStyle name="Uwaga 2 5 50" xfId="40173"/>
    <cellStyle name="Uwaga 2 5 50 2" xfId="40174"/>
    <cellStyle name="Uwaga 2 5 50 3" xfId="40175"/>
    <cellStyle name="Uwaga 2 5 51" xfId="40176"/>
    <cellStyle name="Uwaga 2 5 51 2" xfId="40177"/>
    <cellStyle name="Uwaga 2 5 51 3" xfId="40178"/>
    <cellStyle name="Uwaga 2 5 52" xfId="40179"/>
    <cellStyle name="Uwaga 2 5 52 2" xfId="40180"/>
    <cellStyle name="Uwaga 2 5 52 3" xfId="40181"/>
    <cellStyle name="Uwaga 2 5 53" xfId="40182"/>
    <cellStyle name="Uwaga 2 5 53 2" xfId="40183"/>
    <cellStyle name="Uwaga 2 5 53 3" xfId="40184"/>
    <cellStyle name="Uwaga 2 5 54" xfId="40185"/>
    <cellStyle name="Uwaga 2 5 54 2" xfId="40186"/>
    <cellStyle name="Uwaga 2 5 54 3" xfId="40187"/>
    <cellStyle name="Uwaga 2 5 55" xfId="40188"/>
    <cellStyle name="Uwaga 2 5 55 2" xfId="40189"/>
    <cellStyle name="Uwaga 2 5 55 3" xfId="40190"/>
    <cellStyle name="Uwaga 2 5 56" xfId="40191"/>
    <cellStyle name="Uwaga 2 5 56 2" xfId="40192"/>
    <cellStyle name="Uwaga 2 5 56 3" xfId="40193"/>
    <cellStyle name="Uwaga 2 5 57" xfId="40194"/>
    <cellStyle name="Uwaga 2 5 58" xfId="40195"/>
    <cellStyle name="Uwaga 2 5 6" xfId="40196"/>
    <cellStyle name="Uwaga 2 5 6 2" xfId="40197"/>
    <cellStyle name="Uwaga 2 5 6 3" xfId="40198"/>
    <cellStyle name="Uwaga 2 5 6 4" xfId="40199"/>
    <cellStyle name="Uwaga 2 5 7" xfId="40200"/>
    <cellStyle name="Uwaga 2 5 7 2" xfId="40201"/>
    <cellStyle name="Uwaga 2 5 7 3" xfId="40202"/>
    <cellStyle name="Uwaga 2 5 7 4" xfId="40203"/>
    <cellStyle name="Uwaga 2 5 8" xfId="40204"/>
    <cellStyle name="Uwaga 2 5 8 2" xfId="40205"/>
    <cellStyle name="Uwaga 2 5 8 3" xfId="40206"/>
    <cellStyle name="Uwaga 2 5 8 4" xfId="40207"/>
    <cellStyle name="Uwaga 2 5 9" xfId="40208"/>
    <cellStyle name="Uwaga 2 5 9 2" xfId="40209"/>
    <cellStyle name="Uwaga 2 5 9 3" xfId="40210"/>
    <cellStyle name="Uwaga 2 5 9 4" xfId="40211"/>
    <cellStyle name="Uwaga 2 50" xfId="40212"/>
    <cellStyle name="Uwaga 2 50 2" xfId="40213"/>
    <cellStyle name="Uwaga 2 50 3" xfId="40214"/>
    <cellStyle name="Uwaga 2 50 4" xfId="40215"/>
    <cellStyle name="Uwaga 2 51" xfId="40216"/>
    <cellStyle name="Uwaga 2 51 2" xfId="40217"/>
    <cellStyle name="Uwaga 2 51 3" xfId="40218"/>
    <cellStyle name="Uwaga 2 51 4" xfId="40219"/>
    <cellStyle name="Uwaga 2 52" xfId="40220"/>
    <cellStyle name="Uwaga 2 52 2" xfId="40221"/>
    <cellStyle name="Uwaga 2 52 3" xfId="40222"/>
    <cellStyle name="Uwaga 2 52 4" xfId="40223"/>
    <cellStyle name="Uwaga 2 53" xfId="40224"/>
    <cellStyle name="Uwaga 2 53 2" xfId="40225"/>
    <cellStyle name="Uwaga 2 53 3" xfId="40226"/>
    <cellStyle name="Uwaga 2 53 4" xfId="40227"/>
    <cellStyle name="Uwaga 2 54" xfId="40228"/>
    <cellStyle name="Uwaga 2 54 2" xfId="40229"/>
    <cellStyle name="Uwaga 2 54 3" xfId="40230"/>
    <cellStyle name="Uwaga 2 54 4" xfId="40231"/>
    <cellStyle name="Uwaga 2 55" xfId="40232"/>
    <cellStyle name="Uwaga 2 55 2" xfId="40233"/>
    <cellStyle name="Uwaga 2 55 3" xfId="40234"/>
    <cellStyle name="Uwaga 2 55 4" xfId="40235"/>
    <cellStyle name="Uwaga 2 56" xfId="40236"/>
    <cellStyle name="Uwaga 2 56 2" xfId="40237"/>
    <cellStyle name="Uwaga 2 56 3" xfId="40238"/>
    <cellStyle name="Uwaga 2 56 4" xfId="40239"/>
    <cellStyle name="Uwaga 2 57" xfId="40240"/>
    <cellStyle name="Uwaga 2 57 2" xfId="40241"/>
    <cellStyle name="Uwaga 2 57 3" xfId="40242"/>
    <cellStyle name="Uwaga 2 57 4" xfId="40243"/>
    <cellStyle name="Uwaga 2 58" xfId="40244"/>
    <cellStyle name="Uwaga 2 58 2" xfId="40245"/>
    <cellStyle name="Uwaga 2 58 3" xfId="40246"/>
    <cellStyle name="Uwaga 2 58 4" xfId="40247"/>
    <cellStyle name="Uwaga 2 59" xfId="40248"/>
    <cellStyle name="Uwaga 2 59 2" xfId="40249"/>
    <cellStyle name="Uwaga 2 59 3" xfId="40250"/>
    <cellStyle name="Uwaga 2 59 4" xfId="40251"/>
    <cellStyle name="Uwaga 2 6" xfId="40252"/>
    <cellStyle name="Uwaga 2 6 10" xfId="40253"/>
    <cellStyle name="Uwaga 2 6 10 2" xfId="40254"/>
    <cellStyle name="Uwaga 2 6 10 3" xfId="40255"/>
    <cellStyle name="Uwaga 2 6 10 4" xfId="40256"/>
    <cellStyle name="Uwaga 2 6 11" xfId="40257"/>
    <cellStyle name="Uwaga 2 6 11 2" xfId="40258"/>
    <cellStyle name="Uwaga 2 6 11 3" xfId="40259"/>
    <cellStyle name="Uwaga 2 6 11 4" xfId="40260"/>
    <cellStyle name="Uwaga 2 6 12" xfId="40261"/>
    <cellStyle name="Uwaga 2 6 12 2" xfId="40262"/>
    <cellStyle name="Uwaga 2 6 12 3" xfId="40263"/>
    <cellStyle name="Uwaga 2 6 12 4" xfId="40264"/>
    <cellStyle name="Uwaga 2 6 13" xfId="40265"/>
    <cellStyle name="Uwaga 2 6 13 2" xfId="40266"/>
    <cellStyle name="Uwaga 2 6 13 3" xfId="40267"/>
    <cellStyle name="Uwaga 2 6 13 4" xfId="40268"/>
    <cellStyle name="Uwaga 2 6 14" xfId="40269"/>
    <cellStyle name="Uwaga 2 6 14 2" xfId="40270"/>
    <cellStyle name="Uwaga 2 6 14 3" xfId="40271"/>
    <cellStyle name="Uwaga 2 6 14 4" xfId="40272"/>
    <cellStyle name="Uwaga 2 6 15" xfId="40273"/>
    <cellStyle name="Uwaga 2 6 15 2" xfId="40274"/>
    <cellStyle name="Uwaga 2 6 15 3" xfId="40275"/>
    <cellStyle name="Uwaga 2 6 15 4" xfId="40276"/>
    <cellStyle name="Uwaga 2 6 16" xfId="40277"/>
    <cellStyle name="Uwaga 2 6 16 2" xfId="40278"/>
    <cellStyle name="Uwaga 2 6 16 3" xfId="40279"/>
    <cellStyle name="Uwaga 2 6 16 4" xfId="40280"/>
    <cellStyle name="Uwaga 2 6 17" xfId="40281"/>
    <cellStyle name="Uwaga 2 6 17 2" xfId="40282"/>
    <cellStyle name="Uwaga 2 6 17 3" xfId="40283"/>
    <cellStyle name="Uwaga 2 6 17 4" xfId="40284"/>
    <cellStyle name="Uwaga 2 6 18" xfId="40285"/>
    <cellStyle name="Uwaga 2 6 18 2" xfId="40286"/>
    <cellStyle name="Uwaga 2 6 18 3" xfId="40287"/>
    <cellStyle name="Uwaga 2 6 18 4" xfId="40288"/>
    <cellStyle name="Uwaga 2 6 19" xfId="40289"/>
    <cellStyle name="Uwaga 2 6 19 2" xfId="40290"/>
    <cellStyle name="Uwaga 2 6 19 3" xfId="40291"/>
    <cellStyle name="Uwaga 2 6 19 4" xfId="40292"/>
    <cellStyle name="Uwaga 2 6 2" xfId="40293"/>
    <cellStyle name="Uwaga 2 6 2 2" xfId="40294"/>
    <cellStyle name="Uwaga 2 6 2 3" xfId="40295"/>
    <cellStyle name="Uwaga 2 6 2 4" xfId="40296"/>
    <cellStyle name="Uwaga 2 6 20" xfId="40297"/>
    <cellStyle name="Uwaga 2 6 20 2" xfId="40298"/>
    <cellStyle name="Uwaga 2 6 20 3" xfId="40299"/>
    <cellStyle name="Uwaga 2 6 20 4" xfId="40300"/>
    <cellStyle name="Uwaga 2 6 21" xfId="40301"/>
    <cellStyle name="Uwaga 2 6 21 2" xfId="40302"/>
    <cellStyle name="Uwaga 2 6 21 3" xfId="40303"/>
    <cellStyle name="Uwaga 2 6 22" xfId="40304"/>
    <cellStyle name="Uwaga 2 6 22 2" xfId="40305"/>
    <cellStyle name="Uwaga 2 6 22 3" xfId="40306"/>
    <cellStyle name="Uwaga 2 6 23" xfId="40307"/>
    <cellStyle name="Uwaga 2 6 23 2" xfId="40308"/>
    <cellStyle name="Uwaga 2 6 23 3" xfId="40309"/>
    <cellStyle name="Uwaga 2 6 24" xfId="40310"/>
    <cellStyle name="Uwaga 2 6 24 2" xfId="40311"/>
    <cellStyle name="Uwaga 2 6 24 3" xfId="40312"/>
    <cellStyle name="Uwaga 2 6 25" xfId="40313"/>
    <cellStyle name="Uwaga 2 6 25 2" xfId="40314"/>
    <cellStyle name="Uwaga 2 6 25 3" xfId="40315"/>
    <cellStyle name="Uwaga 2 6 26" xfId="40316"/>
    <cellStyle name="Uwaga 2 6 26 2" xfId="40317"/>
    <cellStyle name="Uwaga 2 6 26 3" xfId="40318"/>
    <cellStyle name="Uwaga 2 6 27" xfId="40319"/>
    <cellStyle name="Uwaga 2 6 27 2" xfId="40320"/>
    <cellStyle name="Uwaga 2 6 27 3" xfId="40321"/>
    <cellStyle name="Uwaga 2 6 28" xfId="40322"/>
    <cellStyle name="Uwaga 2 6 28 2" xfId="40323"/>
    <cellStyle name="Uwaga 2 6 28 3" xfId="40324"/>
    <cellStyle name="Uwaga 2 6 29" xfId="40325"/>
    <cellStyle name="Uwaga 2 6 29 2" xfId="40326"/>
    <cellStyle name="Uwaga 2 6 29 3" xfId="40327"/>
    <cellStyle name="Uwaga 2 6 3" xfId="40328"/>
    <cellStyle name="Uwaga 2 6 3 2" xfId="40329"/>
    <cellStyle name="Uwaga 2 6 3 3" xfId="40330"/>
    <cellStyle name="Uwaga 2 6 3 4" xfId="40331"/>
    <cellStyle name="Uwaga 2 6 30" xfId="40332"/>
    <cellStyle name="Uwaga 2 6 30 2" xfId="40333"/>
    <cellStyle name="Uwaga 2 6 30 3" xfId="40334"/>
    <cellStyle name="Uwaga 2 6 31" xfId="40335"/>
    <cellStyle name="Uwaga 2 6 31 2" xfId="40336"/>
    <cellStyle name="Uwaga 2 6 31 3" xfId="40337"/>
    <cellStyle name="Uwaga 2 6 32" xfId="40338"/>
    <cellStyle name="Uwaga 2 6 32 2" xfId="40339"/>
    <cellStyle name="Uwaga 2 6 32 3" xfId="40340"/>
    <cellStyle name="Uwaga 2 6 33" xfId="40341"/>
    <cellStyle name="Uwaga 2 6 33 2" xfId="40342"/>
    <cellStyle name="Uwaga 2 6 33 3" xfId="40343"/>
    <cellStyle name="Uwaga 2 6 34" xfId="40344"/>
    <cellStyle name="Uwaga 2 6 34 2" xfId="40345"/>
    <cellStyle name="Uwaga 2 6 34 3" xfId="40346"/>
    <cellStyle name="Uwaga 2 6 35" xfId="40347"/>
    <cellStyle name="Uwaga 2 6 35 2" xfId="40348"/>
    <cellStyle name="Uwaga 2 6 35 3" xfId="40349"/>
    <cellStyle name="Uwaga 2 6 36" xfId="40350"/>
    <cellStyle name="Uwaga 2 6 36 2" xfId="40351"/>
    <cellStyle name="Uwaga 2 6 36 3" xfId="40352"/>
    <cellStyle name="Uwaga 2 6 37" xfId="40353"/>
    <cellStyle name="Uwaga 2 6 37 2" xfId="40354"/>
    <cellStyle name="Uwaga 2 6 37 3" xfId="40355"/>
    <cellStyle name="Uwaga 2 6 38" xfId="40356"/>
    <cellStyle name="Uwaga 2 6 38 2" xfId="40357"/>
    <cellStyle name="Uwaga 2 6 38 3" xfId="40358"/>
    <cellStyle name="Uwaga 2 6 39" xfId="40359"/>
    <cellStyle name="Uwaga 2 6 39 2" xfId="40360"/>
    <cellStyle name="Uwaga 2 6 39 3" xfId="40361"/>
    <cellStyle name="Uwaga 2 6 4" xfId="40362"/>
    <cellStyle name="Uwaga 2 6 4 2" xfId="40363"/>
    <cellStyle name="Uwaga 2 6 4 3" xfId="40364"/>
    <cellStyle name="Uwaga 2 6 4 4" xfId="40365"/>
    <cellStyle name="Uwaga 2 6 40" xfId="40366"/>
    <cellStyle name="Uwaga 2 6 40 2" xfId="40367"/>
    <cellStyle name="Uwaga 2 6 40 3" xfId="40368"/>
    <cellStyle name="Uwaga 2 6 41" xfId="40369"/>
    <cellStyle name="Uwaga 2 6 41 2" xfId="40370"/>
    <cellStyle name="Uwaga 2 6 41 3" xfId="40371"/>
    <cellStyle name="Uwaga 2 6 42" xfId="40372"/>
    <cellStyle name="Uwaga 2 6 42 2" xfId="40373"/>
    <cellStyle name="Uwaga 2 6 42 3" xfId="40374"/>
    <cellStyle name="Uwaga 2 6 43" xfId="40375"/>
    <cellStyle name="Uwaga 2 6 43 2" xfId="40376"/>
    <cellStyle name="Uwaga 2 6 43 3" xfId="40377"/>
    <cellStyle name="Uwaga 2 6 44" xfId="40378"/>
    <cellStyle name="Uwaga 2 6 44 2" xfId="40379"/>
    <cellStyle name="Uwaga 2 6 44 3" xfId="40380"/>
    <cellStyle name="Uwaga 2 6 45" xfId="40381"/>
    <cellStyle name="Uwaga 2 6 45 2" xfId="40382"/>
    <cellStyle name="Uwaga 2 6 45 3" xfId="40383"/>
    <cellStyle name="Uwaga 2 6 46" xfId="40384"/>
    <cellStyle name="Uwaga 2 6 46 2" xfId="40385"/>
    <cellStyle name="Uwaga 2 6 46 3" xfId="40386"/>
    <cellStyle name="Uwaga 2 6 47" xfId="40387"/>
    <cellStyle name="Uwaga 2 6 47 2" xfId="40388"/>
    <cellStyle name="Uwaga 2 6 47 3" xfId="40389"/>
    <cellStyle name="Uwaga 2 6 48" xfId="40390"/>
    <cellStyle name="Uwaga 2 6 48 2" xfId="40391"/>
    <cellStyle name="Uwaga 2 6 48 3" xfId="40392"/>
    <cellStyle name="Uwaga 2 6 49" xfId="40393"/>
    <cellStyle name="Uwaga 2 6 49 2" xfId="40394"/>
    <cellStyle name="Uwaga 2 6 49 3" xfId="40395"/>
    <cellStyle name="Uwaga 2 6 5" xfId="40396"/>
    <cellStyle name="Uwaga 2 6 5 2" xfId="40397"/>
    <cellStyle name="Uwaga 2 6 5 3" xfId="40398"/>
    <cellStyle name="Uwaga 2 6 5 4" xfId="40399"/>
    <cellStyle name="Uwaga 2 6 50" xfId="40400"/>
    <cellStyle name="Uwaga 2 6 50 2" xfId="40401"/>
    <cellStyle name="Uwaga 2 6 50 3" xfId="40402"/>
    <cellStyle name="Uwaga 2 6 51" xfId="40403"/>
    <cellStyle name="Uwaga 2 6 51 2" xfId="40404"/>
    <cellStyle name="Uwaga 2 6 51 3" xfId="40405"/>
    <cellStyle name="Uwaga 2 6 52" xfId="40406"/>
    <cellStyle name="Uwaga 2 6 52 2" xfId="40407"/>
    <cellStyle name="Uwaga 2 6 52 3" xfId="40408"/>
    <cellStyle name="Uwaga 2 6 53" xfId="40409"/>
    <cellStyle name="Uwaga 2 6 53 2" xfId="40410"/>
    <cellStyle name="Uwaga 2 6 53 3" xfId="40411"/>
    <cellStyle name="Uwaga 2 6 54" xfId="40412"/>
    <cellStyle name="Uwaga 2 6 54 2" xfId="40413"/>
    <cellStyle name="Uwaga 2 6 54 3" xfId="40414"/>
    <cellStyle name="Uwaga 2 6 55" xfId="40415"/>
    <cellStyle name="Uwaga 2 6 55 2" xfId="40416"/>
    <cellStyle name="Uwaga 2 6 55 3" xfId="40417"/>
    <cellStyle name="Uwaga 2 6 56" xfId="40418"/>
    <cellStyle name="Uwaga 2 6 56 2" xfId="40419"/>
    <cellStyle name="Uwaga 2 6 56 3" xfId="40420"/>
    <cellStyle name="Uwaga 2 6 57" xfId="40421"/>
    <cellStyle name="Uwaga 2 6 58" xfId="40422"/>
    <cellStyle name="Uwaga 2 6 6" xfId="40423"/>
    <cellStyle name="Uwaga 2 6 6 2" xfId="40424"/>
    <cellStyle name="Uwaga 2 6 6 3" xfId="40425"/>
    <cellStyle name="Uwaga 2 6 6 4" xfId="40426"/>
    <cellStyle name="Uwaga 2 6 7" xfId="40427"/>
    <cellStyle name="Uwaga 2 6 7 2" xfId="40428"/>
    <cellStyle name="Uwaga 2 6 7 3" xfId="40429"/>
    <cellStyle name="Uwaga 2 6 7 4" xfId="40430"/>
    <cellStyle name="Uwaga 2 6 8" xfId="40431"/>
    <cellStyle name="Uwaga 2 6 8 2" xfId="40432"/>
    <cellStyle name="Uwaga 2 6 8 3" xfId="40433"/>
    <cellStyle name="Uwaga 2 6 8 4" xfId="40434"/>
    <cellStyle name="Uwaga 2 6 9" xfId="40435"/>
    <cellStyle name="Uwaga 2 6 9 2" xfId="40436"/>
    <cellStyle name="Uwaga 2 6 9 3" xfId="40437"/>
    <cellStyle name="Uwaga 2 6 9 4" xfId="40438"/>
    <cellStyle name="Uwaga 2 60" xfId="40439"/>
    <cellStyle name="Uwaga 2 60 2" xfId="40440"/>
    <cellStyle name="Uwaga 2 60 3" xfId="40441"/>
    <cellStyle name="Uwaga 2 60 4" xfId="40442"/>
    <cellStyle name="Uwaga 2 61" xfId="40443"/>
    <cellStyle name="Uwaga 2 61 2" xfId="40444"/>
    <cellStyle name="Uwaga 2 61 3" xfId="40445"/>
    <cellStyle name="Uwaga 2 61 4" xfId="40446"/>
    <cellStyle name="Uwaga 2 62" xfId="40447"/>
    <cellStyle name="Uwaga 2 62 2" xfId="40448"/>
    <cellStyle name="Uwaga 2 62 3" xfId="40449"/>
    <cellStyle name="Uwaga 2 62 4" xfId="40450"/>
    <cellStyle name="Uwaga 2 63" xfId="40451"/>
    <cellStyle name="Uwaga 2 63 2" xfId="40452"/>
    <cellStyle name="Uwaga 2 63 3" xfId="40453"/>
    <cellStyle name="Uwaga 2 63 4" xfId="40454"/>
    <cellStyle name="Uwaga 2 64" xfId="40455"/>
    <cellStyle name="Uwaga 2 64 2" xfId="40456"/>
    <cellStyle name="Uwaga 2 64 3" xfId="40457"/>
    <cellStyle name="Uwaga 2 64 4" xfId="40458"/>
    <cellStyle name="Uwaga 2 65" xfId="40459"/>
    <cellStyle name="Uwaga 2 65 2" xfId="40460"/>
    <cellStyle name="Uwaga 2 65 3" xfId="40461"/>
    <cellStyle name="Uwaga 2 65 4" xfId="40462"/>
    <cellStyle name="Uwaga 2 66" xfId="40463"/>
    <cellStyle name="Uwaga 2 66 2" xfId="40464"/>
    <cellStyle name="Uwaga 2 66 3" xfId="40465"/>
    <cellStyle name="Uwaga 2 66 4" xfId="40466"/>
    <cellStyle name="Uwaga 2 67" xfId="40467"/>
    <cellStyle name="Uwaga 2 67 2" xfId="40468"/>
    <cellStyle name="Uwaga 2 67 3" xfId="40469"/>
    <cellStyle name="Uwaga 2 67 4" xfId="40470"/>
    <cellStyle name="Uwaga 2 68" xfId="40471"/>
    <cellStyle name="Uwaga 2 68 2" xfId="40472"/>
    <cellStyle name="Uwaga 2 68 3" xfId="40473"/>
    <cellStyle name="Uwaga 2 68 4" xfId="40474"/>
    <cellStyle name="Uwaga 2 69" xfId="40475"/>
    <cellStyle name="Uwaga 2 69 2" xfId="40476"/>
    <cellStyle name="Uwaga 2 69 3" xfId="40477"/>
    <cellStyle name="Uwaga 2 69 4" xfId="40478"/>
    <cellStyle name="Uwaga 2 7" xfId="40479"/>
    <cellStyle name="Uwaga 2 7 10" xfId="40480"/>
    <cellStyle name="Uwaga 2 7 10 2" xfId="40481"/>
    <cellStyle name="Uwaga 2 7 10 3" xfId="40482"/>
    <cellStyle name="Uwaga 2 7 10 4" xfId="40483"/>
    <cellStyle name="Uwaga 2 7 11" xfId="40484"/>
    <cellStyle name="Uwaga 2 7 11 2" xfId="40485"/>
    <cellStyle name="Uwaga 2 7 11 3" xfId="40486"/>
    <cellStyle name="Uwaga 2 7 11 4" xfId="40487"/>
    <cellStyle name="Uwaga 2 7 12" xfId="40488"/>
    <cellStyle name="Uwaga 2 7 12 2" xfId="40489"/>
    <cellStyle name="Uwaga 2 7 12 3" xfId="40490"/>
    <cellStyle name="Uwaga 2 7 12 4" xfId="40491"/>
    <cellStyle name="Uwaga 2 7 13" xfId="40492"/>
    <cellStyle name="Uwaga 2 7 13 2" xfId="40493"/>
    <cellStyle name="Uwaga 2 7 13 3" xfId="40494"/>
    <cellStyle name="Uwaga 2 7 13 4" xfId="40495"/>
    <cellStyle name="Uwaga 2 7 14" xfId="40496"/>
    <cellStyle name="Uwaga 2 7 14 2" xfId="40497"/>
    <cellStyle name="Uwaga 2 7 14 3" xfId="40498"/>
    <cellStyle name="Uwaga 2 7 14 4" xfId="40499"/>
    <cellStyle name="Uwaga 2 7 15" xfId="40500"/>
    <cellStyle name="Uwaga 2 7 15 2" xfId="40501"/>
    <cellStyle name="Uwaga 2 7 15 3" xfId="40502"/>
    <cellStyle name="Uwaga 2 7 15 4" xfId="40503"/>
    <cellStyle name="Uwaga 2 7 16" xfId="40504"/>
    <cellStyle name="Uwaga 2 7 16 2" xfId="40505"/>
    <cellStyle name="Uwaga 2 7 16 3" xfId="40506"/>
    <cellStyle name="Uwaga 2 7 16 4" xfId="40507"/>
    <cellStyle name="Uwaga 2 7 17" xfId="40508"/>
    <cellStyle name="Uwaga 2 7 17 2" xfId="40509"/>
    <cellStyle name="Uwaga 2 7 17 3" xfId="40510"/>
    <cellStyle name="Uwaga 2 7 17 4" xfId="40511"/>
    <cellStyle name="Uwaga 2 7 18" xfId="40512"/>
    <cellStyle name="Uwaga 2 7 18 2" xfId="40513"/>
    <cellStyle name="Uwaga 2 7 18 3" xfId="40514"/>
    <cellStyle name="Uwaga 2 7 18 4" xfId="40515"/>
    <cellStyle name="Uwaga 2 7 19" xfId="40516"/>
    <cellStyle name="Uwaga 2 7 19 2" xfId="40517"/>
    <cellStyle name="Uwaga 2 7 19 3" xfId="40518"/>
    <cellStyle name="Uwaga 2 7 19 4" xfId="40519"/>
    <cellStyle name="Uwaga 2 7 2" xfId="40520"/>
    <cellStyle name="Uwaga 2 7 2 2" xfId="40521"/>
    <cellStyle name="Uwaga 2 7 2 3" xfId="40522"/>
    <cellStyle name="Uwaga 2 7 2 4" xfId="40523"/>
    <cellStyle name="Uwaga 2 7 20" xfId="40524"/>
    <cellStyle name="Uwaga 2 7 20 2" xfId="40525"/>
    <cellStyle name="Uwaga 2 7 20 3" xfId="40526"/>
    <cellStyle name="Uwaga 2 7 20 4" xfId="40527"/>
    <cellStyle name="Uwaga 2 7 21" xfId="40528"/>
    <cellStyle name="Uwaga 2 7 21 2" xfId="40529"/>
    <cellStyle name="Uwaga 2 7 21 3" xfId="40530"/>
    <cellStyle name="Uwaga 2 7 22" xfId="40531"/>
    <cellStyle name="Uwaga 2 7 22 2" xfId="40532"/>
    <cellStyle name="Uwaga 2 7 22 3" xfId="40533"/>
    <cellStyle name="Uwaga 2 7 23" xfId="40534"/>
    <cellStyle name="Uwaga 2 7 23 2" xfId="40535"/>
    <cellStyle name="Uwaga 2 7 23 3" xfId="40536"/>
    <cellStyle name="Uwaga 2 7 24" xfId="40537"/>
    <cellStyle name="Uwaga 2 7 24 2" xfId="40538"/>
    <cellStyle name="Uwaga 2 7 24 3" xfId="40539"/>
    <cellStyle name="Uwaga 2 7 25" xfId="40540"/>
    <cellStyle name="Uwaga 2 7 25 2" xfId="40541"/>
    <cellStyle name="Uwaga 2 7 25 3" xfId="40542"/>
    <cellStyle name="Uwaga 2 7 26" xfId="40543"/>
    <cellStyle name="Uwaga 2 7 26 2" xfId="40544"/>
    <cellStyle name="Uwaga 2 7 26 3" xfId="40545"/>
    <cellStyle name="Uwaga 2 7 27" xfId="40546"/>
    <cellStyle name="Uwaga 2 7 27 2" xfId="40547"/>
    <cellStyle name="Uwaga 2 7 27 3" xfId="40548"/>
    <cellStyle name="Uwaga 2 7 28" xfId="40549"/>
    <cellStyle name="Uwaga 2 7 28 2" xfId="40550"/>
    <cellStyle name="Uwaga 2 7 28 3" xfId="40551"/>
    <cellStyle name="Uwaga 2 7 29" xfId="40552"/>
    <cellStyle name="Uwaga 2 7 29 2" xfId="40553"/>
    <cellStyle name="Uwaga 2 7 29 3" xfId="40554"/>
    <cellStyle name="Uwaga 2 7 3" xfId="40555"/>
    <cellStyle name="Uwaga 2 7 3 2" xfId="40556"/>
    <cellStyle name="Uwaga 2 7 3 3" xfId="40557"/>
    <cellStyle name="Uwaga 2 7 3 4" xfId="40558"/>
    <cellStyle name="Uwaga 2 7 30" xfId="40559"/>
    <cellStyle name="Uwaga 2 7 30 2" xfId="40560"/>
    <cellStyle name="Uwaga 2 7 30 3" xfId="40561"/>
    <cellStyle name="Uwaga 2 7 31" xfId="40562"/>
    <cellStyle name="Uwaga 2 7 31 2" xfId="40563"/>
    <cellStyle name="Uwaga 2 7 31 3" xfId="40564"/>
    <cellStyle name="Uwaga 2 7 32" xfId="40565"/>
    <cellStyle name="Uwaga 2 7 32 2" xfId="40566"/>
    <cellStyle name="Uwaga 2 7 32 3" xfId="40567"/>
    <cellStyle name="Uwaga 2 7 33" xfId="40568"/>
    <cellStyle name="Uwaga 2 7 33 2" xfId="40569"/>
    <cellStyle name="Uwaga 2 7 33 3" xfId="40570"/>
    <cellStyle name="Uwaga 2 7 34" xfId="40571"/>
    <cellStyle name="Uwaga 2 7 34 2" xfId="40572"/>
    <cellStyle name="Uwaga 2 7 34 3" xfId="40573"/>
    <cellStyle name="Uwaga 2 7 35" xfId="40574"/>
    <cellStyle name="Uwaga 2 7 35 2" xfId="40575"/>
    <cellStyle name="Uwaga 2 7 35 3" xfId="40576"/>
    <cellStyle name="Uwaga 2 7 36" xfId="40577"/>
    <cellStyle name="Uwaga 2 7 36 2" xfId="40578"/>
    <cellStyle name="Uwaga 2 7 36 3" xfId="40579"/>
    <cellStyle name="Uwaga 2 7 37" xfId="40580"/>
    <cellStyle name="Uwaga 2 7 37 2" xfId="40581"/>
    <cellStyle name="Uwaga 2 7 37 3" xfId="40582"/>
    <cellStyle name="Uwaga 2 7 38" xfId="40583"/>
    <cellStyle name="Uwaga 2 7 38 2" xfId="40584"/>
    <cellStyle name="Uwaga 2 7 38 3" xfId="40585"/>
    <cellStyle name="Uwaga 2 7 39" xfId="40586"/>
    <cellStyle name="Uwaga 2 7 39 2" xfId="40587"/>
    <cellStyle name="Uwaga 2 7 39 3" xfId="40588"/>
    <cellStyle name="Uwaga 2 7 4" xfId="40589"/>
    <cellStyle name="Uwaga 2 7 4 2" xfId="40590"/>
    <cellStyle name="Uwaga 2 7 4 3" xfId="40591"/>
    <cellStyle name="Uwaga 2 7 4 4" xfId="40592"/>
    <cellStyle name="Uwaga 2 7 40" xfId="40593"/>
    <cellStyle name="Uwaga 2 7 40 2" xfId="40594"/>
    <cellStyle name="Uwaga 2 7 40 3" xfId="40595"/>
    <cellStyle name="Uwaga 2 7 41" xfId="40596"/>
    <cellStyle name="Uwaga 2 7 41 2" xfId="40597"/>
    <cellStyle name="Uwaga 2 7 41 3" xfId="40598"/>
    <cellStyle name="Uwaga 2 7 42" xfId="40599"/>
    <cellStyle name="Uwaga 2 7 42 2" xfId="40600"/>
    <cellStyle name="Uwaga 2 7 42 3" xfId="40601"/>
    <cellStyle name="Uwaga 2 7 43" xfId="40602"/>
    <cellStyle name="Uwaga 2 7 43 2" xfId="40603"/>
    <cellStyle name="Uwaga 2 7 43 3" xfId="40604"/>
    <cellStyle name="Uwaga 2 7 44" xfId="40605"/>
    <cellStyle name="Uwaga 2 7 44 2" xfId="40606"/>
    <cellStyle name="Uwaga 2 7 44 3" xfId="40607"/>
    <cellStyle name="Uwaga 2 7 45" xfId="40608"/>
    <cellStyle name="Uwaga 2 7 45 2" xfId="40609"/>
    <cellStyle name="Uwaga 2 7 45 3" xfId="40610"/>
    <cellStyle name="Uwaga 2 7 46" xfId="40611"/>
    <cellStyle name="Uwaga 2 7 46 2" xfId="40612"/>
    <cellStyle name="Uwaga 2 7 46 3" xfId="40613"/>
    <cellStyle name="Uwaga 2 7 47" xfId="40614"/>
    <cellStyle name="Uwaga 2 7 47 2" xfId="40615"/>
    <cellStyle name="Uwaga 2 7 47 3" xfId="40616"/>
    <cellStyle name="Uwaga 2 7 48" xfId="40617"/>
    <cellStyle name="Uwaga 2 7 48 2" xfId="40618"/>
    <cellStyle name="Uwaga 2 7 48 3" xfId="40619"/>
    <cellStyle name="Uwaga 2 7 49" xfId="40620"/>
    <cellStyle name="Uwaga 2 7 49 2" xfId="40621"/>
    <cellStyle name="Uwaga 2 7 49 3" xfId="40622"/>
    <cellStyle name="Uwaga 2 7 5" xfId="40623"/>
    <cellStyle name="Uwaga 2 7 5 2" xfId="40624"/>
    <cellStyle name="Uwaga 2 7 5 3" xfId="40625"/>
    <cellStyle name="Uwaga 2 7 5 4" xfId="40626"/>
    <cellStyle name="Uwaga 2 7 50" xfId="40627"/>
    <cellStyle name="Uwaga 2 7 50 2" xfId="40628"/>
    <cellStyle name="Uwaga 2 7 50 3" xfId="40629"/>
    <cellStyle name="Uwaga 2 7 51" xfId="40630"/>
    <cellStyle name="Uwaga 2 7 51 2" xfId="40631"/>
    <cellStyle name="Uwaga 2 7 51 3" xfId="40632"/>
    <cellStyle name="Uwaga 2 7 52" xfId="40633"/>
    <cellStyle name="Uwaga 2 7 52 2" xfId="40634"/>
    <cellStyle name="Uwaga 2 7 52 3" xfId="40635"/>
    <cellStyle name="Uwaga 2 7 53" xfId="40636"/>
    <cellStyle name="Uwaga 2 7 53 2" xfId="40637"/>
    <cellStyle name="Uwaga 2 7 53 3" xfId="40638"/>
    <cellStyle name="Uwaga 2 7 54" xfId="40639"/>
    <cellStyle name="Uwaga 2 7 54 2" xfId="40640"/>
    <cellStyle name="Uwaga 2 7 54 3" xfId="40641"/>
    <cellStyle name="Uwaga 2 7 55" xfId="40642"/>
    <cellStyle name="Uwaga 2 7 55 2" xfId="40643"/>
    <cellStyle name="Uwaga 2 7 55 3" xfId="40644"/>
    <cellStyle name="Uwaga 2 7 56" xfId="40645"/>
    <cellStyle name="Uwaga 2 7 56 2" xfId="40646"/>
    <cellStyle name="Uwaga 2 7 56 3" xfId="40647"/>
    <cellStyle name="Uwaga 2 7 57" xfId="40648"/>
    <cellStyle name="Uwaga 2 7 58" xfId="40649"/>
    <cellStyle name="Uwaga 2 7 6" xfId="40650"/>
    <cellStyle name="Uwaga 2 7 6 2" xfId="40651"/>
    <cellStyle name="Uwaga 2 7 6 3" xfId="40652"/>
    <cellStyle name="Uwaga 2 7 6 4" xfId="40653"/>
    <cellStyle name="Uwaga 2 7 7" xfId="40654"/>
    <cellStyle name="Uwaga 2 7 7 2" xfId="40655"/>
    <cellStyle name="Uwaga 2 7 7 3" xfId="40656"/>
    <cellStyle name="Uwaga 2 7 7 4" xfId="40657"/>
    <cellStyle name="Uwaga 2 7 8" xfId="40658"/>
    <cellStyle name="Uwaga 2 7 8 2" xfId="40659"/>
    <cellStyle name="Uwaga 2 7 8 3" xfId="40660"/>
    <cellStyle name="Uwaga 2 7 8 4" xfId="40661"/>
    <cellStyle name="Uwaga 2 7 9" xfId="40662"/>
    <cellStyle name="Uwaga 2 7 9 2" xfId="40663"/>
    <cellStyle name="Uwaga 2 7 9 3" xfId="40664"/>
    <cellStyle name="Uwaga 2 7 9 4" xfId="40665"/>
    <cellStyle name="Uwaga 2 70" xfId="40666"/>
    <cellStyle name="Uwaga 2 70 2" xfId="40667"/>
    <cellStyle name="Uwaga 2 70 3" xfId="40668"/>
    <cellStyle name="Uwaga 2 71" xfId="40669"/>
    <cellStyle name="Uwaga 2 71 2" xfId="40670"/>
    <cellStyle name="Uwaga 2 71 3" xfId="40671"/>
    <cellStyle name="Uwaga 2 72" xfId="40672"/>
    <cellStyle name="Uwaga 2 72 2" xfId="40673"/>
    <cellStyle name="Uwaga 2 72 3" xfId="40674"/>
    <cellStyle name="Uwaga 2 73" xfId="40675"/>
    <cellStyle name="Uwaga 2 73 2" xfId="40676"/>
    <cellStyle name="Uwaga 2 73 3" xfId="40677"/>
    <cellStyle name="Uwaga 2 74" xfId="40678"/>
    <cellStyle name="Uwaga 2 74 2" xfId="40679"/>
    <cellStyle name="Uwaga 2 74 3" xfId="40680"/>
    <cellStyle name="Uwaga 2 75" xfId="40681"/>
    <cellStyle name="Uwaga 2 75 2" xfId="40682"/>
    <cellStyle name="Uwaga 2 75 3" xfId="40683"/>
    <cellStyle name="Uwaga 2 76" xfId="40684"/>
    <cellStyle name="Uwaga 2 76 2" xfId="40685"/>
    <cellStyle name="Uwaga 2 76 3" xfId="40686"/>
    <cellStyle name="Uwaga 2 77" xfId="40687"/>
    <cellStyle name="Uwaga 2 77 2" xfId="40688"/>
    <cellStyle name="Uwaga 2 77 3" xfId="40689"/>
    <cellStyle name="Uwaga 2 78" xfId="40690"/>
    <cellStyle name="Uwaga 2 78 2" xfId="40691"/>
    <cellStyle name="Uwaga 2 78 3" xfId="40692"/>
    <cellStyle name="Uwaga 2 79" xfId="40693"/>
    <cellStyle name="Uwaga 2 79 2" xfId="40694"/>
    <cellStyle name="Uwaga 2 79 3" xfId="40695"/>
    <cellStyle name="Uwaga 2 8" xfId="40696"/>
    <cellStyle name="Uwaga 2 8 10" xfId="40697"/>
    <cellStyle name="Uwaga 2 8 10 2" xfId="40698"/>
    <cellStyle name="Uwaga 2 8 10 3" xfId="40699"/>
    <cellStyle name="Uwaga 2 8 10 4" xfId="40700"/>
    <cellStyle name="Uwaga 2 8 11" xfId="40701"/>
    <cellStyle name="Uwaga 2 8 11 2" xfId="40702"/>
    <cellStyle name="Uwaga 2 8 11 3" xfId="40703"/>
    <cellStyle name="Uwaga 2 8 11 4" xfId="40704"/>
    <cellStyle name="Uwaga 2 8 12" xfId="40705"/>
    <cellStyle name="Uwaga 2 8 12 2" xfId="40706"/>
    <cellStyle name="Uwaga 2 8 12 3" xfId="40707"/>
    <cellStyle name="Uwaga 2 8 12 4" xfId="40708"/>
    <cellStyle name="Uwaga 2 8 13" xfId="40709"/>
    <cellStyle name="Uwaga 2 8 13 2" xfId="40710"/>
    <cellStyle name="Uwaga 2 8 13 3" xfId="40711"/>
    <cellStyle name="Uwaga 2 8 13 4" xfId="40712"/>
    <cellStyle name="Uwaga 2 8 14" xfId="40713"/>
    <cellStyle name="Uwaga 2 8 14 2" xfId="40714"/>
    <cellStyle name="Uwaga 2 8 14 3" xfId="40715"/>
    <cellStyle name="Uwaga 2 8 14 4" xfId="40716"/>
    <cellStyle name="Uwaga 2 8 15" xfId="40717"/>
    <cellStyle name="Uwaga 2 8 15 2" xfId="40718"/>
    <cellStyle name="Uwaga 2 8 15 3" xfId="40719"/>
    <cellStyle name="Uwaga 2 8 15 4" xfId="40720"/>
    <cellStyle name="Uwaga 2 8 16" xfId="40721"/>
    <cellStyle name="Uwaga 2 8 16 2" xfId="40722"/>
    <cellStyle name="Uwaga 2 8 16 3" xfId="40723"/>
    <cellStyle name="Uwaga 2 8 16 4" xfId="40724"/>
    <cellStyle name="Uwaga 2 8 17" xfId="40725"/>
    <cellStyle name="Uwaga 2 8 17 2" xfId="40726"/>
    <cellStyle name="Uwaga 2 8 17 3" xfId="40727"/>
    <cellStyle name="Uwaga 2 8 17 4" xfId="40728"/>
    <cellStyle name="Uwaga 2 8 18" xfId="40729"/>
    <cellStyle name="Uwaga 2 8 18 2" xfId="40730"/>
    <cellStyle name="Uwaga 2 8 18 3" xfId="40731"/>
    <cellStyle name="Uwaga 2 8 18 4" xfId="40732"/>
    <cellStyle name="Uwaga 2 8 19" xfId="40733"/>
    <cellStyle name="Uwaga 2 8 19 2" xfId="40734"/>
    <cellStyle name="Uwaga 2 8 19 3" xfId="40735"/>
    <cellStyle name="Uwaga 2 8 19 4" xfId="40736"/>
    <cellStyle name="Uwaga 2 8 2" xfId="40737"/>
    <cellStyle name="Uwaga 2 8 2 2" xfId="40738"/>
    <cellStyle name="Uwaga 2 8 2 3" xfId="40739"/>
    <cellStyle name="Uwaga 2 8 2 4" xfId="40740"/>
    <cellStyle name="Uwaga 2 8 20" xfId="40741"/>
    <cellStyle name="Uwaga 2 8 20 2" xfId="40742"/>
    <cellStyle name="Uwaga 2 8 20 3" xfId="40743"/>
    <cellStyle name="Uwaga 2 8 20 4" xfId="40744"/>
    <cellStyle name="Uwaga 2 8 21" xfId="40745"/>
    <cellStyle name="Uwaga 2 8 21 2" xfId="40746"/>
    <cellStyle name="Uwaga 2 8 21 3" xfId="40747"/>
    <cellStyle name="Uwaga 2 8 22" xfId="40748"/>
    <cellStyle name="Uwaga 2 8 22 2" xfId="40749"/>
    <cellStyle name="Uwaga 2 8 22 3" xfId="40750"/>
    <cellStyle name="Uwaga 2 8 23" xfId="40751"/>
    <cellStyle name="Uwaga 2 8 23 2" xfId="40752"/>
    <cellStyle name="Uwaga 2 8 23 3" xfId="40753"/>
    <cellStyle name="Uwaga 2 8 24" xfId="40754"/>
    <cellStyle name="Uwaga 2 8 24 2" xfId="40755"/>
    <cellStyle name="Uwaga 2 8 24 3" xfId="40756"/>
    <cellStyle name="Uwaga 2 8 25" xfId="40757"/>
    <cellStyle name="Uwaga 2 8 25 2" xfId="40758"/>
    <cellStyle name="Uwaga 2 8 25 3" xfId="40759"/>
    <cellStyle name="Uwaga 2 8 26" xfId="40760"/>
    <cellStyle name="Uwaga 2 8 26 2" xfId="40761"/>
    <cellStyle name="Uwaga 2 8 26 3" xfId="40762"/>
    <cellStyle name="Uwaga 2 8 27" xfId="40763"/>
    <cellStyle name="Uwaga 2 8 27 2" xfId="40764"/>
    <cellStyle name="Uwaga 2 8 27 3" xfId="40765"/>
    <cellStyle name="Uwaga 2 8 28" xfId="40766"/>
    <cellStyle name="Uwaga 2 8 28 2" xfId="40767"/>
    <cellStyle name="Uwaga 2 8 28 3" xfId="40768"/>
    <cellStyle name="Uwaga 2 8 29" xfId="40769"/>
    <cellStyle name="Uwaga 2 8 29 2" xfId="40770"/>
    <cellStyle name="Uwaga 2 8 29 3" xfId="40771"/>
    <cellStyle name="Uwaga 2 8 3" xfId="40772"/>
    <cellStyle name="Uwaga 2 8 3 2" xfId="40773"/>
    <cellStyle name="Uwaga 2 8 3 3" xfId="40774"/>
    <cellStyle name="Uwaga 2 8 3 4" xfId="40775"/>
    <cellStyle name="Uwaga 2 8 30" xfId="40776"/>
    <cellStyle name="Uwaga 2 8 30 2" xfId="40777"/>
    <cellStyle name="Uwaga 2 8 30 3" xfId="40778"/>
    <cellStyle name="Uwaga 2 8 31" xfId="40779"/>
    <cellStyle name="Uwaga 2 8 31 2" xfId="40780"/>
    <cellStyle name="Uwaga 2 8 31 3" xfId="40781"/>
    <cellStyle name="Uwaga 2 8 32" xfId="40782"/>
    <cellStyle name="Uwaga 2 8 32 2" xfId="40783"/>
    <cellStyle name="Uwaga 2 8 32 3" xfId="40784"/>
    <cellStyle name="Uwaga 2 8 33" xfId="40785"/>
    <cellStyle name="Uwaga 2 8 33 2" xfId="40786"/>
    <cellStyle name="Uwaga 2 8 33 3" xfId="40787"/>
    <cellStyle name="Uwaga 2 8 34" xfId="40788"/>
    <cellStyle name="Uwaga 2 8 34 2" xfId="40789"/>
    <cellStyle name="Uwaga 2 8 34 3" xfId="40790"/>
    <cellStyle name="Uwaga 2 8 35" xfId="40791"/>
    <cellStyle name="Uwaga 2 8 35 2" xfId="40792"/>
    <cellStyle name="Uwaga 2 8 35 3" xfId="40793"/>
    <cellStyle name="Uwaga 2 8 36" xfId="40794"/>
    <cellStyle name="Uwaga 2 8 36 2" xfId="40795"/>
    <cellStyle name="Uwaga 2 8 36 3" xfId="40796"/>
    <cellStyle name="Uwaga 2 8 37" xfId="40797"/>
    <cellStyle name="Uwaga 2 8 37 2" xfId="40798"/>
    <cellStyle name="Uwaga 2 8 37 3" xfId="40799"/>
    <cellStyle name="Uwaga 2 8 38" xfId="40800"/>
    <cellStyle name="Uwaga 2 8 38 2" xfId="40801"/>
    <cellStyle name="Uwaga 2 8 38 3" xfId="40802"/>
    <cellStyle name="Uwaga 2 8 39" xfId="40803"/>
    <cellStyle name="Uwaga 2 8 39 2" xfId="40804"/>
    <cellStyle name="Uwaga 2 8 39 3" xfId="40805"/>
    <cellStyle name="Uwaga 2 8 4" xfId="40806"/>
    <cellStyle name="Uwaga 2 8 4 2" xfId="40807"/>
    <cellStyle name="Uwaga 2 8 4 3" xfId="40808"/>
    <cellStyle name="Uwaga 2 8 4 4" xfId="40809"/>
    <cellStyle name="Uwaga 2 8 40" xfId="40810"/>
    <cellStyle name="Uwaga 2 8 40 2" xfId="40811"/>
    <cellStyle name="Uwaga 2 8 40 3" xfId="40812"/>
    <cellStyle name="Uwaga 2 8 41" xfId="40813"/>
    <cellStyle name="Uwaga 2 8 41 2" xfId="40814"/>
    <cellStyle name="Uwaga 2 8 41 3" xfId="40815"/>
    <cellStyle name="Uwaga 2 8 42" xfId="40816"/>
    <cellStyle name="Uwaga 2 8 42 2" xfId="40817"/>
    <cellStyle name="Uwaga 2 8 42 3" xfId="40818"/>
    <cellStyle name="Uwaga 2 8 43" xfId="40819"/>
    <cellStyle name="Uwaga 2 8 43 2" xfId="40820"/>
    <cellStyle name="Uwaga 2 8 43 3" xfId="40821"/>
    <cellStyle name="Uwaga 2 8 44" xfId="40822"/>
    <cellStyle name="Uwaga 2 8 44 2" xfId="40823"/>
    <cellStyle name="Uwaga 2 8 44 3" xfId="40824"/>
    <cellStyle name="Uwaga 2 8 45" xfId="40825"/>
    <cellStyle name="Uwaga 2 8 45 2" xfId="40826"/>
    <cellStyle name="Uwaga 2 8 45 3" xfId="40827"/>
    <cellStyle name="Uwaga 2 8 46" xfId="40828"/>
    <cellStyle name="Uwaga 2 8 46 2" xfId="40829"/>
    <cellStyle name="Uwaga 2 8 46 3" xfId="40830"/>
    <cellStyle name="Uwaga 2 8 47" xfId="40831"/>
    <cellStyle name="Uwaga 2 8 47 2" xfId="40832"/>
    <cellStyle name="Uwaga 2 8 47 3" xfId="40833"/>
    <cellStyle name="Uwaga 2 8 48" xfId="40834"/>
    <cellStyle name="Uwaga 2 8 48 2" xfId="40835"/>
    <cellStyle name="Uwaga 2 8 48 3" xfId="40836"/>
    <cellStyle name="Uwaga 2 8 49" xfId="40837"/>
    <cellStyle name="Uwaga 2 8 49 2" xfId="40838"/>
    <cellStyle name="Uwaga 2 8 49 3" xfId="40839"/>
    <cellStyle name="Uwaga 2 8 5" xfId="40840"/>
    <cellStyle name="Uwaga 2 8 5 2" xfId="40841"/>
    <cellStyle name="Uwaga 2 8 5 3" xfId="40842"/>
    <cellStyle name="Uwaga 2 8 5 4" xfId="40843"/>
    <cellStyle name="Uwaga 2 8 50" xfId="40844"/>
    <cellStyle name="Uwaga 2 8 50 2" xfId="40845"/>
    <cellStyle name="Uwaga 2 8 50 3" xfId="40846"/>
    <cellStyle name="Uwaga 2 8 51" xfId="40847"/>
    <cellStyle name="Uwaga 2 8 51 2" xfId="40848"/>
    <cellStyle name="Uwaga 2 8 51 3" xfId="40849"/>
    <cellStyle name="Uwaga 2 8 52" xfId="40850"/>
    <cellStyle name="Uwaga 2 8 52 2" xfId="40851"/>
    <cellStyle name="Uwaga 2 8 52 3" xfId="40852"/>
    <cellStyle name="Uwaga 2 8 53" xfId="40853"/>
    <cellStyle name="Uwaga 2 8 53 2" xfId="40854"/>
    <cellStyle name="Uwaga 2 8 53 3" xfId="40855"/>
    <cellStyle name="Uwaga 2 8 54" xfId="40856"/>
    <cellStyle name="Uwaga 2 8 54 2" xfId="40857"/>
    <cellStyle name="Uwaga 2 8 54 3" xfId="40858"/>
    <cellStyle name="Uwaga 2 8 55" xfId="40859"/>
    <cellStyle name="Uwaga 2 8 55 2" xfId="40860"/>
    <cellStyle name="Uwaga 2 8 55 3" xfId="40861"/>
    <cellStyle name="Uwaga 2 8 56" xfId="40862"/>
    <cellStyle name="Uwaga 2 8 56 2" xfId="40863"/>
    <cellStyle name="Uwaga 2 8 56 3" xfId="40864"/>
    <cellStyle name="Uwaga 2 8 57" xfId="40865"/>
    <cellStyle name="Uwaga 2 8 58" xfId="40866"/>
    <cellStyle name="Uwaga 2 8 6" xfId="40867"/>
    <cellStyle name="Uwaga 2 8 6 2" xfId="40868"/>
    <cellStyle name="Uwaga 2 8 6 3" xfId="40869"/>
    <cellStyle name="Uwaga 2 8 6 4" xfId="40870"/>
    <cellStyle name="Uwaga 2 8 7" xfId="40871"/>
    <cellStyle name="Uwaga 2 8 7 2" xfId="40872"/>
    <cellStyle name="Uwaga 2 8 7 3" xfId="40873"/>
    <cellStyle name="Uwaga 2 8 7 4" xfId="40874"/>
    <cellStyle name="Uwaga 2 8 8" xfId="40875"/>
    <cellStyle name="Uwaga 2 8 8 2" xfId="40876"/>
    <cellStyle name="Uwaga 2 8 8 3" xfId="40877"/>
    <cellStyle name="Uwaga 2 8 8 4" xfId="40878"/>
    <cellStyle name="Uwaga 2 8 9" xfId="40879"/>
    <cellStyle name="Uwaga 2 8 9 2" xfId="40880"/>
    <cellStyle name="Uwaga 2 8 9 3" xfId="40881"/>
    <cellStyle name="Uwaga 2 8 9 4" xfId="40882"/>
    <cellStyle name="Uwaga 2 80" xfId="40883"/>
    <cellStyle name="Uwaga 2 80 2" xfId="40884"/>
    <cellStyle name="Uwaga 2 80 3" xfId="40885"/>
    <cellStyle name="Uwaga 2 81" xfId="40886"/>
    <cellStyle name="Uwaga 2 81 2" xfId="40887"/>
    <cellStyle name="Uwaga 2 81 3" xfId="40888"/>
    <cellStyle name="Uwaga 2 82" xfId="40889"/>
    <cellStyle name="Uwaga 2 82 2" xfId="40890"/>
    <cellStyle name="Uwaga 2 82 3" xfId="40891"/>
    <cellStyle name="Uwaga 2 83" xfId="40892"/>
    <cellStyle name="Uwaga 2 83 2" xfId="40893"/>
    <cellStyle name="Uwaga 2 83 3" xfId="40894"/>
    <cellStyle name="Uwaga 2 84" xfId="40895"/>
    <cellStyle name="Uwaga 2 84 2" xfId="40896"/>
    <cellStyle name="Uwaga 2 84 3" xfId="40897"/>
    <cellStyle name="Uwaga 2 85" xfId="40898"/>
    <cellStyle name="Uwaga 2 85 2" xfId="40899"/>
    <cellStyle name="Uwaga 2 85 3" xfId="40900"/>
    <cellStyle name="Uwaga 2 86" xfId="40901"/>
    <cellStyle name="Uwaga 2 86 2" xfId="40902"/>
    <cellStyle name="Uwaga 2 86 3" xfId="40903"/>
    <cellStyle name="Uwaga 2 87" xfId="40904"/>
    <cellStyle name="Uwaga 2 87 2" xfId="40905"/>
    <cellStyle name="Uwaga 2 87 3" xfId="40906"/>
    <cellStyle name="Uwaga 2 88" xfId="40907"/>
    <cellStyle name="Uwaga 2 88 2" xfId="40908"/>
    <cellStyle name="Uwaga 2 88 3" xfId="40909"/>
    <cellStyle name="Uwaga 2 89" xfId="40910"/>
    <cellStyle name="Uwaga 2 89 2" xfId="40911"/>
    <cellStyle name="Uwaga 2 89 3" xfId="40912"/>
    <cellStyle name="Uwaga 2 9" xfId="40913"/>
    <cellStyle name="Uwaga 2 9 10" xfId="40914"/>
    <cellStyle name="Uwaga 2 9 10 2" xfId="40915"/>
    <cellStyle name="Uwaga 2 9 10 3" xfId="40916"/>
    <cellStyle name="Uwaga 2 9 10 4" xfId="40917"/>
    <cellStyle name="Uwaga 2 9 11" xfId="40918"/>
    <cellStyle name="Uwaga 2 9 11 2" xfId="40919"/>
    <cellStyle name="Uwaga 2 9 11 3" xfId="40920"/>
    <cellStyle name="Uwaga 2 9 11 4" xfId="40921"/>
    <cellStyle name="Uwaga 2 9 12" xfId="40922"/>
    <cellStyle name="Uwaga 2 9 12 2" xfId="40923"/>
    <cellStyle name="Uwaga 2 9 12 3" xfId="40924"/>
    <cellStyle name="Uwaga 2 9 12 4" xfId="40925"/>
    <cellStyle name="Uwaga 2 9 13" xfId="40926"/>
    <cellStyle name="Uwaga 2 9 13 2" xfId="40927"/>
    <cellStyle name="Uwaga 2 9 13 3" xfId="40928"/>
    <cellStyle name="Uwaga 2 9 13 4" xfId="40929"/>
    <cellStyle name="Uwaga 2 9 14" xfId="40930"/>
    <cellStyle name="Uwaga 2 9 14 2" xfId="40931"/>
    <cellStyle name="Uwaga 2 9 14 3" xfId="40932"/>
    <cellStyle name="Uwaga 2 9 14 4" xfId="40933"/>
    <cellStyle name="Uwaga 2 9 15" xfId="40934"/>
    <cellStyle name="Uwaga 2 9 15 2" xfId="40935"/>
    <cellStyle name="Uwaga 2 9 15 3" xfId="40936"/>
    <cellStyle name="Uwaga 2 9 15 4" xfId="40937"/>
    <cellStyle name="Uwaga 2 9 16" xfId="40938"/>
    <cellStyle name="Uwaga 2 9 16 2" xfId="40939"/>
    <cellStyle name="Uwaga 2 9 16 3" xfId="40940"/>
    <cellStyle name="Uwaga 2 9 16 4" xfId="40941"/>
    <cellStyle name="Uwaga 2 9 17" xfId="40942"/>
    <cellStyle name="Uwaga 2 9 17 2" xfId="40943"/>
    <cellStyle name="Uwaga 2 9 17 3" xfId="40944"/>
    <cellStyle name="Uwaga 2 9 17 4" xfId="40945"/>
    <cellStyle name="Uwaga 2 9 18" xfId="40946"/>
    <cellStyle name="Uwaga 2 9 18 2" xfId="40947"/>
    <cellStyle name="Uwaga 2 9 18 3" xfId="40948"/>
    <cellStyle name="Uwaga 2 9 18 4" xfId="40949"/>
    <cellStyle name="Uwaga 2 9 19" xfId="40950"/>
    <cellStyle name="Uwaga 2 9 19 2" xfId="40951"/>
    <cellStyle name="Uwaga 2 9 19 3" xfId="40952"/>
    <cellStyle name="Uwaga 2 9 19 4" xfId="40953"/>
    <cellStyle name="Uwaga 2 9 2" xfId="40954"/>
    <cellStyle name="Uwaga 2 9 2 2" xfId="40955"/>
    <cellStyle name="Uwaga 2 9 2 3" xfId="40956"/>
    <cellStyle name="Uwaga 2 9 2 4" xfId="40957"/>
    <cellStyle name="Uwaga 2 9 20" xfId="40958"/>
    <cellStyle name="Uwaga 2 9 20 2" xfId="40959"/>
    <cellStyle name="Uwaga 2 9 20 3" xfId="40960"/>
    <cellStyle name="Uwaga 2 9 20 4" xfId="40961"/>
    <cellStyle name="Uwaga 2 9 21" xfId="40962"/>
    <cellStyle name="Uwaga 2 9 21 2" xfId="40963"/>
    <cellStyle name="Uwaga 2 9 21 3" xfId="40964"/>
    <cellStyle name="Uwaga 2 9 22" xfId="40965"/>
    <cellStyle name="Uwaga 2 9 22 2" xfId="40966"/>
    <cellStyle name="Uwaga 2 9 22 3" xfId="40967"/>
    <cellStyle name="Uwaga 2 9 23" xfId="40968"/>
    <cellStyle name="Uwaga 2 9 23 2" xfId="40969"/>
    <cellStyle name="Uwaga 2 9 23 3" xfId="40970"/>
    <cellStyle name="Uwaga 2 9 24" xfId="40971"/>
    <cellStyle name="Uwaga 2 9 24 2" xfId="40972"/>
    <cellStyle name="Uwaga 2 9 24 3" xfId="40973"/>
    <cellStyle name="Uwaga 2 9 25" xfId="40974"/>
    <cellStyle name="Uwaga 2 9 25 2" xfId="40975"/>
    <cellStyle name="Uwaga 2 9 25 3" xfId="40976"/>
    <cellStyle name="Uwaga 2 9 26" xfId="40977"/>
    <cellStyle name="Uwaga 2 9 26 2" xfId="40978"/>
    <cellStyle name="Uwaga 2 9 26 3" xfId="40979"/>
    <cellStyle name="Uwaga 2 9 27" xfId="40980"/>
    <cellStyle name="Uwaga 2 9 27 2" xfId="40981"/>
    <cellStyle name="Uwaga 2 9 27 3" xfId="40982"/>
    <cellStyle name="Uwaga 2 9 28" xfId="40983"/>
    <cellStyle name="Uwaga 2 9 28 2" xfId="40984"/>
    <cellStyle name="Uwaga 2 9 28 3" xfId="40985"/>
    <cellStyle name="Uwaga 2 9 29" xfId="40986"/>
    <cellStyle name="Uwaga 2 9 29 2" xfId="40987"/>
    <cellStyle name="Uwaga 2 9 29 3" xfId="40988"/>
    <cellStyle name="Uwaga 2 9 3" xfId="40989"/>
    <cellStyle name="Uwaga 2 9 3 2" xfId="40990"/>
    <cellStyle name="Uwaga 2 9 3 3" xfId="40991"/>
    <cellStyle name="Uwaga 2 9 3 4" xfId="40992"/>
    <cellStyle name="Uwaga 2 9 30" xfId="40993"/>
    <cellStyle name="Uwaga 2 9 30 2" xfId="40994"/>
    <cellStyle name="Uwaga 2 9 30 3" xfId="40995"/>
    <cellStyle name="Uwaga 2 9 31" xfId="40996"/>
    <cellStyle name="Uwaga 2 9 31 2" xfId="40997"/>
    <cellStyle name="Uwaga 2 9 31 3" xfId="40998"/>
    <cellStyle name="Uwaga 2 9 32" xfId="40999"/>
    <cellStyle name="Uwaga 2 9 32 2" xfId="41000"/>
    <cellStyle name="Uwaga 2 9 32 3" xfId="41001"/>
    <cellStyle name="Uwaga 2 9 33" xfId="41002"/>
    <cellStyle name="Uwaga 2 9 33 2" xfId="41003"/>
    <cellStyle name="Uwaga 2 9 33 3" xfId="41004"/>
    <cellStyle name="Uwaga 2 9 34" xfId="41005"/>
    <cellStyle name="Uwaga 2 9 34 2" xfId="41006"/>
    <cellStyle name="Uwaga 2 9 34 3" xfId="41007"/>
    <cellStyle name="Uwaga 2 9 35" xfId="41008"/>
    <cellStyle name="Uwaga 2 9 35 2" xfId="41009"/>
    <cellStyle name="Uwaga 2 9 35 3" xfId="41010"/>
    <cellStyle name="Uwaga 2 9 36" xfId="41011"/>
    <cellStyle name="Uwaga 2 9 36 2" xfId="41012"/>
    <cellStyle name="Uwaga 2 9 36 3" xfId="41013"/>
    <cellStyle name="Uwaga 2 9 37" xfId="41014"/>
    <cellStyle name="Uwaga 2 9 37 2" xfId="41015"/>
    <cellStyle name="Uwaga 2 9 37 3" xfId="41016"/>
    <cellStyle name="Uwaga 2 9 38" xfId="41017"/>
    <cellStyle name="Uwaga 2 9 38 2" xfId="41018"/>
    <cellStyle name="Uwaga 2 9 38 3" xfId="41019"/>
    <cellStyle name="Uwaga 2 9 39" xfId="41020"/>
    <cellStyle name="Uwaga 2 9 39 2" xfId="41021"/>
    <cellStyle name="Uwaga 2 9 39 3" xfId="41022"/>
    <cellStyle name="Uwaga 2 9 4" xfId="41023"/>
    <cellStyle name="Uwaga 2 9 4 2" xfId="41024"/>
    <cellStyle name="Uwaga 2 9 4 3" xfId="41025"/>
    <cellStyle name="Uwaga 2 9 4 4" xfId="41026"/>
    <cellStyle name="Uwaga 2 9 40" xfId="41027"/>
    <cellStyle name="Uwaga 2 9 40 2" xfId="41028"/>
    <cellStyle name="Uwaga 2 9 40 3" xfId="41029"/>
    <cellStyle name="Uwaga 2 9 41" xfId="41030"/>
    <cellStyle name="Uwaga 2 9 41 2" xfId="41031"/>
    <cellStyle name="Uwaga 2 9 41 3" xfId="41032"/>
    <cellStyle name="Uwaga 2 9 42" xfId="41033"/>
    <cellStyle name="Uwaga 2 9 42 2" xfId="41034"/>
    <cellStyle name="Uwaga 2 9 42 3" xfId="41035"/>
    <cellStyle name="Uwaga 2 9 43" xfId="41036"/>
    <cellStyle name="Uwaga 2 9 43 2" xfId="41037"/>
    <cellStyle name="Uwaga 2 9 43 3" xfId="41038"/>
    <cellStyle name="Uwaga 2 9 44" xfId="41039"/>
    <cellStyle name="Uwaga 2 9 44 2" xfId="41040"/>
    <cellStyle name="Uwaga 2 9 44 3" xfId="41041"/>
    <cellStyle name="Uwaga 2 9 45" xfId="41042"/>
    <cellStyle name="Uwaga 2 9 45 2" xfId="41043"/>
    <cellStyle name="Uwaga 2 9 45 3" xfId="41044"/>
    <cellStyle name="Uwaga 2 9 46" xfId="41045"/>
    <cellStyle name="Uwaga 2 9 46 2" xfId="41046"/>
    <cellStyle name="Uwaga 2 9 46 3" xfId="41047"/>
    <cellStyle name="Uwaga 2 9 47" xfId="41048"/>
    <cellStyle name="Uwaga 2 9 47 2" xfId="41049"/>
    <cellStyle name="Uwaga 2 9 47 3" xfId="41050"/>
    <cellStyle name="Uwaga 2 9 48" xfId="41051"/>
    <cellStyle name="Uwaga 2 9 48 2" xfId="41052"/>
    <cellStyle name="Uwaga 2 9 48 3" xfId="41053"/>
    <cellStyle name="Uwaga 2 9 49" xfId="41054"/>
    <cellStyle name="Uwaga 2 9 49 2" xfId="41055"/>
    <cellStyle name="Uwaga 2 9 49 3" xfId="41056"/>
    <cellStyle name="Uwaga 2 9 5" xfId="41057"/>
    <cellStyle name="Uwaga 2 9 5 2" xfId="41058"/>
    <cellStyle name="Uwaga 2 9 5 3" xfId="41059"/>
    <cellStyle name="Uwaga 2 9 5 4" xfId="41060"/>
    <cellStyle name="Uwaga 2 9 50" xfId="41061"/>
    <cellStyle name="Uwaga 2 9 50 2" xfId="41062"/>
    <cellStyle name="Uwaga 2 9 50 3" xfId="41063"/>
    <cellStyle name="Uwaga 2 9 51" xfId="41064"/>
    <cellStyle name="Uwaga 2 9 51 2" xfId="41065"/>
    <cellStyle name="Uwaga 2 9 51 3" xfId="41066"/>
    <cellStyle name="Uwaga 2 9 52" xfId="41067"/>
    <cellStyle name="Uwaga 2 9 52 2" xfId="41068"/>
    <cellStyle name="Uwaga 2 9 52 3" xfId="41069"/>
    <cellStyle name="Uwaga 2 9 53" xfId="41070"/>
    <cellStyle name="Uwaga 2 9 53 2" xfId="41071"/>
    <cellStyle name="Uwaga 2 9 53 3" xfId="41072"/>
    <cellStyle name="Uwaga 2 9 54" xfId="41073"/>
    <cellStyle name="Uwaga 2 9 54 2" xfId="41074"/>
    <cellStyle name="Uwaga 2 9 54 3" xfId="41075"/>
    <cellStyle name="Uwaga 2 9 55" xfId="41076"/>
    <cellStyle name="Uwaga 2 9 55 2" xfId="41077"/>
    <cellStyle name="Uwaga 2 9 55 3" xfId="41078"/>
    <cellStyle name="Uwaga 2 9 56" xfId="41079"/>
    <cellStyle name="Uwaga 2 9 56 2" xfId="41080"/>
    <cellStyle name="Uwaga 2 9 56 3" xfId="41081"/>
    <cellStyle name="Uwaga 2 9 57" xfId="41082"/>
    <cellStyle name="Uwaga 2 9 58" xfId="41083"/>
    <cellStyle name="Uwaga 2 9 6" xfId="41084"/>
    <cellStyle name="Uwaga 2 9 6 2" xfId="41085"/>
    <cellStyle name="Uwaga 2 9 6 3" xfId="41086"/>
    <cellStyle name="Uwaga 2 9 6 4" xfId="41087"/>
    <cellStyle name="Uwaga 2 9 7" xfId="41088"/>
    <cellStyle name="Uwaga 2 9 7 2" xfId="41089"/>
    <cellStyle name="Uwaga 2 9 7 3" xfId="41090"/>
    <cellStyle name="Uwaga 2 9 7 4" xfId="41091"/>
    <cellStyle name="Uwaga 2 9 8" xfId="41092"/>
    <cellStyle name="Uwaga 2 9 8 2" xfId="41093"/>
    <cellStyle name="Uwaga 2 9 8 3" xfId="41094"/>
    <cellStyle name="Uwaga 2 9 8 4" xfId="41095"/>
    <cellStyle name="Uwaga 2 9 9" xfId="41096"/>
    <cellStyle name="Uwaga 2 9 9 2" xfId="41097"/>
    <cellStyle name="Uwaga 2 9 9 3" xfId="41098"/>
    <cellStyle name="Uwaga 2 9 9 4" xfId="41099"/>
    <cellStyle name="Uwaga 2 90" xfId="41100"/>
    <cellStyle name="Uwaga 2 91" xfId="41101"/>
    <cellStyle name="Uwaga 20" xfId="41102"/>
    <cellStyle name="Uwaga 21" xfId="41103"/>
    <cellStyle name="Uwaga 22" xfId="41104"/>
    <cellStyle name="Uwaga 23" xfId="41105"/>
    <cellStyle name="Uwaga 24" xfId="41106"/>
    <cellStyle name="Uwaga 25" xfId="41107"/>
    <cellStyle name="Uwaga 26" xfId="41108"/>
    <cellStyle name="Uwaga 27" xfId="41109"/>
    <cellStyle name="Uwaga 28" xfId="41110"/>
    <cellStyle name="Uwaga 29" xfId="41111"/>
    <cellStyle name="Uwaga 3" xfId="41112"/>
    <cellStyle name="Uwaga 3 10" xfId="41113"/>
    <cellStyle name="Uwaga 3 10 2" xfId="41114"/>
    <cellStyle name="Uwaga 3 11" xfId="41115"/>
    <cellStyle name="Uwaga 3 11 2" xfId="41116"/>
    <cellStyle name="Uwaga 3 12" xfId="41117"/>
    <cellStyle name="Uwaga 3 12 2" xfId="41118"/>
    <cellStyle name="Uwaga 3 13" xfId="41119"/>
    <cellStyle name="Uwaga 3 13 2" xfId="41120"/>
    <cellStyle name="Uwaga 3 14" xfId="41121"/>
    <cellStyle name="Uwaga 3 14 2" xfId="41122"/>
    <cellStyle name="Uwaga 3 15" xfId="41123"/>
    <cellStyle name="Uwaga 3 15 2" xfId="41124"/>
    <cellStyle name="Uwaga 3 16" xfId="41125"/>
    <cellStyle name="Uwaga 3 16 2" xfId="41126"/>
    <cellStyle name="Uwaga 3 17" xfId="41127"/>
    <cellStyle name="Uwaga 3 17 2" xfId="41128"/>
    <cellStyle name="Uwaga 3 18" xfId="41129"/>
    <cellStyle name="Uwaga 3 18 2" xfId="41130"/>
    <cellStyle name="Uwaga 3 19" xfId="41131"/>
    <cellStyle name="Uwaga 3 19 2" xfId="41132"/>
    <cellStyle name="Uwaga 3 2" xfId="41133"/>
    <cellStyle name="Uwaga 3 2 10" xfId="41134"/>
    <cellStyle name="Uwaga 3 2 10 2" xfId="41135"/>
    <cellStyle name="Uwaga 3 2 11" xfId="41136"/>
    <cellStyle name="Uwaga 3 2 11 2" xfId="41137"/>
    <cellStyle name="Uwaga 3 2 12" xfId="41138"/>
    <cellStyle name="Uwaga 3 2 12 2" xfId="41139"/>
    <cellStyle name="Uwaga 3 2 13" xfId="41140"/>
    <cellStyle name="Uwaga 3 2 13 2" xfId="41141"/>
    <cellStyle name="Uwaga 3 2 14" xfId="41142"/>
    <cellStyle name="Uwaga 3 2 14 2" xfId="41143"/>
    <cellStyle name="Uwaga 3 2 15" xfId="41144"/>
    <cellStyle name="Uwaga 3 2 15 2" xfId="41145"/>
    <cellStyle name="Uwaga 3 2 16" xfId="41146"/>
    <cellStyle name="Uwaga 3 2 16 2" xfId="41147"/>
    <cellStyle name="Uwaga 3 2 17" xfId="41148"/>
    <cellStyle name="Uwaga 3 2 17 2" xfId="41149"/>
    <cellStyle name="Uwaga 3 2 18" xfId="41150"/>
    <cellStyle name="Uwaga 3 2 18 2" xfId="41151"/>
    <cellStyle name="Uwaga 3 2 19" xfId="41152"/>
    <cellStyle name="Uwaga 3 2 19 2" xfId="41153"/>
    <cellStyle name="Uwaga 3 2 2" xfId="41154"/>
    <cellStyle name="Uwaga 3 2 2 10" xfId="41155"/>
    <cellStyle name="Uwaga 3 2 2 11" xfId="41156"/>
    <cellStyle name="Uwaga 3 2 2 12" xfId="41157"/>
    <cellStyle name="Uwaga 3 2 2 13" xfId="41158"/>
    <cellStyle name="Uwaga 3 2 2 14" xfId="41159"/>
    <cellStyle name="Uwaga 3 2 2 15" xfId="41160"/>
    <cellStyle name="Uwaga 3 2 2 16" xfId="41161"/>
    <cellStyle name="Uwaga 3 2 2 17" xfId="41162"/>
    <cellStyle name="Uwaga 3 2 2 18" xfId="41163"/>
    <cellStyle name="Uwaga 3 2 2 19" xfId="41164"/>
    <cellStyle name="Uwaga 3 2 2 2" xfId="41165"/>
    <cellStyle name="Uwaga 3 2 2 3" xfId="41166"/>
    <cellStyle name="Uwaga 3 2 2 4" xfId="41167"/>
    <cellStyle name="Uwaga 3 2 2 5" xfId="41168"/>
    <cellStyle name="Uwaga 3 2 2 6" xfId="41169"/>
    <cellStyle name="Uwaga 3 2 2 7" xfId="41170"/>
    <cellStyle name="Uwaga 3 2 2 8" xfId="41171"/>
    <cellStyle name="Uwaga 3 2 2 9" xfId="41172"/>
    <cellStyle name="Uwaga 3 2 20" xfId="41173"/>
    <cellStyle name="Uwaga 3 2 20 2" xfId="41174"/>
    <cellStyle name="Uwaga 3 2 21" xfId="41175"/>
    <cellStyle name="Uwaga 3 2 21 2" xfId="41176"/>
    <cellStyle name="Uwaga 3 2 22" xfId="41177"/>
    <cellStyle name="Uwaga 3 2 22 2" xfId="41178"/>
    <cellStyle name="Uwaga 3 2 23" xfId="41179"/>
    <cellStyle name="Uwaga 3 2 23 2" xfId="41180"/>
    <cellStyle name="Uwaga 3 2 24" xfId="41181"/>
    <cellStyle name="Uwaga 3 2 24 2" xfId="41182"/>
    <cellStyle name="Uwaga 3 2 25" xfId="41183"/>
    <cellStyle name="Uwaga 3 2 25 2" xfId="41184"/>
    <cellStyle name="Uwaga 3 2 26" xfId="41185"/>
    <cellStyle name="Uwaga 3 2 26 2" xfId="41186"/>
    <cellStyle name="Uwaga 3 2 27" xfId="41187"/>
    <cellStyle name="Uwaga 3 2 27 2" xfId="41188"/>
    <cellStyle name="Uwaga 3 2 28" xfId="41189"/>
    <cellStyle name="Uwaga 3 2 28 2" xfId="41190"/>
    <cellStyle name="Uwaga 3 2 29" xfId="41191"/>
    <cellStyle name="Uwaga 3 2 29 2" xfId="41192"/>
    <cellStyle name="Uwaga 3 2 3" xfId="41193"/>
    <cellStyle name="Uwaga 3 2 3 10" xfId="41194"/>
    <cellStyle name="Uwaga 3 2 3 11" xfId="41195"/>
    <cellStyle name="Uwaga 3 2 3 12" xfId="41196"/>
    <cellStyle name="Uwaga 3 2 3 13" xfId="41197"/>
    <cellStyle name="Uwaga 3 2 3 14" xfId="41198"/>
    <cellStyle name="Uwaga 3 2 3 15" xfId="41199"/>
    <cellStyle name="Uwaga 3 2 3 16" xfId="41200"/>
    <cellStyle name="Uwaga 3 2 3 17" xfId="41201"/>
    <cellStyle name="Uwaga 3 2 3 18" xfId="41202"/>
    <cellStyle name="Uwaga 3 2 3 19" xfId="41203"/>
    <cellStyle name="Uwaga 3 2 3 2" xfId="41204"/>
    <cellStyle name="Uwaga 3 2 3 3" xfId="41205"/>
    <cellStyle name="Uwaga 3 2 3 4" xfId="41206"/>
    <cellStyle name="Uwaga 3 2 3 5" xfId="41207"/>
    <cellStyle name="Uwaga 3 2 3 6" xfId="41208"/>
    <cellStyle name="Uwaga 3 2 3 7" xfId="41209"/>
    <cellStyle name="Uwaga 3 2 3 8" xfId="41210"/>
    <cellStyle name="Uwaga 3 2 3 9" xfId="41211"/>
    <cellStyle name="Uwaga 3 2 30" xfId="41212"/>
    <cellStyle name="Uwaga 3 2 30 2" xfId="41213"/>
    <cellStyle name="Uwaga 3 2 31" xfId="41214"/>
    <cellStyle name="Uwaga 3 2 31 2" xfId="41215"/>
    <cellStyle name="Uwaga 3 2 32" xfId="41216"/>
    <cellStyle name="Uwaga 3 2 33" xfId="41217"/>
    <cellStyle name="Uwaga 3 2 34" xfId="41218"/>
    <cellStyle name="Uwaga 3 2 35" xfId="41219"/>
    <cellStyle name="Uwaga 3 2 36" xfId="41220"/>
    <cellStyle name="Uwaga 3 2 37" xfId="41221"/>
    <cellStyle name="Uwaga 3 2 38" xfId="41222"/>
    <cellStyle name="Uwaga 3 2 39" xfId="41223"/>
    <cellStyle name="Uwaga 3 2 4" xfId="41224"/>
    <cellStyle name="Uwaga 3 2 4 10" xfId="41225"/>
    <cellStyle name="Uwaga 3 2 4 11" xfId="41226"/>
    <cellStyle name="Uwaga 3 2 4 12" xfId="41227"/>
    <cellStyle name="Uwaga 3 2 4 13" xfId="41228"/>
    <cellStyle name="Uwaga 3 2 4 14" xfId="41229"/>
    <cellStyle name="Uwaga 3 2 4 15" xfId="41230"/>
    <cellStyle name="Uwaga 3 2 4 16" xfId="41231"/>
    <cellStyle name="Uwaga 3 2 4 17" xfId="41232"/>
    <cellStyle name="Uwaga 3 2 4 18" xfId="41233"/>
    <cellStyle name="Uwaga 3 2 4 19" xfId="41234"/>
    <cellStyle name="Uwaga 3 2 4 2" xfId="41235"/>
    <cellStyle name="Uwaga 3 2 4 3" xfId="41236"/>
    <cellStyle name="Uwaga 3 2 4 4" xfId="41237"/>
    <cellStyle name="Uwaga 3 2 4 5" xfId="41238"/>
    <cellStyle name="Uwaga 3 2 4 6" xfId="41239"/>
    <cellStyle name="Uwaga 3 2 4 7" xfId="41240"/>
    <cellStyle name="Uwaga 3 2 4 8" xfId="41241"/>
    <cellStyle name="Uwaga 3 2 4 9" xfId="41242"/>
    <cellStyle name="Uwaga 3 2 40" xfId="41243"/>
    <cellStyle name="Uwaga 3 2 41" xfId="41244"/>
    <cellStyle name="Uwaga 3 2 42" xfId="41245"/>
    <cellStyle name="Uwaga 3 2 43" xfId="41246"/>
    <cellStyle name="Uwaga 3 2 44" xfId="41247"/>
    <cellStyle name="Uwaga 3 2 45" xfId="41248"/>
    <cellStyle name="Uwaga 3 2 46" xfId="41249"/>
    <cellStyle name="Uwaga 3 2 47" xfId="41250"/>
    <cellStyle name="Uwaga 3 2 48" xfId="41251"/>
    <cellStyle name="Uwaga 3 2 49" xfId="41252"/>
    <cellStyle name="Uwaga 3 2 5" xfId="41253"/>
    <cellStyle name="Uwaga 3 2 5 10" xfId="41254"/>
    <cellStyle name="Uwaga 3 2 5 11" xfId="41255"/>
    <cellStyle name="Uwaga 3 2 5 12" xfId="41256"/>
    <cellStyle name="Uwaga 3 2 5 13" xfId="41257"/>
    <cellStyle name="Uwaga 3 2 5 14" xfId="41258"/>
    <cellStyle name="Uwaga 3 2 5 15" xfId="41259"/>
    <cellStyle name="Uwaga 3 2 5 16" xfId="41260"/>
    <cellStyle name="Uwaga 3 2 5 17" xfId="41261"/>
    <cellStyle name="Uwaga 3 2 5 18" xfId="41262"/>
    <cellStyle name="Uwaga 3 2 5 19" xfId="41263"/>
    <cellStyle name="Uwaga 3 2 5 2" xfId="41264"/>
    <cellStyle name="Uwaga 3 2 5 3" xfId="41265"/>
    <cellStyle name="Uwaga 3 2 5 4" xfId="41266"/>
    <cellStyle name="Uwaga 3 2 5 5" xfId="41267"/>
    <cellStyle name="Uwaga 3 2 5 6" xfId="41268"/>
    <cellStyle name="Uwaga 3 2 5 7" xfId="41269"/>
    <cellStyle name="Uwaga 3 2 5 8" xfId="41270"/>
    <cellStyle name="Uwaga 3 2 5 9" xfId="41271"/>
    <cellStyle name="Uwaga 3 2 50" xfId="41272"/>
    <cellStyle name="Uwaga 3 2 51" xfId="41273"/>
    <cellStyle name="Uwaga 3 2 52" xfId="41274"/>
    <cellStyle name="Uwaga 3 2 53" xfId="41275"/>
    <cellStyle name="Uwaga 3 2 54" xfId="41276"/>
    <cellStyle name="Uwaga 3 2 55" xfId="41277"/>
    <cellStyle name="Uwaga 3 2 56" xfId="41278"/>
    <cellStyle name="Uwaga 3 2 57" xfId="41279"/>
    <cellStyle name="Uwaga 3 2 58" xfId="41280"/>
    <cellStyle name="Uwaga 3 2 59" xfId="41281"/>
    <cellStyle name="Uwaga 3 2 6" xfId="41282"/>
    <cellStyle name="Uwaga 3 2 6 2" xfId="41283"/>
    <cellStyle name="Uwaga 3 2 60" xfId="41284"/>
    <cellStyle name="Uwaga 3 2 61" xfId="41285"/>
    <cellStyle name="Uwaga 3 2 62" xfId="41286"/>
    <cellStyle name="Uwaga 3 2 63" xfId="41287"/>
    <cellStyle name="Uwaga 3 2 64" xfId="41288"/>
    <cellStyle name="Uwaga 3 2 65" xfId="41289"/>
    <cellStyle name="Uwaga 3 2 66" xfId="41290"/>
    <cellStyle name="Uwaga 3 2 67" xfId="41291"/>
    <cellStyle name="Uwaga 3 2 68" xfId="41292"/>
    <cellStyle name="Uwaga 3 2 69" xfId="41293"/>
    <cellStyle name="Uwaga 3 2 7" xfId="41294"/>
    <cellStyle name="Uwaga 3 2 7 2" xfId="41295"/>
    <cellStyle name="Uwaga 3 2 70" xfId="41296"/>
    <cellStyle name="Uwaga 3 2 71" xfId="41297"/>
    <cellStyle name="Uwaga 3 2 72" xfId="41298"/>
    <cellStyle name="Uwaga 3 2 73" xfId="41299"/>
    <cellStyle name="Uwaga 3 2 74" xfId="41300"/>
    <cellStyle name="Uwaga 3 2 75" xfId="41301"/>
    <cellStyle name="Uwaga 3 2 8" xfId="41302"/>
    <cellStyle name="Uwaga 3 2 8 2" xfId="41303"/>
    <cellStyle name="Uwaga 3 2 9" xfId="41304"/>
    <cellStyle name="Uwaga 3 2 9 2" xfId="41305"/>
    <cellStyle name="Uwaga 3 20" xfId="41306"/>
    <cellStyle name="Uwaga 3 20 2" xfId="41307"/>
    <cellStyle name="Uwaga 3 21" xfId="41308"/>
    <cellStyle name="Uwaga 3 21 2" xfId="41309"/>
    <cellStyle name="Uwaga 3 22" xfId="41310"/>
    <cellStyle name="Uwaga 3 22 2" xfId="41311"/>
    <cellStyle name="Uwaga 3 23" xfId="41312"/>
    <cellStyle name="Uwaga 3 23 2" xfId="41313"/>
    <cellStyle name="Uwaga 3 24" xfId="41314"/>
    <cellStyle name="Uwaga 3 24 2" xfId="41315"/>
    <cellStyle name="Uwaga 3 25" xfId="41316"/>
    <cellStyle name="Uwaga 3 25 2" xfId="41317"/>
    <cellStyle name="Uwaga 3 26" xfId="41318"/>
    <cellStyle name="Uwaga 3 26 2" xfId="41319"/>
    <cellStyle name="Uwaga 3 27" xfId="41320"/>
    <cellStyle name="Uwaga 3 27 2" xfId="41321"/>
    <cellStyle name="Uwaga 3 28" xfId="41322"/>
    <cellStyle name="Uwaga 3 28 2" xfId="41323"/>
    <cellStyle name="Uwaga 3 29" xfId="41324"/>
    <cellStyle name="Uwaga 3 29 2" xfId="41325"/>
    <cellStyle name="Uwaga 3 3" xfId="41326"/>
    <cellStyle name="Uwaga 3 3 10" xfId="41327"/>
    <cellStyle name="Uwaga 3 3 10 2" xfId="41328"/>
    <cellStyle name="Uwaga 3 3 11" xfId="41329"/>
    <cellStyle name="Uwaga 3 3 11 2" xfId="41330"/>
    <cellStyle name="Uwaga 3 3 12" xfId="41331"/>
    <cellStyle name="Uwaga 3 3 12 2" xfId="41332"/>
    <cellStyle name="Uwaga 3 3 13" xfId="41333"/>
    <cellStyle name="Uwaga 3 3 13 2" xfId="41334"/>
    <cellStyle name="Uwaga 3 3 14" xfId="41335"/>
    <cellStyle name="Uwaga 3 3 14 2" xfId="41336"/>
    <cellStyle name="Uwaga 3 3 15" xfId="41337"/>
    <cellStyle name="Uwaga 3 3 15 2" xfId="41338"/>
    <cellStyle name="Uwaga 3 3 16" xfId="41339"/>
    <cellStyle name="Uwaga 3 3 16 2" xfId="41340"/>
    <cellStyle name="Uwaga 3 3 17" xfId="41341"/>
    <cellStyle name="Uwaga 3 3 17 2" xfId="41342"/>
    <cellStyle name="Uwaga 3 3 18" xfId="41343"/>
    <cellStyle name="Uwaga 3 3 18 2" xfId="41344"/>
    <cellStyle name="Uwaga 3 3 19" xfId="41345"/>
    <cellStyle name="Uwaga 3 3 19 2" xfId="41346"/>
    <cellStyle name="Uwaga 3 3 2" xfId="41347"/>
    <cellStyle name="Uwaga 3 3 2 10" xfId="41348"/>
    <cellStyle name="Uwaga 3 3 2 11" xfId="41349"/>
    <cellStyle name="Uwaga 3 3 2 12" xfId="41350"/>
    <cellStyle name="Uwaga 3 3 2 13" xfId="41351"/>
    <cellStyle name="Uwaga 3 3 2 14" xfId="41352"/>
    <cellStyle name="Uwaga 3 3 2 15" xfId="41353"/>
    <cellStyle name="Uwaga 3 3 2 16" xfId="41354"/>
    <cellStyle name="Uwaga 3 3 2 17" xfId="41355"/>
    <cellStyle name="Uwaga 3 3 2 18" xfId="41356"/>
    <cellStyle name="Uwaga 3 3 2 19" xfId="41357"/>
    <cellStyle name="Uwaga 3 3 2 2" xfId="41358"/>
    <cellStyle name="Uwaga 3 3 2 3" xfId="41359"/>
    <cellStyle name="Uwaga 3 3 2 4" xfId="41360"/>
    <cellStyle name="Uwaga 3 3 2 5" xfId="41361"/>
    <cellStyle name="Uwaga 3 3 2 6" xfId="41362"/>
    <cellStyle name="Uwaga 3 3 2 7" xfId="41363"/>
    <cellStyle name="Uwaga 3 3 2 8" xfId="41364"/>
    <cellStyle name="Uwaga 3 3 2 9" xfId="41365"/>
    <cellStyle name="Uwaga 3 3 20" xfId="41366"/>
    <cellStyle name="Uwaga 3 3 20 2" xfId="41367"/>
    <cellStyle name="Uwaga 3 3 21" xfId="41368"/>
    <cellStyle name="Uwaga 3 3 21 2" xfId="41369"/>
    <cellStyle name="Uwaga 3 3 22" xfId="41370"/>
    <cellStyle name="Uwaga 3 3 22 2" xfId="41371"/>
    <cellStyle name="Uwaga 3 3 23" xfId="41372"/>
    <cellStyle name="Uwaga 3 3 23 2" xfId="41373"/>
    <cellStyle name="Uwaga 3 3 24" xfId="41374"/>
    <cellStyle name="Uwaga 3 3 24 2" xfId="41375"/>
    <cellStyle name="Uwaga 3 3 25" xfId="41376"/>
    <cellStyle name="Uwaga 3 3 25 2" xfId="41377"/>
    <cellStyle name="Uwaga 3 3 26" xfId="41378"/>
    <cellStyle name="Uwaga 3 3 26 2" xfId="41379"/>
    <cellStyle name="Uwaga 3 3 27" xfId="41380"/>
    <cellStyle name="Uwaga 3 3 27 2" xfId="41381"/>
    <cellStyle name="Uwaga 3 3 28" xfId="41382"/>
    <cellStyle name="Uwaga 3 3 28 2" xfId="41383"/>
    <cellStyle name="Uwaga 3 3 29" xfId="41384"/>
    <cellStyle name="Uwaga 3 3 29 2" xfId="41385"/>
    <cellStyle name="Uwaga 3 3 3" xfId="41386"/>
    <cellStyle name="Uwaga 3 3 3 10" xfId="41387"/>
    <cellStyle name="Uwaga 3 3 3 11" xfId="41388"/>
    <cellStyle name="Uwaga 3 3 3 12" xfId="41389"/>
    <cellStyle name="Uwaga 3 3 3 13" xfId="41390"/>
    <cellStyle name="Uwaga 3 3 3 14" xfId="41391"/>
    <cellStyle name="Uwaga 3 3 3 15" xfId="41392"/>
    <cellStyle name="Uwaga 3 3 3 16" xfId="41393"/>
    <cellStyle name="Uwaga 3 3 3 17" xfId="41394"/>
    <cellStyle name="Uwaga 3 3 3 18" xfId="41395"/>
    <cellStyle name="Uwaga 3 3 3 19" xfId="41396"/>
    <cellStyle name="Uwaga 3 3 3 2" xfId="41397"/>
    <cellStyle name="Uwaga 3 3 3 3" xfId="41398"/>
    <cellStyle name="Uwaga 3 3 3 4" xfId="41399"/>
    <cellStyle name="Uwaga 3 3 3 5" xfId="41400"/>
    <cellStyle name="Uwaga 3 3 3 6" xfId="41401"/>
    <cellStyle name="Uwaga 3 3 3 7" xfId="41402"/>
    <cellStyle name="Uwaga 3 3 3 8" xfId="41403"/>
    <cellStyle name="Uwaga 3 3 3 9" xfId="41404"/>
    <cellStyle name="Uwaga 3 3 30" xfId="41405"/>
    <cellStyle name="Uwaga 3 3 30 2" xfId="41406"/>
    <cellStyle name="Uwaga 3 3 31" xfId="41407"/>
    <cellStyle name="Uwaga 3 3 31 2" xfId="41408"/>
    <cellStyle name="Uwaga 3 3 32" xfId="41409"/>
    <cellStyle name="Uwaga 3 3 32 2" xfId="41410"/>
    <cellStyle name="Uwaga 3 3 33" xfId="41411"/>
    <cellStyle name="Uwaga 3 3 33 2" xfId="41412"/>
    <cellStyle name="Uwaga 3 3 34" xfId="41413"/>
    <cellStyle name="Uwaga 3 3 34 2" xfId="41414"/>
    <cellStyle name="Uwaga 3 3 35" xfId="41415"/>
    <cellStyle name="Uwaga 3 3 35 2" xfId="41416"/>
    <cellStyle name="Uwaga 3 3 36" xfId="41417"/>
    <cellStyle name="Uwaga 3 3 36 2" xfId="41418"/>
    <cellStyle name="Uwaga 3 3 37" xfId="41419"/>
    <cellStyle name="Uwaga 3 3 37 2" xfId="41420"/>
    <cellStyle name="Uwaga 3 3 38" xfId="41421"/>
    <cellStyle name="Uwaga 3 3 38 2" xfId="41422"/>
    <cellStyle name="Uwaga 3 3 39" xfId="41423"/>
    <cellStyle name="Uwaga 3 3 39 2" xfId="41424"/>
    <cellStyle name="Uwaga 3 3 4" xfId="41425"/>
    <cellStyle name="Uwaga 3 3 4 10" xfId="41426"/>
    <cellStyle name="Uwaga 3 3 4 11" xfId="41427"/>
    <cellStyle name="Uwaga 3 3 4 12" xfId="41428"/>
    <cellStyle name="Uwaga 3 3 4 13" xfId="41429"/>
    <cellStyle name="Uwaga 3 3 4 14" xfId="41430"/>
    <cellStyle name="Uwaga 3 3 4 15" xfId="41431"/>
    <cellStyle name="Uwaga 3 3 4 16" xfId="41432"/>
    <cellStyle name="Uwaga 3 3 4 17" xfId="41433"/>
    <cellStyle name="Uwaga 3 3 4 18" xfId="41434"/>
    <cellStyle name="Uwaga 3 3 4 19" xfId="41435"/>
    <cellStyle name="Uwaga 3 3 4 2" xfId="41436"/>
    <cellStyle name="Uwaga 3 3 4 3" xfId="41437"/>
    <cellStyle name="Uwaga 3 3 4 4" xfId="41438"/>
    <cellStyle name="Uwaga 3 3 4 5" xfId="41439"/>
    <cellStyle name="Uwaga 3 3 4 6" xfId="41440"/>
    <cellStyle name="Uwaga 3 3 4 7" xfId="41441"/>
    <cellStyle name="Uwaga 3 3 4 8" xfId="41442"/>
    <cellStyle name="Uwaga 3 3 4 9" xfId="41443"/>
    <cellStyle name="Uwaga 3 3 40" xfId="41444"/>
    <cellStyle name="Uwaga 3 3 40 2" xfId="41445"/>
    <cellStyle name="Uwaga 3 3 41" xfId="41446"/>
    <cellStyle name="Uwaga 3 3 41 2" xfId="41447"/>
    <cellStyle name="Uwaga 3 3 42" xfId="41448"/>
    <cellStyle name="Uwaga 3 3 42 2" xfId="41449"/>
    <cellStyle name="Uwaga 3 3 43" xfId="41450"/>
    <cellStyle name="Uwaga 3 3 43 2" xfId="41451"/>
    <cellStyle name="Uwaga 3 3 44" xfId="41452"/>
    <cellStyle name="Uwaga 3 3 45" xfId="41453"/>
    <cellStyle name="Uwaga 3 3 46" xfId="41454"/>
    <cellStyle name="Uwaga 3 3 47" xfId="41455"/>
    <cellStyle name="Uwaga 3 3 48" xfId="41456"/>
    <cellStyle name="Uwaga 3 3 49" xfId="41457"/>
    <cellStyle name="Uwaga 3 3 5" xfId="41458"/>
    <cellStyle name="Uwaga 3 3 5 10" xfId="41459"/>
    <cellStyle name="Uwaga 3 3 5 11" xfId="41460"/>
    <cellStyle name="Uwaga 3 3 5 12" xfId="41461"/>
    <cellStyle name="Uwaga 3 3 5 13" xfId="41462"/>
    <cellStyle name="Uwaga 3 3 5 14" xfId="41463"/>
    <cellStyle name="Uwaga 3 3 5 15" xfId="41464"/>
    <cellStyle name="Uwaga 3 3 5 16" xfId="41465"/>
    <cellStyle name="Uwaga 3 3 5 17" xfId="41466"/>
    <cellStyle name="Uwaga 3 3 5 18" xfId="41467"/>
    <cellStyle name="Uwaga 3 3 5 19" xfId="41468"/>
    <cellStyle name="Uwaga 3 3 5 2" xfId="41469"/>
    <cellStyle name="Uwaga 3 3 5 3" xfId="41470"/>
    <cellStyle name="Uwaga 3 3 5 4" xfId="41471"/>
    <cellStyle name="Uwaga 3 3 5 5" xfId="41472"/>
    <cellStyle name="Uwaga 3 3 5 6" xfId="41473"/>
    <cellStyle name="Uwaga 3 3 5 7" xfId="41474"/>
    <cellStyle name="Uwaga 3 3 5 8" xfId="41475"/>
    <cellStyle name="Uwaga 3 3 5 9" xfId="41476"/>
    <cellStyle name="Uwaga 3 3 50" xfId="41477"/>
    <cellStyle name="Uwaga 3 3 51" xfId="41478"/>
    <cellStyle name="Uwaga 3 3 52" xfId="41479"/>
    <cellStyle name="Uwaga 3 3 53" xfId="41480"/>
    <cellStyle name="Uwaga 3 3 54" xfId="41481"/>
    <cellStyle name="Uwaga 3 3 55" xfId="41482"/>
    <cellStyle name="Uwaga 3 3 56" xfId="41483"/>
    <cellStyle name="Uwaga 3 3 57" xfId="41484"/>
    <cellStyle name="Uwaga 3 3 58" xfId="41485"/>
    <cellStyle name="Uwaga 3 3 59" xfId="41486"/>
    <cellStyle name="Uwaga 3 3 6" xfId="41487"/>
    <cellStyle name="Uwaga 3 3 6 2" xfId="41488"/>
    <cellStyle name="Uwaga 3 3 60" xfId="41489"/>
    <cellStyle name="Uwaga 3 3 61" xfId="41490"/>
    <cellStyle name="Uwaga 3 3 62" xfId="41491"/>
    <cellStyle name="Uwaga 3 3 63" xfId="41492"/>
    <cellStyle name="Uwaga 3 3 64" xfId="41493"/>
    <cellStyle name="Uwaga 3 3 65" xfId="41494"/>
    <cellStyle name="Uwaga 3 3 66" xfId="41495"/>
    <cellStyle name="Uwaga 3 3 67" xfId="41496"/>
    <cellStyle name="Uwaga 3 3 68" xfId="41497"/>
    <cellStyle name="Uwaga 3 3 69" xfId="41498"/>
    <cellStyle name="Uwaga 3 3 7" xfId="41499"/>
    <cellStyle name="Uwaga 3 3 7 2" xfId="41500"/>
    <cellStyle name="Uwaga 3 3 70" xfId="41501"/>
    <cellStyle name="Uwaga 3 3 71" xfId="41502"/>
    <cellStyle name="Uwaga 3 3 72" xfId="41503"/>
    <cellStyle name="Uwaga 3 3 73" xfId="41504"/>
    <cellStyle name="Uwaga 3 3 74" xfId="41505"/>
    <cellStyle name="Uwaga 3 3 75" xfId="41506"/>
    <cellStyle name="Uwaga 3 3 8" xfId="41507"/>
    <cellStyle name="Uwaga 3 3 8 2" xfId="41508"/>
    <cellStyle name="Uwaga 3 3 9" xfId="41509"/>
    <cellStyle name="Uwaga 3 3 9 2" xfId="41510"/>
    <cellStyle name="Uwaga 3 30" xfId="41511"/>
    <cellStyle name="Uwaga 3 30 2" xfId="41512"/>
    <cellStyle name="Uwaga 3 31" xfId="41513"/>
    <cellStyle name="Uwaga 3 31 2" xfId="41514"/>
    <cellStyle name="Uwaga 3 32" xfId="41515"/>
    <cellStyle name="Uwaga 3 32 2" xfId="41516"/>
    <cellStyle name="Uwaga 3 33" xfId="41517"/>
    <cellStyle name="Uwaga 3 33 2" xfId="41518"/>
    <cellStyle name="Uwaga 3 34" xfId="41519"/>
    <cellStyle name="Uwaga 3 34 2" xfId="41520"/>
    <cellStyle name="Uwaga 3 35" xfId="41521"/>
    <cellStyle name="Uwaga 3 35 2" xfId="41522"/>
    <cellStyle name="Uwaga 3 36" xfId="41523"/>
    <cellStyle name="Uwaga 3 36 2" xfId="41524"/>
    <cellStyle name="Uwaga 3 37" xfId="41525"/>
    <cellStyle name="Uwaga 3 37 2" xfId="41526"/>
    <cellStyle name="Uwaga 3 38" xfId="41527"/>
    <cellStyle name="Uwaga 3 38 2" xfId="41528"/>
    <cellStyle name="Uwaga 3 39" xfId="41529"/>
    <cellStyle name="Uwaga 3 39 2" xfId="41530"/>
    <cellStyle name="Uwaga 3 4" xfId="41531"/>
    <cellStyle name="Uwaga 3 4 10" xfId="41532"/>
    <cellStyle name="Uwaga 3 4 10 2" xfId="41533"/>
    <cellStyle name="Uwaga 3 4 11" xfId="41534"/>
    <cellStyle name="Uwaga 3 4 11 2" xfId="41535"/>
    <cellStyle name="Uwaga 3 4 12" xfId="41536"/>
    <cellStyle name="Uwaga 3 4 12 2" xfId="41537"/>
    <cellStyle name="Uwaga 3 4 13" xfId="41538"/>
    <cellStyle name="Uwaga 3 4 13 2" xfId="41539"/>
    <cellStyle name="Uwaga 3 4 14" xfId="41540"/>
    <cellStyle name="Uwaga 3 4 14 2" xfId="41541"/>
    <cellStyle name="Uwaga 3 4 15" xfId="41542"/>
    <cellStyle name="Uwaga 3 4 15 2" xfId="41543"/>
    <cellStyle name="Uwaga 3 4 16" xfId="41544"/>
    <cellStyle name="Uwaga 3 4 16 2" xfId="41545"/>
    <cellStyle name="Uwaga 3 4 17" xfId="41546"/>
    <cellStyle name="Uwaga 3 4 17 2" xfId="41547"/>
    <cellStyle name="Uwaga 3 4 18" xfId="41548"/>
    <cellStyle name="Uwaga 3 4 18 2" xfId="41549"/>
    <cellStyle name="Uwaga 3 4 19" xfId="41550"/>
    <cellStyle name="Uwaga 3 4 19 2" xfId="41551"/>
    <cellStyle name="Uwaga 3 4 2" xfId="41552"/>
    <cellStyle name="Uwaga 3 4 2 10" xfId="41553"/>
    <cellStyle name="Uwaga 3 4 2 11" xfId="41554"/>
    <cellStyle name="Uwaga 3 4 2 12" xfId="41555"/>
    <cellStyle name="Uwaga 3 4 2 13" xfId="41556"/>
    <cellStyle name="Uwaga 3 4 2 14" xfId="41557"/>
    <cellStyle name="Uwaga 3 4 2 15" xfId="41558"/>
    <cellStyle name="Uwaga 3 4 2 16" xfId="41559"/>
    <cellStyle name="Uwaga 3 4 2 17" xfId="41560"/>
    <cellStyle name="Uwaga 3 4 2 18" xfId="41561"/>
    <cellStyle name="Uwaga 3 4 2 19" xfId="41562"/>
    <cellStyle name="Uwaga 3 4 2 2" xfId="41563"/>
    <cellStyle name="Uwaga 3 4 2 3" xfId="41564"/>
    <cellStyle name="Uwaga 3 4 2 4" xfId="41565"/>
    <cellStyle name="Uwaga 3 4 2 5" xfId="41566"/>
    <cellStyle name="Uwaga 3 4 2 6" xfId="41567"/>
    <cellStyle name="Uwaga 3 4 2 7" xfId="41568"/>
    <cellStyle name="Uwaga 3 4 2 8" xfId="41569"/>
    <cellStyle name="Uwaga 3 4 2 9" xfId="41570"/>
    <cellStyle name="Uwaga 3 4 20" xfId="41571"/>
    <cellStyle name="Uwaga 3 4 20 2" xfId="41572"/>
    <cellStyle name="Uwaga 3 4 21" xfId="41573"/>
    <cellStyle name="Uwaga 3 4 21 2" xfId="41574"/>
    <cellStyle name="Uwaga 3 4 22" xfId="41575"/>
    <cellStyle name="Uwaga 3 4 22 2" xfId="41576"/>
    <cellStyle name="Uwaga 3 4 23" xfId="41577"/>
    <cellStyle name="Uwaga 3 4 23 2" xfId="41578"/>
    <cellStyle name="Uwaga 3 4 24" xfId="41579"/>
    <cellStyle name="Uwaga 3 4 24 2" xfId="41580"/>
    <cellStyle name="Uwaga 3 4 25" xfId="41581"/>
    <cellStyle name="Uwaga 3 4 25 2" xfId="41582"/>
    <cellStyle name="Uwaga 3 4 26" xfId="41583"/>
    <cellStyle name="Uwaga 3 4 26 2" xfId="41584"/>
    <cellStyle name="Uwaga 3 4 27" xfId="41585"/>
    <cellStyle name="Uwaga 3 4 27 2" xfId="41586"/>
    <cellStyle name="Uwaga 3 4 28" xfId="41587"/>
    <cellStyle name="Uwaga 3 4 28 2" xfId="41588"/>
    <cellStyle name="Uwaga 3 4 29" xfId="41589"/>
    <cellStyle name="Uwaga 3 4 29 2" xfId="41590"/>
    <cellStyle name="Uwaga 3 4 3" xfId="41591"/>
    <cellStyle name="Uwaga 3 4 3 10" xfId="41592"/>
    <cellStyle name="Uwaga 3 4 3 11" xfId="41593"/>
    <cellStyle name="Uwaga 3 4 3 12" xfId="41594"/>
    <cellStyle name="Uwaga 3 4 3 13" xfId="41595"/>
    <cellStyle name="Uwaga 3 4 3 14" xfId="41596"/>
    <cellStyle name="Uwaga 3 4 3 15" xfId="41597"/>
    <cellStyle name="Uwaga 3 4 3 16" xfId="41598"/>
    <cellStyle name="Uwaga 3 4 3 17" xfId="41599"/>
    <cellStyle name="Uwaga 3 4 3 18" xfId="41600"/>
    <cellStyle name="Uwaga 3 4 3 19" xfId="41601"/>
    <cellStyle name="Uwaga 3 4 3 2" xfId="41602"/>
    <cellStyle name="Uwaga 3 4 3 3" xfId="41603"/>
    <cellStyle name="Uwaga 3 4 3 4" xfId="41604"/>
    <cellStyle name="Uwaga 3 4 3 5" xfId="41605"/>
    <cellStyle name="Uwaga 3 4 3 6" xfId="41606"/>
    <cellStyle name="Uwaga 3 4 3 7" xfId="41607"/>
    <cellStyle name="Uwaga 3 4 3 8" xfId="41608"/>
    <cellStyle name="Uwaga 3 4 3 9" xfId="41609"/>
    <cellStyle name="Uwaga 3 4 30" xfId="41610"/>
    <cellStyle name="Uwaga 3 4 30 2" xfId="41611"/>
    <cellStyle name="Uwaga 3 4 31" xfId="41612"/>
    <cellStyle name="Uwaga 3 4 31 2" xfId="41613"/>
    <cellStyle name="Uwaga 3 4 32" xfId="41614"/>
    <cellStyle name="Uwaga 3 4 32 2" xfId="41615"/>
    <cellStyle name="Uwaga 3 4 33" xfId="41616"/>
    <cellStyle name="Uwaga 3 4 33 2" xfId="41617"/>
    <cellStyle name="Uwaga 3 4 34" xfId="41618"/>
    <cellStyle name="Uwaga 3 4 34 2" xfId="41619"/>
    <cellStyle name="Uwaga 3 4 35" xfId="41620"/>
    <cellStyle name="Uwaga 3 4 35 2" xfId="41621"/>
    <cellStyle name="Uwaga 3 4 36" xfId="41622"/>
    <cellStyle name="Uwaga 3 4 36 2" xfId="41623"/>
    <cellStyle name="Uwaga 3 4 37" xfId="41624"/>
    <cellStyle name="Uwaga 3 4 37 2" xfId="41625"/>
    <cellStyle name="Uwaga 3 4 38" xfId="41626"/>
    <cellStyle name="Uwaga 3 4 38 2" xfId="41627"/>
    <cellStyle name="Uwaga 3 4 39" xfId="41628"/>
    <cellStyle name="Uwaga 3 4 39 2" xfId="41629"/>
    <cellStyle name="Uwaga 3 4 4" xfId="41630"/>
    <cellStyle name="Uwaga 3 4 4 10" xfId="41631"/>
    <cellStyle name="Uwaga 3 4 4 11" xfId="41632"/>
    <cellStyle name="Uwaga 3 4 4 12" xfId="41633"/>
    <cellStyle name="Uwaga 3 4 4 13" xfId="41634"/>
    <cellStyle name="Uwaga 3 4 4 14" xfId="41635"/>
    <cellStyle name="Uwaga 3 4 4 15" xfId="41636"/>
    <cellStyle name="Uwaga 3 4 4 16" xfId="41637"/>
    <cellStyle name="Uwaga 3 4 4 17" xfId="41638"/>
    <cellStyle name="Uwaga 3 4 4 18" xfId="41639"/>
    <cellStyle name="Uwaga 3 4 4 19" xfId="41640"/>
    <cellStyle name="Uwaga 3 4 4 2" xfId="41641"/>
    <cellStyle name="Uwaga 3 4 4 3" xfId="41642"/>
    <cellStyle name="Uwaga 3 4 4 4" xfId="41643"/>
    <cellStyle name="Uwaga 3 4 4 5" xfId="41644"/>
    <cellStyle name="Uwaga 3 4 4 6" xfId="41645"/>
    <cellStyle name="Uwaga 3 4 4 7" xfId="41646"/>
    <cellStyle name="Uwaga 3 4 4 8" xfId="41647"/>
    <cellStyle name="Uwaga 3 4 4 9" xfId="41648"/>
    <cellStyle name="Uwaga 3 4 40" xfId="41649"/>
    <cellStyle name="Uwaga 3 4 40 2" xfId="41650"/>
    <cellStyle name="Uwaga 3 4 41" xfId="41651"/>
    <cellStyle name="Uwaga 3 4 41 2" xfId="41652"/>
    <cellStyle name="Uwaga 3 4 42" xfId="41653"/>
    <cellStyle name="Uwaga 3 4 42 2" xfId="41654"/>
    <cellStyle name="Uwaga 3 4 43" xfId="41655"/>
    <cellStyle name="Uwaga 3 4 43 2" xfId="41656"/>
    <cellStyle name="Uwaga 3 4 44" xfId="41657"/>
    <cellStyle name="Uwaga 3 4 45" xfId="41658"/>
    <cellStyle name="Uwaga 3 4 46" xfId="41659"/>
    <cellStyle name="Uwaga 3 4 47" xfId="41660"/>
    <cellStyle name="Uwaga 3 4 48" xfId="41661"/>
    <cellStyle name="Uwaga 3 4 49" xfId="41662"/>
    <cellStyle name="Uwaga 3 4 5" xfId="41663"/>
    <cellStyle name="Uwaga 3 4 5 10" xfId="41664"/>
    <cellStyle name="Uwaga 3 4 5 11" xfId="41665"/>
    <cellStyle name="Uwaga 3 4 5 12" xfId="41666"/>
    <cellStyle name="Uwaga 3 4 5 13" xfId="41667"/>
    <cellStyle name="Uwaga 3 4 5 14" xfId="41668"/>
    <cellStyle name="Uwaga 3 4 5 15" xfId="41669"/>
    <cellStyle name="Uwaga 3 4 5 16" xfId="41670"/>
    <cellStyle name="Uwaga 3 4 5 17" xfId="41671"/>
    <cellStyle name="Uwaga 3 4 5 18" xfId="41672"/>
    <cellStyle name="Uwaga 3 4 5 19" xfId="41673"/>
    <cellStyle name="Uwaga 3 4 5 2" xfId="41674"/>
    <cellStyle name="Uwaga 3 4 5 3" xfId="41675"/>
    <cellStyle name="Uwaga 3 4 5 4" xfId="41676"/>
    <cellStyle name="Uwaga 3 4 5 5" xfId="41677"/>
    <cellStyle name="Uwaga 3 4 5 6" xfId="41678"/>
    <cellStyle name="Uwaga 3 4 5 7" xfId="41679"/>
    <cellStyle name="Uwaga 3 4 5 8" xfId="41680"/>
    <cellStyle name="Uwaga 3 4 5 9" xfId="41681"/>
    <cellStyle name="Uwaga 3 4 50" xfId="41682"/>
    <cellStyle name="Uwaga 3 4 51" xfId="41683"/>
    <cellStyle name="Uwaga 3 4 52" xfId="41684"/>
    <cellStyle name="Uwaga 3 4 53" xfId="41685"/>
    <cellStyle name="Uwaga 3 4 54" xfId="41686"/>
    <cellStyle name="Uwaga 3 4 55" xfId="41687"/>
    <cellStyle name="Uwaga 3 4 56" xfId="41688"/>
    <cellStyle name="Uwaga 3 4 57" xfId="41689"/>
    <cellStyle name="Uwaga 3 4 58" xfId="41690"/>
    <cellStyle name="Uwaga 3 4 59" xfId="41691"/>
    <cellStyle name="Uwaga 3 4 6" xfId="41692"/>
    <cellStyle name="Uwaga 3 4 6 2" xfId="41693"/>
    <cellStyle name="Uwaga 3 4 60" xfId="41694"/>
    <cellStyle name="Uwaga 3 4 61" xfId="41695"/>
    <cellStyle name="Uwaga 3 4 62" xfId="41696"/>
    <cellStyle name="Uwaga 3 4 63" xfId="41697"/>
    <cellStyle name="Uwaga 3 4 64" xfId="41698"/>
    <cellStyle name="Uwaga 3 4 65" xfId="41699"/>
    <cellStyle name="Uwaga 3 4 66" xfId="41700"/>
    <cellStyle name="Uwaga 3 4 67" xfId="41701"/>
    <cellStyle name="Uwaga 3 4 68" xfId="41702"/>
    <cellStyle name="Uwaga 3 4 69" xfId="41703"/>
    <cellStyle name="Uwaga 3 4 7" xfId="41704"/>
    <cellStyle name="Uwaga 3 4 7 2" xfId="41705"/>
    <cellStyle name="Uwaga 3 4 70" xfId="41706"/>
    <cellStyle name="Uwaga 3 4 71" xfId="41707"/>
    <cellStyle name="Uwaga 3 4 72" xfId="41708"/>
    <cellStyle name="Uwaga 3 4 73" xfId="41709"/>
    <cellStyle name="Uwaga 3 4 74" xfId="41710"/>
    <cellStyle name="Uwaga 3 4 75" xfId="41711"/>
    <cellStyle name="Uwaga 3 4 8" xfId="41712"/>
    <cellStyle name="Uwaga 3 4 8 2" xfId="41713"/>
    <cellStyle name="Uwaga 3 4 9" xfId="41714"/>
    <cellStyle name="Uwaga 3 4 9 2" xfId="41715"/>
    <cellStyle name="Uwaga 3 40" xfId="41716"/>
    <cellStyle name="Uwaga 3 40 2" xfId="41717"/>
    <cellStyle name="Uwaga 3 41" xfId="41718"/>
    <cellStyle name="Uwaga 3 41 2" xfId="41719"/>
    <cellStyle name="Uwaga 3 42" xfId="41720"/>
    <cellStyle name="Uwaga 3 42 2" xfId="41721"/>
    <cellStyle name="Uwaga 3 43" xfId="41722"/>
    <cellStyle name="Uwaga 3 43 2" xfId="41723"/>
    <cellStyle name="Uwaga 3 44" xfId="41724"/>
    <cellStyle name="Uwaga 3 44 2" xfId="41725"/>
    <cellStyle name="Uwaga 3 45" xfId="41726"/>
    <cellStyle name="Uwaga 3 45 2" xfId="41727"/>
    <cellStyle name="Uwaga 3 46" xfId="41728"/>
    <cellStyle name="Uwaga 3 46 2" xfId="41729"/>
    <cellStyle name="Uwaga 3 47" xfId="41730"/>
    <cellStyle name="Uwaga 3 47 2" xfId="41731"/>
    <cellStyle name="Uwaga 3 48" xfId="41732"/>
    <cellStyle name="Uwaga 3 48 2" xfId="41733"/>
    <cellStyle name="Uwaga 3 49" xfId="41734"/>
    <cellStyle name="Uwaga 3 49 2" xfId="41735"/>
    <cellStyle name="Uwaga 3 5" xfId="41736"/>
    <cellStyle name="Uwaga 3 5 10" xfId="41737"/>
    <cellStyle name="Uwaga 3 5 10 2" xfId="41738"/>
    <cellStyle name="Uwaga 3 5 11" xfId="41739"/>
    <cellStyle name="Uwaga 3 5 11 2" xfId="41740"/>
    <cellStyle name="Uwaga 3 5 12" xfId="41741"/>
    <cellStyle name="Uwaga 3 5 12 2" xfId="41742"/>
    <cellStyle name="Uwaga 3 5 13" xfId="41743"/>
    <cellStyle name="Uwaga 3 5 13 2" xfId="41744"/>
    <cellStyle name="Uwaga 3 5 14" xfId="41745"/>
    <cellStyle name="Uwaga 3 5 14 2" xfId="41746"/>
    <cellStyle name="Uwaga 3 5 15" xfId="41747"/>
    <cellStyle name="Uwaga 3 5 15 2" xfId="41748"/>
    <cellStyle name="Uwaga 3 5 16" xfId="41749"/>
    <cellStyle name="Uwaga 3 5 16 2" xfId="41750"/>
    <cellStyle name="Uwaga 3 5 17" xfId="41751"/>
    <cellStyle name="Uwaga 3 5 17 2" xfId="41752"/>
    <cellStyle name="Uwaga 3 5 18" xfId="41753"/>
    <cellStyle name="Uwaga 3 5 18 2" xfId="41754"/>
    <cellStyle name="Uwaga 3 5 19" xfId="41755"/>
    <cellStyle name="Uwaga 3 5 19 2" xfId="41756"/>
    <cellStyle name="Uwaga 3 5 2" xfId="41757"/>
    <cellStyle name="Uwaga 3 5 2 10" xfId="41758"/>
    <cellStyle name="Uwaga 3 5 2 11" xfId="41759"/>
    <cellStyle name="Uwaga 3 5 2 12" xfId="41760"/>
    <cellStyle name="Uwaga 3 5 2 13" xfId="41761"/>
    <cellStyle name="Uwaga 3 5 2 14" xfId="41762"/>
    <cellStyle name="Uwaga 3 5 2 15" xfId="41763"/>
    <cellStyle name="Uwaga 3 5 2 16" xfId="41764"/>
    <cellStyle name="Uwaga 3 5 2 17" xfId="41765"/>
    <cellStyle name="Uwaga 3 5 2 18" xfId="41766"/>
    <cellStyle name="Uwaga 3 5 2 19" xfId="41767"/>
    <cellStyle name="Uwaga 3 5 2 2" xfId="41768"/>
    <cellStyle name="Uwaga 3 5 2 3" xfId="41769"/>
    <cellStyle name="Uwaga 3 5 2 4" xfId="41770"/>
    <cellStyle name="Uwaga 3 5 2 5" xfId="41771"/>
    <cellStyle name="Uwaga 3 5 2 6" xfId="41772"/>
    <cellStyle name="Uwaga 3 5 2 7" xfId="41773"/>
    <cellStyle name="Uwaga 3 5 2 8" xfId="41774"/>
    <cellStyle name="Uwaga 3 5 2 9" xfId="41775"/>
    <cellStyle name="Uwaga 3 5 20" xfId="41776"/>
    <cellStyle name="Uwaga 3 5 20 2" xfId="41777"/>
    <cellStyle name="Uwaga 3 5 21" xfId="41778"/>
    <cellStyle name="Uwaga 3 5 21 2" xfId="41779"/>
    <cellStyle name="Uwaga 3 5 22" xfId="41780"/>
    <cellStyle name="Uwaga 3 5 22 2" xfId="41781"/>
    <cellStyle name="Uwaga 3 5 23" xfId="41782"/>
    <cellStyle name="Uwaga 3 5 23 2" xfId="41783"/>
    <cellStyle name="Uwaga 3 5 24" xfId="41784"/>
    <cellStyle name="Uwaga 3 5 24 2" xfId="41785"/>
    <cellStyle name="Uwaga 3 5 25" xfId="41786"/>
    <cellStyle name="Uwaga 3 5 25 2" xfId="41787"/>
    <cellStyle name="Uwaga 3 5 26" xfId="41788"/>
    <cellStyle name="Uwaga 3 5 26 2" xfId="41789"/>
    <cellStyle name="Uwaga 3 5 27" xfId="41790"/>
    <cellStyle name="Uwaga 3 5 27 2" xfId="41791"/>
    <cellStyle name="Uwaga 3 5 28" xfId="41792"/>
    <cellStyle name="Uwaga 3 5 28 2" xfId="41793"/>
    <cellStyle name="Uwaga 3 5 29" xfId="41794"/>
    <cellStyle name="Uwaga 3 5 29 2" xfId="41795"/>
    <cellStyle name="Uwaga 3 5 3" xfId="41796"/>
    <cellStyle name="Uwaga 3 5 3 10" xfId="41797"/>
    <cellStyle name="Uwaga 3 5 3 11" xfId="41798"/>
    <cellStyle name="Uwaga 3 5 3 12" xfId="41799"/>
    <cellStyle name="Uwaga 3 5 3 13" xfId="41800"/>
    <cellStyle name="Uwaga 3 5 3 14" xfId="41801"/>
    <cellStyle name="Uwaga 3 5 3 15" xfId="41802"/>
    <cellStyle name="Uwaga 3 5 3 16" xfId="41803"/>
    <cellStyle name="Uwaga 3 5 3 17" xfId="41804"/>
    <cellStyle name="Uwaga 3 5 3 18" xfId="41805"/>
    <cellStyle name="Uwaga 3 5 3 19" xfId="41806"/>
    <cellStyle name="Uwaga 3 5 3 2" xfId="41807"/>
    <cellStyle name="Uwaga 3 5 3 3" xfId="41808"/>
    <cellStyle name="Uwaga 3 5 3 4" xfId="41809"/>
    <cellStyle name="Uwaga 3 5 3 5" xfId="41810"/>
    <cellStyle name="Uwaga 3 5 3 6" xfId="41811"/>
    <cellStyle name="Uwaga 3 5 3 7" xfId="41812"/>
    <cellStyle name="Uwaga 3 5 3 8" xfId="41813"/>
    <cellStyle name="Uwaga 3 5 3 9" xfId="41814"/>
    <cellStyle name="Uwaga 3 5 30" xfId="41815"/>
    <cellStyle name="Uwaga 3 5 30 2" xfId="41816"/>
    <cellStyle name="Uwaga 3 5 31" xfId="41817"/>
    <cellStyle name="Uwaga 3 5 31 2" xfId="41818"/>
    <cellStyle name="Uwaga 3 5 32" xfId="41819"/>
    <cellStyle name="Uwaga 3 5 32 2" xfId="41820"/>
    <cellStyle name="Uwaga 3 5 33" xfId="41821"/>
    <cellStyle name="Uwaga 3 5 33 2" xfId="41822"/>
    <cellStyle name="Uwaga 3 5 34" xfId="41823"/>
    <cellStyle name="Uwaga 3 5 34 2" xfId="41824"/>
    <cellStyle name="Uwaga 3 5 35" xfId="41825"/>
    <cellStyle name="Uwaga 3 5 35 2" xfId="41826"/>
    <cellStyle name="Uwaga 3 5 36" xfId="41827"/>
    <cellStyle name="Uwaga 3 5 36 2" xfId="41828"/>
    <cellStyle name="Uwaga 3 5 37" xfId="41829"/>
    <cellStyle name="Uwaga 3 5 37 2" xfId="41830"/>
    <cellStyle name="Uwaga 3 5 38" xfId="41831"/>
    <cellStyle name="Uwaga 3 5 38 2" xfId="41832"/>
    <cellStyle name="Uwaga 3 5 39" xfId="41833"/>
    <cellStyle name="Uwaga 3 5 39 2" xfId="41834"/>
    <cellStyle name="Uwaga 3 5 4" xfId="41835"/>
    <cellStyle name="Uwaga 3 5 4 10" xfId="41836"/>
    <cellStyle name="Uwaga 3 5 4 11" xfId="41837"/>
    <cellStyle name="Uwaga 3 5 4 12" xfId="41838"/>
    <cellStyle name="Uwaga 3 5 4 13" xfId="41839"/>
    <cellStyle name="Uwaga 3 5 4 14" xfId="41840"/>
    <cellStyle name="Uwaga 3 5 4 15" xfId="41841"/>
    <cellStyle name="Uwaga 3 5 4 16" xfId="41842"/>
    <cellStyle name="Uwaga 3 5 4 17" xfId="41843"/>
    <cellStyle name="Uwaga 3 5 4 18" xfId="41844"/>
    <cellStyle name="Uwaga 3 5 4 19" xfId="41845"/>
    <cellStyle name="Uwaga 3 5 4 2" xfId="41846"/>
    <cellStyle name="Uwaga 3 5 4 3" xfId="41847"/>
    <cellStyle name="Uwaga 3 5 4 4" xfId="41848"/>
    <cellStyle name="Uwaga 3 5 4 5" xfId="41849"/>
    <cellStyle name="Uwaga 3 5 4 6" xfId="41850"/>
    <cellStyle name="Uwaga 3 5 4 7" xfId="41851"/>
    <cellStyle name="Uwaga 3 5 4 8" xfId="41852"/>
    <cellStyle name="Uwaga 3 5 4 9" xfId="41853"/>
    <cellStyle name="Uwaga 3 5 40" xfId="41854"/>
    <cellStyle name="Uwaga 3 5 40 2" xfId="41855"/>
    <cellStyle name="Uwaga 3 5 41" xfId="41856"/>
    <cellStyle name="Uwaga 3 5 41 2" xfId="41857"/>
    <cellStyle name="Uwaga 3 5 42" xfId="41858"/>
    <cellStyle name="Uwaga 3 5 42 2" xfId="41859"/>
    <cellStyle name="Uwaga 3 5 43" xfId="41860"/>
    <cellStyle name="Uwaga 3 5 43 2" xfId="41861"/>
    <cellStyle name="Uwaga 3 5 44" xfId="41862"/>
    <cellStyle name="Uwaga 3 5 45" xfId="41863"/>
    <cellStyle name="Uwaga 3 5 46" xfId="41864"/>
    <cellStyle name="Uwaga 3 5 47" xfId="41865"/>
    <cellStyle name="Uwaga 3 5 48" xfId="41866"/>
    <cellStyle name="Uwaga 3 5 49" xfId="41867"/>
    <cellStyle name="Uwaga 3 5 5" xfId="41868"/>
    <cellStyle name="Uwaga 3 5 5 10" xfId="41869"/>
    <cellStyle name="Uwaga 3 5 5 11" xfId="41870"/>
    <cellStyle name="Uwaga 3 5 5 12" xfId="41871"/>
    <cellStyle name="Uwaga 3 5 5 13" xfId="41872"/>
    <cellStyle name="Uwaga 3 5 5 14" xfId="41873"/>
    <cellStyle name="Uwaga 3 5 5 15" xfId="41874"/>
    <cellStyle name="Uwaga 3 5 5 16" xfId="41875"/>
    <cellStyle name="Uwaga 3 5 5 17" xfId="41876"/>
    <cellStyle name="Uwaga 3 5 5 18" xfId="41877"/>
    <cellStyle name="Uwaga 3 5 5 19" xfId="41878"/>
    <cellStyle name="Uwaga 3 5 5 2" xfId="41879"/>
    <cellStyle name="Uwaga 3 5 5 3" xfId="41880"/>
    <cellStyle name="Uwaga 3 5 5 4" xfId="41881"/>
    <cellStyle name="Uwaga 3 5 5 5" xfId="41882"/>
    <cellStyle name="Uwaga 3 5 5 6" xfId="41883"/>
    <cellStyle name="Uwaga 3 5 5 7" xfId="41884"/>
    <cellStyle name="Uwaga 3 5 5 8" xfId="41885"/>
    <cellStyle name="Uwaga 3 5 5 9" xfId="41886"/>
    <cellStyle name="Uwaga 3 5 50" xfId="41887"/>
    <cellStyle name="Uwaga 3 5 51" xfId="41888"/>
    <cellStyle name="Uwaga 3 5 52" xfId="41889"/>
    <cellStyle name="Uwaga 3 5 53" xfId="41890"/>
    <cellStyle name="Uwaga 3 5 54" xfId="41891"/>
    <cellStyle name="Uwaga 3 5 55" xfId="41892"/>
    <cellStyle name="Uwaga 3 5 56" xfId="41893"/>
    <cellStyle name="Uwaga 3 5 57" xfId="41894"/>
    <cellStyle name="Uwaga 3 5 58" xfId="41895"/>
    <cellStyle name="Uwaga 3 5 59" xfId="41896"/>
    <cellStyle name="Uwaga 3 5 6" xfId="41897"/>
    <cellStyle name="Uwaga 3 5 6 2" xfId="41898"/>
    <cellStyle name="Uwaga 3 5 60" xfId="41899"/>
    <cellStyle name="Uwaga 3 5 61" xfId="41900"/>
    <cellStyle name="Uwaga 3 5 62" xfId="41901"/>
    <cellStyle name="Uwaga 3 5 63" xfId="41902"/>
    <cellStyle name="Uwaga 3 5 64" xfId="41903"/>
    <cellStyle name="Uwaga 3 5 65" xfId="41904"/>
    <cellStyle name="Uwaga 3 5 66" xfId="41905"/>
    <cellStyle name="Uwaga 3 5 67" xfId="41906"/>
    <cellStyle name="Uwaga 3 5 68" xfId="41907"/>
    <cellStyle name="Uwaga 3 5 69" xfId="41908"/>
    <cellStyle name="Uwaga 3 5 7" xfId="41909"/>
    <cellStyle name="Uwaga 3 5 7 2" xfId="41910"/>
    <cellStyle name="Uwaga 3 5 70" xfId="41911"/>
    <cellStyle name="Uwaga 3 5 71" xfId="41912"/>
    <cellStyle name="Uwaga 3 5 72" xfId="41913"/>
    <cellStyle name="Uwaga 3 5 73" xfId="41914"/>
    <cellStyle name="Uwaga 3 5 74" xfId="41915"/>
    <cellStyle name="Uwaga 3 5 8" xfId="41916"/>
    <cellStyle name="Uwaga 3 5 8 2" xfId="41917"/>
    <cellStyle name="Uwaga 3 5 9" xfId="41918"/>
    <cellStyle name="Uwaga 3 5 9 2" xfId="41919"/>
    <cellStyle name="Uwaga 3 50" xfId="41920"/>
    <cellStyle name="Uwaga 3 50 2" xfId="41921"/>
    <cellStyle name="Uwaga 3 51" xfId="41922"/>
    <cellStyle name="Uwaga 3 51 2" xfId="41923"/>
    <cellStyle name="Uwaga 3 52" xfId="41924"/>
    <cellStyle name="Uwaga 3 53" xfId="41925"/>
    <cellStyle name="Uwaga 3 54" xfId="41926"/>
    <cellStyle name="Uwaga 3 55" xfId="41927"/>
    <cellStyle name="Uwaga 3 56" xfId="41928"/>
    <cellStyle name="Uwaga 3 57" xfId="41929"/>
    <cellStyle name="Uwaga 3 58" xfId="41930"/>
    <cellStyle name="Uwaga 3 59" xfId="41931"/>
    <cellStyle name="Uwaga 3 6" xfId="41932"/>
    <cellStyle name="Uwaga 3 6 10" xfId="41933"/>
    <cellStyle name="Uwaga 3 6 11" xfId="41934"/>
    <cellStyle name="Uwaga 3 6 12" xfId="41935"/>
    <cellStyle name="Uwaga 3 6 13" xfId="41936"/>
    <cellStyle name="Uwaga 3 6 14" xfId="41937"/>
    <cellStyle name="Uwaga 3 6 15" xfId="41938"/>
    <cellStyle name="Uwaga 3 6 16" xfId="41939"/>
    <cellStyle name="Uwaga 3 6 17" xfId="41940"/>
    <cellStyle name="Uwaga 3 6 18" xfId="41941"/>
    <cellStyle name="Uwaga 3 6 19" xfId="41942"/>
    <cellStyle name="Uwaga 3 6 2" xfId="41943"/>
    <cellStyle name="Uwaga 3 6 3" xfId="41944"/>
    <cellStyle name="Uwaga 3 6 4" xfId="41945"/>
    <cellStyle name="Uwaga 3 6 5" xfId="41946"/>
    <cellStyle name="Uwaga 3 6 6" xfId="41947"/>
    <cellStyle name="Uwaga 3 6 7" xfId="41948"/>
    <cellStyle name="Uwaga 3 6 8" xfId="41949"/>
    <cellStyle name="Uwaga 3 6 9" xfId="41950"/>
    <cellStyle name="Uwaga 3 60" xfId="41951"/>
    <cellStyle name="Uwaga 3 61" xfId="41952"/>
    <cellStyle name="Uwaga 3 62" xfId="41953"/>
    <cellStyle name="Uwaga 3 63" xfId="41954"/>
    <cellStyle name="Uwaga 3 64" xfId="41955"/>
    <cellStyle name="Uwaga 3 65" xfId="41956"/>
    <cellStyle name="Uwaga 3 66" xfId="41957"/>
    <cellStyle name="Uwaga 3 67" xfId="41958"/>
    <cellStyle name="Uwaga 3 68" xfId="41959"/>
    <cellStyle name="Uwaga 3 69" xfId="41960"/>
    <cellStyle name="Uwaga 3 7" xfId="41961"/>
    <cellStyle name="Uwaga 3 7 10" xfId="41962"/>
    <cellStyle name="Uwaga 3 7 11" xfId="41963"/>
    <cellStyle name="Uwaga 3 7 12" xfId="41964"/>
    <cellStyle name="Uwaga 3 7 13" xfId="41965"/>
    <cellStyle name="Uwaga 3 7 14" xfId="41966"/>
    <cellStyle name="Uwaga 3 7 15" xfId="41967"/>
    <cellStyle name="Uwaga 3 7 16" xfId="41968"/>
    <cellStyle name="Uwaga 3 7 17" xfId="41969"/>
    <cellStyle name="Uwaga 3 7 18" xfId="41970"/>
    <cellStyle name="Uwaga 3 7 19" xfId="41971"/>
    <cellStyle name="Uwaga 3 7 2" xfId="41972"/>
    <cellStyle name="Uwaga 3 7 3" xfId="41973"/>
    <cellStyle name="Uwaga 3 7 4" xfId="41974"/>
    <cellStyle name="Uwaga 3 7 5" xfId="41975"/>
    <cellStyle name="Uwaga 3 7 6" xfId="41976"/>
    <cellStyle name="Uwaga 3 7 7" xfId="41977"/>
    <cellStyle name="Uwaga 3 7 8" xfId="41978"/>
    <cellStyle name="Uwaga 3 7 9" xfId="41979"/>
    <cellStyle name="Uwaga 3 70" xfId="41980"/>
    <cellStyle name="Uwaga 3 71" xfId="41981"/>
    <cellStyle name="Uwaga 3 72" xfId="41982"/>
    <cellStyle name="Uwaga 3 73" xfId="41983"/>
    <cellStyle name="Uwaga 3 74" xfId="41984"/>
    <cellStyle name="Uwaga 3 75" xfId="41985"/>
    <cellStyle name="Uwaga 3 76" xfId="41986"/>
    <cellStyle name="Uwaga 3 77" xfId="41987"/>
    <cellStyle name="Uwaga 3 78" xfId="41988"/>
    <cellStyle name="Uwaga 3 79" xfId="41989"/>
    <cellStyle name="Uwaga 3 8" xfId="41990"/>
    <cellStyle name="Uwaga 3 8 10" xfId="41991"/>
    <cellStyle name="Uwaga 3 8 11" xfId="41992"/>
    <cellStyle name="Uwaga 3 8 12" xfId="41993"/>
    <cellStyle name="Uwaga 3 8 13" xfId="41994"/>
    <cellStyle name="Uwaga 3 8 14" xfId="41995"/>
    <cellStyle name="Uwaga 3 8 15" xfId="41996"/>
    <cellStyle name="Uwaga 3 8 16" xfId="41997"/>
    <cellStyle name="Uwaga 3 8 17" xfId="41998"/>
    <cellStyle name="Uwaga 3 8 18" xfId="41999"/>
    <cellStyle name="Uwaga 3 8 19" xfId="42000"/>
    <cellStyle name="Uwaga 3 8 2" xfId="42001"/>
    <cellStyle name="Uwaga 3 8 3" xfId="42002"/>
    <cellStyle name="Uwaga 3 8 4" xfId="42003"/>
    <cellStyle name="Uwaga 3 8 5" xfId="42004"/>
    <cellStyle name="Uwaga 3 8 6" xfId="42005"/>
    <cellStyle name="Uwaga 3 8 7" xfId="42006"/>
    <cellStyle name="Uwaga 3 8 8" xfId="42007"/>
    <cellStyle name="Uwaga 3 8 9" xfId="42008"/>
    <cellStyle name="Uwaga 3 9" xfId="42009"/>
    <cellStyle name="Uwaga 3 9 10" xfId="42010"/>
    <cellStyle name="Uwaga 3 9 11" xfId="42011"/>
    <cellStyle name="Uwaga 3 9 12" xfId="42012"/>
    <cellStyle name="Uwaga 3 9 13" xfId="42013"/>
    <cellStyle name="Uwaga 3 9 14" xfId="42014"/>
    <cellStyle name="Uwaga 3 9 15" xfId="42015"/>
    <cellStyle name="Uwaga 3 9 16" xfId="42016"/>
    <cellStyle name="Uwaga 3 9 17" xfId="42017"/>
    <cellStyle name="Uwaga 3 9 18" xfId="42018"/>
    <cellStyle name="Uwaga 3 9 19" xfId="42019"/>
    <cellStyle name="Uwaga 3 9 2" xfId="42020"/>
    <cellStyle name="Uwaga 3 9 3" xfId="42021"/>
    <cellStyle name="Uwaga 3 9 4" xfId="42022"/>
    <cellStyle name="Uwaga 3 9 5" xfId="42023"/>
    <cellStyle name="Uwaga 3 9 6" xfId="42024"/>
    <cellStyle name="Uwaga 3 9 7" xfId="42025"/>
    <cellStyle name="Uwaga 3 9 8" xfId="42026"/>
    <cellStyle name="Uwaga 3 9 9" xfId="42027"/>
    <cellStyle name="Uwaga 30" xfId="42028"/>
    <cellStyle name="Uwaga 31" xfId="42029"/>
    <cellStyle name="Uwaga 32" xfId="42030"/>
    <cellStyle name="Uwaga 33" xfId="42031"/>
    <cellStyle name="Uwaga 33 2" xfId="42032"/>
    <cellStyle name="Uwaga 34" xfId="42033"/>
    <cellStyle name="Uwaga 34 2" xfId="42034"/>
    <cellStyle name="Uwaga 35" xfId="42035"/>
    <cellStyle name="Uwaga 35 2" xfId="42036"/>
    <cellStyle name="Uwaga 36" xfId="42037"/>
    <cellStyle name="Uwaga 36 2" xfId="42038"/>
    <cellStyle name="Uwaga 37" xfId="42039"/>
    <cellStyle name="Uwaga 37 2" xfId="42040"/>
    <cellStyle name="Uwaga 38" xfId="42041"/>
    <cellStyle name="Uwaga 38 2" xfId="42042"/>
    <cellStyle name="Uwaga 39" xfId="42043"/>
    <cellStyle name="Uwaga 39 2" xfId="42044"/>
    <cellStyle name="Uwaga 4" xfId="42045"/>
    <cellStyle name="Uwaga 4 10" xfId="42046"/>
    <cellStyle name="Uwaga 4 11" xfId="42047"/>
    <cellStyle name="Uwaga 4 12" xfId="42048"/>
    <cellStyle name="Uwaga 4 13" xfId="42049"/>
    <cellStyle name="Uwaga 4 14" xfId="42050"/>
    <cellStyle name="Uwaga 4 15" xfId="42051"/>
    <cellStyle name="Uwaga 4 16" xfId="42052"/>
    <cellStyle name="Uwaga 4 17" xfId="42053"/>
    <cellStyle name="Uwaga 4 18" xfId="42054"/>
    <cellStyle name="Uwaga 4 19" xfId="42055"/>
    <cellStyle name="Uwaga 4 2" xfId="42056"/>
    <cellStyle name="Uwaga 4 2 2" xfId="42057"/>
    <cellStyle name="Uwaga 4 20" xfId="42058"/>
    <cellStyle name="Uwaga 4 21" xfId="42059"/>
    <cellStyle name="Uwaga 4 22" xfId="42060"/>
    <cellStyle name="Uwaga 4 23" xfId="42061"/>
    <cellStyle name="Uwaga 4 3" xfId="42062"/>
    <cellStyle name="Uwaga 4 3 2" xfId="42063"/>
    <cellStyle name="Uwaga 4 4" xfId="42064"/>
    <cellStyle name="Uwaga 4 4 2" xfId="42065"/>
    <cellStyle name="Uwaga 4 5" xfId="42066"/>
    <cellStyle name="Uwaga 4 6" xfId="42067"/>
    <cellStyle name="Uwaga 4 7" xfId="42068"/>
    <cellStyle name="Uwaga 4 8" xfId="42069"/>
    <cellStyle name="Uwaga 4 9" xfId="42070"/>
    <cellStyle name="Uwaga 40" xfId="42071"/>
    <cellStyle name="Uwaga 40 2" xfId="42072"/>
    <cellStyle name="Uwaga 41" xfId="42073"/>
    <cellStyle name="Uwaga 41 2" xfId="42074"/>
    <cellStyle name="Uwaga 42" xfId="42075"/>
    <cellStyle name="Uwaga 42 2" xfId="42076"/>
    <cellStyle name="Uwaga 43" xfId="42077"/>
    <cellStyle name="Uwaga 43 2" xfId="42078"/>
    <cellStyle name="Uwaga 44" xfId="42079"/>
    <cellStyle name="Uwaga 44 2" xfId="42080"/>
    <cellStyle name="Uwaga 45" xfId="42081"/>
    <cellStyle name="Uwaga 45 2" xfId="42082"/>
    <cellStyle name="Uwaga 46" xfId="42083"/>
    <cellStyle name="Uwaga 46 2" xfId="42084"/>
    <cellStyle name="Uwaga 47" xfId="42085"/>
    <cellStyle name="Uwaga 47 2" xfId="42086"/>
    <cellStyle name="Uwaga 48" xfId="42087"/>
    <cellStyle name="Uwaga 48 2" xfId="42088"/>
    <cellStyle name="Uwaga 49" xfId="42089"/>
    <cellStyle name="Uwaga 49 2" xfId="42090"/>
    <cellStyle name="Uwaga 5" xfId="42091"/>
    <cellStyle name="Uwaga 5 2" xfId="42092"/>
    <cellStyle name="Uwaga 5 3" xfId="42093"/>
    <cellStyle name="Uwaga 5 4" xfId="42094"/>
    <cellStyle name="Uwaga 50" xfId="42095"/>
    <cellStyle name="Uwaga 50 2" xfId="42096"/>
    <cellStyle name="Uwaga 51" xfId="42097"/>
    <cellStyle name="Uwaga 51 2" xfId="42098"/>
    <cellStyle name="Uwaga 52" xfId="42099"/>
    <cellStyle name="Uwaga 52 2" xfId="42100"/>
    <cellStyle name="Uwaga 53" xfId="42101"/>
    <cellStyle name="Uwaga 53 2" xfId="42102"/>
    <cellStyle name="Uwaga 54" xfId="42103"/>
    <cellStyle name="Uwaga 54 2" xfId="42104"/>
    <cellStyle name="Uwaga 55" xfId="42105"/>
    <cellStyle name="Uwaga 55 2" xfId="42106"/>
    <cellStyle name="Uwaga 56" xfId="42107"/>
    <cellStyle name="Uwaga 56 2" xfId="42108"/>
    <cellStyle name="Uwaga 57" xfId="42109"/>
    <cellStyle name="Uwaga 57 2" xfId="42110"/>
    <cellStyle name="Uwaga 58" xfId="42111"/>
    <cellStyle name="Uwaga 58 2" xfId="42112"/>
    <cellStyle name="Uwaga 59" xfId="42113"/>
    <cellStyle name="Uwaga 59 2" xfId="42114"/>
    <cellStyle name="Uwaga 6" xfId="42115"/>
    <cellStyle name="Uwaga 6 2" xfId="42116"/>
    <cellStyle name="Uwaga 6 3" xfId="42117"/>
    <cellStyle name="Uwaga 6 4" xfId="42118"/>
    <cellStyle name="Uwaga 60" xfId="42119"/>
    <cellStyle name="Uwaga 60 2" xfId="42120"/>
    <cellStyle name="Uwaga 61" xfId="42121"/>
    <cellStyle name="Uwaga 61 2" xfId="42122"/>
    <cellStyle name="Uwaga 62" xfId="42123"/>
    <cellStyle name="Uwaga 62 2" xfId="42124"/>
    <cellStyle name="Uwaga 63" xfId="42125"/>
    <cellStyle name="Uwaga 63 2" xfId="42126"/>
    <cellStyle name="Uwaga 64" xfId="42127"/>
    <cellStyle name="Uwaga 64 2" xfId="42128"/>
    <cellStyle name="Uwaga 65" xfId="42129"/>
    <cellStyle name="Uwaga 65 2" xfId="42130"/>
    <cellStyle name="Uwaga 66" xfId="42131"/>
    <cellStyle name="Uwaga 66 2" xfId="42132"/>
    <cellStyle name="Uwaga 67" xfId="42133"/>
    <cellStyle name="Uwaga 67 2" xfId="42134"/>
    <cellStyle name="Uwaga 68" xfId="42135"/>
    <cellStyle name="Uwaga 68 2" xfId="42136"/>
    <cellStyle name="Uwaga 69" xfId="42137"/>
    <cellStyle name="Uwaga 69 2" xfId="42138"/>
    <cellStyle name="Uwaga 7" xfId="42139"/>
    <cellStyle name="Uwaga 7 2" xfId="42140"/>
    <cellStyle name="Uwaga 7 3" xfId="42141"/>
    <cellStyle name="Uwaga 7 4" xfId="42142"/>
    <cellStyle name="Uwaga 70" xfId="42143"/>
    <cellStyle name="Uwaga 70 2" xfId="42144"/>
    <cellStyle name="Uwaga 71" xfId="42145"/>
    <cellStyle name="Uwaga 71 2" xfId="42146"/>
    <cellStyle name="Uwaga 72" xfId="42147"/>
    <cellStyle name="Uwaga 72 2" xfId="42148"/>
    <cellStyle name="Uwaga 73" xfId="42149"/>
    <cellStyle name="Uwaga 73 2" xfId="42150"/>
    <cellStyle name="Uwaga 74" xfId="42151"/>
    <cellStyle name="Uwaga 74 2" xfId="42152"/>
    <cellStyle name="Uwaga 75" xfId="42153"/>
    <cellStyle name="Uwaga 75 2" xfId="42154"/>
    <cellStyle name="Uwaga 76" xfId="42155"/>
    <cellStyle name="Uwaga 76 2" xfId="42156"/>
    <cellStyle name="Uwaga 77" xfId="42157"/>
    <cellStyle name="Uwaga 77 2" xfId="42158"/>
    <cellStyle name="Uwaga 78" xfId="42159"/>
    <cellStyle name="Uwaga 78 2" xfId="42160"/>
    <cellStyle name="Uwaga 79" xfId="42161"/>
    <cellStyle name="Uwaga 79 2" xfId="42162"/>
    <cellStyle name="Uwaga 8" xfId="42163"/>
    <cellStyle name="Uwaga 8 2" xfId="42164"/>
    <cellStyle name="Uwaga 8 3" xfId="42165"/>
    <cellStyle name="Uwaga 80" xfId="42166"/>
    <cellStyle name="Uwaga 80 2" xfId="42167"/>
    <cellStyle name="Uwaga 81" xfId="42168"/>
    <cellStyle name="Uwaga 81 2" xfId="42169"/>
    <cellStyle name="Uwaga 82" xfId="42170"/>
    <cellStyle name="Uwaga 82 2" xfId="42171"/>
    <cellStyle name="Uwaga 83" xfId="42172"/>
    <cellStyle name="Uwaga 83 2" xfId="42173"/>
    <cellStyle name="Uwaga 84" xfId="42174"/>
    <cellStyle name="Uwaga 84 2" xfId="42175"/>
    <cellStyle name="Uwaga 85" xfId="42176"/>
    <cellStyle name="Uwaga 85 2" xfId="42177"/>
    <cellStyle name="Uwaga 86" xfId="42178"/>
    <cellStyle name="Uwaga 86 2" xfId="42179"/>
    <cellStyle name="Uwaga 87" xfId="42180"/>
    <cellStyle name="Uwaga 87 2" xfId="42181"/>
    <cellStyle name="Uwaga 88" xfId="42182"/>
    <cellStyle name="Uwaga 88 2" xfId="42183"/>
    <cellStyle name="Uwaga 89" xfId="42184"/>
    <cellStyle name="Uwaga 89 2" xfId="42185"/>
    <cellStyle name="Uwaga 9" xfId="42186"/>
    <cellStyle name="Uwaga 90" xfId="42187"/>
    <cellStyle name="Uwaga 90 2" xfId="42188"/>
    <cellStyle name="Uwaga 91" xfId="42189"/>
    <cellStyle name="Uwaga 91 2" xfId="42190"/>
    <cellStyle name="Uwaga 92" xfId="42191"/>
    <cellStyle name="Uwaga 92 2" xfId="42192"/>
    <cellStyle name="Uwaga 93" xfId="42193"/>
    <cellStyle name="Uwaga 93 2" xfId="42194"/>
    <cellStyle name="Uwaga 94" xfId="42195"/>
    <cellStyle name="Uwaga 94 2" xfId="42196"/>
    <cellStyle name="Uwaga 95" xfId="42197"/>
    <cellStyle name="Uwaga 95 2" xfId="42198"/>
    <cellStyle name="Uwaga 96" xfId="42199"/>
    <cellStyle name="Uwaga 96 2" xfId="42200"/>
    <cellStyle name="Uwaga 97" xfId="42201"/>
    <cellStyle name="Uwaga 97 2" xfId="42202"/>
    <cellStyle name="Uwaga 98" xfId="42203"/>
    <cellStyle name="Uwaga 98 2" xfId="42204"/>
    <cellStyle name="Uwaga 99" xfId="42205"/>
    <cellStyle name="Uwaga 99 2" xfId="42206"/>
    <cellStyle name="Valuta - Style2" xfId="42207"/>
    <cellStyle name="Valuta (0)" xfId="42208"/>
    <cellStyle name="Valuta_Ark1" xfId="42209"/>
    <cellStyle name="Währung [0]_Bal sheet - Liab. IHSW" xfId="42210"/>
    <cellStyle name="Währung_Bal sheet - Liab. IHSW" xfId="42211"/>
    <cellStyle name="Walutowy 2" xfId="42212"/>
    <cellStyle name="Walutowy 2 10" xfId="42213"/>
    <cellStyle name="Walutowy 2 11" xfId="42214"/>
    <cellStyle name="Walutowy 2 12" xfId="42215"/>
    <cellStyle name="Walutowy 2 13" xfId="42216"/>
    <cellStyle name="Walutowy 2 14" xfId="42217"/>
    <cellStyle name="Walutowy 2 15" xfId="42218"/>
    <cellStyle name="Walutowy 2 16" xfId="42219"/>
    <cellStyle name="Walutowy 2 17" xfId="42220"/>
    <cellStyle name="Walutowy 2 18" xfId="42221"/>
    <cellStyle name="Walutowy 2 2" xfId="42222"/>
    <cellStyle name="Walutowy 2 2 2" xfId="42223"/>
    <cellStyle name="Walutowy 2 2 3" xfId="42224"/>
    <cellStyle name="Walutowy 2 2 4" xfId="42225"/>
    <cellStyle name="Walutowy 2 2 5" xfId="42226"/>
    <cellStyle name="Walutowy 2 2 6" xfId="42227"/>
    <cellStyle name="Walutowy 2 2 7" xfId="42228"/>
    <cellStyle name="Walutowy 2 3" xfId="42229"/>
    <cellStyle name="Walutowy 2 3 2" xfId="42230"/>
    <cellStyle name="Walutowy 2 3 3" xfId="42231"/>
    <cellStyle name="Walutowy 2 3 4" xfId="42232"/>
    <cellStyle name="Walutowy 2 4" xfId="42233"/>
    <cellStyle name="Walutowy 2 5" xfId="42234"/>
    <cellStyle name="Walutowy 2 6" xfId="42235"/>
    <cellStyle name="Walutowy 2 7" xfId="42236"/>
    <cellStyle name="Walutowy 2 8" xfId="42237"/>
    <cellStyle name="Walutowy 2 9" xfId="42238"/>
    <cellStyle name="Walutowy 3" xfId="42239"/>
    <cellStyle name="Walutowy 3 10" xfId="42240"/>
    <cellStyle name="Walutowy 3 11" xfId="42241"/>
    <cellStyle name="Walutowy 3 12" xfId="42242"/>
    <cellStyle name="Walutowy 3 13" xfId="42243"/>
    <cellStyle name="Walutowy 3 14" xfId="42244"/>
    <cellStyle name="Walutowy 3 15" xfId="42245"/>
    <cellStyle name="Walutowy 3 16" xfId="42246"/>
    <cellStyle name="Walutowy 3 17" xfId="42247"/>
    <cellStyle name="Walutowy 3 18" xfId="42248"/>
    <cellStyle name="Walutowy 3 19" xfId="42249"/>
    <cellStyle name="Walutowy 3 2" xfId="42250"/>
    <cellStyle name="Walutowy 3 20" xfId="42251"/>
    <cellStyle name="Walutowy 3 3" xfId="42252"/>
    <cellStyle name="Walutowy 3 4" xfId="42253"/>
    <cellStyle name="Walutowy 3 5" xfId="42254"/>
    <cellStyle name="Walutowy 3 6" xfId="42255"/>
    <cellStyle name="Walutowy 3 7" xfId="42256"/>
    <cellStyle name="Walutowy 3 8" xfId="42257"/>
    <cellStyle name="Walutowy 3 9" xfId="42258"/>
    <cellStyle name="Walutowy 4" xfId="42259"/>
    <cellStyle name="Walutowy 5" xfId="42260"/>
    <cellStyle name="Złe 2" xfId="42261"/>
    <cellStyle name="Złe 2 10" xfId="42262"/>
    <cellStyle name="Złe 2 10 10" xfId="42263"/>
    <cellStyle name="Złe 2 10 11" xfId="42264"/>
    <cellStyle name="Złe 2 10 12" xfId="42265"/>
    <cellStyle name="Złe 2 10 13" xfId="42266"/>
    <cellStyle name="Złe 2 10 14" xfId="42267"/>
    <cellStyle name="Złe 2 10 15" xfId="42268"/>
    <cellStyle name="Złe 2 10 16" xfId="42269"/>
    <cellStyle name="Złe 2 10 17" xfId="42270"/>
    <cellStyle name="Złe 2 10 18" xfId="42271"/>
    <cellStyle name="Złe 2 10 19" xfId="42272"/>
    <cellStyle name="Złe 2 10 2" xfId="42273"/>
    <cellStyle name="Złe 2 10 3" xfId="42274"/>
    <cellStyle name="Złe 2 10 4" xfId="42275"/>
    <cellStyle name="Złe 2 10 5" xfId="42276"/>
    <cellStyle name="Złe 2 10 6" xfId="42277"/>
    <cellStyle name="Złe 2 10 7" xfId="42278"/>
    <cellStyle name="Złe 2 10 8" xfId="42279"/>
    <cellStyle name="Złe 2 10 9" xfId="42280"/>
    <cellStyle name="Złe 2 11" xfId="42281"/>
    <cellStyle name="Złe 2 11 10" xfId="42282"/>
    <cellStyle name="Złe 2 11 11" xfId="42283"/>
    <cellStyle name="Złe 2 11 12" xfId="42284"/>
    <cellStyle name="Złe 2 11 13" xfId="42285"/>
    <cellStyle name="Złe 2 11 14" xfId="42286"/>
    <cellStyle name="Złe 2 11 15" xfId="42287"/>
    <cellStyle name="Złe 2 11 16" xfId="42288"/>
    <cellStyle name="Złe 2 11 17" xfId="42289"/>
    <cellStyle name="Złe 2 11 18" xfId="42290"/>
    <cellStyle name="Złe 2 11 19" xfId="42291"/>
    <cellStyle name="Złe 2 11 2" xfId="42292"/>
    <cellStyle name="Złe 2 11 3" xfId="42293"/>
    <cellStyle name="Złe 2 11 4" xfId="42294"/>
    <cellStyle name="Złe 2 11 5" xfId="42295"/>
    <cellStyle name="Złe 2 11 6" xfId="42296"/>
    <cellStyle name="Złe 2 11 7" xfId="42297"/>
    <cellStyle name="Złe 2 11 8" xfId="42298"/>
    <cellStyle name="Złe 2 11 9" xfId="42299"/>
    <cellStyle name="Złe 2 12" xfId="42300"/>
    <cellStyle name="Złe 2 12 10" xfId="42301"/>
    <cellStyle name="Złe 2 12 11" xfId="42302"/>
    <cellStyle name="Złe 2 12 12" xfId="42303"/>
    <cellStyle name="Złe 2 12 13" xfId="42304"/>
    <cellStyle name="Złe 2 12 14" xfId="42305"/>
    <cellStyle name="Złe 2 12 15" xfId="42306"/>
    <cellStyle name="Złe 2 12 16" xfId="42307"/>
    <cellStyle name="Złe 2 12 17" xfId="42308"/>
    <cellStyle name="Złe 2 12 18" xfId="42309"/>
    <cellStyle name="Złe 2 12 19" xfId="42310"/>
    <cellStyle name="Złe 2 12 2" xfId="42311"/>
    <cellStyle name="Złe 2 12 3" xfId="42312"/>
    <cellStyle name="Złe 2 12 4" xfId="42313"/>
    <cellStyle name="Złe 2 12 5" xfId="42314"/>
    <cellStyle name="Złe 2 12 6" xfId="42315"/>
    <cellStyle name="Złe 2 12 7" xfId="42316"/>
    <cellStyle name="Złe 2 12 8" xfId="42317"/>
    <cellStyle name="Złe 2 12 9" xfId="42318"/>
    <cellStyle name="Złe 2 13" xfId="42319"/>
    <cellStyle name="Złe 2 13 10" xfId="42320"/>
    <cellStyle name="Złe 2 13 11" xfId="42321"/>
    <cellStyle name="Złe 2 13 12" xfId="42322"/>
    <cellStyle name="Złe 2 13 13" xfId="42323"/>
    <cellStyle name="Złe 2 13 14" xfId="42324"/>
    <cellStyle name="Złe 2 13 15" xfId="42325"/>
    <cellStyle name="Złe 2 13 16" xfId="42326"/>
    <cellStyle name="Złe 2 13 17" xfId="42327"/>
    <cellStyle name="Złe 2 13 18" xfId="42328"/>
    <cellStyle name="Złe 2 13 19" xfId="42329"/>
    <cellStyle name="Złe 2 13 2" xfId="42330"/>
    <cellStyle name="Złe 2 13 3" xfId="42331"/>
    <cellStyle name="Złe 2 13 4" xfId="42332"/>
    <cellStyle name="Złe 2 13 5" xfId="42333"/>
    <cellStyle name="Złe 2 13 6" xfId="42334"/>
    <cellStyle name="Złe 2 13 7" xfId="42335"/>
    <cellStyle name="Złe 2 13 8" xfId="42336"/>
    <cellStyle name="Złe 2 13 9" xfId="42337"/>
    <cellStyle name="Złe 2 14" xfId="42338"/>
    <cellStyle name="Złe 2 14 10" xfId="42339"/>
    <cellStyle name="Złe 2 14 11" xfId="42340"/>
    <cellStyle name="Złe 2 14 12" xfId="42341"/>
    <cellStyle name="Złe 2 14 13" xfId="42342"/>
    <cellStyle name="Złe 2 14 14" xfId="42343"/>
    <cellStyle name="Złe 2 14 15" xfId="42344"/>
    <cellStyle name="Złe 2 14 16" xfId="42345"/>
    <cellStyle name="Złe 2 14 17" xfId="42346"/>
    <cellStyle name="Złe 2 14 18" xfId="42347"/>
    <cellStyle name="Złe 2 14 19" xfId="42348"/>
    <cellStyle name="Złe 2 14 2" xfId="42349"/>
    <cellStyle name="Złe 2 14 3" xfId="42350"/>
    <cellStyle name="Złe 2 14 4" xfId="42351"/>
    <cellStyle name="Złe 2 14 5" xfId="42352"/>
    <cellStyle name="Złe 2 14 6" xfId="42353"/>
    <cellStyle name="Złe 2 14 7" xfId="42354"/>
    <cellStyle name="Złe 2 14 8" xfId="42355"/>
    <cellStyle name="Złe 2 14 9" xfId="42356"/>
    <cellStyle name="Złe 2 15" xfId="42357"/>
    <cellStyle name="Złe 2 15 10" xfId="42358"/>
    <cellStyle name="Złe 2 15 11" xfId="42359"/>
    <cellStyle name="Złe 2 15 12" xfId="42360"/>
    <cellStyle name="Złe 2 15 13" xfId="42361"/>
    <cellStyle name="Złe 2 15 14" xfId="42362"/>
    <cellStyle name="Złe 2 15 15" xfId="42363"/>
    <cellStyle name="Złe 2 15 16" xfId="42364"/>
    <cellStyle name="Złe 2 15 17" xfId="42365"/>
    <cellStyle name="Złe 2 15 18" xfId="42366"/>
    <cellStyle name="Złe 2 15 19" xfId="42367"/>
    <cellStyle name="Złe 2 15 2" xfId="42368"/>
    <cellStyle name="Złe 2 15 3" xfId="42369"/>
    <cellStyle name="Złe 2 15 4" xfId="42370"/>
    <cellStyle name="Złe 2 15 5" xfId="42371"/>
    <cellStyle name="Złe 2 15 6" xfId="42372"/>
    <cellStyle name="Złe 2 15 7" xfId="42373"/>
    <cellStyle name="Złe 2 15 8" xfId="42374"/>
    <cellStyle name="Złe 2 15 9" xfId="42375"/>
    <cellStyle name="Złe 2 16" xfId="42376"/>
    <cellStyle name="Złe 2 16 10" xfId="42377"/>
    <cellStyle name="Złe 2 16 11" xfId="42378"/>
    <cellStyle name="Złe 2 16 12" xfId="42379"/>
    <cellStyle name="Złe 2 16 13" xfId="42380"/>
    <cellStyle name="Złe 2 16 14" xfId="42381"/>
    <cellStyle name="Złe 2 16 15" xfId="42382"/>
    <cellStyle name="Złe 2 16 16" xfId="42383"/>
    <cellStyle name="Złe 2 16 17" xfId="42384"/>
    <cellStyle name="Złe 2 16 18" xfId="42385"/>
    <cellStyle name="Złe 2 16 19" xfId="42386"/>
    <cellStyle name="Złe 2 16 2" xfId="42387"/>
    <cellStyle name="Złe 2 16 3" xfId="42388"/>
    <cellStyle name="Złe 2 16 4" xfId="42389"/>
    <cellStyle name="Złe 2 16 5" xfId="42390"/>
    <cellStyle name="Złe 2 16 6" xfId="42391"/>
    <cellStyle name="Złe 2 16 7" xfId="42392"/>
    <cellStyle name="Złe 2 16 8" xfId="42393"/>
    <cellStyle name="Złe 2 16 9" xfId="42394"/>
    <cellStyle name="Złe 2 17" xfId="42395"/>
    <cellStyle name="Złe 2 17 10" xfId="42396"/>
    <cellStyle name="Złe 2 17 11" xfId="42397"/>
    <cellStyle name="Złe 2 17 12" xfId="42398"/>
    <cellStyle name="Złe 2 17 13" xfId="42399"/>
    <cellStyle name="Złe 2 17 14" xfId="42400"/>
    <cellStyle name="Złe 2 17 15" xfId="42401"/>
    <cellStyle name="Złe 2 17 16" xfId="42402"/>
    <cellStyle name="Złe 2 17 17" xfId="42403"/>
    <cellStyle name="Złe 2 17 18" xfId="42404"/>
    <cellStyle name="Złe 2 17 19" xfId="42405"/>
    <cellStyle name="Złe 2 17 2" xfId="42406"/>
    <cellStyle name="Złe 2 17 3" xfId="42407"/>
    <cellStyle name="Złe 2 17 4" xfId="42408"/>
    <cellStyle name="Złe 2 17 5" xfId="42409"/>
    <cellStyle name="Złe 2 17 6" xfId="42410"/>
    <cellStyle name="Złe 2 17 7" xfId="42411"/>
    <cellStyle name="Złe 2 17 8" xfId="42412"/>
    <cellStyle name="Złe 2 17 9" xfId="42413"/>
    <cellStyle name="Złe 2 18" xfId="42414"/>
    <cellStyle name="Złe 2 18 10" xfId="42415"/>
    <cellStyle name="Złe 2 18 11" xfId="42416"/>
    <cellStyle name="Złe 2 18 12" xfId="42417"/>
    <cellStyle name="Złe 2 18 13" xfId="42418"/>
    <cellStyle name="Złe 2 18 14" xfId="42419"/>
    <cellStyle name="Złe 2 18 15" xfId="42420"/>
    <cellStyle name="Złe 2 18 16" xfId="42421"/>
    <cellStyle name="Złe 2 18 17" xfId="42422"/>
    <cellStyle name="Złe 2 18 18" xfId="42423"/>
    <cellStyle name="Złe 2 18 19" xfId="42424"/>
    <cellStyle name="Złe 2 18 2" xfId="42425"/>
    <cellStyle name="Złe 2 18 3" xfId="42426"/>
    <cellStyle name="Złe 2 18 4" xfId="42427"/>
    <cellStyle name="Złe 2 18 5" xfId="42428"/>
    <cellStyle name="Złe 2 18 6" xfId="42429"/>
    <cellStyle name="Złe 2 18 7" xfId="42430"/>
    <cellStyle name="Złe 2 18 8" xfId="42431"/>
    <cellStyle name="Złe 2 18 9" xfId="42432"/>
    <cellStyle name="Złe 2 19" xfId="42433"/>
    <cellStyle name="Złe 2 19 10" xfId="42434"/>
    <cellStyle name="Złe 2 19 11" xfId="42435"/>
    <cellStyle name="Złe 2 19 12" xfId="42436"/>
    <cellStyle name="Złe 2 19 13" xfId="42437"/>
    <cellStyle name="Złe 2 19 14" xfId="42438"/>
    <cellStyle name="Złe 2 19 15" xfId="42439"/>
    <cellStyle name="Złe 2 19 16" xfId="42440"/>
    <cellStyle name="Złe 2 19 17" xfId="42441"/>
    <cellStyle name="Złe 2 19 18" xfId="42442"/>
    <cellStyle name="Złe 2 19 19" xfId="42443"/>
    <cellStyle name="Złe 2 19 2" xfId="42444"/>
    <cellStyle name="Złe 2 19 3" xfId="42445"/>
    <cellStyle name="Złe 2 19 4" xfId="42446"/>
    <cellStyle name="Złe 2 19 5" xfId="42447"/>
    <cellStyle name="Złe 2 19 6" xfId="42448"/>
    <cellStyle name="Złe 2 19 7" xfId="42449"/>
    <cellStyle name="Złe 2 19 8" xfId="42450"/>
    <cellStyle name="Złe 2 19 9" xfId="42451"/>
    <cellStyle name="Złe 2 2" xfId="42452"/>
    <cellStyle name="Złe 2 2 10" xfId="42453"/>
    <cellStyle name="Złe 2 2 11" xfId="42454"/>
    <cellStyle name="Złe 2 2 12" xfId="42455"/>
    <cellStyle name="Złe 2 2 13" xfId="42456"/>
    <cellStyle name="Złe 2 2 14" xfId="42457"/>
    <cellStyle name="Złe 2 2 15" xfId="42458"/>
    <cellStyle name="Złe 2 2 16" xfId="42459"/>
    <cellStyle name="Złe 2 2 17" xfId="42460"/>
    <cellStyle name="Złe 2 2 18" xfId="42461"/>
    <cellStyle name="Złe 2 2 19" xfId="42462"/>
    <cellStyle name="Złe 2 2 2" xfId="42463"/>
    <cellStyle name="Złe 2 2 20" xfId="42464"/>
    <cellStyle name="Złe 2 2 3" xfId="42465"/>
    <cellStyle name="Złe 2 2 4" xfId="42466"/>
    <cellStyle name="Złe 2 2 5" xfId="42467"/>
    <cellStyle name="Złe 2 2 6" xfId="42468"/>
    <cellStyle name="Złe 2 2 7" xfId="42469"/>
    <cellStyle name="Złe 2 2 8" xfId="42470"/>
    <cellStyle name="Złe 2 2 9" xfId="42471"/>
    <cellStyle name="Złe 2 20" xfId="42472"/>
    <cellStyle name="Złe 2 20 10" xfId="42473"/>
    <cellStyle name="Złe 2 20 11" xfId="42474"/>
    <cellStyle name="Złe 2 20 12" xfId="42475"/>
    <cellStyle name="Złe 2 20 13" xfId="42476"/>
    <cellStyle name="Złe 2 20 14" xfId="42477"/>
    <cellStyle name="Złe 2 20 15" xfId="42478"/>
    <cellStyle name="Złe 2 20 16" xfId="42479"/>
    <cellStyle name="Złe 2 20 17" xfId="42480"/>
    <cellStyle name="Złe 2 20 18" xfId="42481"/>
    <cellStyle name="Złe 2 20 19" xfId="42482"/>
    <cellStyle name="Złe 2 20 2" xfId="42483"/>
    <cellStyle name="Złe 2 20 3" xfId="42484"/>
    <cellStyle name="Złe 2 20 4" xfId="42485"/>
    <cellStyle name="Złe 2 20 5" xfId="42486"/>
    <cellStyle name="Złe 2 20 6" xfId="42487"/>
    <cellStyle name="Złe 2 20 7" xfId="42488"/>
    <cellStyle name="Złe 2 20 8" xfId="42489"/>
    <cellStyle name="Złe 2 20 9" xfId="42490"/>
    <cellStyle name="Złe 2 21" xfId="42491"/>
    <cellStyle name="Złe 2 21 10" xfId="42492"/>
    <cellStyle name="Złe 2 21 11" xfId="42493"/>
    <cellStyle name="Złe 2 21 12" xfId="42494"/>
    <cellStyle name="Złe 2 21 13" xfId="42495"/>
    <cellStyle name="Złe 2 21 14" xfId="42496"/>
    <cellStyle name="Złe 2 21 15" xfId="42497"/>
    <cellStyle name="Złe 2 21 16" xfId="42498"/>
    <cellStyle name="Złe 2 21 17" xfId="42499"/>
    <cellStyle name="Złe 2 21 18" xfId="42500"/>
    <cellStyle name="Złe 2 21 19" xfId="42501"/>
    <cellStyle name="Złe 2 21 2" xfId="42502"/>
    <cellStyle name="Złe 2 21 3" xfId="42503"/>
    <cellStyle name="Złe 2 21 4" xfId="42504"/>
    <cellStyle name="Złe 2 21 5" xfId="42505"/>
    <cellStyle name="Złe 2 21 6" xfId="42506"/>
    <cellStyle name="Złe 2 21 7" xfId="42507"/>
    <cellStyle name="Złe 2 21 8" xfId="42508"/>
    <cellStyle name="Złe 2 21 9" xfId="42509"/>
    <cellStyle name="Złe 2 22" xfId="42510"/>
    <cellStyle name="Złe 2 22 10" xfId="42511"/>
    <cellStyle name="Złe 2 22 11" xfId="42512"/>
    <cellStyle name="Złe 2 22 12" xfId="42513"/>
    <cellStyle name="Złe 2 22 13" xfId="42514"/>
    <cellStyle name="Złe 2 22 14" xfId="42515"/>
    <cellStyle name="Złe 2 22 15" xfId="42516"/>
    <cellStyle name="Złe 2 22 16" xfId="42517"/>
    <cellStyle name="Złe 2 22 17" xfId="42518"/>
    <cellStyle name="Złe 2 22 18" xfId="42519"/>
    <cellStyle name="Złe 2 22 19" xfId="42520"/>
    <cellStyle name="Złe 2 22 2" xfId="42521"/>
    <cellStyle name="Złe 2 22 3" xfId="42522"/>
    <cellStyle name="Złe 2 22 4" xfId="42523"/>
    <cellStyle name="Złe 2 22 5" xfId="42524"/>
    <cellStyle name="Złe 2 22 6" xfId="42525"/>
    <cellStyle name="Złe 2 22 7" xfId="42526"/>
    <cellStyle name="Złe 2 22 8" xfId="42527"/>
    <cellStyle name="Złe 2 22 9" xfId="42528"/>
    <cellStyle name="Złe 2 23" xfId="42529"/>
    <cellStyle name="Złe 2 23 10" xfId="42530"/>
    <cellStyle name="Złe 2 23 11" xfId="42531"/>
    <cellStyle name="Złe 2 23 12" xfId="42532"/>
    <cellStyle name="Złe 2 23 13" xfId="42533"/>
    <cellStyle name="Złe 2 23 14" xfId="42534"/>
    <cellStyle name="Złe 2 23 15" xfId="42535"/>
    <cellStyle name="Złe 2 23 16" xfId="42536"/>
    <cellStyle name="Złe 2 23 17" xfId="42537"/>
    <cellStyle name="Złe 2 23 18" xfId="42538"/>
    <cellStyle name="Złe 2 23 19" xfId="42539"/>
    <cellStyle name="Złe 2 23 2" xfId="42540"/>
    <cellStyle name="Złe 2 23 3" xfId="42541"/>
    <cellStyle name="Złe 2 23 4" xfId="42542"/>
    <cellStyle name="Złe 2 23 5" xfId="42543"/>
    <cellStyle name="Złe 2 23 6" xfId="42544"/>
    <cellStyle name="Złe 2 23 7" xfId="42545"/>
    <cellStyle name="Złe 2 23 8" xfId="42546"/>
    <cellStyle name="Złe 2 23 9" xfId="42547"/>
    <cellStyle name="Złe 2 24" xfId="42548"/>
    <cellStyle name="Złe 2 24 10" xfId="42549"/>
    <cellStyle name="Złe 2 24 11" xfId="42550"/>
    <cellStyle name="Złe 2 24 12" xfId="42551"/>
    <cellStyle name="Złe 2 24 13" xfId="42552"/>
    <cellStyle name="Złe 2 24 14" xfId="42553"/>
    <cellStyle name="Złe 2 24 15" xfId="42554"/>
    <cellStyle name="Złe 2 24 16" xfId="42555"/>
    <cellStyle name="Złe 2 24 17" xfId="42556"/>
    <cellStyle name="Złe 2 24 18" xfId="42557"/>
    <cellStyle name="Złe 2 24 19" xfId="42558"/>
    <cellStyle name="Złe 2 24 2" xfId="42559"/>
    <cellStyle name="Złe 2 24 3" xfId="42560"/>
    <cellStyle name="Złe 2 24 4" xfId="42561"/>
    <cellStyle name="Złe 2 24 5" xfId="42562"/>
    <cellStyle name="Złe 2 24 6" xfId="42563"/>
    <cellStyle name="Złe 2 24 7" xfId="42564"/>
    <cellStyle name="Złe 2 24 8" xfId="42565"/>
    <cellStyle name="Złe 2 24 9" xfId="42566"/>
    <cellStyle name="Złe 2 25" xfId="42567"/>
    <cellStyle name="Złe 2 25 10" xfId="42568"/>
    <cellStyle name="Złe 2 25 11" xfId="42569"/>
    <cellStyle name="Złe 2 25 12" xfId="42570"/>
    <cellStyle name="Złe 2 25 13" xfId="42571"/>
    <cellStyle name="Złe 2 25 14" xfId="42572"/>
    <cellStyle name="Złe 2 25 15" xfId="42573"/>
    <cellStyle name="Złe 2 25 16" xfId="42574"/>
    <cellStyle name="Złe 2 25 17" xfId="42575"/>
    <cellStyle name="Złe 2 25 18" xfId="42576"/>
    <cellStyle name="Złe 2 25 19" xfId="42577"/>
    <cellStyle name="Złe 2 25 2" xfId="42578"/>
    <cellStyle name="Złe 2 25 3" xfId="42579"/>
    <cellStyle name="Złe 2 25 4" xfId="42580"/>
    <cellStyle name="Złe 2 25 5" xfId="42581"/>
    <cellStyle name="Złe 2 25 6" xfId="42582"/>
    <cellStyle name="Złe 2 25 7" xfId="42583"/>
    <cellStyle name="Złe 2 25 8" xfId="42584"/>
    <cellStyle name="Złe 2 25 9" xfId="42585"/>
    <cellStyle name="Złe 2 26" xfId="42586"/>
    <cellStyle name="Złe 2 26 10" xfId="42587"/>
    <cellStyle name="Złe 2 26 11" xfId="42588"/>
    <cellStyle name="Złe 2 26 12" xfId="42589"/>
    <cellStyle name="Złe 2 26 13" xfId="42590"/>
    <cellStyle name="Złe 2 26 14" xfId="42591"/>
    <cellStyle name="Złe 2 26 15" xfId="42592"/>
    <cellStyle name="Złe 2 26 16" xfId="42593"/>
    <cellStyle name="Złe 2 26 17" xfId="42594"/>
    <cellStyle name="Złe 2 26 18" xfId="42595"/>
    <cellStyle name="Złe 2 26 19" xfId="42596"/>
    <cellStyle name="Złe 2 26 2" xfId="42597"/>
    <cellStyle name="Złe 2 26 3" xfId="42598"/>
    <cellStyle name="Złe 2 26 4" xfId="42599"/>
    <cellStyle name="Złe 2 26 5" xfId="42600"/>
    <cellStyle name="Złe 2 26 6" xfId="42601"/>
    <cellStyle name="Złe 2 26 7" xfId="42602"/>
    <cellStyle name="Złe 2 26 8" xfId="42603"/>
    <cellStyle name="Złe 2 26 9" xfId="42604"/>
    <cellStyle name="Złe 2 27" xfId="42605"/>
    <cellStyle name="Złe 2 27 10" xfId="42606"/>
    <cellStyle name="Złe 2 27 11" xfId="42607"/>
    <cellStyle name="Złe 2 27 12" xfId="42608"/>
    <cellStyle name="Złe 2 27 13" xfId="42609"/>
    <cellStyle name="Złe 2 27 14" xfId="42610"/>
    <cellStyle name="Złe 2 27 15" xfId="42611"/>
    <cellStyle name="Złe 2 27 16" xfId="42612"/>
    <cellStyle name="Złe 2 27 17" xfId="42613"/>
    <cellStyle name="Złe 2 27 18" xfId="42614"/>
    <cellStyle name="Złe 2 27 19" xfId="42615"/>
    <cellStyle name="Złe 2 27 2" xfId="42616"/>
    <cellStyle name="Złe 2 27 3" xfId="42617"/>
    <cellStyle name="Złe 2 27 4" xfId="42618"/>
    <cellStyle name="Złe 2 27 5" xfId="42619"/>
    <cellStyle name="Złe 2 27 6" xfId="42620"/>
    <cellStyle name="Złe 2 27 7" xfId="42621"/>
    <cellStyle name="Złe 2 27 8" xfId="42622"/>
    <cellStyle name="Złe 2 27 9" xfId="42623"/>
    <cellStyle name="Złe 2 28" xfId="42624"/>
    <cellStyle name="Złe 2 28 10" xfId="42625"/>
    <cellStyle name="Złe 2 28 11" xfId="42626"/>
    <cellStyle name="Złe 2 28 12" xfId="42627"/>
    <cellStyle name="Złe 2 28 13" xfId="42628"/>
    <cellStyle name="Złe 2 28 14" xfId="42629"/>
    <cellStyle name="Złe 2 28 15" xfId="42630"/>
    <cellStyle name="Złe 2 28 16" xfId="42631"/>
    <cellStyle name="Złe 2 28 17" xfId="42632"/>
    <cellStyle name="Złe 2 28 18" xfId="42633"/>
    <cellStyle name="Złe 2 28 19" xfId="42634"/>
    <cellStyle name="Złe 2 28 2" xfId="42635"/>
    <cellStyle name="Złe 2 28 3" xfId="42636"/>
    <cellStyle name="Złe 2 28 4" xfId="42637"/>
    <cellStyle name="Złe 2 28 5" xfId="42638"/>
    <cellStyle name="Złe 2 28 6" xfId="42639"/>
    <cellStyle name="Złe 2 28 7" xfId="42640"/>
    <cellStyle name="Złe 2 28 8" xfId="42641"/>
    <cellStyle name="Złe 2 28 9" xfId="42642"/>
    <cellStyle name="Złe 2 29" xfId="42643"/>
    <cellStyle name="Złe 2 29 2" xfId="42644"/>
    <cellStyle name="Złe 2 3" xfId="42645"/>
    <cellStyle name="Złe 2 3 10" xfId="42646"/>
    <cellStyle name="Złe 2 3 11" xfId="42647"/>
    <cellStyle name="Złe 2 3 12" xfId="42648"/>
    <cellStyle name="Złe 2 3 13" xfId="42649"/>
    <cellStyle name="Złe 2 3 14" xfId="42650"/>
    <cellStyle name="Złe 2 3 15" xfId="42651"/>
    <cellStyle name="Złe 2 3 16" xfId="42652"/>
    <cellStyle name="Złe 2 3 17" xfId="42653"/>
    <cellStyle name="Złe 2 3 18" xfId="42654"/>
    <cellStyle name="Złe 2 3 19" xfId="42655"/>
    <cellStyle name="Złe 2 3 2" xfId="42656"/>
    <cellStyle name="Złe 2 3 3" xfId="42657"/>
    <cellStyle name="Złe 2 3 4" xfId="42658"/>
    <cellStyle name="Złe 2 3 5" xfId="42659"/>
    <cellStyle name="Złe 2 3 6" xfId="42660"/>
    <cellStyle name="Złe 2 3 7" xfId="42661"/>
    <cellStyle name="Złe 2 3 8" xfId="42662"/>
    <cellStyle name="Złe 2 3 9" xfId="42663"/>
    <cellStyle name="Złe 2 30" xfId="42664"/>
    <cellStyle name="Złe 2 30 2" xfId="42665"/>
    <cellStyle name="Złe 2 31" xfId="42666"/>
    <cellStyle name="Złe 2 31 2" xfId="42667"/>
    <cellStyle name="Złe 2 32" xfId="42668"/>
    <cellStyle name="Złe 2 32 2" xfId="42669"/>
    <cellStyle name="Złe 2 33" xfId="42670"/>
    <cellStyle name="Złe 2 34" xfId="42671"/>
    <cellStyle name="Złe 2 35" xfId="42672"/>
    <cellStyle name="Złe 2 36" xfId="42673"/>
    <cellStyle name="Złe 2 37" xfId="42674"/>
    <cellStyle name="Złe 2 38" xfId="42675"/>
    <cellStyle name="Złe 2 39" xfId="42676"/>
    <cellStyle name="Złe 2 4" xfId="42677"/>
    <cellStyle name="Złe 2 4 10" xfId="42678"/>
    <cellStyle name="Złe 2 4 11" xfId="42679"/>
    <cellStyle name="Złe 2 4 12" xfId="42680"/>
    <cellStyle name="Złe 2 4 13" xfId="42681"/>
    <cellStyle name="Złe 2 4 14" xfId="42682"/>
    <cellStyle name="Złe 2 4 15" xfId="42683"/>
    <cellStyle name="Złe 2 4 16" xfId="42684"/>
    <cellStyle name="Złe 2 4 17" xfId="42685"/>
    <cellStyle name="Złe 2 4 18" xfId="42686"/>
    <cellStyle name="Złe 2 4 19" xfId="42687"/>
    <cellStyle name="Złe 2 4 2" xfId="42688"/>
    <cellStyle name="Złe 2 4 3" xfId="42689"/>
    <cellStyle name="Złe 2 4 4" xfId="42690"/>
    <cellStyle name="Złe 2 4 5" xfId="42691"/>
    <cellStyle name="Złe 2 4 6" xfId="42692"/>
    <cellStyle name="Złe 2 4 7" xfId="42693"/>
    <cellStyle name="Złe 2 4 8" xfId="42694"/>
    <cellStyle name="Złe 2 4 9" xfId="42695"/>
    <cellStyle name="Złe 2 40" xfId="42696"/>
    <cellStyle name="Złe 2 41" xfId="42697"/>
    <cellStyle name="Złe 2 42" xfId="42698"/>
    <cellStyle name="Złe 2 43" xfId="42699"/>
    <cellStyle name="Złe 2 44" xfId="42700"/>
    <cellStyle name="Złe 2 45" xfId="42701"/>
    <cellStyle name="Złe 2 46" xfId="42702"/>
    <cellStyle name="Złe 2 47" xfId="42703"/>
    <cellStyle name="Złe 2 48" xfId="42704"/>
    <cellStyle name="Złe 2 49" xfId="42705"/>
    <cellStyle name="Złe 2 5" xfId="42706"/>
    <cellStyle name="Złe 2 5 10" xfId="42707"/>
    <cellStyle name="Złe 2 5 11" xfId="42708"/>
    <cellStyle name="Złe 2 5 12" xfId="42709"/>
    <cellStyle name="Złe 2 5 13" xfId="42710"/>
    <cellStyle name="Złe 2 5 14" xfId="42711"/>
    <cellStyle name="Złe 2 5 15" xfId="42712"/>
    <cellStyle name="Złe 2 5 16" xfId="42713"/>
    <cellStyle name="Złe 2 5 17" xfId="42714"/>
    <cellStyle name="Złe 2 5 18" xfId="42715"/>
    <cellStyle name="Złe 2 5 19" xfId="42716"/>
    <cellStyle name="Złe 2 5 2" xfId="42717"/>
    <cellStyle name="Złe 2 5 3" xfId="42718"/>
    <cellStyle name="Złe 2 5 4" xfId="42719"/>
    <cellStyle name="Złe 2 5 5" xfId="42720"/>
    <cellStyle name="Złe 2 5 6" xfId="42721"/>
    <cellStyle name="Złe 2 5 7" xfId="42722"/>
    <cellStyle name="Złe 2 5 8" xfId="42723"/>
    <cellStyle name="Złe 2 5 9" xfId="42724"/>
    <cellStyle name="Złe 2 50" xfId="42725"/>
    <cellStyle name="Złe 2 51" xfId="42726"/>
    <cellStyle name="Złe 2 52" xfId="42727"/>
    <cellStyle name="Złe 2 53" xfId="42728"/>
    <cellStyle name="Złe 2 54" xfId="42729"/>
    <cellStyle name="Złe 2 6" xfId="42730"/>
    <cellStyle name="Złe 2 6 10" xfId="42731"/>
    <cellStyle name="Złe 2 6 11" xfId="42732"/>
    <cellStyle name="Złe 2 6 12" xfId="42733"/>
    <cellStyle name="Złe 2 6 13" xfId="42734"/>
    <cellStyle name="Złe 2 6 14" xfId="42735"/>
    <cellStyle name="Złe 2 6 15" xfId="42736"/>
    <cellStyle name="Złe 2 6 16" xfId="42737"/>
    <cellStyle name="Złe 2 6 17" xfId="42738"/>
    <cellStyle name="Złe 2 6 18" xfId="42739"/>
    <cellStyle name="Złe 2 6 19" xfId="42740"/>
    <cellStyle name="Złe 2 6 2" xfId="42741"/>
    <cellStyle name="Złe 2 6 3" xfId="42742"/>
    <cellStyle name="Złe 2 6 4" xfId="42743"/>
    <cellStyle name="Złe 2 6 5" xfId="42744"/>
    <cellStyle name="Złe 2 6 6" xfId="42745"/>
    <cellStyle name="Złe 2 6 7" xfId="42746"/>
    <cellStyle name="Złe 2 6 8" xfId="42747"/>
    <cellStyle name="Złe 2 6 9" xfId="42748"/>
    <cellStyle name="Złe 2 7" xfId="42749"/>
    <cellStyle name="Złe 2 7 10" xfId="42750"/>
    <cellStyle name="Złe 2 7 11" xfId="42751"/>
    <cellStyle name="Złe 2 7 12" xfId="42752"/>
    <cellStyle name="Złe 2 7 13" xfId="42753"/>
    <cellStyle name="Złe 2 7 14" xfId="42754"/>
    <cellStyle name="Złe 2 7 15" xfId="42755"/>
    <cellStyle name="Złe 2 7 16" xfId="42756"/>
    <cellStyle name="Złe 2 7 17" xfId="42757"/>
    <cellStyle name="Złe 2 7 18" xfId="42758"/>
    <cellStyle name="Złe 2 7 19" xfId="42759"/>
    <cellStyle name="Złe 2 7 2" xfId="42760"/>
    <cellStyle name="Złe 2 7 3" xfId="42761"/>
    <cellStyle name="Złe 2 7 4" xfId="42762"/>
    <cellStyle name="Złe 2 7 5" xfId="42763"/>
    <cellStyle name="Złe 2 7 6" xfId="42764"/>
    <cellStyle name="Złe 2 7 7" xfId="42765"/>
    <cellStyle name="Złe 2 7 8" xfId="42766"/>
    <cellStyle name="Złe 2 7 9" xfId="42767"/>
    <cellStyle name="Złe 2 8" xfId="42768"/>
    <cellStyle name="Złe 2 8 10" xfId="42769"/>
    <cellStyle name="Złe 2 8 11" xfId="42770"/>
    <cellStyle name="Złe 2 8 12" xfId="42771"/>
    <cellStyle name="Złe 2 8 13" xfId="42772"/>
    <cellStyle name="Złe 2 8 14" xfId="42773"/>
    <cellStyle name="Złe 2 8 15" xfId="42774"/>
    <cellStyle name="Złe 2 8 16" xfId="42775"/>
    <cellStyle name="Złe 2 8 17" xfId="42776"/>
    <cellStyle name="Złe 2 8 18" xfId="42777"/>
    <cellStyle name="Złe 2 8 19" xfId="42778"/>
    <cellStyle name="Złe 2 8 2" xfId="42779"/>
    <cellStyle name="Złe 2 8 3" xfId="42780"/>
    <cellStyle name="Złe 2 8 4" xfId="42781"/>
    <cellStyle name="Złe 2 8 5" xfId="42782"/>
    <cellStyle name="Złe 2 8 6" xfId="42783"/>
    <cellStyle name="Złe 2 8 7" xfId="42784"/>
    <cellStyle name="Złe 2 8 8" xfId="42785"/>
    <cellStyle name="Złe 2 8 9" xfId="42786"/>
    <cellStyle name="Złe 2 9" xfId="42787"/>
    <cellStyle name="Złe 2 9 10" xfId="42788"/>
    <cellStyle name="Złe 2 9 11" xfId="42789"/>
    <cellStyle name="Złe 2 9 12" xfId="42790"/>
    <cellStyle name="Złe 2 9 13" xfId="42791"/>
    <cellStyle name="Złe 2 9 14" xfId="42792"/>
    <cellStyle name="Złe 2 9 15" xfId="42793"/>
    <cellStyle name="Złe 2 9 16" xfId="42794"/>
    <cellStyle name="Złe 2 9 17" xfId="42795"/>
    <cellStyle name="Złe 2 9 18" xfId="42796"/>
    <cellStyle name="Złe 2 9 19" xfId="42797"/>
    <cellStyle name="Złe 2 9 2" xfId="42798"/>
    <cellStyle name="Złe 2 9 3" xfId="42799"/>
    <cellStyle name="Złe 2 9 4" xfId="42800"/>
    <cellStyle name="Złe 2 9 5" xfId="42801"/>
    <cellStyle name="Złe 2 9 6" xfId="42802"/>
    <cellStyle name="Złe 2 9 7" xfId="42803"/>
    <cellStyle name="Złe 2 9 8" xfId="42804"/>
    <cellStyle name="Złe 2 9 9" xfId="42805"/>
    <cellStyle name="Złe 3" xfId="42806"/>
    <cellStyle name="Złe 3 10" xfId="42807"/>
    <cellStyle name="Złe 3 11" xfId="42808"/>
    <cellStyle name="Złe 3 12" xfId="42809"/>
    <cellStyle name="Złe 3 13" xfId="42810"/>
    <cellStyle name="Złe 3 14" xfId="42811"/>
    <cellStyle name="Złe 3 15" xfId="42812"/>
    <cellStyle name="Złe 3 16" xfId="42813"/>
    <cellStyle name="Złe 3 17" xfId="42814"/>
    <cellStyle name="Złe 3 18" xfId="42815"/>
    <cellStyle name="Złe 3 19" xfId="42816"/>
    <cellStyle name="Złe 3 2" xfId="42817"/>
    <cellStyle name="Złe 3 2 2" xfId="42818"/>
    <cellStyle name="Złe 3 20" xfId="42819"/>
    <cellStyle name="Złe 3 21" xfId="42820"/>
    <cellStyle name="Złe 3 22" xfId="42821"/>
    <cellStyle name="Złe 3 23" xfId="42822"/>
    <cellStyle name="Złe 3 3" xfId="42823"/>
    <cellStyle name="Złe 3 4" xfId="42824"/>
    <cellStyle name="Złe 3 5" xfId="42825"/>
    <cellStyle name="Złe 3 6" xfId="42826"/>
    <cellStyle name="Złe 3 7" xfId="42827"/>
    <cellStyle name="Złe 3 8" xfId="42828"/>
    <cellStyle name="Złe 3 9" xfId="42829"/>
    <cellStyle name="Złe 4" xfId="42830"/>
    <cellStyle name="Złe 4 2" xfId="42831"/>
    <cellStyle name="Złe 4 3" xfId="42832"/>
    <cellStyle name="Złe 4 4" xfId="42833"/>
    <cellStyle name="Złe 4 5" xfId="42834"/>
    <cellStyle name="Złe 4 6" xfId="42835"/>
    <cellStyle name="Złe 4 7" xfId="42836"/>
    <cellStyle name="Złe 4 8" xfId="42837"/>
    <cellStyle name="Złe 4 9" xfId="42838"/>
    <cellStyle name="Złe 5" xfId="42839"/>
    <cellStyle name="Złe 5 2" xfId="42840"/>
    <cellStyle name="Złe 5 3" xfId="42841"/>
    <cellStyle name="Złe 6" xfId="42842"/>
    <cellStyle name="Złe 6 2" xfId="42843"/>
    <cellStyle name="Złe 7" xfId="42844"/>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Y49"/>
  <sheetViews>
    <sheetView showGridLines="0" tabSelected="1" zoomScaleNormal="100" zoomScaleSheetLayoutView="85" workbookViewId="0">
      <pane xSplit="1" ySplit="3" topLeftCell="AM4" activePane="bottomRight" state="frozen"/>
      <selection pane="topRight" activeCell="B1" sqref="B1"/>
      <selection pane="bottomLeft" activeCell="A4" sqref="A4"/>
      <selection pane="bottomRight" activeCell="AN1" sqref="AN1"/>
    </sheetView>
  </sheetViews>
  <sheetFormatPr defaultColWidth="9" defaultRowHeight="28.5" customHeight="1"/>
  <cols>
    <col min="1" max="1" width="60.625" style="419" customWidth="1"/>
    <col min="2" max="3" width="10.5" style="472" bestFit="1" customWidth="1"/>
    <col min="4" max="4" width="9.125" style="472" bestFit="1" customWidth="1"/>
    <col min="5" max="7" width="10.5" style="472" bestFit="1" customWidth="1"/>
    <col min="8" max="8" width="10.5" style="475" bestFit="1" customWidth="1"/>
    <col min="9" max="9" width="10.5" style="476" bestFit="1" customWidth="1"/>
    <col min="10" max="11" width="10.5" style="472" bestFit="1" customWidth="1"/>
    <col min="12" max="12" width="10.125" style="472" customWidth="1"/>
    <col min="13" max="15" width="9.25" style="472" customWidth="1"/>
    <col min="16" max="16" width="10.5" style="472" bestFit="1" customWidth="1"/>
    <col min="17" max="20" width="10.125" style="472" customWidth="1"/>
    <col min="21" max="21" width="10.5" style="472" bestFit="1" customWidth="1"/>
    <col min="22" max="25" width="10.125" style="472" customWidth="1"/>
    <col min="26" max="26" width="10.5" style="472" bestFit="1" customWidth="1"/>
    <col min="27" max="28" width="10.125" style="472" customWidth="1"/>
    <col min="29" max="29" width="10.125" style="474" customWidth="1"/>
    <col min="30" max="30" width="10.125" style="472" customWidth="1"/>
    <col min="31" max="31" width="10.5" style="472" bestFit="1" customWidth="1"/>
    <col min="32" max="33" width="10.125" style="472" customWidth="1"/>
    <col min="34" max="34" width="10.125" style="474" customWidth="1"/>
    <col min="35" max="35" width="10.125" style="472" customWidth="1"/>
    <col min="36" max="36" width="10.5" style="472" bestFit="1" customWidth="1"/>
    <col min="37" max="37" width="9" style="419"/>
    <col min="38" max="39" width="10.125" style="472" customWidth="1"/>
    <col min="40" max="40" width="10.125" style="474" customWidth="1"/>
    <col min="41" max="41" width="10.125" style="472" customWidth="1"/>
    <col min="42" max="42" width="10.5" style="472" bestFit="1" customWidth="1"/>
    <col min="43" max="43" width="9.125" style="419" bestFit="1" customWidth="1"/>
    <col min="44" max="16384" width="9" style="419"/>
  </cols>
  <sheetData>
    <row r="1" spans="1:493" s="417" customFormat="1" ht="50.25" customHeight="1" thickBot="1">
      <c r="A1" s="411" t="s">
        <v>338</v>
      </c>
      <c r="B1" s="411"/>
      <c r="C1" s="412"/>
      <c r="D1" s="412"/>
      <c r="E1" s="412"/>
      <c r="F1" s="412"/>
      <c r="G1" s="412"/>
      <c r="H1" s="412"/>
      <c r="I1" s="412"/>
      <c r="J1" s="412"/>
      <c r="K1" s="412"/>
      <c r="L1" s="412"/>
      <c r="M1" s="412"/>
      <c r="N1" s="412"/>
      <c r="O1" s="412"/>
      <c r="P1" s="412"/>
      <c r="Q1" s="412"/>
      <c r="R1" s="412"/>
      <c r="S1" s="412"/>
      <c r="T1" s="412"/>
      <c r="U1" s="412"/>
      <c r="V1" s="412"/>
      <c r="W1" s="412"/>
      <c r="X1" s="412"/>
      <c r="Y1" s="412"/>
      <c r="Z1" s="412"/>
      <c r="AA1" s="413"/>
      <c r="AB1" s="413"/>
      <c r="AC1" s="414"/>
      <c r="AD1" s="413"/>
      <c r="AE1" s="413"/>
      <c r="AF1" s="415"/>
      <c r="AG1" s="415"/>
      <c r="AH1" s="416"/>
      <c r="AI1" s="415"/>
      <c r="AJ1" s="415"/>
      <c r="AK1" s="412"/>
      <c r="AL1" s="413"/>
      <c r="AM1" s="413"/>
      <c r="AN1" s="414"/>
      <c r="AO1" s="413"/>
      <c r="AP1" s="413"/>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412"/>
      <c r="DK1" s="412"/>
      <c r="DL1" s="412"/>
      <c r="DM1" s="412"/>
      <c r="DN1" s="412"/>
      <c r="DO1" s="412"/>
      <c r="DP1" s="412"/>
      <c r="DQ1" s="412"/>
      <c r="DR1" s="412"/>
      <c r="DS1" s="412"/>
      <c r="DT1" s="412"/>
      <c r="DU1" s="412"/>
      <c r="DV1" s="412"/>
      <c r="DW1" s="412"/>
      <c r="DX1" s="412"/>
      <c r="DY1" s="412"/>
      <c r="DZ1" s="412"/>
      <c r="EA1" s="412"/>
      <c r="EB1" s="412"/>
      <c r="EC1" s="412"/>
      <c r="ED1" s="412"/>
      <c r="EE1" s="412"/>
      <c r="EF1" s="412"/>
      <c r="EG1" s="412"/>
      <c r="EH1" s="412"/>
      <c r="EI1" s="412"/>
      <c r="EJ1" s="412"/>
      <c r="EK1" s="412"/>
      <c r="EL1" s="412"/>
      <c r="EM1" s="412"/>
      <c r="EN1" s="412"/>
      <c r="EO1" s="412"/>
      <c r="EP1" s="412"/>
      <c r="EQ1" s="412"/>
      <c r="ER1" s="412"/>
      <c r="ES1" s="412"/>
      <c r="ET1" s="412"/>
      <c r="EU1" s="412"/>
      <c r="EV1" s="412"/>
      <c r="EW1" s="412"/>
      <c r="EX1" s="412"/>
      <c r="EY1" s="412"/>
      <c r="EZ1" s="412"/>
      <c r="FA1" s="412"/>
      <c r="FB1" s="412"/>
      <c r="FC1" s="412"/>
      <c r="FD1" s="412"/>
      <c r="FE1" s="412"/>
      <c r="FF1" s="412"/>
      <c r="FG1" s="412"/>
      <c r="FH1" s="412"/>
      <c r="FI1" s="412"/>
      <c r="FJ1" s="412"/>
      <c r="FK1" s="412"/>
      <c r="FL1" s="412"/>
      <c r="FM1" s="412"/>
      <c r="FN1" s="412"/>
      <c r="FO1" s="412"/>
      <c r="FP1" s="412"/>
      <c r="FQ1" s="412"/>
      <c r="FR1" s="412"/>
      <c r="FS1" s="412"/>
      <c r="FT1" s="412"/>
      <c r="FU1" s="412"/>
      <c r="FV1" s="412"/>
      <c r="FW1" s="412"/>
      <c r="FX1" s="412"/>
      <c r="FY1" s="412"/>
      <c r="FZ1" s="412"/>
      <c r="GA1" s="412"/>
      <c r="GB1" s="412"/>
      <c r="GC1" s="412"/>
      <c r="GD1" s="412"/>
      <c r="GE1" s="412"/>
      <c r="GF1" s="412"/>
      <c r="GG1" s="412"/>
      <c r="GH1" s="412"/>
      <c r="GI1" s="412"/>
      <c r="GJ1" s="412"/>
      <c r="GK1" s="412"/>
      <c r="GL1" s="412"/>
      <c r="GM1" s="412"/>
      <c r="GN1" s="412"/>
      <c r="GO1" s="412"/>
      <c r="GP1" s="412"/>
      <c r="GQ1" s="412"/>
      <c r="GR1" s="412"/>
      <c r="GS1" s="412"/>
      <c r="GT1" s="412"/>
      <c r="GU1" s="412"/>
      <c r="GV1" s="412"/>
      <c r="GW1" s="412"/>
      <c r="GX1" s="412"/>
      <c r="GY1" s="412"/>
      <c r="GZ1" s="412"/>
      <c r="HA1" s="412"/>
      <c r="HB1" s="412"/>
      <c r="HC1" s="412"/>
      <c r="HD1" s="412"/>
      <c r="HE1" s="412"/>
      <c r="HF1" s="412"/>
      <c r="HG1" s="412"/>
      <c r="HH1" s="412"/>
      <c r="HI1" s="412"/>
      <c r="HJ1" s="412"/>
      <c r="HK1" s="412"/>
      <c r="HL1" s="412"/>
      <c r="HM1" s="412"/>
      <c r="HN1" s="412"/>
      <c r="HO1" s="412"/>
      <c r="HP1" s="412"/>
      <c r="HQ1" s="412"/>
      <c r="HR1" s="412"/>
      <c r="HS1" s="412"/>
      <c r="HT1" s="412"/>
      <c r="HU1" s="412"/>
      <c r="HV1" s="412"/>
      <c r="HW1" s="412"/>
      <c r="HX1" s="412"/>
      <c r="HY1" s="412"/>
      <c r="HZ1" s="412"/>
      <c r="IA1" s="412"/>
      <c r="IB1" s="412"/>
      <c r="IC1" s="412"/>
      <c r="ID1" s="412"/>
      <c r="IE1" s="412"/>
      <c r="IF1" s="412"/>
      <c r="IG1" s="412"/>
      <c r="IH1" s="412"/>
      <c r="II1" s="412"/>
      <c r="IJ1" s="412"/>
      <c r="IK1" s="412"/>
      <c r="IL1" s="412"/>
      <c r="IM1" s="412"/>
      <c r="IN1" s="412"/>
      <c r="IO1" s="412"/>
      <c r="IP1" s="412"/>
      <c r="IQ1" s="412"/>
      <c r="IR1" s="412"/>
      <c r="IS1" s="412"/>
      <c r="IT1" s="412"/>
      <c r="IU1" s="412"/>
      <c r="IV1" s="412"/>
      <c r="IW1" s="412"/>
      <c r="IX1" s="412"/>
      <c r="IY1" s="412"/>
      <c r="IZ1" s="412"/>
      <c r="JA1" s="412"/>
      <c r="JB1" s="412"/>
      <c r="JC1" s="412"/>
      <c r="JD1" s="412"/>
      <c r="JE1" s="412"/>
      <c r="JF1" s="412"/>
      <c r="JG1" s="412"/>
      <c r="JH1" s="412"/>
      <c r="JI1" s="412"/>
      <c r="JJ1" s="412"/>
      <c r="JK1" s="412"/>
      <c r="JL1" s="412"/>
      <c r="JM1" s="412"/>
      <c r="JN1" s="412"/>
      <c r="JO1" s="412"/>
      <c r="JP1" s="412"/>
      <c r="JQ1" s="412"/>
      <c r="JR1" s="412"/>
      <c r="JS1" s="412"/>
      <c r="JT1" s="412"/>
      <c r="JU1" s="412"/>
      <c r="JV1" s="412"/>
      <c r="JW1" s="412"/>
      <c r="JX1" s="412"/>
      <c r="JY1" s="412"/>
      <c r="JZ1" s="412"/>
      <c r="KA1" s="412"/>
      <c r="KB1" s="412"/>
      <c r="KC1" s="412"/>
      <c r="KD1" s="412"/>
      <c r="KE1" s="412"/>
      <c r="KF1" s="412"/>
      <c r="KG1" s="412"/>
      <c r="KH1" s="412"/>
      <c r="KI1" s="412"/>
      <c r="KJ1" s="412"/>
      <c r="KK1" s="412"/>
      <c r="KL1" s="412"/>
      <c r="KM1" s="412"/>
      <c r="KN1" s="412"/>
      <c r="KO1" s="412"/>
      <c r="KP1" s="412"/>
      <c r="KQ1" s="412"/>
      <c r="KR1" s="412"/>
      <c r="KS1" s="412"/>
      <c r="KT1" s="412"/>
      <c r="KU1" s="412"/>
      <c r="KV1" s="412"/>
      <c r="KW1" s="412"/>
      <c r="KX1" s="412"/>
      <c r="KY1" s="412"/>
      <c r="KZ1" s="412"/>
      <c r="LA1" s="412"/>
      <c r="LB1" s="412"/>
      <c r="LC1" s="412"/>
      <c r="LD1" s="412"/>
      <c r="LE1" s="412"/>
      <c r="LF1" s="412"/>
      <c r="LG1" s="412"/>
      <c r="LH1" s="412"/>
      <c r="LI1" s="412"/>
      <c r="LJ1" s="412"/>
      <c r="LK1" s="412"/>
      <c r="LL1" s="412"/>
      <c r="LM1" s="412"/>
      <c r="LN1" s="412"/>
      <c r="LO1" s="412"/>
      <c r="LP1" s="412"/>
      <c r="LQ1" s="412"/>
      <c r="LR1" s="412"/>
      <c r="LS1" s="412"/>
      <c r="LT1" s="412"/>
      <c r="LU1" s="412"/>
      <c r="LV1" s="412"/>
      <c r="LW1" s="412"/>
      <c r="LX1" s="412"/>
      <c r="LY1" s="412"/>
      <c r="LZ1" s="412"/>
      <c r="MA1" s="412"/>
      <c r="MB1" s="412"/>
      <c r="MC1" s="412"/>
      <c r="MD1" s="412"/>
      <c r="ME1" s="412"/>
      <c r="MF1" s="412"/>
      <c r="MG1" s="412"/>
      <c r="MH1" s="412"/>
      <c r="MI1" s="412"/>
      <c r="MJ1" s="412"/>
      <c r="MK1" s="412"/>
      <c r="ML1" s="412"/>
      <c r="MM1" s="412"/>
      <c r="MN1" s="412"/>
      <c r="MO1" s="412"/>
      <c r="MP1" s="412"/>
      <c r="MQ1" s="412"/>
      <c r="MR1" s="412"/>
      <c r="MS1" s="412"/>
      <c r="MT1" s="412"/>
      <c r="MU1" s="412"/>
      <c r="MV1" s="412"/>
      <c r="MW1" s="412"/>
      <c r="MX1" s="412"/>
      <c r="MY1" s="412"/>
      <c r="MZ1" s="412"/>
      <c r="NA1" s="412"/>
      <c r="NB1" s="412"/>
      <c r="NC1" s="412"/>
      <c r="ND1" s="412"/>
      <c r="NE1" s="412"/>
      <c r="NF1" s="412"/>
      <c r="NG1" s="412"/>
      <c r="NH1" s="412"/>
      <c r="NI1" s="412"/>
      <c r="NJ1" s="412"/>
      <c r="NK1" s="412"/>
      <c r="NL1" s="412"/>
      <c r="NM1" s="412"/>
      <c r="NN1" s="412"/>
      <c r="NO1" s="412"/>
      <c r="NP1" s="412"/>
      <c r="NQ1" s="412"/>
      <c r="NR1" s="412"/>
      <c r="NS1" s="412"/>
      <c r="NT1" s="412"/>
      <c r="NU1" s="412"/>
      <c r="NV1" s="412"/>
      <c r="NW1" s="412"/>
      <c r="NX1" s="412"/>
      <c r="NY1" s="412"/>
      <c r="NZ1" s="412"/>
      <c r="OA1" s="412"/>
      <c r="OB1" s="412"/>
      <c r="OC1" s="412"/>
      <c r="OD1" s="412"/>
      <c r="OE1" s="412"/>
      <c r="OF1" s="412"/>
      <c r="OG1" s="412"/>
      <c r="OH1" s="412"/>
      <c r="OI1" s="412"/>
      <c r="OJ1" s="412"/>
      <c r="OK1" s="412"/>
      <c r="OL1" s="412"/>
      <c r="OM1" s="412"/>
      <c r="ON1" s="412"/>
      <c r="OO1" s="412"/>
      <c r="OP1" s="412"/>
      <c r="OQ1" s="412"/>
      <c r="OR1" s="412"/>
      <c r="OS1" s="412"/>
      <c r="OT1" s="412"/>
      <c r="OU1" s="412"/>
      <c r="OV1" s="412"/>
      <c r="OW1" s="412"/>
      <c r="OX1" s="412"/>
      <c r="OY1" s="412"/>
      <c r="OZ1" s="412"/>
      <c r="PA1" s="412"/>
      <c r="PB1" s="412"/>
      <c r="PC1" s="412"/>
      <c r="PD1" s="412"/>
      <c r="PE1" s="412"/>
      <c r="PF1" s="412"/>
      <c r="PG1" s="412"/>
      <c r="PH1" s="412"/>
      <c r="PI1" s="412"/>
      <c r="PJ1" s="412"/>
      <c r="PK1" s="412"/>
      <c r="PL1" s="412"/>
      <c r="PM1" s="412"/>
      <c r="PN1" s="412"/>
      <c r="PO1" s="412"/>
      <c r="PP1" s="412"/>
      <c r="PQ1" s="412"/>
      <c r="PR1" s="412"/>
      <c r="PS1" s="412"/>
      <c r="PT1" s="412"/>
      <c r="PU1" s="412"/>
      <c r="PV1" s="412"/>
      <c r="PW1" s="412"/>
      <c r="PX1" s="412"/>
      <c r="PY1" s="412"/>
      <c r="PZ1" s="412"/>
      <c r="QA1" s="412"/>
      <c r="QB1" s="412"/>
      <c r="QC1" s="412"/>
      <c r="QD1" s="412"/>
      <c r="QE1" s="412"/>
      <c r="QF1" s="412"/>
      <c r="QG1" s="412"/>
      <c r="QH1" s="412"/>
      <c r="QI1" s="412"/>
      <c r="QJ1" s="412"/>
      <c r="QK1" s="412"/>
      <c r="QL1" s="412"/>
      <c r="QM1" s="412"/>
      <c r="QN1" s="412"/>
      <c r="QO1" s="412"/>
      <c r="QP1" s="412"/>
      <c r="QQ1" s="412"/>
      <c r="QR1" s="412"/>
      <c r="QS1" s="412"/>
      <c r="QT1" s="412"/>
      <c r="QU1" s="412"/>
      <c r="QV1" s="412"/>
      <c r="QW1" s="412"/>
      <c r="QX1" s="412"/>
      <c r="QY1" s="412"/>
      <c r="QZ1" s="412"/>
      <c r="RA1" s="412"/>
      <c r="RB1" s="412"/>
      <c r="RC1" s="412"/>
      <c r="RD1" s="412"/>
      <c r="RE1" s="412"/>
      <c r="RF1" s="412"/>
      <c r="RG1" s="412"/>
      <c r="RH1" s="412"/>
      <c r="RI1" s="412"/>
      <c r="RJ1" s="412"/>
      <c r="RK1" s="412"/>
      <c r="RL1" s="412"/>
      <c r="RM1" s="412"/>
      <c r="RN1" s="412"/>
      <c r="RO1" s="412"/>
      <c r="RP1" s="412"/>
      <c r="RQ1" s="412"/>
      <c r="RR1" s="412"/>
      <c r="RS1" s="412"/>
      <c r="RT1" s="412"/>
      <c r="RU1" s="412"/>
      <c r="RV1" s="412"/>
      <c r="RW1" s="412"/>
      <c r="RX1" s="412"/>
      <c r="RY1" s="412"/>
    </row>
    <row r="2" spans="1:493" ht="28.5" customHeight="1">
      <c r="A2" s="418" t="s">
        <v>48</v>
      </c>
      <c r="B2" s="635">
        <v>2012</v>
      </c>
      <c r="C2" s="635"/>
      <c r="D2" s="635"/>
      <c r="E2" s="635"/>
      <c r="F2" s="636"/>
      <c r="G2" s="635">
        <v>2013</v>
      </c>
      <c r="H2" s="635"/>
      <c r="I2" s="635"/>
      <c r="J2" s="635"/>
      <c r="K2" s="636"/>
      <c r="L2" s="634">
        <v>2014</v>
      </c>
      <c r="M2" s="635"/>
      <c r="N2" s="635"/>
      <c r="O2" s="635"/>
      <c r="P2" s="636"/>
      <c r="Q2" s="634">
        <v>2015</v>
      </c>
      <c r="R2" s="635"/>
      <c r="S2" s="635"/>
      <c r="T2" s="635"/>
      <c r="U2" s="636"/>
      <c r="V2" s="638">
        <v>2016</v>
      </c>
      <c r="W2" s="639"/>
      <c r="X2" s="639"/>
      <c r="Y2" s="639"/>
      <c r="Z2" s="640"/>
      <c r="AA2" s="630">
        <v>2017</v>
      </c>
      <c r="AB2" s="631"/>
      <c r="AC2" s="631"/>
      <c r="AD2" s="631"/>
      <c r="AE2" s="632"/>
      <c r="AF2" s="630" t="s">
        <v>271</v>
      </c>
      <c r="AG2" s="631"/>
      <c r="AH2" s="631"/>
      <c r="AI2" s="631"/>
      <c r="AJ2" s="632"/>
      <c r="AL2" s="630" t="s">
        <v>327</v>
      </c>
      <c r="AM2" s="631"/>
      <c r="AN2" s="631"/>
      <c r="AO2" s="631"/>
      <c r="AP2" s="632"/>
      <c r="AQ2" s="624" t="s">
        <v>326</v>
      </c>
      <c r="AR2" s="625"/>
      <c r="AS2" s="625"/>
      <c r="AT2" s="625"/>
      <c r="AU2" s="626"/>
      <c r="AV2" s="583"/>
      <c r="AW2" s="627" t="s">
        <v>325</v>
      </c>
      <c r="AX2" s="628"/>
      <c r="AY2" s="628"/>
      <c r="AZ2" s="628"/>
      <c r="BA2" s="629"/>
    </row>
    <row r="3" spans="1:493" ht="16.5" customHeight="1" thickBot="1">
      <c r="A3" s="420" t="s">
        <v>49</v>
      </c>
      <c r="B3" s="421" t="s">
        <v>2</v>
      </c>
      <c r="C3" s="421" t="s">
        <v>3</v>
      </c>
      <c r="D3" s="421" t="s">
        <v>4</v>
      </c>
      <c r="E3" s="421" t="s">
        <v>5</v>
      </c>
      <c r="F3" s="422">
        <v>2012</v>
      </c>
      <c r="G3" s="423" t="s">
        <v>2</v>
      </c>
      <c r="H3" s="421" t="s">
        <v>3</v>
      </c>
      <c r="I3" s="421" t="s">
        <v>4</v>
      </c>
      <c r="J3" s="421" t="s">
        <v>5</v>
      </c>
      <c r="K3" s="422">
        <v>2013</v>
      </c>
      <c r="L3" s="423" t="s">
        <v>2</v>
      </c>
      <c r="M3" s="421" t="s">
        <v>3</v>
      </c>
      <c r="N3" s="421" t="s">
        <v>4</v>
      </c>
      <c r="O3" s="421" t="s">
        <v>5</v>
      </c>
      <c r="P3" s="424">
        <v>2014</v>
      </c>
      <c r="Q3" s="421" t="s">
        <v>2</v>
      </c>
      <c r="R3" s="421" t="s">
        <v>3</v>
      </c>
      <c r="S3" s="421" t="s">
        <v>4</v>
      </c>
      <c r="T3" s="421" t="s">
        <v>5</v>
      </c>
      <c r="U3" s="424">
        <v>2015</v>
      </c>
      <c r="V3" s="421" t="s">
        <v>186</v>
      </c>
      <c r="W3" s="421" t="s">
        <v>3</v>
      </c>
      <c r="X3" s="421" t="s">
        <v>4</v>
      </c>
      <c r="Y3" s="421" t="s">
        <v>5</v>
      </c>
      <c r="Z3" s="424" t="s">
        <v>207</v>
      </c>
      <c r="AA3" s="421" t="s">
        <v>2</v>
      </c>
      <c r="AB3" s="421" t="s">
        <v>3</v>
      </c>
      <c r="AC3" s="425" t="s">
        <v>4</v>
      </c>
      <c r="AD3" s="421" t="s">
        <v>5</v>
      </c>
      <c r="AE3" s="424">
        <v>2017</v>
      </c>
      <c r="AF3" s="421" t="s">
        <v>2</v>
      </c>
      <c r="AG3" s="421" t="s">
        <v>3</v>
      </c>
      <c r="AH3" s="425" t="s">
        <v>4</v>
      </c>
      <c r="AI3" s="421" t="s">
        <v>5</v>
      </c>
      <c r="AJ3" s="424">
        <v>2018</v>
      </c>
      <c r="AL3" s="423" t="s">
        <v>2</v>
      </c>
      <c r="AM3" s="421" t="s">
        <v>3</v>
      </c>
      <c r="AN3" s="425" t="s">
        <v>4</v>
      </c>
      <c r="AO3" s="421" t="s">
        <v>5</v>
      </c>
      <c r="AP3" s="424" t="s">
        <v>235</v>
      </c>
      <c r="AQ3" s="594" t="s">
        <v>2</v>
      </c>
      <c r="AR3" s="593" t="s">
        <v>3</v>
      </c>
      <c r="AS3" s="589" t="s">
        <v>4</v>
      </c>
      <c r="AT3" s="593" t="s">
        <v>5</v>
      </c>
      <c r="AU3" s="595">
        <v>2019</v>
      </c>
      <c r="AV3" s="583"/>
      <c r="AW3" s="594" t="s">
        <v>2</v>
      </c>
      <c r="AX3" s="593" t="s">
        <v>3</v>
      </c>
      <c r="AY3" s="589" t="s">
        <v>4</v>
      </c>
      <c r="AZ3" s="593" t="s">
        <v>5</v>
      </c>
      <c r="BA3" s="595">
        <v>2019</v>
      </c>
    </row>
    <row r="4" spans="1:493" ht="34.5" customHeight="1" thickBot="1">
      <c r="A4" s="426" t="s">
        <v>50</v>
      </c>
      <c r="B4" s="521">
        <f>SUM(B5:B8)</f>
        <v>669.2</v>
      </c>
      <c r="C4" s="521">
        <f t="shared" ref="C4:G4" si="0">SUM(C5:C8)</f>
        <v>713.8</v>
      </c>
      <c r="D4" s="521">
        <f t="shared" si="0"/>
        <v>644.5</v>
      </c>
      <c r="E4" s="521">
        <f t="shared" si="0"/>
        <v>750.60000000000014</v>
      </c>
      <c r="F4" s="557">
        <f>SUM(F5:F8)</f>
        <v>2778.0999999999995</v>
      </c>
      <c r="G4" s="520">
        <f t="shared" si="0"/>
        <v>697.1</v>
      </c>
      <c r="H4" s="521">
        <f t="shared" ref="H4" si="1">SUM(H5:H8)</f>
        <v>735.9</v>
      </c>
      <c r="I4" s="521">
        <f t="shared" ref="I4" si="2">SUM(I5:I8)</f>
        <v>677.3</v>
      </c>
      <c r="J4" s="521">
        <f t="shared" ref="J4:M4" si="3">SUM(J5:J8)</f>
        <v>800.5</v>
      </c>
      <c r="K4" s="557">
        <f>SUM(K5:K8)</f>
        <v>2910.8</v>
      </c>
      <c r="L4" s="520">
        <f t="shared" si="3"/>
        <v>723.29999999999984</v>
      </c>
      <c r="M4" s="521">
        <f t="shared" si="3"/>
        <v>1745.9</v>
      </c>
      <c r="N4" s="521">
        <f t="shared" ref="N4" si="4">SUM(N5:N8)</f>
        <v>2419.6</v>
      </c>
      <c r="O4" s="521">
        <f t="shared" ref="O4" si="5">SUM(O5:O8)</f>
        <v>2521.1000000000004</v>
      </c>
      <c r="P4" s="523">
        <f>SUM(P5:P8)</f>
        <v>7409.9</v>
      </c>
      <c r="Q4" s="521">
        <f t="shared" ref="Q4:T4" si="6">SUM(Q5:Q8)</f>
        <v>2329</v>
      </c>
      <c r="R4" s="521">
        <f t="shared" si="6"/>
        <v>2469.1999999999998</v>
      </c>
      <c r="S4" s="521">
        <f t="shared" si="6"/>
        <v>2414.8999999999996</v>
      </c>
      <c r="T4" s="521">
        <f t="shared" si="6"/>
        <v>2609.9</v>
      </c>
      <c r="U4" s="523">
        <f>SUM(U5:U8)</f>
        <v>9823</v>
      </c>
      <c r="V4" s="521">
        <f t="shared" ref="V4:Y4" si="7">SUM(V5:V8)</f>
        <v>2364</v>
      </c>
      <c r="W4" s="521">
        <f t="shared" si="7"/>
        <v>2442.9</v>
      </c>
      <c r="X4" s="521">
        <f t="shared" si="7"/>
        <v>2387.8000000000002</v>
      </c>
      <c r="Y4" s="521">
        <f t="shared" si="7"/>
        <v>2535.1</v>
      </c>
      <c r="Z4" s="523">
        <f>SUM(Z5:Z8)</f>
        <v>9729.7999999999993</v>
      </c>
      <c r="AA4" s="521">
        <f>SUM(AA5:AA8)</f>
        <v>2388.6</v>
      </c>
      <c r="AB4" s="521">
        <f>SUM(AB5:AB8)</f>
        <v>2469.9</v>
      </c>
      <c r="AC4" s="521">
        <f>SUM(AC5:AC8)</f>
        <v>2390.9</v>
      </c>
      <c r="AD4" s="541">
        <f t="shared" ref="AD4:AE4" si="8">SUM(AD5:AD8)</f>
        <v>2579.1999999999998</v>
      </c>
      <c r="AE4" s="523">
        <f t="shared" si="8"/>
        <v>9828.6</v>
      </c>
      <c r="AF4" s="521">
        <f>SUM(AF5:AF8)</f>
        <v>2360.6999999999998</v>
      </c>
      <c r="AG4" s="521">
        <f>SUM(AG5:AG8)</f>
        <v>2476.9</v>
      </c>
      <c r="AH4" s="547">
        <f>SUM(AH5:AH8)</f>
        <v>2435.4</v>
      </c>
      <c r="AI4" s="547">
        <f>SUM(AI5:AI8)</f>
        <v>2682</v>
      </c>
      <c r="AJ4" s="523">
        <f t="shared" ref="AJ4" si="9">SUM(AJ5:AJ8)</f>
        <v>9955</v>
      </c>
      <c r="AK4" s="544"/>
      <c r="AL4" s="520">
        <f>SUM(AL5:AL8)</f>
        <v>2345.9</v>
      </c>
      <c r="AM4" s="521">
        <f>SUM(AM5:AM8)</f>
        <v>2603.1999999999998</v>
      </c>
      <c r="AN4" s="522">
        <f>SUM(AN5:AN8)</f>
        <v>2735</v>
      </c>
      <c r="AO4" s="522">
        <f t="shared" ref="AO4" si="10">SUM(AO5:AO8)</f>
        <v>3002</v>
      </c>
      <c r="AP4" s="523">
        <f>SUM(AP5:AP8)</f>
        <v>10686.100000000002</v>
      </c>
      <c r="AQ4" s="520">
        <f>SUM(AQ5:AQ8)</f>
        <v>2782.4</v>
      </c>
      <c r="AR4" s="620"/>
      <c r="AS4" s="621"/>
      <c r="AT4" s="621"/>
      <c r="AU4" s="523">
        <f>SUM(AU5:AU8)</f>
        <v>2782.4</v>
      </c>
      <c r="AV4" s="583"/>
      <c r="AW4" s="520">
        <f>SUM(AW5:AW8)</f>
        <v>2791.6</v>
      </c>
      <c r="AX4" s="620"/>
      <c r="AY4" s="621"/>
      <c r="AZ4" s="621"/>
      <c r="BA4" s="523">
        <v>2791.6</v>
      </c>
    </row>
    <row r="5" spans="1:493" ht="24.75" customHeight="1">
      <c r="A5" s="431" t="s">
        <v>51</v>
      </c>
      <c r="B5" s="536">
        <v>424</v>
      </c>
      <c r="C5" s="536">
        <v>427.1</v>
      </c>
      <c r="D5" s="536">
        <v>434.4</v>
      </c>
      <c r="E5" s="536">
        <v>446.6</v>
      </c>
      <c r="F5" s="537">
        <f>SUM(B5:E5)</f>
        <v>1732.1</v>
      </c>
      <c r="G5" s="524">
        <v>451.7</v>
      </c>
      <c r="H5" s="536">
        <v>452</v>
      </c>
      <c r="I5" s="536">
        <v>460.3</v>
      </c>
      <c r="J5" s="536">
        <v>466.1</v>
      </c>
      <c r="K5" s="537">
        <f>SUM(G5:J5)</f>
        <v>1830.1</v>
      </c>
      <c r="L5" s="524">
        <v>467.79999999999995</v>
      </c>
      <c r="M5" s="536">
        <v>1204.5</v>
      </c>
      <c r="N5" s="536">
        <v>1710.7</v>
      </c>
      <c r="O5" s="536">
        <v>1701.7</v>
      </c>
      <c r="P5" s="528">
        <f>SUM(L5:O5)</f>
        <v>5084.7</v>
      </c>
      <c r="Q5" s="536">
        <v>1637.2</v>
      </c>
      <c r="R5" s="536">
        <v>1652</v>
      </c>
      <c r="S5" s="536">
        <v>1643.3</v>
      </c>
      <c r="T5" s="538">
        <v>1620.6</v>
      </c>
      <c r="U5" s="528">
        <v>6553.1</v>
      </c>
      <c r="V5" s="536">
        <v>1565.7</v>
      </c>
      <c r="W5" s="536">
        <v>1586.9</v>
      </c>
      <c r="X5" s="536">
        <v>1583.7</v>
      </c>
      <c r="Y5" s="538">
        <v>1589</v>
      </c>
      <c r="Z5" s="528">
        <f>SUM(V5:Y5)</f>
        <v>6325.3</v>
      </c>
      <c r="AA5" s="536">
        <v>1542.7</v>
      </c>
      <c r="AB5" s="536">
        <v>1533.3</v>
      </c>
      <c r="AC5" s="525">
        <v>1494</v>
      </c>
      <c r="AD5" s="525">
        <v>1497.9</v>
      </c>
      <c r="AE5" s="528">
        <f>SUM(AA5:AD5)</f>
        <v>6067.9</v>
      </c>
      <c r="AF5" s="536">
        <v>1470.2</v>
      </c>
      <c r="AG5" s="539">
        <v>1483.8</v>
      </c>
      <c r="AH5" s="525">
        <v>1481.7</v>
      </c>
      <c r="AI5" s="525">
        <v>1484.8</v>
      </c>
      <c r="AJ5" s="528">
        <f>SUM(AF5:AI5)</f>
        <v>5920.5</v>
      </c>
      <c r="AK5" s="498"/>
      <c r="AL5" s="524">
        <v>1352.2</v>
      </c>
      <c r="AM5" s="525">
        <v>1482.1</v>
      </c>
      <c r="AN5" s="526">
        <v>1630.5</v>
      </c>
      <c r="AO5" s="519">
        <v>1627.8000000000002</v>
      </c>
      <c r="AP5" s="528">
        <f>SUM(AL5:AO5)</f>
        <v>6092.6</v>
      </c>
      <c r="AQ5" s="524">
        <v>1606</v>
      </c>
      <c r="AR5" s="525"/>
      <c r="AS5" s="526"/>
      <c r="AT5" s="590"/>
      <c r="AU5" s="528">
        <f>SUM(AQ5:AT5)</f>
        <v>1606</v>
      </c>
      <c r="AV5" s="583"/>
      <c r="AW5" s="524">
        <v>1606</v>
      </c>
      <c r="AX5" s="525"/>
      <c r="AY5" s="526"/>
      <c r="AZ5" s="590"/>
      <c r="BA5" s="528">
        <f>SUM(AW5:AZ5)</f>
        <v>1606</v>
      </c>
    </row>
    <row r="6" spans="1:493" ht="20.100000000000001" customHeight="1">
      <c r="A6" s="434" t="s">
        <v>52</v>
      </c>
      <c r="B6" s="536">
        <v>234.6</v>
      </c>
      <c r="C6" s="536">
        <v>272.7</v>
      </c>
      <c r="D6" s="536">
        <v>198</v>
      </c>
      <c r="E6" s="536">
        <v>286.3</v>
      </c>
      <c r="F6" s="537">
        <f t="shared" ref="F6:F8" si="11">SUM(B6:E6)</f>
        <v>991.59999999999991</v>
      </c>
      <c r="G6" s="524">
        <v>223.8</v>
      </c>
      <c r="H6" s="536">
        <v>265.2</v>
      </c>
      <c r="I6" s="536">
        <v>204</v>
      </c>
      <c r="J6" s="536">
        <v>317.2</v>
      </c>
      <c r="K6" s="537">
        <f t="shared" ref="K6:K8" si="12">SUM(G6:J6)</f>
        <v>1010.2</v>
      </c>
      <c r="L6" s="524">
        <v>242.19999999999993</v>
      </c>
      <c r="M6" s="536">
        <v>479.1</v>
      </c>
      <c r="N6" s="536">
        <v>591.6</v>
      </c>
      <c r="O6" s="536">
        <v>641.1</v>
      </c>
      <c r="P6" s="528">
        <f t="shared" ref="P6:P8" si="13">SUM(L6:O6)</f>
        <v>1954</v>
      </c>
      <c r="Q6" s="536">
        <v>553.29999999999995</v>
      </c>
      <c r="R6" s="536">
        <v>688.7</v>
      </c>
      <c r="S6" s="536">
        <v>616.9</v>
      </c>
      <c r="T6" s="538">
        <v>738</v>
      </c>
      <c r="U6" s="528">
        <v>2596.9</v>
      </c>
      <c r="V6" s="536">
        <v>599.79999999999995</v>
      </c>
      <c r="W6" s="536">
        <v>645</v>
      </c>
      <c r="X6" s="536">
        <v>562.9</v>
      </c>
      <c r="Y6" s="538">
        <v>658.4</v>
      </c>
      <c r="Z6" s="528">
        <f t="shared" ref="Z6:Z27" si="14">SUM(V6:Y6)</f>
        <v>2466.1</v>
      </c>
      <c r="AA6" s="536">
        <v>562.1</v>
      </c>
      <c r="AB6" s="536">
        <v>652.29999999999995</v>
      </c>
      <c r="AC6" s="525">
        <v>588.4</v>
      </c>
      <c r="AD6" s="525">
        <v>735.8</v>
      </c>
      <c r="AE6" s="528">
        <f t="shared" ref="AE6:AE8" si="15">SUM(AA6:AD6)</f>
        <v>2538.6000000000004</v>
      </c>
      <c r="AF6" s="536">
        <v>635.9</v>
      </c>
      <c r="AG6" s="539">
        <v>708.5</v>
      </c>
      <c r="AH6" s="525">
        <v>677.7</v>
      </c>
      <c r="AI6" s="525">
        <v>860.1</v>
      </c>
      <c r="AJ6" s="528">
        <f t="shared" ref="AJ6:AJ8" si="16">SUM(AF6:AI6)</f>
        <v>2882.2000000000003</v>
      </c>
      <c r="AK6" s="498"/>
      <c r="AL6" s="524">
        <v>635.9</v>
      </c>
      <c r="AM6" s="525">
        <v>738.5</v>
      </c>
      <c r="AN6" s="526">
        <v>741.6</v>
      </c>
      <c r="AO6" s="519">
        <v>927.80000000000018</v>
      </c>
      <c r="AP6" s="528">
        <f t="shared" ref="AP6:AP8" si="17">SUM(AL6:AO6)</f>
        <v>3043.8</v>
      </c>
      <c r="AQ6" s="524">
        <v>772.7</v>
      </c>
      <c r="AR6" s="525"/>
      <c r="AS6" s="526"/>
      <c r="AT6" s="590"/>
      <c r="AU6" s="528">
        <f t="shared" ref="AU6:AU8" si="18">SUM(AQ6:AT6)</f>
        <v>772.7</v>
      </c>
      <c r="AV6" s="583"/>
      <c r="AW6" s="524">
        <v>772.7</v>
      </c>
      <c r="AX6" s="525"/>
      <c r="AY6" s="526"/>
      <c r="AZ6" s="590"/>
      <c r="BA6" s="528">
        <f t="shared" ref="BA6:BA8" si="19">SUM(AW6:AZ6)</f>
        <v>772.7</v>
      </c>
    </row>
    <row r="7" spans="1:493" ht="20.100000000000001" customHeight="1">
      <c r="A7" s="434" t="s">
        <v>53</v>
      </c>
      <c r="B7" s="536">
        <v>2.7</v>
      </c>
      <c r="C7" s="536">
        <v>6.2</v>
      </c>
      <c r="D7" s="536">
        <v>2.6</v>
      </c>
      <c r="E7" s="536">
        <v>7.2</v>
      </c>
      <c r="F7" s="537">
        <f t="shared" si="11"/>
        <v>18.7</v>
      </c>
      <c r="G7" s="524">
        <v>13.1</v>
      </c>
      <c r="H7" s="536">
        <v>11.8</v>
      </c>
      <c r="I7" s="536">
        <v>7.1</v>
      </c>
      <c r="J7" s="536">
        <v>9.6999999999999993</v>
      </c>
      <c r="K7" s="537">
        <f t="shared" si="12"/>
        <v>41.7</v>
      </c>
      <c r="L7" s="524">
        <v>7.8999999999999986</v>
      </c>
      <c r="M7" s="536">
        <v>55.4</v>
      </c>
      <c r="N7" s="536">
        <v>104.1</v>
      </c>
      <c r="O7" s="536">
        <v>159.9</v>
      </c>
      <c r="P7" s="528">
        <f t="shared" si="13"/>
        <v>327.29999999999995</v>
      </c>
      <c r="Q7" s="536">
        <v>118.4</v>
      </c>
      <c r="R7" s="536">
        <v>106.9</v>
      </c>
      <c r="S7" s="536">
        <v>131.19999999999999</v>
      </c>
      <c r="T7" s="538">
        <v>226.89999999999998</v>
      </c>
      <c r="U7" s="528">
        <v>583.4</v>
      </c>
      <c r="V7" s="536">
        <v>172.8</v>
      </c>
      <c r="W7" s="536">
        <v>191.1</v>
      </c>
      <c r="X7" s="536">
        <v>221.3</v>
      </c>
      <c r="Y7" s="538">
        <v>265.60000000000002</v>
      </c>
      <c r="Z7" s="528">
        <f t="shared" si="14"/>
        <v>850.80000000000007</v>
      </c>
      <c r="AA7" s="536">
        <v>248.6</v>
      </c>
      <c r="AB7" s="536">
        <v>243.3</v>
      </c>
      <c r="AC7" s="525">
        <v>264.5</v>
      </c>
      <c r="AD7" s="525">
        <v>298.8</v>
      </c>
      <c r="AE7" s="528">
        <f t="shared" si="15"/>
        <v>1055.2</v>
      </c>
      <c r="AF7" s="536">
        <v>208.6</v>
      </c>
      <c r="AG7" s="539">
        <v>239</v>
      </c>
      <c r="AH7" s="525">
        <v>237.6</v>
      </c>
      <c r="AI7" s="525">
        <v>286.2</v>
      </c>
      <c r="AJ7" s="528">
        <f t="shared" si="16"/>
        <v>971.40000000000009</v>
      </c>
      <c r="AK7" s="498"/>
      <c r="AL7" s="524">
        <v>317.5</v>
      </c>
      <c r="AM7" s="525">
        <v>341.7</v>
      </c>
      <c r="AN7" s="526">
        <v>328.6</v>
      </c>
      <c r="AO7" s="519">
        <v>398.20000000000005</v>
      </c>
      <c r="AP7" s="528">
        <f t="shared" si="17"/>
        <v>1386</v>
      </c>
      <c r="AQ7" s="524">
        <v>347.4</v>
      </c>
      <c r="AR7" s="525"/>
      <c r="AS7" s="526"/>
      <c r="AT7" s="590"/>
      <c r="AU7" s="528">
        <f t="shared" si="18"/>
        <v>347.4</v>
      </c>
      <c r="AV7" s="583"/>
      <c r="AW7" s="524">
        <v>347.4</v>
      </c>
      <c r="AX7" s="525"/>
      <c r="AY7" s="526"/>
      <c r="AZ7" s="590"/>
      <c r="BA7" s="528">
        <f t="shared" si="19"/>
        <v>347.4</v>
      </c>
    </row>
    <row r="8" spans="1:493" ht="20.100000000000001" customHeight="1" thickBot="1">
      <c r="A8" s="435" t="s">
        <v>54</v>
      </c>
      <c r="B8" s="536">
        <v>7.9</v>
      </c>
      <c r="C8" s="536">
        <v>7.8</v>
      </c>
      <c r="D8" s="536">
        <v>9.5</v>
      </c>
      <c r="E8" s="536">
        <v>10.5</v>
      </c>
      <c r="F8" s="537">
        <f t="shared" si="11"/>
        <v>35.700000000000003</v>
      </c>
      <c r="G8" s="524">
        <v>8.5</v>
      </c>
      <c r="H8" s="536">
        <v>6.9</v>
      </c>
      <c r="I8" s="536">
        <v>5.9</v>
      </c>
      <c r="J8" s="536">
        <v>7.5</v>
      </c>
      <c r="K8" s="537">
        <f t="shared" si="12"/>
        <v>28.8</v>
      </c>
      <c r="L8" s="524">
        <v>5.4</v>
      </c>
      <c r="M8" s="536">
        <v>6.9</v>
      </c>
      <c r="N8" s="536">
        <v>13.2</v>
      </c>
      <c r="O8" s="536">
        <v>18.399999999999999</v>
      </c>
      <c r="P8" s="528">
        <f t="shared" si="13"/>
        <v>43.9</v>
      </c>
      <c r="Q8" s="536">
        <v>20.100000000000001</v>
      </c>
      <c r="R8" s="536">
        <v>21.6</v>
      </c>
      <c r="S8" s="536">
        <v>23.5</v>
      </c>
      <c r="T8" s="538">
        <v>24.399999999999991</v>
      </c>
      <c r="U8" s="528">
        <v>89.6</v>
      </c>
      <c r="V8" s="536">
        <v>25.7</v>
      </c>
      <c r="W8" s="536">
        <v>19.899999999999999</v>
      </c>
      <c r="X8" s="536">
        <v>19.899999999999999</v>
      </c>
      <c r="Y8" s="538">
        <v>22.1</v>
      </c>
      <c r="Z8" s="528">
        <f t="shared" si="14"/>
        <v>87.6</v>
      </c>
      <c r="AA8" s="536">
        <v>35.200000000000003</v>
      </c>
      <c r="AB8" s="536">
        <v>41</v>
      </c>
      <c r="AC8" s="525">
        <v>44</v>
      </c>
      <c r="AD8" s="525">
        <v>46.7</v>
      </c>
      <c r="AE8" s="528">
        <f t="shared" si="15"/>
        <v>166.9</v>
      </c>
      <c r="AF8" s="536">
        <v>46</v>
      </c>
      <c r="AG8" s="539">
        <v>45.6</v>
      </c>
      <c r="AH8" s="525">
        <v>38.4</v>
      </c>
      <c r="AI8" s="525">
        <v>50.9</v>
      </c>
      <c r="AJ8" s="528">
        <f t="shared" si="16"/>
        <v>180.9</v>
      </c>
      <c r="AK8" s="498"/>
      <c r="AL8" s="524">
        <v>40.299999999999997</v>
      </c>
      <c r="AM8" s="525">
        <v>40.9</v>
      </c>
      <c r="AN8" s="526">
        <v>34.299999999999997</v>
      </c>
      <c r="AO8" s="519">
        <v>48.199999999999989</v>
      </c>
      <c r="AP8" s="528">
        <f t="shared" si="17"/>
        <v>163.69999999999999</v>
      </c>
      <c r="AQ8" s="524">
        <v>56.3</v>
      </c>
      <c r="AR8" s="525"/>
      <c r="AS8" s="526"/>
      <c r="AT8" s="590"/>
      <c r="AU8" s="528">
        <f t="shared" si="18"/>
        <v>56.3</v>
      </c>
      <c r="AV8" s="583"/>
      <c r="AW8" s="524">
        <v>65.5</v>
      </c>
      <c r="AX8" s="525"/>
      <c r="AY8" s="526"/>
      <c r="AZ8" s="590"/>
      <c r="BA8" s="528">
        <f t="shared" si="19"/>
        <v>65.5</v>
      </c>
    </row>
    <row r="9" spans="1:493" s="436" customFormat="1" ht="24.95" customHeight="1" thickBot="1">
      <c r="A9" s="426" t="s">
        <v>55</v>
      </c>
      <c r="B9" s="521">
        <f>SUM(B10:B17)</f>
        <v>-464.5</v>
      </c>
      <c r="C9" s="521">
        <f t="shared" ref="C9:Z9" si="20">SUM(C10:C17)</f>
        <v>-499.7</v>
      </c>
      <c r="D9" s="521">
        <f t="shared" si="20"/>
        <v>-444.9</v>
      </c>
      <c r="E9" s="521">
        <f t="shared" si="20"/>
        <v>-562.4</v>
      </c>
      <c r="F9" s="540">
        <f t="shared" si="20"/>
        <v>-1971.5000000000002</v>
      </c>
      <c r="G9" s="520">
        <f t="shared" si="20"/>
        <v>-512.92000000000007</v>
      </c>
      <c r="H9" s="521">
        <f t="shared" si="20"/>
        <v>-542.4</v>
      </c>
      <c r="I9" s="521">
        <f t="shared" si="20"/>
        <v>-510.7</v>
      </c>
      <c r="J9" s="521">
        <f t="shared" si="20"/>
        <v>-591.70000000000005</v>
      </c>
      <c r="K9" s="540">
        <f t="shared" si="20"/>
        <v>-2157.7199999999998</v>
      </c>
      <c r="L9" s="520">
        <f t="shared" si="20"/>
        <v>-507.5</v>
      </c>
      <c r="M9" s="521">
        <f t="shared" si="20"/>
        <v>-1351.8000000000002</v>
      </c>
      <c r="N9" s="521">
        <f t="shared" si="20"/>
        <v>-1992.5000000000002</v>
      </c>
      <c r="O9" s="521">
        <f t="shared" si="20"/>
        <v>-2125.3999999999996</v>
      </c>
      <c r="P9" s="529">
        <f t="shared" si="20"/>
        <v>-5977.2000000000016</v>
      </c>
      <c r="Q9" s="521">
        <f t="shared" si="20"/>
        <v>-1909</v>
      </c>
      <c r="R9" s="521">
        <f t="shared" si="20"/>
        <v>-1899.4999999999998</v>
      </c>
      <c r="S9" s="521">
        <f t="shared" si="20"/>
        <v>-1900.1</v>
      </c>
      <c r="T9" s="521">
        <f t="shared" si="20"/>
        <v>-2159.2999999999997</v>
      </c>
      <c r="U9" s="529">
        <f t="shared" si="20"/>
        <v>-7867.9000000000005</v>
      </c>
      <c r="V9" s="521">
        <f t="shared" si="20"/>
        <v>-1948</v>
      </c>
      <c r="W9" s="521">
        <f t="shared" si="20"/>
        <v>-2042</v>
      </c>
      <c r="X9" s="521">
        <f t="shared" si="20"/>
        <v>-1938.6999999999998</v>
      </c>
      <c r="Y9" s="521">
        <f t="shared" si="20"/>
        <v>-2140.6</v>
      </c>
      <c r="Z9" s="529">
        <f t="shared" si="20"/>
        <v>-8069.2999999999993</v>
      </c>
      <c r="AA9" s="521">
        <f>SUM(AA10:AA17)</f>
        <v>-1938.1999999999996</v>
      </c>
      <c r="AB9" s="521">
        <f>SUM(AB10:AB17)</f>
        <v>-1962.8000000000002</v>
      </c>
      <c r="AC9" s="521">
        <f>SUM(AC10:AC17)</f>
        <v>-1975.7</v>
      </c>
      <c r="AD9" s="541">
        <f t="shared" ref="AD9:AE9" si="21">SUM(AD10:AD17)</f>
        <v>-2139.1999999999998</v>
      </c>
      <c r="AE9" s="529">
        <f t="shared" si="21"/>
        <v>-8015.9</v>
      </c>
      <c r="AF9" s="521">
        <f>SUM(AF10:AF17)</f>
        <v>-1903.1000000000001</v>
      </c>
      <c r="AG9" s="521">
        <f>SUM(AG10:AG17)</f>
        <v>-1986.5000000000002</v>
      </c>
      <c r="AH9" s="542">
        <f>SUM(AH10:AH17)</f>
        <v>-2044</v>
      </c>
      <c r="AI9" s="542">
        <f>SUM(AI10:AI17)</f>
        <v>-2266</v>
      </c>
      <c r="AJ9" s="529">
        <f t="shared" ref="AJ9" si="22">SUM(AJ10:AJ17)</f>
        <v>-8199.6</v>
      </c>
      <c r="AK9" s="499"/>
      <c r="AL9" s="520">
        <f>SUM(AL10:AL17)</f>
        <v>-1917.1000000000001</v>
      </c>
      <c r="AM9" s="521">
        <f>SUM(AM10:AM17)</f>
        <v>-2127</v>
      </c>
      <c r="AN9" s="522">
        <f>SUM(AN10:AN17)</f>
        <v>-2345.8000000000002</v>
      </c>
      <c r="AO9" s="522">
        <f>SUM(AO10:AO17)</f>
        <v>-2588.9</v>
      </c>
      <c r="AP9" s="529">
        <f t="shared" ref="AP9" si="23">SUM(AP10:AP17)</f>
        <v>-8978.7999999999993</v>
      </c>
      <c r="AQ9" s="520">
        <f>SUM(AQ10:AQ17)</f>
        <v>-2317.1</v>
      </c>
      <c r="AR9" s="620"/>
      <c r="AS9" s="621"/>
      <c r="AT9" s="621"/>
      <c r="AU9" s="529">
        <f t="shared" ref="AU9" si="24">SUM(AU10:AU17)</f>
        <v>-2317.1</v>
      </c>
      <c r="AV9" s="597"/>
      <c r="AW9" s="520">
        <f>SUM(AW10:AW17)</f>
        <v>-2317.0000000000005</v>
      </c>
      <c r="AX9" s="620"/>
      <c r="AY9" s="621"/>
      <c r="AZ9" s="621"/>
      <c r="BA9" s="529">
        <v>-2317.0000000000005</v>
      </c>
    </row>
    <row r="10" spans="1:493" ht="20.100000000000001" customHeight="1">
      <c r="A10" s="437" t="s">
        <v>59</v>
      </c>
      <c r="B10" s="536">
        <v>-49.7</v>
      </c>
      <c r="C10" s="536">
        <v>-55.1</v>
      </c>
      <c r="D10" s="536">
        <v>-58.6</v>
      </c>
      <c r="E10" s="536">
        <v>-59.3</v>
      </c>
      <c r="F10" s="537">
        <f t="shared" ref="F10:F12" si="25">SUM(B10:E10)</f>
        <v>-222.7</v>
      </c>
      <c r="G10" s="524">
        <v>-60.7</v>
      </c>
      <c r="H10" s="536">
        <v>-62</v>
      </c>
      <c r="I10" s="536">
        <v>-62.2</v>
      </c>
      <c r="J10" s="536">
        <v>-71.400000000000006</v>
      </c>
      <c r="K10" s="537">
        <f t="shared" ref="K10:K12" si="26">SUM(G10:J10)</f>
        <v>-256.3</v>
      </c>
      <c r="L10" s="524">
        <v>-71.400000000000006</v>
      </c>
      <c r="M10" s="536">
        <v>-288</v>
      </c>
      <c r="N10" s="536">
        <v>-495.9</v>
      </c>
      <c r="O10" s="536">
        <v>-557.20000000000005</v>
      </c>
      <c r="P10" s="528">
        <f t="shared" ref="P10:P12" si="27">SUM(L10:O10)</f>
        <v>-1412.5</v>
      </c>
      <c r="Q10" s="536">
        <v>-482.3</v>
      </c>
      <c r="R10" s="536">
        <v>-522.4</v>
      </c>
      <c r="S10" s="536">
        <v>-551.20000000000005</v>
      </c>
      <c r="T10" s="538">
        <v>-585.09999999999991</v>
      </c>
      <c r="U10" s="528">
        <v>-2141</v>
      </c>
      <c r="V10" s="536">
        <v>-550.29999999999995</v>
      </c>
      <c r="W10" s="536">
        <v>-456.6</v>
      </c>
      <c r="X10" s="536">
        <v>-459.2</v>
      </c>
      <c r="Y10" s="538">
        <v>-472.6</v>
      </c>
      <c r="Z10" s="528">
        <f t="shared" ref="Z10:Z11" si="28">SUM(V10:Y10)</f>
        <v>-1938.6999999999998</v>
      </c>
      <c r="AA10" s="536">
        <v>-468.2</v>
      </c>
      <c r="AB10" s="536">
        <v>-483.5</v>
      </c>
      <c r="AC10" s="525">
        <v>-528.5</v>
      </c>
      <c r="AD10" s="525">
        <v>-533.79999999999995</v>
      </c>
      <c r="AE10" s="528">
        <f t="shared" ref="AE10:AE18" si="29">SUM(AA10:AD10)</f>
        <v>-2014</v>
      </c>
      <c r="AF10" s="536">
        <v>-504.5</v>
      </c>
      <c r="AG10" s="539">
        <v>-521.1</v>
      </c>
      <c r="AH10" s="543">
        <v>-550.29999999999995</v>
      </c>
      <c r="AI10" s="558">
        <v>-560.1</v>
      </c>
      <c r="AJ10" s="528">
        <f t="shared" ref="AJ10:AJ18" si="30">SUM(AF10:AI10)</f>
        <v>-2136</v>
      </c>
      <c r="AK10" s="544"/>
      <c r="AL10" s="524">
        <v>-504.5</v>
      </c>
      <c r="AM10" s="525">
        <v>-578.5</v>
      </c>
      <c r="AN10" s="526">
        <v>-674.8</v>
      </c>
      <c r="AO10" s="558">
        <v>-691.10000000000014</v>
      </c>
      <c r="AP10" s="528">
        <f t="shared" ref="AP10:AP18" si="31">SUM(AL10:AO10)</f>
        <v>-2448.9</v>
      </c>
      <c r="AQ10" s="524">
        <v>-651.29999999999995</v>
      </c>
      <c r="AR10" s="525"/>
      <c r="AS10" s="526"/>
      <c r="AT10" s="591"/>
      <c r="AU10" s="528">
        <f t="shared" ref="AU10:AU17" si="32">SUM(AQ10:AT10)</f>
        <v>-651.29999999999995</v>
      </c>
      <c r="AV10" s="583"/>
      <c r="AW10" s="524">
        <v>-563.79999999999995</v>
      </c>
      <c r="AX10" s="525"/>
      <c r="AY10" s="526"/>
      <c r="AZ10" s="591"/>
      <c r="BA10" s="528">
        <f t="shared" ref="BA10:BA18" si="33">SUM(AW10:AZ10)</f>
        <v>-563.79999999999995</v>
      </c>
    </row>
    <row r="11" spans="1:493" ht="20.100000000000001" customHeight="1">
      <c r="A11" s="434" t="s">
        <v>58</v>
      </c>
      <c r="B11" s="536">
        <v>-54.4</v>
      </c>
      <c r="C11" s="536">
        <v>-56.7</v>
      </c>
      <c r="D11" s="536">
        <v>-60.2</v>
      </c>
      <c r="E11" s="536">
        <v>-71.7</v>
      </c>
      <c r="F11" s="537">
        <f t="shared" si="25"/>
        <v>-243</v>
      </c>
      <c r="G11" s="524">
        <v>-60.7</v>
      </c>
      <c r="H11" s="536">
        <v>-62.3</v>
      </c>
      <c r="I11" s="536">
        <v>-64.8</v>
      </c>
      <c r="J11" s="536">
        <v>-68.599999999999994</v>
      </c>
      <c r="K11" s="537">
        <f t="shared" si="26"/>
        <v>-256.39999999999998</v>
      </c>
      <c r="L11" s="524">
        <v>-62.4</v>
      </c>
      <c r="M11" s="536">
        <v>-311.3</v>
      </c>
      <c r="N11" s="536">
        <v>-478.3</v>
      </c>
      <c r="O11" s="536">
        <v>-443.8</v>
      </c>
      <c r="P11" s="528">
        <f t="shared" si="27"/>
        <v>-1295.8</v>
      </c>
      <c r="Q11" s="536">
        <v>-467.9</v>
      </c>
      <c r="R11" s="536">
        <v>-393.5</v>
      </c>
      <c r="S11" s="536">
        <v>-401.2</v>
      </c>
      <c r="T11" s="538">
        <v>-436.70000000000005</v>
      </c>
      <c r="U11" s="528">
        <v>-1699.3</v>
      </c>
      <c r="V11" s="536">
        <v>-423.7</v>
      </c>
      <c r="W11" s="536">
        <v>-527.5</v>
      </c>
      <c r="X11" s="536">
        <v>-507.9</v>
      </c>
      <c r="Y11" s="538">
        <v>-512.4</v>
      </c>
      <c r="Z11" s="528">
        <f t="shared" si="28"/>
        <v>-1971.5</v>
      </c>
      <c r="AA11" s="536">
        <v>-472.3</v>
      </c>
      <c r="AB11" s="536">
        <v>-446.7</v>
      </c>
      <c r="AC11" s="525">
        <v>-429.2</v>
      </c>
      <c r="AD11" s="525">
        <v>-434.8</v>
      </c>
      <c r="AE11" s="528">
        <f t="shared" si="29"/>
        <v>-1783</v>
      </c>
      <c r="AF11" s="536">
        <v>-454.5</v>
      </c>
      <c r="AG11" s="539">
        <v>-439.1</v>
      </c>
      <c r="AH11" s="543">
        <v>-452.5</v>
      </c>
      <c r="AI11" s="558">
        <v>-430.6</v>
      </c>
      <c r="AJ11" s="528">
        <f t="shared" si="30"/>
        <v>-1776.6999999999998</v>
      </c>
      <c r="AK11" s="544"/>
      <c r="AL11" s="524">
        <v>-454.5</v>
      </c>
      <c r="AM11" s="525">
        <v>-470.8</v>
      </c>
      <c r="AN11" s="526">
        <v>-523.5</v>
      </c>
      <c r="AO11" s="558">
        <v>-521.90000000000009</v>
      </c>
      <c r="AP11" s="528">
        <f t="shared" si="31"/>
        <v>-1970.7</v>
      </c>
      <c r="AQ11" s="524">
        <v>-440.1</v>
      </c>
      <c r="AR11" s="525"/>
      <c r="AS11" s="526"/>
      <c r="AT11" s="591"/>
      <c r="AU11" s="528">
        <f t="shared" si="32"/>
        <v>-440.1</v>
      </c>
      <c r="AV11" s="583"/>
      <c r="AW11" s="524">
        <v>-547.1</v>
      </c>
      <c r="AX11" s="525"/>
      <c r="AY11" s="526"/>
      <c r="AZ11" s="591"/>
      <c r="BA11" s="528">
        <f t="shared" si="33"/>
        <v>-547.1</v>
      </c>
    </row>
    <row r="12" spans="1:493" ht="20.100000000000001" customHeight="1">
      <c r="A12" s="434" t="s">
        <v>61</v>
      </c>
      <c r="B12" s="536">
        <v>-5.5</v>
      </c>
      <c r="C12" s="536">
        <v>-7.6</v>
      </c>
      <c r="D12" s="536">
        <v>-7</v>
      </c>
      <c r="E12" s="536">
        <v>-16.100000000000001</v>
      </c>
      <c r="F12" s="537">
        <f t="shared" si="25"/>
        <v>-36.200000000000003</v>
      </c>
      <c r="G12" s="524">
        <v>-25.8</v>
      </c>
      <c r="H12" s="536">
        <v>-16.8</v>
      </c>
      <c r="I12" s="536">
        <v>-10.7</v>
      </c>
      <c r="J12" s="536">
        <v>-10.6</v>
      </c>
      <c r="K12" s="537">
        <f t="shared" si="26"/>
        <v>-63.9</v>
      </c>
      <c r="L12" s="524">
        <v>-10.300000000000011</v>
      </c>
      <c r="M12" s="536">
        <v>-189.7</v>
      </c>
      <c r="N12" s="536">
        <v>-348.6</v>
      </c>
      <c r="O12" s="536">
        <v>-376.6</v>
      </c>
      <c r="P12" s="528">
        <f t="shared" si="27"/>
        <v>-925.2</v>
      </c>
      <c r="Q12" s="536">
        <v>-332.5</v>
      </c>
      <c r="R12" s="536">
        <v>-291.7</v>
      </c>
      <c r="S12" s="536">
        <v>-314.89999999999998</v>
      </c>
      <c r="T12" s="538">
        <v>-393.59999999999991</v>
      </c>
      <c r="U12" s="528">
        <v>-1332.8</v>
      </c>
      <c r="V12" s="536">
        <v>-326.8</v>
      </c>
      <c r="W12" s="536">
        <v>-317.3</v>
      </c>
      <c r="X12" s="536">
        <v>-330.5</v>
      </c>
      <c r="Y12" s="538">
        <v>-380.1</v>
      </c>
      <c r="Z12" s="528">
        <f>SUM(V12:Y12)</f>
        <v>-1354.7</v>
      </c>
      <c r="AA12" s="536">
        <v>-323.60000000000002</v>
      </c>
      <c r="AB12" s="536">
        <v>-318.8</v>
      </c>
      <c r="AC12" s="525">
        <v>-323.3</v>
      </c>
      <c r="AD12" s="525">
        <v>-357.9</v>
      </c>
      <c r="AE12" s="528">
        <f t="shared" si="29"/>
        <v>-1323.6</v>
      </c>
      <c r="AF12" s="536">
        <v>-258.5</v>
      </c>
      <c r="AG12" s="539">
        <v>-275.2</v>
      </c>
      <c r="AH12" s="543">
        <v>-277.3</v>
      </c>
      <c r="AI12" s="558">
        <v>-331.7</v>
      </c>
      <c r="AJ12" s="528">
        <f t="shared" si="30"/>
        <v>-1142.7</v>
      </c>
      <c r="AK12" s="544"/>
      <c r="AL12" s="524">
        <v>-272.5</v>
      </c>
      <c r="AM12" s="525">
        <v>-282.5</v>
      </c>
      <c r="AN12" s="526">
        <v>-281.10000000000002</v>
      </c>
      <c r="AO12" s="558">
        <v>-338.1</v>
      </c>
      <c r="AP12" s="528">
        <f t="shared" si="31"/>
        <v>-1174.2</v>
      </c>
      <c r="AQ12" s="524">
        <v>-289.39999999999998</v>
      </c>
      <c r="AR12" s="525"/>
      <c r="AS12" s="526"/>
      <c r="AT12" s="591"/>
      <c r="AU12" s="528">
        <f t="shared" si="32"/>
        <v>-289.39999999999998</v>
      </c>
      <c r="AV12" s="583"/>
      <c r="AW12" s="524">
        <v>-289.39999999999998</v>
      </c>
      <c r="AX12" s="525"/>
      <c r="AY12" s="526"/>
      <c r="AZ12" s="591"/>
      <c r="BA12" s="528">
        <f t="shared" si="33"/>
        <v>-289.39999999999998</v>
      </c>
    </row>
    <row r="13" spans="1:493" ht="20.100000000000001" customHeight="1">
      <c r="A13" s="434" t="s">
        <v>56</v>
      </c>
      <c r="B13" s="536">
        <v>-206.8</v>
      </c>
      <c r="C13" s="536">
        <v>-226.6</v>
      </c>
      <c r="D13" s="536">
        <v>-171.5</v>
      </c>
      <c r="E13" s="536">
        <v>-219</v>
      </c>
      <c r="F13" s="537">
        <f>SUM(B13:E13)</f>
        <v>-823.9</v>
      </c>
      <c r="G13" s="524">
        <v>-207.5</v>
      </c>
      <c r="H13" s="536">
        <v>-239.5</v>
      </c>
      <c r="I13" s="536">
        <v>-219.3</v>
      </c>
      <c r="J13" s="536">
        <v>-260.7</v>
      </c>
      <c r="K13" s="537">
        <f>SUM(G13:J13)</f>
        <v>-927</v>
      </c>
      <c r="L13" s="524">
        <v>-210.7</v>
      </c>
      <c r="M13" s="536">
        <v>-260.89999999999998</v>
      </c>
      <c r="N13" s="536">
        <v>-262.39999999999998</v>
      </c>
      <c r="O13" s="536">
        <v>-295.60000000000002</v>
      </c>
      <c r="P13" s="528">
        <f>SUM(L13:O13)</f>
        <v>-1029.5999999999999</v>
      </c>
      <c r="Q13" s="536">
        <v>-235.5</v>
      </c>
      <c r="R13" s="536">
        <v>-274</v>
      </c>
      <c r="S13" s="536">
        <v>-257.3</v>
      </c>
      <c r="T13" s="538">
        <v>-299.10000000000014</v>
      </c>
      <c r="U13" s="528">
        <v>-1065.9000000000001</v>
      </c>
      <c r="V13" s="536">
        <v>-248.5</v>
      </c>
      <c r="W13" s="536">
        <v>-316.3</v>
      </c>
      <c r="X13" s="536">
        <v>-252.1</v>
      </c>
      <c r="Y13" s="538">
        <v>-297.3</v>
      </c>
      <c r="Z13" s="528">
        <f t="shared" si="14"/>
        <v>-1114.2</v>
      </c>
      <c r="AA13" s="536">
        <v>-264.3</v>
      </c>
      <c r="AB13" s="536">
        <v>-298.39999999999998</v>
      </c>
      <c r="AC13" s="525">
        <v>-269.7</v>
      </c>
      <c r="AD13" s="525">
        <v>-321.2</v>
      </c>
      <c r="AE13" s="528">
        <f t="shared" si="29"/>
        <v>-1153.6000000000001</v>
      </c>
      <c r="AF13" s="536">
        <v>-269.39999999999998</v>
      </c>
      <c r="AG13" s="539">
        <v>-316.8</v>
      </c>
      <c r="AH13" s="543">
        <v>-323.5</v>
      </c>
      <c r="AI13" s="558">
        <v>-406.8</v>
      </c>
      <c r="AJ13" s="528">
        <f t="shared" si="30"/>
        <v>-1316.5</v>
      </c>
      <c r="AK13" s="544"/>
      <c r="AL13" s="524">
        <v>-269.39999999999998</v>
      </c>
      <c r="AM13" s="525">
        <v>-323</v>
      </c>
      <c r="AN13" s="526">
        <v>-338.9</v>
      </c>
      <c r="AO13" s="558">
        <v>-424</v>
      </c>
      <c r="AP13" s="528">
        <f t="shared" si="31"/>
        <v>-1355.3</v>
      </c>
      <c r="AQ13" s="524">
        <v>-369</v>
      </c>
      <c r="AR13" s="525"/>
      <c r="AS13" s="526"/>
      <c r="AT13" s="591"/>
      <c r="AU13" s="528">
        <f t="shared" si="32"/>
        <v>-369</v>
      </c>
      <c r="AV13" s="583"/>
      <c r="AW13" s="524">
        <v>-366.9</v>
      </c>
      <c r="AX13" s="525"/>
      <c r="AY13" s="526"/>
      <c r="AZ13" s="591"/>
      <c r="BA13" s="528">
        <f t="shared" si="33"/>
        <v>-366.9</v>
      </c>
    </row>
    <row r="14" spans="1:493" ht="20.100000000000001" customHeight="1">
      <c r="A14" s="438" t="s">
        <v>57</v>
      </c>
      <c r="B14" s="536">
        <v>-71.5</v>
      </c>
      <c r="C14" s="536">
        <v>-71.8</v>
      </c>
      <c r="D14" s="536">
        <v>-73.7</v>
      </c>
      <c r="E14" s="536">
        <v>-95.7</v>
      </c>
      <c r="F14" s="537">
        <f t="shared" ref="F14:F18" si="34">SUM(B14:E14)</f>
        <v>-312.7</v>
      </c>
      <c r="G14" s="524">
        <v>-79</v>
      </c>
      <c r="H14" s="536">
        <v>-81.3</v>
      </c>
      <c r="I14" s="536">
        <v>-79.3</v>
      </c>
      <c r="J14" s="536">
        <v>-92.4</v>
      </c>
      <c r="K14" s="537">
        <f t="shared" ref="K14:K18" si="35">SUM(G14:J14)</f>
        <v>-332</v>
      </c>
      <c r="L14" s="524">
        <v>-75.3</v>
      </c>
      <c r="M14" s="536">
        <v>-132.19999999999999</v>
      </c>
      <c r="N14" s="536">
        <v>-186.8</v>
      </c>
      <c r="O14" s="536">
        <v>-218.3</v>
      </c>
      <c r="P14" s="528">
        <f t="shared" ref="P14:P18" si="36">SUM(L14:O14)</f>
        <v>-612.6</v>
      </c>
      <c r="Q14" s="536">
        <v>-189.2</v>
      </c>
      <c r="R14" s="536">
        <v>-193.2</v>
      </c>
      <c r="S14" s="536">
        <v>-200.1</v>
      </c>
      <c r="T14" s="538">
        <v>-220.1</v>
      </c>
      <c r="U14" s="528">
        <v>-802.6</v>
      </c>
      <c r="V14" s="536">
        <v>-200.5</v>
      </c>
      <c r="W14" s="536">
        <v>-202.2</v>
      </c>
      <c r="X14" s="536">
        <v>-202.6</v>
      </c>
      <c r="Y14" s="538">
        <v>-222.5</v>
      </c>
      <c r="Z14" s="528">
        <f t="shared" si="14"/>
        <v>-827.8</v>
      </c>
      <c r="AA14" s="536">
        <v>-211.1</v>
      </c>
      <c r="AB14" s="536">
        <v>-215.9</v>
      </c>
      <c r="AC14" s="525">
        <v>-224</v>
      </c>
      <c r="AD14" s="525">
        <v>-243.3</v>
      </c>
      <c r="AE14" s="528">
        <f t="shared" si="29"/>
        <v>-894.3</v>
      </c>
      <c r="AF14" s="536">
        <v>-205.2</v>
      </c>
      <c r="AG14" s="539">
        <v>-214.9</v>
      </c>
      <c r="AH14" s="543">
        <v>-217.1</v>
      </c>
      <c r="AI14" s="558">
        <v>-265.60000000000002</v>
      </c>
      <c r="AJ14" s="528">
        <f t="shared" si="30"/>
        <v>-902.80000000000007</v>
      </c>
      <c r="AK14" s="544"/>
      <c r="AL14" s="524">
        <v>-205.2</v>
      </c>
      <c r="AM14" s="525">
        <v>-223.5</v>
      </c>
      <c r="AN14" s="526">
        <v>-236.5</v>
      </c>
      <c r="AO14" s="558">
        <v>-268.69999999999993</v>
      </c>
      <c r="AP14" s="528">
        <f t="shared" si="31"/>
        <v>-933.9</v>
      </c>
      <c r="AQ14" s="524">
        <v>-249.5</v>
      </c>
      <c r="AR14" s="525"/>
      <c r="AS14" s="526"/>
      <c r="AT14" s="591"/>
      <c r="AU14" s="528">
        <f t="shared" si="32"/>
        <v>-249.5</v>
      </c>
      <c r="AV14" s="583"/>
      <c r="AW14" s="524">
        <v>-244.8</v>
      </c>
      <c r="AX14" s="525"/>
      <c r="AY14" s="526"/>
      <c r="AZ14" s="591"/>
      <c r="BA14" s="528">
        <f t="shared" si="33"/>
        <v>-244.8</v>
      </c>
    </row>
    <row r="15" spans="1:493" ht="20.100000000000001" customHeight="1">
      <c r="A15" s="434" t="s">
        <v>60</v>
      </c>
      <c r="B15" s="536">
        <v>-40.6</v>
      </c>
      <c r="C15" s="536">
        <v>-40.299999999999997</v>
      </c>
      <c r="D15" s="536">
        <v>-38.9</v>
      </c>
      <c r="E15" s="536">
        <v>-58.6</v>
      </c>
      <c r="F15" s="537">
        <f t="shared" si="34"/>
        <v>-178.4</v>
      </c>
      <c r="G15" s="524">
        <v>-43.1</v>
      </c>
      <c r="H15" s="536">
        <v>-41.9</v>
      </c>
      <c r="I15" s="536">
        <v>-40.4</v>
      </c>
      <c r="J15" s="536">
        <v>-53.2</v>
      </c>
      <c r="K15" s="537">
        <f t="shared" si="35"/>
        <v>-178.60000000000002</v>
      </c>
      <c r="L15" s="524">
        <v>-44.7</v>
      </c>
      <c r="M15" s="536">
        <v>-108.2</v>
      </c>
      <c r="N15" s="536">
        <v>-118</v>
      </c>
      <c r="O15" s="536">
        <v>-150.9</v>
      </c>
      <c r="P15" s="528">
        <f t="shared" si="36"/>
        <v>-421.79999999999995</v>
      </c>
      <c r="Q15" s="536">
        <v>-129.1</v>
      </c>
      <c r="R15" s="536">
        <v>-140.80000000000001</v>
      </c>
      <c r="S15" s="536">
        <v>-122.3</v>
      </c>
      <c r="T15" s="538">
        <v>-158.00000000000006</v>
      </c>
      <c r="U15" s="528">
        <v>-550.20000000000005</v>
      </c>
      <c r="V15" s="536">
        <v>-137.9</v>
      </c>
      <c r="W15" s="536">
        <v>-138.19999999999999</v>
      </c>
      <c r="X15" s="536">
        <v>-130.5</v>
      </c>
      <c r="Y15" s="538">
        <v>-163.9</v>
      </c>
      <c r="Z15" s="528">
        <f t="shared" si="14"/>
        <v>-570.5</v>
      </c>
      <c r="AA15" s="536">
        <v>-127.8</v>
      </c>
      <c r="AB15" s="536">
        <v>-133.69999999999999</v>
      </c>
      <c r="AC15" s="525">
        <v>-127.4</v>
      </c>
      <c r="AD15" s="525">
        <v>-164.2</v>
      </c>
      <c r="AE15" s="528">
        <f t="shared" si="29"/>
        <v>-553.09999999999991</v>
      </c>
      <c r="AF15" s="536">
        <v>-143.80000000000001</v>
      </c>
      <c r="AG15" s="539">
        <v>-146</v>
      </c>
      <c r="AH15" s="543">
        <v>-137</v>
      </c>
      <c r="AI15" s="558">
        <v>-184.2</v>
      </c>
      <c r="AJ15" s="528">
        <f t="shared" si="30"/>
        <v>-611</v>
      </c>
      <c r="AK15" s="544"/>
      <c r="AL15" s="524">
        <v>-143.80000000000001</v>
      </c>
      <c r="AM15" s="525">
        <v>-169.3</v>
      </c>
      <c r="AN15" s="526">
        <v>-187.1</v>
      </c>
      <c r="AO15" s="558">
        <v>-238.7</v>
      </c>
      <c r="AP15" s="528">
        <f t="shared" si="31"/>
        <v>-738.90000000000009</v>
      </c>
      <c r="AQ15" s="524">
        <v>-212.6</v>
      </c>
      <c r="AR15" s="525"/>
      <c r="AS15" s="526"/>
      <c r="AT15" s="591"/>
      <c r="AU15" s="528">
        <f t="shared" si="32"/>
        <v>-212.6</v>
      </c>
      <c r="AV15" s="583"/>
      <c r="AW15" s="524">
        <v>-212.6</v>
      </c>
      <c r="AX15" s="525"/>
      <c r="AY15" s="526"/>
      <c r="AZ15" s="591"/>
      <c r="BA15" s="528">
        <f t="shared" si="33"/>
        <v>-212.6</v>
      </c>
    </row>
    <row r="16" spans="1:493" ht="30">
      <c r="A16" s="434" t="s">
        <v>62</v>
      </c>
      <c r="B16" s="536">
        <v>-5.9</v>
      </c>
      <c r="C16" s="536">
        <v>-8.4</v>
      </c>
      <c r="D16" s="536">
        <v>-5.3</v>
      </c>
      <c r="E16" s="536">
        <v>-7.8</v>
      </c>
      <c r="F16" s="537">
        <f t="shared" si="34"/>
        <v>-27.400000000000002</v>
      </c>
      <c r="G16" s="524">
        <v>-6.42</v>
      </c>
      <c r="H16" s="536">
        <v>-9.3000000000000007</v>
      </c>
      <c r="I16" s="536">
        <v>-5.3</v>
      </c>
      <c r="J16" s="536">
        <v>-7.2</v>
      </c>
      <c r="K16" s="537">
        <f t="shared" si="35"/>
        <v>-28.22</v>
      </c>
      <c r="L16" s="524">
        <v>-6.6999999999999993</v>
      </c>
      <c r="M16" s="536">
        <v>-18.100000000000001</v>
      </c>
      <c r="N16" s="536">
        <v>-15.3</v>
      </c>
      <c r="O16" s="536">
        <v>-27.5</v>
      </c>
      <c r="P16" s="528">
        <f t="shared" si="36"/>
        <v>-67.599999999999994</v>
      </c>
      <c r="Q16" s="536">
        <v>-18.7</v>
      </c>
      <c r="R16" s="536">
        <v>-27.8</v>
      </c>
      <c r="S16" s="536">
        <v>-8.5</v>
      </c>
      <c r="T16" s="538">
        <v>-7.6000000000000014</v>
      </c>
      <c r="U16" s="528">
        <v>-62.6</v>
      </c>
      <c r="V16" s="536">
        <v>-9.6</v>
      </c>
      <c r="W16" s="536">
        <v>-16.3</v>
      </c>
      <c r="X16" s="536">
        <v>-5.7</v>
      </c>
      <c r="Y16" s="538">
        <v>-15.3</v>
      </c>
      <c r="Z16" s="528">
        <f t="shared" si="14"/>
        <v>-46.9</v>
      </c>
      <c r="AA16" s="536">
        <v>-19.3</v>
      </c>
      <c r="AB16" s="536">
        <v>-16.3</v>
      </c>
      <c r="AC16" s="525">
        <v>-21.3</v>
      </c>
      <c r="AD16" s="525">
        <v>-10.5</v>
      </c>
      <c r="AE16" s="528">
        <f t="shared" si="29"/>
        <v>-67.400000000000006</v>
      </c>
      <c r="AF16" s="536">
        <v>-11.9</v>
      </c>
      <c r="AG16" s="539">
        <v>-18.2</v>
      </c>
      <c r="AH16" s="543">
        <v>-32.9</v>
      </c>
      <c r="AI16" s="558">
        <v>-19</v>
      </c>
      <c r="AJ16" s="528">
        <f t="shared" si="30"/>
        <v>-82</v>
      </c>
      <c r="AK16" s="544"/>
      <c r="AL16" s="524">
        <v>-11.9</v>
      </c>
      <c r="AM16" s="525">
        <v>-17.600000000000001</v>
      </c>
      <c r="AN16" s="526">
        <v>-34.799999999999997</v>
      </c>
      <c r="AO16" s="558">
        <v>-19.600000000000009</v>
      </c>
      <c r="AP16" s="528">
        <f t="shared" si="31"/>
        <v>-83.9</v>
      </c>
      <c r="AQ16" s="524">
        <v>-34.6</v>
      </c>
      <c r="AR16" s="525"/>
      <c r="AS16" s="526"/>
      <c r="AT16" s="591"/>
      <c r="AU16" s="528">
        <f t="shared" si="32"/>
        <v>-34.6</v>
      </c>
      <c r="AV16" s="583"/>
      <c r="AW16" s="524">
        <v>-34.6</v>
      </c>
      <c r="AX16" s="525"/>
      <c r="AY16" s="526"/>
      <c r="AZ16" s="591"/>
      <c r="BA16" s="528">
        <f t="shared" si="33"/>
        <v>-34.6</v>
      </c>
    </row>
    <row r="17" spans="1:53" ht="20.100000000000001" customHeight="1" thickBot="1">
      <c r="A17" s="434" t="s">
        <v>63</v>
      </c>
      <c r="B17" s="536">
        <v>-30.1</v>
      </c>
      <c r="C17" s="536">
        <v>-33.200000000000003</v>
      </c>
      <c r="D17" s="536">
        <v>-29.7</v>
      </c>
      <c r="E17" s="536">
        <v>-34.200000000000003</v>
      </c>
      <c r="F17" s="537">
        <f t="shared" si="34"/>
        <v>-127.2</v>
      </c>
      <c r="G17" s="524">
        <v>-29.7</v>
      </c>
      <c r="H17" s="536">
        <v>-29.3</v>
      </c>
      <c r="I17" s="536">
        <v>-28.7</v>
      </c>
      <c r="J17" s="536">
        <v>-27.6</v>
      </c>
      <c r="K17" s="537">
        <f t="shared" si="35"/>
        <v>-115.30000000000001</v>
      </c>
      <c r="L17" s="524">
        <v>-26.000000000000007</v>
      </c>
      <c r="M17" s="536">
        <v>-43.4</v>
      </c>
      <c r="N17" s="536">
        <v>-87.2</v>
      </c>
      <c r="O17" s="536">
        <v>-55.5</v>
      </c>
      <c r="P17" s="528">
        <f t="shared" si="36"/>
        <v>-212.10000000000002</v>
      </c>
      <c r="Q17" s="536">
        <v>-53.8</v>
      </c>
      <c r="R17" s="536">
        <v>-56.1</v>
      </c>
      <c r="S17" s="536">
        <v>-44.6</v>
      </c>
      <c r="T17" s="538">
        <v>-59.099999999999994</v>
      </c>
      <c r="U17" s="528">
        <v>-213.5</v>
      </c>
      <c r="V17" s="536">
        <v>-50.7</v>
      </c>
      <c r="W17" s="536">
        <v>-67.599999999999994</v>
      </c>
      <c r="X17" s="536">
        <v>-50.2</v>
      </c>
      <c r="Y17" s="538">
        <v>-76.5</v>
      </c>
      <c r="Z17" s="528">
        <f t="shared" si="14"/>
        <v>-245</v>
      </c>
      <c r="AA17" s="536">
        <v>-51.6</v>
      </c>
      <c r="AB17" s="536">
        <v>-49.5</v>
      </c>
      <c r="AC17" s="525">
        <v>-52.3</v>
      </c>
      <c r="AD17" s="525">
        <v>-73.5</v>
      </c>
      <c r="AE17" s="528">
        <f t="shared" si="29"/>
        <v>-226.89999999999998</v>
      </c>
      <c r="AF17" s="536">
        <v>-55.3</v>
      </c>
      <c r="AG17" s="539">
        <v>-55.2</v>
      </c>
      <c r="AH17" s="543">
        <v>-53.4</v>
      </c>
      <c r="AI17" s="558">
        <v>-68</v>
      </c>
      <c r="AJ17" s="528">
        <f t="shared" si="30"/>
        <v>-231.9</v>
      </c>
      <c r="AK17" s="544"/>
      <c r="AL17" s="524">
        <v>-55.3</v>
      </c>
      <c r="AM17" s="525">
        <v>-61.8</v>
      </c>
      <c r="AN17" s="526">
        <v>-69.099999999999994</v>
      </c>
      <c r="AO17" s="558">
        <v>-86.800000000000011</v>
      </c>
      <c r="AP17" s="528">
        <f t="shared" si="31"/>
        <v>-273</v>
      </c>
      <c r="AQ17" s="524">
        <v>-70.599999999999994</v>
      </c>
      <c r="AR17" s="525"/>
      <c r="AS17" s="526"/>
      <c r="AT17" s="591"/>
      <c r="AU17" s="528">
        <f t="shared" si="32"/>
        <v>-70.599999999999994</v>
      </c>
      <c r="AV17" s="583"/>
      <c r="AW17" s="524">
        <v>-57.8</v>
      </c>
      <c r="AX17" s="525"/>
      <c r="AY17" s="526"/>
      <c r="AZ17" s="591"/>
      <c r="BA17" s="528">
        <f t="shared" si="33"/>
        <v>-57.8</v>
      </c>
    </row>
    <row r="18" spans="1:53" s="444" customFormat="1" ht="20.100000000000001" customHeight="1" thickBot="1">
      <c r="A18" s="439" t="s">
        <v>64</v>
      </c>
      <c r="B18" s="430">
        <v>-1.7</v>
      </c>
      <c r="C18" s="430">
        <v>-1.1000000000000001</v>
      </c>
      <c r="D18" s="430">
        <v>-2</v>
      </c>
      <c r="E18" s="430">
        <v>-12.7</v>
      </c>
      <c r="F18" s="440">
        <f t="shared" si="34"/>
        <v>-17.5</v>
      </c>
      <c r="G18" s="441">
        <v>0.5</v>
      </c>
      <c r="H18" s="430">
        <v>1.5</v>
      </c>
      <c r="I18" s="430">
        <v>36.799999999999997</v>
      </c>
      <c r="J18" s="430">
        <v>-2</v>
      </c>
      <c r="K18" s="440">
        <f t="shared" si="35"/>
        <v>36.799999999999997</v>
      </c>
      <c r="L18" s="441">
        <v>3.6</v>
      </c>
      <c r="M18" s="430">
        <v>3.5</v>
      </c>
      <c r="N18" s="430">
        <v>4.7</v>
      </c>
      <c r="O18" s="430">
        <v>-2.2000000000000002</v>
      </c>
      <c r="P18" s="442">
        <f t="shared" si="36"/>
        <v>9.6000000000000014</v>
      </c>
      <c r="Q18" s="430">
        <v>8.6999999999999993</v>
      </c>
      <c r="R18" s="430">
        <v>13.8</v>
      </c>
      <c r="S18" s="430">
        <v>14.4</v>
      </c>
      <c r="T18" s="430">
        <v>-6.2</v>
      </c>
      <c r="U18" s="442">
        <v>30.7</v>
      </c>
      <c r="V18" s="430">
        <v>6.8</v>
      </c>
      <c r="W18" s="430">
        <v>6.6</v>
      </c>
      <c r="X18" s="430">
        <v>0</v>
      </c>
      <c r="Y18" s="430">
        <v>-4.5999999999999996</v>
      </c>
      <c r="Z18" s="442">
        <f t="shared" si="14"/>
        <v>8.7999999999999989</v>
      </c>
      <c r="AA18" s="430">
        <v>6.8</v>
      </c>
      <c r="AB18" s="430">
        <v>9.9</v>
      </c>
      <c r="AC18" s="443">
        <v>6.7</v>
      </c>
      <c r="AD18" s="427">
        <v>-2.1</v>
      </c>
      <c r="AE18" s="442">
        <f t="shared" si="29"/>
        <v>21.299999999999997</v>
      </c>
      <c r="AF18" s="430">
        <v>6.7</v>
      </c>
      <c r="AG18" s="430">
        <v>-1.9</v>
      </c>
      <c r="AH18" s="477">
        <v>4.5999999999999996</v>
      </c>
      <c r="AI18" s="559">
        <v>0</v>
      </c>
      <c r="AJ18" s="442">
        <f t="shared" si="30"/>
        <v>9.4</v>
      </c>
      <c r="AL18" s="530">
        <v>6.7</v>
      </c>
      <c r="AM18" s="531">
        <v>-0.6</v>
      </c>
      <c r="AN18" s="531">
        <v>7.3</v>
      </c>
      <c r="AO18" s="559">
        <v>6.2999999999999989</v>
      </c>
      <c r="AP18" s="532">
        <f t="shared" si="31"/>
        <v>19.7</v>
      </c>
      <c r="AQ18" s="530">
        <v>16.600000000000001</v>
      </c>
      <c r="AR18" s="531"/>
      <c r="AS18" s="531"/>
      <c r="AT18" s="596"/>
      <c r="AU18" s="532">
        <f>SUM(AQ18:AT18)</f>
        <v>16.600000000000001</v>
      </c>
      <c r="AV18" s="599"/>
      <c r="AW18" s="530">
        <v>16.600000000000001</v>
      </c>
      <c r="AX18" s="531"/>
      <c r="AY18" s="531"/>
      <c r="AZ18" s="596"/>
      <c r="BA18" s="532">
        <f t="shared" si="33"/>
        <v>16.600000000000001</v>
      </c>
    </row>
    <row r="19" spans="1:53" s="436" customFormat="1" ht="24.95" customHeight="1" thickBot="1">
      <c r="A19" s="439" t="s">
        <v>65</v>
      </c>
      <c r="B19" s="427">
        <f t="shared" ref="B19:AA19" si="37">B4+B9+B18</f>
        <v>203.00000000000006</v>
      </c>
      <c r="C19" s="427">
        <f t="shared" si="37"/>
        <v>212.99999999999997</v>
      </c>
      <c r="D19" s="427">
        <f t="shared" si="37"/>
        <v>197.60000000000002</v>
      </c>
      <c r="E19" s="427">
        <f t="shared" si="37"/>
        <v>175.50000000000017</v>
      </c>
      <c r="F19" s="440">
        <f t="shared" si="37"/>
        <v>789.09999999999923</v>
      </c>
      <c r="G19" s="428">
        <f t="shared" si="37"/>
        <v>184.67999999999995</v>
      </c>
      <c r="H19" s="427">
        <f t="shared" si="37"/>
        <v>195</v>
      </c>
      <c r="I19" s="427">
        <f t="shared" si="37"/>
        <v>203.39999999999998</v>
      </c>
      <c r="J19" s="427">
        <f t="shared" si="37"/>
        <v>206.79999999999995</v>
      </c>
      <c r="K19" s="440">
        <f t="shared" si="37"/>
        <v>789.88000000000034</v>
      </c>
      <c r="L19" s="428">
        <f t="shared" si="37"/>
        <v>219.39999999999984</v>
      </c>
      <c r="M19" s="427">
        <f t="shared" si="37"/>
        <v>397.59999999999991</v>
      </c>
      <c r="N19" s="427">
        <f t="shared" si="37"/>
        <v>431.79999999999967</v>
      </c>
      <c r="O19" s="427">
        <f t="shared" si="37"/>
        <v>393.50000000000074</v>
      </c>
      <c r="P19" s="442">
        <f t="shared" si="37"/>
        <v>1442.2999999999979</v>
      </c>
      <c r="Q19" s="427">
        <f t="shared" si="37"/>
        <v>428.7</v>
      </c>
      <c r="R19" s="427">
        <f t="shared" si="37"/>
        <v>583.5</v>
      </c>
      <c r="S19" s="427">
        <f t="shared" si="37"/>
        <v>529.1999999999997</v>
      </c>
      <c r="T19" s="427">
        <f t="shared" si="37"/>
        <v>444.40000000000038</v>
      </c>
      <c r="U19" s="442">
        <f t="shared" si="37"/>
        <v>1985.7999999999995</v>
      </c>
      <c r="V19" s="427">
        <f t="shared" si="37"/>
        <v>422.8</v>
      </c>
      <c r="W19" s="427">
        <f t="shared" si="37"/>
        <v>407.50000000000011</v>
      </c>
      <c r="X19" s="427">
        <f t="shared" si="37"/>
        <v>449.10000000000036</v>
      </c>
      <c r="Y19" s="427">
        <f t="shared" si="37"/>
        <v>389.9</v>
      </c>
      <c r="Z19" s="442">
        <f t="shared" si="37"/>
        <v>1669.3</v>
      </c>
      <c r="AA19" s="427">
        <f t="shared" si="37"/>
        <v>457.20000000000033</v>
      </c>
      <c r="AB19" s="427">
        <f>AB4+AB9+AB18</f>
        <v>516.99999999999989</v>
      </c>
      <c r="AC19" s="427">
        <f>AC4+AC9+AC18</f>
        <v>421.90000000000003</v>
      </c>
      <c r="AD19" s="429">
        <f t="shared" ref="AD19:AF19" si="38">AD4+AD9+AD18</f>
        <v>437.9</v>
      </c>
      <c r="AE19" s="442">
        <f t="shared" si="38"/>
        <v>1834.0000000000007</v>
      </c>
      <c r="AF19" s="427">
        <f t="shared" si="38"/>
        <v>464.29999999999967</v>
      </c>
      <c r="AG19" s="427">
        <f>AG4+AG9+AG18</f>
        <v>488.49999999999989</v>
      </c>
      <c r="AH19" s="559">
        <f>AH4+AH9+AH18</f>
        <v>396.00000000000011</v>
      </c>
      <c r="AI19" s="568">
        <f>AI4+AI9+AI18</f>
        <v>416</v>
      </c>
      <c r="AJ19" s="569">
        <f t="shared" ref="AJ19" si="39">AJ4+AJ9+AJ18</f>
        <v>1764.7999999999997</v>
      </c>
      <c r="AK19" s="500"/>
      <c r="AL19" s="520">
        <f t="shared" ref="AL19" si="40">AL4+AL9+AL18</f>
        <v>435.49999999999994</v>
      </c>
      <c r="AM19" s="521">
        <f>AM4+AM9+AM18</f>
        <v>475.5999999999998</v>
      </c>
      <c r="AN19" s="522">
        <f>AN4+AN9+AN18</f>
        <v>396.49999999999983</v>
      </c>
      <c r="AO19" s="522">
        <f>AO4+AO9+AO18</f>
        <v>419.39999999999992</v>
      </c>
      <c r="AP19" s="532">
        <f t="shared" ref="AP19:AQ19" si="41">AP4+AP9+AP18</f>
        <v>1727.000000000003</v>
      </c>
      <c r="AQ19" s="520">
        <f t="shared" si="41"/>
        <v>481.9000000000002</v>
      </c>
      <c r="AR19" s="620"/>
      <c r="AS19" s="621"/>
      <c r="AT19" s="621"/>
      <c r="AU19" s="532">
        <f t="shared" ref="AU19" si="42">AU4+AU9+AU18</f>
        <v>481.9000000000002</v>
      </c>
      <c r="AV19" s="597"/>
      <c r="AW19" s="520">
        <f t="shared" ref="AW19" si="43">AW4+AW9+AW18</f>
        <v>491.19999999999948</v>
      </c>
      <c r="AX19" s="620"/>
      <c r="AY19" s="621"/>
      <c r="AZ19" s="621"/>
      <c r="BA19" s="532">
        <f t="shared" ref="BA19" si="44">BA4+BA9+BA18</f>
        <v>491.19999999999948</v>
      </c>
    </row>
    <row r="20" spans="1:53" ht="20.100000000000001" customHeight="1">
      <c r="A20" s="445" t="s">
        <v>66</v>
      </c>
      <c r="B20" s="536">
        <v>12.5</v>
      </c>
      <c r="C20" s="536">
        <v>-8.5</v>
      </c>
      <c r="D20" s="536">
        <v>5.3</v>
      </c>
      <c r="E20" s="536">
        <v>5</v>
      </c>
      <c r="F20" s="537">
        <f>SUM(B20:E20)</f>
        <v>14.3</v>
      </c>
      <c r="G20" s="524">
        <v>3.9</v>
      </c>
      <c r="H20" s="536">
        <v>0.7</v>
      </c>
      <c r="I20" s="536">
        <v>7.4</v>
      </c>
      <c r="J20" s="536">
        <v>4.0999999999999996</v>
      </c>
      <c r="K20" s="537">
        <f>SUM(G20:J20)</f>
        <v>16.100000000000001</v>
      </c>
      <c r="L20" s="524">
        <v>1.3</v>
      </c>
      <c r="M20" s="536">
        <v>23.9</v>
      </c>
      <c r="N20" s="536">
        <v>1.5</v>
      </c>
      <c r="O20" s="536">
        <v>-11.4</v>
      </c>
      <c r="P20" s="528">
        <f>SUM(L20:O20)</f>
        <v>15.299999999999999</v>
      </c>
      <c r="Q20" s="536">
        <v>28.9</v>
      </c>
      <c r="R20" s="536">
        <v>-11.9</v>
      </c>
      <c r="S20" s="536">
        <v>-5.2</v>
      </c>
      <c r="T20" s="538">
        <v>-3.2</v>
      </c>
      <c r="U20" s="528">
        <f>SUM(Q20:T20)</f>
        <v>8.6000000000000014</v>
      </c>
      <c r="V20" s="536">
        <v>-35.200000000000003</v>
      </c>
      <c r="W20" s="536">
        <v>-21.4</v>
      </c>
      <c r="X20" s="536">
        <v>13.1</v>
      </c>
      <c r="Y20" s="538">
        <v>-26.3</v>
      </c>
      <c r="Z20" s="528">
        <f t="shared" si="14"/>
        <v>-69.8</v>
      </c>
      <c r="AA20" s="536">
        <v>30.5</v>
      </c>
      <c r="AB20" s="536">
        <v>-14.4</v>
      </c>
      <c r="AC20" s="525">
        <v>-28</v>
      </c>
      <c r="AD20" s="525">
        <v>19.100000000000001</v>
      </c>
      <c r="AE20" s="528">
        <f t="shared" ref="AE20:AE23" si="45">SUM(AA20:AD20)</f>
        <v>7.2000000000000028</v>
      </c>
      <c r="AF20" s="536">
        <v>-3.4</v>
      </c>
      <c r="AG20" s="539">
        <v>-34.4</v>
      </c>
      <c r="AH20" s="525">
        <v>12.7</v>
      </c>
      <c r="AI20" s="525">
        <v>4.7</v>
      </c>
      <c r="AJ20" s="528">
        <f t="shared" ref="AJ20:AJ22" si="46">SUM(AF20:AI20)</f>
        <v>-20.399999999999999</v>
      </c>
      <c r="AK20" s="544"/>
      <c r="AL20" s="524">
        <v>-3.4</v>
      </c>
      <c r="AM20" s="525">
        <v>-45.9</v>
      </c>
      <c r="AN20" s="527">
        <v>11.7</v>
      </c>
      <c r="AO20" s="558">
        <v>4.6000000000000014</v>
      </c>
      <c r="AP20" s="528">
        <f t="shared" ref="AP20:AP22" si="47">SUM(AL20:AO20)</f>
        <v>-32.999999999999993</v>
      </c>
      <c r="AQ20" s="524">
        <v>1.3</v>
      </c>
      <c r="AR20" s="525"/>
      <c r="AS20" s="527"/>
      <c r="AT20" s="591"/>
      <c r="AU20" s="528">
        <f t="shared" ref="AU20:AU23" si="48">SUM(AQ20:AT20)</f>
        <v>1.3</v>
      </c>
      <c r="AV20" s="583"/>
      <c r="AW20" s="524">
        <v>-12.2</v>
      </c>
      <c r="AX20" s="525"/>
      <c r="AY20" s="527"/>
      <c r="AZ20" s="591"/>
      <c r="BA20" s="528">
        <f t="shared" ref="BA20:BA23" si="49">SUM(AW20:AZ20)</f>
        <v>-12.2</v>
      </c>
    </row>
    <row r="21" spans="1:53" ht="20.100000000000001" customHeight="1">
      <c r="A21" s="446" t="s">
        <v>67</v>
      </c>
      <c r="B21" s="536">
        <v>30.1</v>
      </c>
      <c r="C21" s="536">
        <v>-92.4</v>
      </c>
      <c r="D21" s="536">
        <v>-5.2</v>
      </c>
      <c r="E21" s="536">
        <v>-43.1</v>
      </c>
      <c r="F21" s="537">
        <f t="shared" ref="F21" si="50">SUM(B21:E21)</f>
        <v>-110.6</v>
      </c>
      <c r="G21" s="524">
        <v>-80.099999999999994</v>
      </c>
      <c r="H21" s="536">
        <v>-102.4</v>
      </c>
      <c r="I21" s="536">
        <v>-10.7</v>
      </c>
      <c r="J21" s="536">
        <v>-22.8</v>
      </c>
      <c r="K21" s="537">
        <f t="shared" ref="K21" si="51">SUM(G21:J21)</f>
        <v>-216</v>
      </c>
      <c r="L21" s="524">
        <v>-108.8</v>
      </c>
      <c r="M21" s="536">
        <v>-273.39999999999998</v>
      </c>
      <c r="N21" s="536">
        <v>-384.7</v>
      </c>
      <c r="O21" s="536">
        <v>-379.2</v>
      </c>
      <c r="P21" s="528">
        <f t="shared" ref="P21" si="52">SUM(L21:O21)</f>
        <v>-1146.0999999999999</v>
      </c>
      <c r="Q21" s="536">
        <v>-261.3</v>
      </c>
      <c r="R21" s="536">
        <v>-222.1</v>
      </c>
      <c r="S21" s="536">
        <v>88.8</v>
      </c>
      <c r="T21" s="538">
        <v>-270</v>
      </c>
      <c r="U21" s="528">
        <f t="shared" ref="U21" si="53">SUM(Q21:T21)</f>
        <v>-664.59999999999991</v>
      </c>
      <c r="V21" s="536">
        <v>-182.7</v>
      </c>
      <c r="W21" s="536">
        <v>-133.19999999999999</v>
      </c>
      <c r="X21" s="536">
        <v>-127.3</v>
      </c>
      <c r="Y21" s="538">
        <v>-122.9</v>
      </c>
      <c r="Z21" s="528">
        <f t="shared" si="14"/>
        <v>-566.1</v>
      </c>
      <c r="AA21" s="536">
        <v>-185.5</v>
      </c>
      <c r="AB21" s="536">
        <v>-113.3</v>
      </c>
      <c r="AC21" s="525">
        <v>-104.8</v>
      </c>
      <c r="AD21" s="525">
        <v>-105.4</v>
      </c>
      <c r="AE21" s="528">
        <f t="shared" si="45"/>
        <v>-509</v>
      </c>
      <c r="AF21" s="536">
        <v>-72.599999999999994</v>
      </c>
      <c r="AG21" s="539">
        <v>-98.8</v>
      </c>
      <c r="AH21" s="525">
        <v>-100.9</v>
      </c>
      <c r="AI21" s="525">
        <v>-113.3</v>
      </c>
      <c r="AJ21" s="528">
        <f t="shared" si="46"/>
        <v>-385.59999999999997</v>
      </c>
      <c r="AK21" s="544"/>
      <c r="AL21" s="524">
        <v>-72.599999999999994</v>
      </c>
      <c r="AM21" s="525">
        <v>-98.9</v>
      </c>
      <c r="AN21" s="527">
        <v>-101.6</v>
      </c>
      <c r="AO21" s="558">
        <v>-113.59999999999997</v>
      </c>
      <c r="AP21" s="528">
        <f t="shared" si="47"/>
        <v>-386.7</v>
      </c>
      <c r="AQ21" s="524">
        <v>-102.7</v>
      </c>
      <c r="AR21" s="525"/>
      <c r="AS21" s="527"/>
      <c r="AT21" s="591"/>
      <c r="AU21" s="528">
        <f t="shared" si="48"/>
        <v>-102.7</v>
      </c>
      <c r="AV21" s="583"/>
      <c r="AW21" s="524">
        <v>-102.7</v>
      </c>
      <c r="AX21" s="525"/>
      <c r="AY21" s="527"/>
      <c r="AZ21" s="591"/>
      <c r="BA21" s="528">
        <f t="shared" si="49"/>
        <v>-102.7</v>
      </c>
    </row>
    <row r="22" spans="1:53" ht="30">
      <c r="A22" s="447" t="s">
        <v>189</v>
      </c>
      <c r="B22" s="536">
        <v>0.7</v>
      </c>
      <c r="C22" s="536">
        <v>0.8</v>
      </c>
      <c r="D22" s="536">
        <v>0.5</v>
      </c>
      <c r="E22" s="536">
        <v>0.8</v>
      </c>
      <c r="F22" s="537">
        <f t="shared" ref="F22" si="54">SUM(B22:E22)</f>
        <v>2.8</v>
      </c>
      <c r="G22" s="524">
        <v>0.8</v>
      </c>
      <c r="H22" s="536">
        <v>0.8</v>
      </c>
      <c r="I22" s="536">
        <v>0.7</v>
      </c>
      <c r="J22" s="536">
        <v>0.6</v>
      </c>
      <c r="K22" s="537">
        <f t="shared" ref="K22" si="55">SUM(G22:J22)</f>
        <v>2.9</v>
      </c>
      <c r="L22" s="524">
        <v>0.7</v>
      </c>
      <c r="M22" s="536">
        <v>0.7</v>
      </c>
      <c r="N22" s="536">
        <v>0.7</v>
      </c>
      <c r="O22" s="536">
        <v>0.6</v>
      </c>
      <c r="P22" s="528">
        <f t="shared" ref="P22" si="56">SUM(L22:O22)</f>
        <v>2.6999999999999997</v>
      </c>
      <c r="Q22" s="536">
        <v>0.5</v>
      </c>
      <c r="R22" s="536">
        <v>0.9</v>
      </c>
      <c r="S22" s="536">
        <v>0.5</v>
      </c>
      <c r="T22" s="538">
        <v>0.70000000000000018</v>
      </c>
      <c r="U22" s="528">
        <f t="shared" ref="U22" si="57">SUM(Q22:T22)</f>
        <v>2.6</v>
      </c>
      <c r="V22" s="536">
        <v>0.8</v>
      </c>
      <c r="W22" s="536">
        <v>-0.8</v>
      </c>
      <c r="X22" s="525">
        <v>0</v>
      </c>
      <c r="Y22" s="525">
        <v>0</v>
      </c>
      <c r="Z22" s="528">
        <f t="shared" ref="Z22" si="58">SUM(V22:Y22)</f>
        <v>0</v>
      </c>
      <c r="AA22" s="525">
        <v>0</v>
      </c>
      <c r="AB22" s="525">
        <v>0</v>
      </c>
      <c r="AC22" s="525">
        <v>0</v>
      </c>
      <c r="AD22" s="525">
        <v>0</v>
      </c>
      <c r="AE22" s="528">
        <v>0</v>
      </c>
      <c r="AF22" s="525">
        <v>0</v>
      </c>
      <c r="AG22" s="525">
        <v>0</v>
      </c>
      <c r="AH22" s="525">
        <v>0</v>
      </c>
      <c r="AI22" s="525">
        <v>0</v>
      </c>
      <c r="AJ22" s="528">
        <f t="shared" si="46"/>
        <v>0</v>
      </c>
      <c r="AK22" s="544"/>
      <c r="AL22" s="533">
        <v>0</v>
      </c>
      <c r="AM22" s="525">
        <v>0</v>
      </c>
      <c r="AN22" s="525">
        <v>0</v>
      </c>
      <c r="AO22" s="525">
        <v>0</v>
      </c>
      <c r="AP22" s="528">
        <f t="shared" si="47"/>
        <v>0</v>
      </c>
      <c r="AQ22" s="533">
        <v>0</v>
      </c>
      <c r="AR22" s="525"/>
      <c r="AS22" s="525"/>
      <c r="AT22" s="592"/>
      <c r="AU22" s="528">
        <f t="shared" si="48"/>
        <v>0</v>
      </c>
      <c r="AV22" s="583"/>
      <c r="AW22" s="533">
        <v>0</v>
      </c>
      <c r="AX22" s="525"/>
      <c r="AY22" s="525"/>
      <c r="AZ22" s="592"/>
      <c r="BA22" s="528">
        <f t="shared" si="49"/>
        <v>0</v>
      </c>
    </row>
    <row r="23" spans="1:53" ht="30.75" thickBot="1">
      <c r="A23" s="448" t="s">
        <v>273</v>
      </c>
      <c r="B23" s="536"/>
      <c r="C23" s="536"/>
      <c r="D23" s="536"/>
      <c r="E23" s="536"/>
      <c r="F23" s="537"/>
      <c r="G23" s="524"/>
      <c r="H23" s="536"/>
      <c r="I23" s="536"/>
      <c r="J23" s="536"/>
      <c r="K23" s="537"/>
      <c r="L23" s="524"/>
      <c r="M23" s="536"/>
      <c r="N23" s="536"/>
      <c r="O23" s="536"/>
      <c r="P23" s="528"/>
      <c r="Q23" s="536"/>
      <c r="R23" s="536"/>
      <c r="S23" s="536"/>
      <c r="T23" s="538"/>
      <c r="U23" s="528"/>
      <c r="V23" s="536"/>
      <c r="W23" s="536"/>
      <c r="X23" s="525"/>
      <c r="Y23" s="525">
        <v>0</v>
      </c>
      <c r="Z23" s="528">
        <f t="shared" si="14"/>
        <v>0</v>
      </c>
      <c r="AA23" s="525"/>
      <c r="AB23" s="525"/>
      <c r="AC23" s="525"/>
      <c r="AD23" s="525">
        <v>2.8</v>
      </c>
      <c r="AE23" s="528">
        <f t="shared" si="45"/>
        <v>2.8</v>
      </c>
      <c r="AF23" s="525">
        <v>5.2</v>
      </c>
      <c r="AG23" s="535">
        <v>-0.1</v>
      </c>
      <c r="AH23" s="525">
        <v>-3.5</v>
      </c>
      <c r="AI23" s="525">
        <v>-2.8</v>
      </c>
      <c r="AJ23" s="528">
        <f t="shared" ref="AJ23" si="59">SUM(AF23:AI23)</f>
        <v>-1.1999999999999993</v>
      </c>
      <c r="AK23" s="544"/>
      <c r="AL23" s="534">
        <v>5.2</v>
      </c>
      <c r="AM23" s="535">
        <v>-0.1</v>
      </c>
      <c r="AN23" s="527">
        <v>-3.5</v>
      </c>
      <c r="AO23" s="204">
        <v>-2.8</v>
      </c>
      <c r="AP23" s="528">
        <f t="shared" ref="AP23" si="60">SUM(AL23:AO23)</f>
        <v>-1.1999999999999993</v>
      </c>
      <c r="AQ23" s="534">
        <v>-1.7</v>
      </c>
      <c r="AR23" s="535"/>
      <c r="AS23" s="527"/>
      <c r="AT23" s="592"/>
      <c r="AU23" s="528">
        <f t="shared" si="48"/>
        <v>-1.7</v>
      </c>
      <c r="AV23" s="583"/>
      <c r="AW23" s="534">
        <v>-1.7</v>
      </c>
      <c r="AX23" s="535"/>
      <c r="AY23" s="527"/>
      <c r="AZ23" s="592"/>
      <c r="BA23" s="528">
        <f t="shared" si="49"/>
        <v>-1.7</v>
      </c>
    </row>
    <row r="24" spans="1:53" s="436" customFormat="1" ht="24.95" customHeight="1" thickBot="1">
      <c r="A24" s="449" t="s">
        <v>68</v>
      </c>
      <c r="B24" s="521">
        <f t="shared" ref="B24:AD24" si="61">B19+B20+B21+B22+B23</f>
        <v>246.30000000000004</v>
      </c>
      <c r="C24" s="521">
        <f t="shared" si="61"/>
        <v>112.89999999999996</v>
      </c>
      <c r="D24" s="521">
        <f t="shared" si="61"/>
        <v>198.20000000000005</v>
      </c>
      <c r="E24" s="521">
        <f t="shared" si="61"/>
        <v>138.20000000000019</v>
      </c>
      <c r="F24" s="545">
        <f t="shared" si="61"/>
        <v>695.59999999999911</v>
      </c>
      <c r="G24" s="520">
        <f t="shared" si="61"/>
        <v>109.27999999999996</v>
      </c>
      <c r="H24" s="521">
        <f t="shared" si="61"/>
        <v>94.09999999999998</v>
      </c>
      <c r="I24" s="521">
        <f t="shared" si="61"/>
        <v>200.79999999999998</v>
      </c>
      <c r="J24" s="521">
        <f t="shared" si="61"/>
        <v>188.69999999999993</v>
      </c>
      <c r="K24" s="545">
        <f t="shared" si="61"/>
        <v>592.88000000000034</v>
      </c>
      <c r="L24" s="520">
        <f t="shared" si="61"/>
        <v>112.59999999999985</v>
      </c>
      <c r="M24" s="521">
        <f t="shared" si="61"/>
        <v>148.7999999999999</v>
      </c>
      <c r="N24" s="521">
        <f t="shared" si="61"/>
        <v>49.299999999999685</v>
      </c>
      <c r="O24" s="521">
        <f t="shared" si="61"/>
        <v>3.5000000000007732</v>
      </c>
      <c r="P24" s="532">
        <f t="shared" si="61"/>
        <v>314.19999999999794</v>
      </c>
      <c r="Q24" s="521">
        <f t="shared" si="61"/>
        <v>196.79999999999995</v>
      </c>
      <c r="R24" s="521">
        <f t="shared" si="61"/>
        <v>350.4</v>
      </c>
      <c r="S24" s="521">
        <f t="shared" si="61"/>
        <v>613.29999999999961</v>
      </c>
      <c r="T24" s="521">
        <f t="shared" si="61"/>
        <v>171.90000000000038</v>
      </c>
      <c r="U24" s="532">
        <f t="shared" si="61"/>
        <v>1332.3999999999994</v>
      </c>
      <c r="V24" s="521">
        <f t="shared" si="61"/>
        <v>205.70000000000005</v>
      </c>
      <c r="W24" s="521">
        <f t="shared" si="61"/>
        <v>252.10000000000014</v>
      </c>
      <c r="X24" s="521">
        <f t="shared" si="61"/>
        <v>334.90000000000038</v>
      </c>
      <c r="Y24" s="521">
        <f t="shared" si="61"/>
        <v>240.69999999999996</v>
      </c>
      <c r="Z24" s="532">
        <f t="shared" si="61"/>
        <v>1033.4000000000001</v>
      </c>
      <c r="AA24" s="521">
        <f t="shared" si="61"/>
        <v>302.20000000000033</v>
      </c>
      <c r="AB24" s="521">
        <f t="shared" si="61"/>
        <v>389.2999999999999</v>
      </c>
      <c r="AC24" s="521">
        <f t="shared" si="61"/>
        <v>289.10000000000002</v>
      </c>
      <c r="AD24" s="541">
        <f t="shared" si="61"/>
        <v>354.40000000000003</v>
      </c>
      <c r="AE24" s="532">
        <f>AE19+AE20+AE21+AE22+AE23</f>
        <v>1335.0000000000007</v>
      </c>
      <c r="AF24" s="521">
        <f t="shared" ref="AF24" si="62">AF19+AF20+AF21+AF22+AF23</f>
        <v>393.49999999999972</v>
      </c>
      <c r="AG24" s="521">
        <f>AG19+AG20+AG21+AG22+AG23</f>
        <v>355.19999999999987</v>
      </c>
      <c r="AH24" s="542">
        <f>AH19+AH20+AH21+AH22+AH23</f>
        <v>304.30000000000007</v>
      </c>
      <c r="AI24" s="542">
        <f>AI19+AI20+AI21+AI22+AI23</f>
        <v>304.59999999999997</v>
      </c>
      <c r="AJ24" s="532">
        <f>AJ19+AJ20+AJ21+AJ22+AJ23</f>
        <v>1357.5999999999997</v>
      </c>
      <c r="AK24" s="546"/>
      <c r="AL24" s="520">
        <f t="shared" ref="AL24:AO24" si="63">AL19+AL20+AL21+AL22+AL23</f>
        <v>364.7</v>
      </c>
      <c r="AM24" s="521">
        <f>AM19+AM20+AM21+AM22+AM23</f>
        <v>330.69999999999982</v>
      </c>
      <c r="AN24" s="521">
        <f t="shared" si="63"/>
        <v>303.0999999999998</v>
      </c>
      <c r="AO24" s="521">
        <f t="shared" si="63"/>
        <v>307.59999999999997</v>
      </c>
      <c r="AP24" s="532">
        <f>AP19+AP20+AP21+AP22+AP23</f>
        <v>1306.1000000000029</v>
      </c>
      <c r="AQ24" s="520">
        <f t="shared" ref="AQ24" si="64">AQ19+AQ20+AQ21+AQ22+AQ23</f>
        <v>378.80000000000024</v>
      </c>
      <c r="AR24" s="620"/>
      <c r="AS24" s="620"/>
      <c r="AT24" s="620"/>
      <c r="AU24" s="532">
        <f>AU19+AU20+AU21+AU22+AU23</f>
        <v>378.80000000000024</v>
      </c>
      <c r="AV24" s="597"/>
      <c r="AW24" s="520">
        <f t="shared" ref="AW24" si="65">AW19+AW20+AW21+AW22+AW23</f>
        <v>374.59999999999951</v>
      </c>
      <c r="AX24" s="620"/>
      <c r="AY24" s="620"/>
      <c r="AZ24" s="620"/>
      <c r="BA24" s="532">
        <f>BA19+BA20+BA21+BA22+BA23</f>
        <v>374.59999999999951</v>
      </c>
    </row>
    <row r="25" spans="1:53" ht="20.100000000000001" customHeight="1" thickBot="1">
      <c r="A25" s="450" t="s">
        <v>69</v>
      </c>
      <c r="B25" s="536">
        <v>-41.2</v>
      </c>
      <c r="C25" s="536">
        <v>-13.4</v>
      </c>
      <c r="D25" s="536">
        <v>-26.2</v>
      </c>
      <c r="E25" s="536">
        <v>-16.600000000000001</v>
      </c>
      <c r="F25" s="537">
        <f>SUM(B25:E25)</f>
        <v>-97.4</v>
      </c>
      <c r="G25" s="524">
        <v>-14.1</v>
      </c>
      <c r="H25" s="536">
        <v>-13.4</v>
      </c>
      <c r="I25" s="536">
        <v>-24.4</v>
      </c>
      <c r="J25" s="536">
        <v>-15.5</v>
      </c>
      <c r="K25" s="537">
        <f>SUM(G25:J25)</f>
        <v>-67.400000000000006</v>
      </c>
      <c r="L25" s="524">
        <v>-14.400000000000002</v>
      </c>
      <c r="M25" s="536">
        <v>-16.7</v>
      </c>
      <c r="N25" s="536">
        <v>-1.1000000000000001</v>
      </c>
      <c r="O25" s="536">
        <v>10.5</v>
      </c>
      <c r="P25" s="528">
        <f>SUM(L25:O25)</f>
        <v>-21.700000000000003</v>
      </c>
      <c r="Q25" s="536">
        <v>-26</v>
      </c>
      <c r="R25" s="536">
        <v>-45.9</v>
      </c>
      <c r="S25" s="536">
        <v>-110.8</v>
      </c>
      <c r="T25" s="536">
        <v>13.7</v>
      </c>
      <c r="U25" s="528">
        <f>SUM(Q25:T25)</f>
        <v>-169</v>
      </c>
      <c r="V25" s="536">
        <v>-27.2</v>
      </c>
      <c r="W25" s="536">
        <v>-21.2</v>
      </c>
      <c r="X25" s="536">
        <v>-65.099999999999994</v>
      </c>
      <c r="Y25" s="536">
        <v>101.1</v>
      </c>
      <c r="Z25" s="528">
        <f t="shared" si="14"/>
        <v>-12.400000000000006</v>
      </c>
      <c r="AA25" s="536">
        <v>-30.8</v>
      </c>
      <c r="AB25" s="536">
        <v>-107.6</v>
      </c>
      <c r="AC25" s="525">
        <v>-54.2</v>
      </c>
      <c r="AD25" s="536">
        <v>-197.2</v>
      </c>
      <c r="AE25" s="528">
        <f>SUM(AA25:AD25)</f>
        <v>-389.8</v>
      </c>
      <c r="AF25" s="536">
        <v>-78</v>
      </c>
      <c r="AG25" s="536">
        <v>-102.1</v>
      </c>
      <c r="AH25" s="525">
        <v>-77.3</v>
      </c>
      <c r="AI25" s="536">
        <v>-246.7</v>
      </c>
      <c r="AJ25" s="528">
        <f>SUM(AF25:AI25)</f>
        <v>-504.09999999999997</v>
      </c>
      <c r="AK25" s="544"/>
      <c r="AL25" s="524">
        <v>-72.5</v>
      </c>
      <c r="AM25" s="525">
        <v>-99.3</v>
      </c>
      <c r="AN25" s="527">
        <v>-76</v>
      </c>
      <c r="AO25" s="560">
        <v>-242.2</v>
      </c>
      <c r="AP25" s="528">
        <f>SUM(AL25:AO25)</f>
        <v>-490</v>
      </c>
      <c r="AQ25" s="524">
        <v>-78</v>
      </c>
      <c r="AR25" s="525"/>
      <c r="AS25" s="527"/>
      <c r="AT25" s="598"/>
      <c r="AU25" s="528">
        <f>SUM(AQ25:AT25)</f>
        <v>-78</v>
      </c>
      <c r="AV25" s="583"/>
      <c r="AW25" s="524">
        <v>-77.3</v>
      </c>
      <c r="AX25" s="525"/>
      <c r="AY25" s="527"/>
      <c r="AZ25" s="598"/>
      <c r="BA25" s="528">
        <f>SUM(AW25:AZ25)</f>
        <v>-77.3</v>
      </c>
    </row>
    <row r="26" spans="1:53" s="436" customFormat="1" ht="24.95" customHeight="1" thickBot="1">
      <c r="A26" s="451" t="s">
        <v>70</v>
      </c>
      <c r="B26" s="521">
        <f t="shared" ref="B26:M26" si="66">B24+B25</f>
        <v>205.10000000000002</v>
      </c>
      <c r="C26" s="521">
        <f t="shared" si="66"/>
        <v>99.499999999999957</v>
      </c>
      <c r="D26" s="521">
        <f t="shared" si="66"/>
        <v>172.00000000000006</v>
      </c>
      <c r="E26" s="521">
        <f t="shared" si="66"/>
        <v>121.60000000000019</v>
      </c>
      <c r="F26" s="545">
        <f>F24+F25</f>
        <v>598.19999999999914</v>
      </c>
      <c r="G26" s="520">
        <f t="shared" si="66"/>
        <v>95.179999999999964</v>
      </c>
      <c r="H26" s="521">
        <f t="shared" si="66"/>
        <v>80.699999999999974</v>
      </c>
      <c r="I26" s="521">
        <f t="shared" si="66"/>
        <v>176.39999999999998</v>
      </c>
      <c r="J26" s="521">
        <f t="shared" si="66"/>
        <v>173.19999999999993</v>
      </c>
      <c r="K26" s="545">
        <f t="shared" si="66"/>
        <v>525.48000000000036</v>
      </c>
      <c r="L26" s="520">
        <f t="shared" si="66"/>
        <v>98.199999999999847</v>
      </c>
      <c r="M26" s="521">
        <f t="shared" si="66"/>
        <v>132.09999999999991</v>
      </c>
      <c r="N26" s="521">
        <f t="shared" ref="N26" si="67">N24+N25</f>
        <v>48.199999999999683</v>
      </c>
      <c r="O26" s="521">
        <f t="shared" ref="O26" si="68">O24+O25</f>
        <v>14.000000000000773</v>
      </c>
      <c r="P26" s="532">
        <f t="shared" ref="P26:U26" si="69">P24+P25</f>
        <v>292.49999999999795</v>
      </c>
      <c r="Q26" s="521">
        <f t="shared" si="69"/>
        <v>170.79999999999995</v>
      </c>
      <c r="R26" s="521">
        <f t="shared" si="69"/>
        <v>304.5</v>
      </c>
      <c r="S26" s="521">
        <f t="shared" si="69"/>
        <v>502.4999999999996</v>
      </c>
      <c r="T26" s="521">
        <f t="shared" si="69"/>
        <v>185.60000000000036</v>
      </c>
      <c r="U26" s="532">
        <f t="shared" si="69"/>
        <v>1163.3999999999994</v>
      </c>
      <c r="V26" s="521">
        <f t="shared" ref="V26:AE26" si="70">V24+V25</f>
        <v>178.50000000000006</v>
      </c>
      <c r="W26" s="521">
        <f t="shared" si="70"/>
        <v>230.90000000000015</v>
      </c>
      <c r="X26" s="521">
        <f t="shared" si="70"/>
        <v>269.80000000000041</v>
      </c>
      <c r="Y26" s="521">
        <f t="shared" si="70"/>
        <v>341.79999999999995</v>
      </c>
      <c r="Z26" s="532">
        <f t="shared" si="70"/>
        <v>1021.0000000000001</v>
      </c>
      <c r="AA26" s="521">
        <f t="shared" si="70"/>
        <v>271.40000000000032</v>
      </c>
      <c r="AB26" s="521">
        <f t="shared" si="70"/>
        <v>281.69999999999993</v>
      </c>
      <c r="AC26" s="521">
        <f t="shared" si="70"/>
        <v>234.90000000000003</v>
      </c>
      <c r="AD26" s="541">
        <f t="shared" si="70"/>
        <v>157.20000000000005</v>
      </c>
      <c r="AE26" s="532">
        <f t="shared" si="70"/>
        <v>945.20000000000073</v>
      </c>
      <c r="AF26" s="521">
        <f t="shared" ref="AF26:AJ26" si="71">AF24+AF25</f>
        <v>315.49999999999972</v>
      </c>
      <c r="AG26" s="521">
        <f t="shared" si="71"/>
        <v>253.09999999999988</v>
      </c>
      <c r="AH26" s="547">
        <f>AH24+AH25</f>
        <v>227.00000000000006</v>
      </c>
      <c r="AI26" s="547">
        <f>AI24+AI25</f>
        <v>57.899999999999977</v>
      </c>
      <c r="AJ26" s="532">
        <f t="shared" si="71"/>
        <v>853.49999999999977</v>
      </c>
      <c r="AK26" s="546"/>
      <c r="AL26" s="520">
        <f t="shared" ref="AL26:AP26" si="72">AL24+AL25</f>
        <v>292.2</v>
      </c>
      <c r="AM26" s="521">
        <f t="shared" si="72"/>
        <v>231.39999999999981</v>
      </c>
      <c r="AN26" s="522">
        <f t="shared" si="72"/>
        <v>227.0999999999998</v>
      </c>
      <c r="AO26" s="522">
        <f t="shared" si="72"/>
        <v>65.399999999999977</v>
      </c>
      <c r="AP26" s="532">
        <f t="shared" si="72"/>
        <v>816.10000000000286</v>
      </c>
      <c r="AQ26" s="520">
        <f>AQ24+AQ25</f>
        <v>300.80000000000024</v>
      </c>
      <c r="AR26" s="620"/>
      <c r="AS26" s="621"/>
      <c r="AT26" s="621"/>
      <c r="AU26" s="532">
        <f t="shared" ref="AU26" si="73">AU24+AU25</f>
        <v>300.80000000000024</v>
      </c>
      <c r="AV26" s="597"/>
      <c r="AW26" s="520">
        <f>AW24+AW25</f>
        <v>297.2999999999995</v>
      </c>
      <c r="AX26" s="620"/>
      <c r="AY26" s="621"/>
      <c r="AZ26" s="621"/>
      <c r="BA26" s="532">
        <f t="shared" ref="BA26" si="74">BA24+BA25</f>
        <v>297.2999999999995</v>
      </c>
    </row>
    <row r="27" spans="1:53" s="436" customFormat="1" ht="20.100000000000001" customHeight="1">
      <c r="A27" s="452" t="s">
        <v>173</v>
      </c>
      <c r="B27" s="548">
        <f t="shared" ref="B27:R27" si="75">B26</f>
        <v>205.10000000000002</v>
      </c>
      <c r="C27" s="536">
        <f t="shared" si="75"/>
        <v>99.499999999999957</v>
      </c>
      <c r="D27" s="536">
        <f t="shared" si="75"/>
        <v>172.00000000000006</v>
      </c>
      <c r="E27" s="536">
        <f t="shared" si="75"/>
        <v>121.60000000000019</v>
      </c>
      <c r="F27" s="537">
        <f t="shared" si="75"/>
        <v>598.19999999999914</v>
      </c>
      <c r="G27" s="524">
        <f t="shared" si="75"/>
        <v>95.179999999999964</v>
      </c>
      <c r="H27" s="536">
        <f t="shared" si="75"/>
        <v>80.699999999999974</v>
      </c>
      <c r="I27" s="536">
        <f t="shared" si="75"/>
        <v>176.39999999999998</v>
      </c>
      <c r="J27" s="536">
        <f t="shared" si="75"/>
        <v>173.19999999999993</v>
      </c>
      <c r="K27" s="537">
        <f t="shared" si="75"/>
        <v>525.48000000000036</v>
      </c>
      <c r="L27" s="524">
        <f t="shared" si="75"/>
        <v>98.199999999999847</v>
      </c>
      <c r="M27" s="536">
        <f t="shared" si="75"/>
        <v>132.09999999999991</v>
      </c>
      <c r="N27" s="536">
        <f t="shared" si="75"/>
        <v>48.199999999999683</v>
      </c>
      <c r="O27" s="536">
        <f t="shared" si="75"/>
        <v>14.000000000000773</v>
      </c>
      <c r="P27" s="528">
        <f t="shared" si="75"/>
        <v>292.49999999999795</v>
      </c>
      <c r="Q27" s="536">
        <f t="shared" si="75"/>
        <v>170.79999999999995</v>
      </c>
      <c r="R27" s="536">
        <f t="shared" si="75"/>
        <v>304.5</v>
      </c>
      <c r="S27" s="536">
        <f>S26</f>
        <v>502.4999999999996</v>
      </c>
      <c r="T27" s="536">
        <f>T26</f>
        <v>185.60000000000036</v>
      </c>
      <c r="U27" s="528">
        <f>U26</f>
        <v>1163.3999999999994</v>
      </c>
      <c r="V27" s="536">
        <f>175.5</f>
        <v>175.5</v>
      </c>
      <c r="W27" s="536">
        <v>237.7</v>
      </c>
      <c r="X27" s="536">
        <v>278.2</v>
      </c>
      <c r="Y27" s="536">
        <v>349.9</v>
      </c>
      <c r="Z27" s="528">
        <f t="shared" si="14"/>
        <v>1041.3</v>
      </c>
      <c r="AA27" s="536">
        <v>279.39999999999998</v>
      </c>
      <c r="AB27" s="536">
        <v>291.2</v>
      </c>
      <c r="AC27" s="525">
        <v>242.9</v>
      </c>
      <c r="AD27" s="525">
        <v>167.1</v>
      </c>
      <c r="AE27" s="528">
        <f t="shared" ref="AE27:AE28" si="76">SUM(AA27:AD27)</f>
        <v>980.59999999999991</v>
      </c>
      <c r="AF27" s="539"/>
      <c r="AG27" s="536"/>
      <c r="AH27" s="525"/>
      <c r="AI27" s="525"/>
      <c r="AJ27" s="528">
        <f t="shared" ref="AJ27" si="77">SUM(AF27:AI27)</f>
        <v>0</v>
      </c>
      <c r="AK27" s="546"/>
      <c r="AL27" s="533">
        <v>300.8</v>
      </c>
      <c r="AM27" s="525">
        <v>235.8</v>
      </c>
      <c r="AN27" s="527">
        <v>226.1</v>
      </c>
      <c r="AO27" s="558">
        <v>70.900000000000006</v>
      </c>
      <c r="AP27" s="528">
        <f t="shared" ref="AP27:AP28" si="78">SUM(AL27:AO27)</f>
        <v>833.6</v>
      </c>
      <c r="AQ27" s="533">
        <v>0</v>
      </c>
      <c r="AR27" s="525"/>
      <c r="AS27" s="527"/>
      <c r="AT27" s="591"/>
      <c r="AU27" s="528">
        <f t="shared" ref="AU27:AU29" si="79">SUM(AQ27:AT27)</f>
        <v>0</v>
      </c>
      <c r="AV27" s="583"/>
      <c r="AW27" s="533">
        <v>291.89999999999998</v>
      </c>
      <c r="AX27" s="525"/>
      <c r="AY27" s="527"/>
      <c r="AZ27" s="591"/>
      <c r="BA27" s="528">
        <f t="shared" ref="BA27:BA28" si="80">SUM(AW27:AZ27)</f>
        <v>291.89999999999998</v>
      </c>
    </row>
    <row r="28" spans="1:53" s="436" customFormat="1" ht="20.100000000000001" customHeight="1">
      <c r="A28" s="453" t="s">
        <v>190</v>
      </c>
      <c r="B28" s="525">
        <v>0</v>
      </c>
      <c r="C28" s="525">
        <v>0</v>
      </c>
      <c r="D28" s="525">
        <v>0</v>
      </c>
      <c r="E28" s="525">
        <v>0</v>
      </c>
      <c r="F28" s="528">
        <v>0</v>
      </c>
      <c r="G28" s="525">
        <v>0</v>
      </c>
      <c r="H28" s="525">
        <v>0</v>
      </c>
      <c r="I28" s="525">
        <v>0</v>
      </c>
      <c r="J28" s="525">
        <v>0</v>
      </c>
      <c r="K28" s="528">
        <v>0</v>
      </c>
      <c r="L28" s="525">
        <v>0</v>
      </c>
      <c r="M28" s="525">
        <v>0</v>
      </c>
      <c r="N28" s="525">
        <v>0</v>
      </c>
      <c r="O28" s="525">
        <v>0</v>
      </c>
      <c r="P28" s="528">
        <v>0</v>
      </c>
      <c r="Q28" s="525">
        <v>0</v>
      </c>
      <c r="R28" s="525">
        <v>0</v>
      </c>
      <c r="S28" s="525">
        <v>0</v>
      </c>
      <c r="T28" s="525">
        <v>0</v>
      </c>
      <c r="U28" s="528">
        <v>0</v>
      </c>
      <c r="V28" s="536">
        <v>3</v>
      </c>
      <c r="W28" s="536">
        <v>-6.8</v>
      </c>
      <c r="X28" s="536">
        <v>-8.4</v>
      </c>
      <c r="Y28" s="536">
        <v>-8.1</v>
      </c>
      <c r="Z28" s="528">
        <f>SUM(V28:Y28)</f>
        <v>-20.299999999999997</v>
      </c>
      <c r="AA28" s="536">
        <v>-8</v>
      </c>
      <c r="AB28" s="536">
        <v>-9.5</v>
      </c>
      <c r="AC28" s="525">
        <v>-8</v>
      </c>
      <c r="AD28" s="525">
        <v>-9.9</v>
      </c>
      <c r="AE28" s="528">
        <f t="shared" si="76"/>
        <v>-35.4</v>
      </c>
      <c r="AF28" s="539"/>
      <c r="AG28" s="536"/>
      <c r="AH28" s="525"/>
      <c r="AI28" s="525"/>
      <c r="AJ28" s="528">
        <f>SUM(AF28:AI28)</f>
        <v>0</v>
      </c>
      <c r="AK28" s="546"/>
      <c r="AL28" s="533">
        <v>-8.6</v>
      </c>
      <c r="AM28" s="525">
        <v>-4.4000000000000004</v>
      </c>
      <c r="AN28" s="527">
        <v>1</v>
      </c>
      <c r="AO28" s="558">
        <v>-5.5</v>
      </c>
      <c r="AP28" s="528">
        <f t="shared" si="78"/>
        <v>-17.5</v>
      </c>
      <c r="AQ28" s="533">
        <v>0</v>
      </c>
      <c r="AR28" s="525"/>
      <c r="AS28" s="527"/>
      <c r="AT28" s="591"/>
      <c r="AU28" s="528">
        <f t="shared" si="79"/>
        <v>0</v>
      </c>
      <c r="AV28" s="583"/>
      <c r="AW28" s="533">
        <v>5.4</v>
      </c>
      <c r="AX28" s="525"/>
      <c r="AY28" s="527"/>
      <c r="AZ28" s="591"/>
      <c r="BA28" s="528">
        <f t="shared" si="80"/>
        <v>5.4</v>
      </c>
    </row>
    <row r="29" spans="1:53" s="462" customFormat="1" ht="20.100000000000001" customHeight="1" thickBot="1">
      <c r="A29" s="454" t="s">
        <v>174</v>
      </c>
      <c r="B29" s="455">
        <f t="shared" ref="B29:L29" si="81">ROUND(B26/348.352836,2)</f>
        <v>0.59</v>
      </c>
      <c r="C29" s="455">
        <f t="shared" si="81"/>
        <v>0.28999999999999998</v>
      </c>
      <c r="D29" s="455">
        <f t="shared" si="81"/>
        <v>0.49</v>
      </c>
      <c r="E29" s="455">
        <f t="shared" si="81"/>
        <v>0.35</v>
      </c>
      <c r="F29" s="456">
        <f t="shared" si="81"/>
        <v>1.72</v>
      </c>
      <c r="G29" s="457">
        <f t="shared" si="81"/>
        <v>0.27</v>
      </c>
      <c r="H29" s="455">
        <f t="shared" si="81"/>
        <v>0.23</v>
      </c>
      <c r="I29" s="455">
        <f t="shared" si="81"/>
        <v>0.51</v>
      </c>
      <c r="J29" s="455">
        <f t="shared" si="81"/>
        <v>0.5</v>
      </c>
      <c r="K29" s="456">
        <f t="shared" si="81"/>
        <v>1.51</v>
      </c>
      <c r="L29" s="457">
        <f t="shared" si="81"/>
        <v>0.28000000000000003</v>
      </c>
      <c r="M29" s="455">
        <f>ROUND(M26/524.348714,2)</f>
        <v>0.25</v>
      </c>
      <c r="N29" s="455">
        <f>ROUND(N26/639.546016,2)</f>
        <v>0.08</v>
      </c>
      <c r="O29" s="455">
        <f>ROUND(O26/639.546016,2)</f>
        <v>0.02</v>
      </c>
      <c r="P29" s="458">
        <f>ROUND(P26/539.024535,2)</f>
        <v>0.54</v>
      </c>
      <c r="Q29" s="455">
        <f t="shared" ref="Q29:X29" si="82">ROUND(Q26/639.546016,2)</f>
        <v>0.27</v>
      </c>
      <c r="R29" s="455">
        <f t="shared" si="82"/>
        <v>0.48</v>
      </c>
      <c r="S29" s="455">
        <f t="shared" si="82"/>
        <v>0.79</v>
      </c>
      <c r="T29" s="455">
        <f t="shared" si="82"/>
        <v>0.28999999999999998</v>
      </c>
      <c r="U29" s="458">
        <f t="shared" si="82"/>
        <v>1.82</v>
      </c>
      <c r="V29" s="455">
        <f t="shared" si="82"/>
        <v>0.28000000000000003</v>
      </c>
      <c r="W29" s="455">
        <f>ROUNDUP(W26/639.546016,2)</f>
        <v>0.37</v>
      </c>
      <c r="X29" s="455">
        <f t="shared" si="82"/>
        <v>0.42</v>
      </c>
      <c r="Y29" s="455">
        <f>ROUNDUP(Y26/639.546016,2)</f>
        <v>0.54</v>
      </c>
      <c r="Z29" s="458">
        <f t="shared" ref="Z29:AE29" si="83">ROUND(Z26/639.546016,2)</f>
        <v>1.6</v>
      </c>
      <c r="AA29" s="459">
        <f t="shared" si="83"/>
        <v>0.42</v>
      </c>
      <c r="AB29" s="459">
        <f t="shared" si="83"/>
        <v>0.44</v>
      </c>
      <c r="AC29" s="459">
        <f t="shared" si="83"/>
        <v>0.37</v>
      </c>
      <c r="AD29" s="460">
        <f t="shared" si="83"/>
        <v>0.25</v>
      </c>
      <c r="AE29" s="458">
        <f t="shared" si="83"/>
        <v>1.48</v>
      </c>
      <c r="AF29" s="459">
        <f t="shared" ref="AF29:AJ29" si="84">ROUND(AF26/639.546016,2)</f>
        <v>0.49</v>
      </c>
      <c r="AG29" s="459">
        <f>ROUND(AG26/639.546016,2)</f>
        <v>0.4</v>
      </c>
      <c r="AH29" s="461">
        <f>ROUND(AH26/639.546016,2)</f>
        <v>0.35</v>
      </c>
      <c r="AI29" s="461">
        <v>0.09</v>
      </c>
      <c r="AJ29" s="458">
        <f t="shared" si="84"/>
        <v>1.33</v>
      </c>
      <c r="AK29" s="501"/>
      <c r="AL29" s="567">
        <f t="shared" ref="AL29:AM29" si="85">ROUND(AL26/639.546016,2)</f>
        <v>0.46</v>
      </c>
      <c r="AM29" s="566">
        <f t="shared" si="85"/>
        <v>0.36</v>
      </c>
      <c r="AN29" s="565">
        <v>0.35</v>
      </c>
      <c r="AO29" s="561">
        <v>0.11</v>
      </c>
      <c r="AP29" s="564">
        <f>ROUND(AP26/639.546016,2)</f>
        <v>1.28</v>
      </c>
      <c r="AQ29" s="567">
        <v>0</v>
      </c>
      <c r="AR29" s="566"/>
      <c r="AS29" s="565"/>
      <c r="AT29" s="615"/>
      <c r="AU29" s="528">
        <f t="shared" si="79"/>
        <v>0</v>
      </c>
      <c r="AV29" s="597"/>
      <c r="AW29" s="567">
        <v>0.46</v>
      </c>
      <c r="AX29" s="616"/>
      <c r="AY29" s="617"/>
      <c r="AZ29" s="618"/>
      <c r="BA29" s="564">
        <f>ROUND(BA26/639.546016,2)</f>
        <v>0.46</v>
      </c>
    </row>
    <row r="30" spans="1:53" s="436" customFormat="1" ht="20.100000000000001" customHeight="1">
      <c r="A30" s="463" t="s">
        <v>0</v>
      </c>
      <c r="B30" s="549">
        <f t="shared" ref="B30:AA30" si="86">B19-B11</f>
        <v>257.40000000000003</v>
      </c>
      <c r="C30" s="549">
        <f t="shared" si="86"/>
        <v>269.7</v>
      </c>
      <c r="D30" s="549">
        <f t="shared" si="86"/>
        <v>257.8</v>
      </c>
      <c r="E30" s="549">
        <f t="shared" si="86"/>
        <v>247.20000000000016</v>
      </c>
      <c r="F30" s="550">
        <f t="shared" si="86"/>
        <v>1032.0999999999992</v>
      </c>
      <c r="G30" s="551">
        <f t="shared" si="86"/>
        <v>245.37999999999994</v>
      </c>
      <c r="H30" s="549">
        <f t="shared" si="86"/>
        <v>257.3</v>
      </c>
      <c r="I30" s="549">
        <f t="shared" si="86"/>
        <v>268.2</v>
      </c>
      <c r="J30" s="549">
        <f t="shared" si="86"/>
        <v>275.39999999999998</v>
      </c>
      <c r="K30" s="550">
        <f t="shared" si="86"/>
        <v>1046.2800000000002</v>
      </c>
      <c r="L30" s="551">
        <f t="shared" si="86"/>
        <v>281.79999999999984</v>
      </c>
      <c r="M30" s="549">
        <f t="shared" si="86"/>
        <v>708.89999999999986</v>
      </c>
      <c r="N30" s="549">
        <f t="shared" si="86"/>
        <v>910.09999999999968</v>
      </c>
      <c r="O30" s="549">
        <f t="shared" si="86"/>
        <v>837.30000000000075</v>
      </c>
      <c r="P30" s="550">
        <f t="shared" si="86"/>
        <v>2738.0999999999976</v>
      </c>
      <c r="Q30" s="551">
        <f t="shared" si="86"/>
        <v>896.59999999999991</v>
      </c>
      <c r="R30" s="549">
        <f t="shared" si="86"/>
        <v>977</v>
      </c>
      <c r="S30" s="549">
        <f t="shared" si="86"/>
        <v>930.39999999999964</v>
      </c>
      <c r="T30" s="549">
        <f t="shared" si="86"/>
        <v>881.10000000000036</v>
      </c>
      <c r="U30" s="552">
        <f t="shared" si="86"/>
        <v>3685.0999999999995</v>
      </c>
      <c r="V30" s="551">
        <f t="shared" si="86"/>
        <v>846.5</v>
      </c>
      <c r="W30" s="549">
        <f t="shared" si="86"/>
        <v>935.00000000000011</v>
      </c>
      <c r="X30" s="549">
        <f t="shared" si="86"/>
        <v>957.00000000000034</v>
      </c>
      <c r="Y30" s="549">
        <f t="shared" si="86"/>
        <v>902.3</v>
      </c>
      <c r="Z30" s="552">
        <f t="shared" si="86"/>
        <v>3640.8</v>
      </c>
      <c r="AA30" s="553">
        <f t="shared" si="86"/>
        <v>929.50000000000034</v>
      </c>
      <c r="AB30" s="549">
        <f>AB19-AB11</f>
        <v>963.69999999999982</v>
      </c>
      <c r="AC30" s="549">
        <f>AC19-AC11</f>
        <v>851.1</v>
      </c>
      <c r="AD30" s="549">
        <f t="shared" ref="AD30:AF30" si="87">AD19-AD11</f>
        <v>872.7</v>
      </c>
      <c r="AE30" s="554">
        <f t="shared" si="87"/>
        <v>3617.0000000000009</v>
      </c>
      <c r="AF30" s="553">
        <f t="shared" si="87"/>
        <v>918.79999999999973</v>
      </c>
      <c r="AG30" s="549">
        <f>AG19-AG11</f>
        <v>927.59999999999991</v>
      </c>
      <c r="AH30" s="555">
        <f>AH19-AH11</f>
        <v>848.50000000000011</v>
      </c>
      <c r="AI30" s="555">
        <f>AI19-AI11</f>
        <v>846.6</v>
      </c>
      <c r="AJ30" s="554">
        <f t="shared" ref="AJ30" si="88">AJ19-AJ11</f>
        <v>3541.4999999999995</v>
      </c>
      <c r="AK30" s="546"/>
      <c r="AL30" s="553">
        <f t="shared" ref="AL30" si="89">AL19-AL11</f>
        <v>890</v>
      </c>
      <c r="AM30" s="549">
        <f>AM19-AM11</f>
        <v>946.39999999999986</v>
      </c>
      <c r="AN30" s="556">
        <f>AN19-AN11</f>
        <v>919.99999999999977</v>
      </c>
      <c r="AO30" s="562">
        <f>AO19-AO11</f>
        <v>941.3</v>
      </c>
      <c r="AP30" s="554">
        <f>AP19-AP11</f>
        <v>3697.700000000003</v>
      </c>
      <c r="AQ30" s="553">
        <f>AQ19-AQ11</f>
        <v>922.00000000000023</v>
      </c>
      <c r="AR30" s="585"/>
      <c r="AS30" s="619"/>
      <c r="AT30" s="619"/>
      <c r="AU30" s="554">
        <f>AU19-AU11</f>
        <v>922.00000000000023</v>
      </c>
      <c r="AV30" s="597"/>
      <c r="AW30" s="553">
        <f>AW19-AW11</f>
        <v>1038.2999999999995</v>
      </c>
      <c r="AX30" s="585"/>
      <c r="AY30" s="619"/>
      <c r="AZ30" s="619"/>
      <c r="BA30" s="554">
        <f>BA19-BA11</f>
        <v>1038.2999999999995</v>
      </c>
    </row>
    <row r="31" spans="1:53" s="436" customFormat="1" ht="20.100000000000001" customHeight="1" thickBot="1">
      <c r="A31" s="464" t="s">
        <v>175</v>
      </c>
      <c r="B31" s="504">
        <f t="shared" ref="B31:AB31" si="90">B30/B4</f>
        <v>0.38463837417812313</v>
      </c>
      <c r="C31" s="504">
        <f t="shared" si="90"/>
        <v>0.377836929111796</v>
      </c>
      <c r="D31" s="504">
        <f t="shared" si="90"/>
        <v>0.4</v>
      </c>
      <c r="E31" s="504">
        <f t="shared" si="90"/>
        <v>0.32933653077537983</v>
      </c>
      <c r="F31" s="505">
        <f t="shared" si="90"/>
        <v>0.37151290450307745</v>
      </c>
      <c r="G31" s="504">
        <f t="shared" si="90"/>
        <v>0.35200114761153339</v>
      </c>
      <c r="H31" s="504">
        <f t="shared" si="90"/>
        <v>0.34963989672509854</v>
      </c>
      <c r="I31" s="504">
        <f t="shared" si="90"/>
        <v>0.39598405433338257</v>
      </c>
      <c r="J31" s="504">
        <f t="shared" si="90"/>
        <v>0.34403497813866329</v>
      </c>
      <c r="K31" s="505">
        <f t="shared" si="90"/>
        <v>0.35944757454995196</v>
      </c>
      <c r="L31" s="504">
        <f t="shared" si="90"/>
        <v>0.38960320752108379</v>
      </c>
      <c r="M31" s="504">
        <f t="shared" si="90"/>
        <v>0.40603700097370976</v>
      </c>
      <c r="N31" s="504">
        <f t="shared" si="90"/>
        <v>0.37613655149611497</v>
      </c>
      <c r="O31" s="504">
        <f t="shared" si="90"/>
        <v>0.33211693308476481</v>
      </c>
      <c r="P31" s="505">
        <f t="shared" si="90"/>
        <v>0.36951915680373526</v>
      </c>
      <c r="Q31" s="504">
        <f t="shared" si="90"/>
        <v>0.38497209102619145</v>
      </c>
      <c r="R31" s="504">
        <f t="shared" si="90"/>
        <v>0.39567471245747615</v>
      </c>
      <c r="S31" s="504">
        <f t="shared" si="90"/>
        <v>0.3852747525777464</v>
      </c>
      <c r="T31" s="504">
        <f t="shared" si="90"/>
        <v>0.33759914172956829</v>
      </c>
      <c r="U31" s="505">
        <f t="shared" si="90"/>
        <v>0.37515015779293487</v>
      </c>
      <c r="V31" s="504">
        <f t="shared" si="90"/>
        <v>0.35807952622673433</v>
      </c>
      <c r="W31" s="504">
        <f t="shared" si="90"/>
        <v>0.3827418232428671</v>
      </c>
      <c r="X31" s="504">
        <f t="shared" si="90"/>
        <v>0.4007873356227491</v>
      </c>
      <c r="Y31" s="504">
        <f t="shared" si="90"/>
        <v>0.35592284328034396</v>
      </c>
      <c r="Z31" s="505">
        <f t="shared" si="90"/>
        <v>0.37419063084544396</v>
      </c>
      <c r="AA31" s="504">
        <f t="shared" si="90"/>
        <v>0.38914008205643491</v>
      </c>
      <c r="AB31" s="504">
        <f t="shared" si="90"/>
        <v>0.39017773998947319</v>
      </c>
      <c r="AC31" s="504">
        <f t="shared" ref="AC31:AG31" si="91">AC30/AC4</f>
        <v>0.35597473754653058</v>
      </c>
      <c r="AD31" s="504">
        <f t="shared" si="91"/>
        <v>0.33836073200992561</v>
      </c>
      <c r="AE31" s="505">
        <f t="shared" si="91"/>
        <v>0.36800765114054906</v>
      </c>
      <c r="AF31" s="504">
        <f t="shared" si="91"/>
        <v>0.3892065912653026</v>
      </c>
      <c r="AG31" s="504">
        <f t="shared" si="91"/>
        <v>0.37450038354394599</v>
      </c>
      <c r="AH31" s="504">
        <f t="shared" ref="AH31:AJ31" si="92">AH30/AH4</f>
        <v>0.34840272645150699</v>
      </c>
      <c r="AI31" s="504">
        <f t="shared" si="92"/>
        <v>0.3156599552572707</v>
      </c>
      <c r="AJ31" s="505">
        <f t="shared" si="92"/>
        <v>0.35575087895529878</v>
      </c>
      <c r="AK31" s="502"/>
      <c r="AL31" s="506">
        <f t="shared" ref="AL31:AP31" si="93">AL30/AL4</f>
        <v>0.37938531054179631</v>
      </c>
      <c r="AM31" s="504">
        <f t="shared" si="93"/>
        <v>0.36355255070682235</v>
      </c>
      <c r="AN31" s="504">
        <f t="shared" si="93"/>
        <v>0.33638025594149901</v>
      </c>
      <c r="AO31" s="563">
        <f>AO30/AO4</f>
        <v>0.31355762824783479</v>
      </c>
      <c r="AP31" s="505">
        <f t="shared" si="93"/>
        <v>0.3460289535003418</v>
      </c>
      <c r="AQ31" s="600">
        <v>0.33136860264519846</v>
      </c>
      <c r="AR31" s="601"/>
      <c r="AS31" s="601"/>
      <c r="AT31" s="603"/>
      <c r="AU31" s="602">
        <f t="shared" ref="AU31" si="94">AU30/AU4</f>
        <v>0.33136860264519846</v>
      </c>
      <c r="AV31" s="597"/>
      <c r="AW31" s="600">
        <f t="shared" ref="AW31" si="95">AW30/AW4</f>
        <v>0.37193724029230529</v>
      </c>
      <c r="AX31" s="601"/>
      <c r="AY31" s="601"/>
      <c r="AZ31" s="603"/>
      <c r="BA31" s="602">
        <f>BA30/BA4</f>
        <v>0.37193724029230529</v>
      </c>
    </row>
    <row r="32" spans="1:53" s="465" customFormat="1" ht="15" customHeight="1">
      <c r="B32" s="466"/>
      <c r="C32" s="466"/>
      <c r="D32" s="466"/>
      <c r="E32" s="466"/>
      <c r="F32" s="466"/>
      <c r="G32" s="466"/>
      <c r="H32" s="432"/>
      <c r="I32" s="467"/>
      <c r="J32" s="467"/>
      <c r="K32" s="466"/>
      <c r="L32" s="466"/>
      <c r="M32" s="466"/>
      <c r="N32" s="466"/>
      <c r="O32" s="466"/>
      <c r="P32" s="466"/>
      <c r="Q32" s="466"/>
      <c r="R32" s="466"/>
      <c r="S32" s="466"/>
      <c r="T32" s="466"/>
      <c r="U32" s="466"/>
      <c r="V32" s="466"/>
      <c r="W32" s="466"/>
      <c r="X32" s="466"/>
      <c r="Y32" s="466"/>
      <c r="Z32" s="466"/>
      <c r="AA32" s="466"/>
      <c r="AB32" s="466"/>
      <c r="AC32" s="468"/>
      <c r="AD32" s="466"/>
      <c r="AE32" s="466"/>
      <c r="AF32" s="466"/>
      <c r="AG32" s="466"/>
      <c r="AH32" s="468"/>
      <c r="AI32" s="466"/>
      <c r="AJ32" s="466"/>
      <c r="AL32" s="466"/>
      <c r="AM32" s="466"/>
      <c r="AN32" s="468"/>
      <c r="AO32" s="466"/>
      <c r="AP32" s="466"/>
    </row>
    <row r="33" spans="1:43" s="465" customFormat="1" ht="15" customHeight="1">
      <c r="A33" s="633" t="s">
        <v>187</v>
      </c>
      <c r="B33" s="637"/>
      <c r="C33" s="637"/>
      <c r="D33" s="637"/>
      <c r="E33" s="637"/>
      <c r="F33" s="637"/>
      <c r="G33" s="637"/>
      <c r="H33" s="637"/>
      <c r="I33" s="637"/>
      <c r="J33" s="637"/>
      <c r="K33" s="637"/>
      <c r="L33" s="637"/>
      <c r="M33" s="637"/>
      <c r="AC33" s="469"/>
      <c r="AH33" s="469"/>
      <c r="AN33" s="469"/>
      <c r="AQ33" s="503"/>
    </row>
    <row r="34" spans="1:43" s="465" customFormat="1" ht="15" customHeight="1">
      <c r="A34" s="641" t="s">
        <v>236</v>
      </c>
      <c r="B34" s="641"/>
      <c r="C34" s="641"/>
      <c r="D34" s="641"/>
      <c r="E34" s="641"/>
      <c r="F34" s="641"/>
      <c r="G34" s="641"/>
      <c r="H34" s="641"/>
      <c r="I34" s="641"/>
      <c r="J34" s="641"/>
      <c r="K34" s="641"/>
      <c r="L34" s="641"/>
      <c r="M34" s="641"/>
      <c r="AC34" s="469"/>
      <c r="AH34" s="469"/>
      <c r="AN34" s="469"/>
    </row>
    <row r="35" spans="1:43" s="465" customFormat="1" ht="15" customHeight="1">
      <c r="A35" s="470" t="s">
        <v>237</v>
      </c>
      <c r="B35" s="470"/>
      <c r="C35" s="470"/>
      <c r="D35" s="470"/>
      <c r="E35" s="470"/>
      <c r="F35" s="470"/>
      <c r="G35" s="470"/>
      <c r="H35" s="433"/>
      <c r="I35" s="471"/>
      <c r="J35" s="472"/>
      <c r="K35" s="472"/>
      <c r="L35" s="472"/>
      <c r="M35" s="472"/>
      <c r="N35" s="466"/>
      <c r="O35" s="466"/>
      <c r="P35" s="466"/>
      <c r="Q35" s="466"/>
      <c r="R35" s="466"/>
      <c r="S35" s="466"/>
      <c r="T35" s="466"/>
      <c r="U35" s="466"/>
      <c r="V35" s="466"/>
      <c r="W35" s="466"/>
      <c r="X35" s="466"/>
      <c r="Y35" s="466"/>
      <c r="Z35" s="466"/>
      <c r="AA35" s="466"/>
      <c r="AB35" s="466"/>
      <c r="AC35" s="468"/>
      <c r="AD35" s="466"/>
      <c r="AE35" s="466"/>
      <c r="AF35" s="466"/>
      <c r="AG35" s="466"/>
      <c r="AH35" s="468"/>
      <c r="AI35" s="466"/>
      <c r="AJ35" s="466"/>
      <c r="AL35" s="466"/>
      <c r="AM35" s="466"/>
      <c r="AN35" s="468"/>
      <c r="AO35" s="466"/>
      <c r="AP35" s="466"/>
    </row>
    <row r="36" spans="1:43" s="465" customFormat="1" ht="15" customHeight="1">
      <c r="A36" s="633" t="s">
        <v>330</v>
      </c>
      <c r="B36" s="633"/>
      <c r="C36" s="633"/>
      <c r="D36" s="633"/>
      <c r="E36" s="633"/>
      <c r="F36" s="633"/>
      <c r="G36" s="633"/>
      <c r="H36" s="633"/>
      <c r="I36" s="633"/>
      <c r="J36" s="633"/>
      <c r="K36" s="633"/>
      <c r="L36" s="633"/>
      <c r="M36" s="633"/>
      <c r="AC36" s="469"/>
      <c r="AH36" s="469"/>
      <c r="AN36" s="469"/>
    </row>
    <row r="37" spans="1:43" s="465" customFormat="1" ht="15" customHeight="1">
      <c r="A37" s="466"/>
      <c r="B37" s="466"/>
      <c r="C37" s="466"/>
      <c r="D37" s="466"/>
      <c r="E37" s="466"/>
      <c r="F37" s="466"/>
      <c r="G37" s="466"/>
      <c r="H37" s="432"/>
      <c r="I37" s="467"/>
      <c r="J37" s="466"/>
      <c r="K37" s="466"/>
      <c r="L37" s="466"/>
      <c r="M37" s="466"/>
      <c r="N37" s="466"/>
      <c r="O37" s="466"/>
      <c r="P37" s="466"/>
      <c r="Q37" s="466"/>
      <c r="R37" s="466"/>
      <c r="S37" s="466"/>
      <c r="T37" s="466"/>
      <c r="U37" s="466"/>
      <c r="V37" s="466"/>
      <c r="W37" s="466"/>
      <c r="X37" s="466"/>
      <c r="Y37" s="466"/>
      <c r="Z37" s="466"/>
      <c r="AA37" s="466"/>
      <c r="AB37" s="466"/>
      <c r="AC37" s="468"/>
      <c r="AD37" s="466"/>
      <c r="AE37" s="466"/>
      <c r="AF37" s="466"/>
      <c r="AG37" s="466"/>
      <c r="AH37" s="468"/>
      <c r="AI37" s="466"/>
      <c r="AJ37" s="466"/>
      <c r="AL37" s="466"/>
      <c r="AM37" s="466"/>
      <c r="AN37" s="468"/>
      <c r="AO37" s="466"/>
      <c r="AP37" s="466"/>
    </row>
    <row r="38" spans="1:43" s="465" customFormat="1" ht="15" customHeight="1">
      <c r="A38" s="633"/>
      <c r="B38" s="633"/>
      <c r="C38" s="633"/>
      <c r="D38" s="633"/>
      <c r="E38" s="633"/>
      <c r="F38" s="633"/>
      <c r="G38" s="633"/>
      <c r="H38" s="633"/>
      <c r="I38" s="633"/>
      <c r="J38" s="633"/>
      <c r="K38" s="633"/>
      <c r="L38" s="633"/>
      <c r="M38" s="633"/>
      <c r="AC38" s="469"/>
      <c r="AH38" s="469"/>
      <c r="AN38" s="469"/>
    </row>
    <row r="39" spans="1:43" s="465" customFormat="1" ht="15" customHeight="1">
      <c r="B39" s="466"/>
      <c r="C39" s="466"/>
      <c r="D39" s="466"/>
      <c r="E39" s="466"/>
      <c r="F39" s="466"/>
      <c r="G39" s="466"/>
      <c r="H39" s="432"/>
      <c r="I39" s="467"/>
      <c r="J39" s="466"/>
      <c r="K39" s="466"/>
      <c r="L39" s="466"/>
      <c r="M39" s="466"/>
      <c r="N39" s="466"/>
      <c r="O39" s="466"/>
      <c r="P39" s="466"/>
      <c r="Q39" s="466"/>
      <c r="R39" s="466"/>
      <c r="S39" s="466"/>
      <c r="T39" s="466"/>
      <c r="U39" s="466"/>
      <c r="V39" s="466"/>
      <c r="W39" s="466"/>
      <c r="X39" s="466"/>
      <c r="Y39" s="466"/>
      <c r="Z39" s="466"/>
      <c r="AA39" s="466"/>
      <c r="AB39" s="466"/>
      <c r="AC39" s="468"/>
      <c r="AD39" s="466"/>
      <c r="AE39" s="466"/>
      <c r="AF39" s="466"/>
      <c r="AG39" s="466"/>
      <c r="AH39" s="468"/>
      <c r="AI39" s="466"/>
      <c r="AJ39" s="466"/>
      <c r="AL39" s="466"/>
      <c r="AM39" s="466"/>
      <c r="AN39" s="468"/>
      <c r="AO39" s="466"/>
      <c r="AP39" s="466"/>
      <c r="AQ39" s="419"/>
    </row>
    <row r="40" spans="1:43" s="465" customFormat="1" ht="28.5" customHeight="1">
      <c r="B40" s="466"/>
      <c r="C40" s="466"/>
      <c r="D40" s="466"/>
      <c r="E40" s="466"/>
      <c r="F40" s="466"/>
      <c r="G40" s="466"/>
      <c r="H40" s="432"/>
      <c r="I40" s="467"/>
      <c r="J40" s="466"/>
      <c r="K40" s="466"/>
      <c r="L40" s="466"/>
      <c r="M40" s="466"/>
      <c r="N40" s="466"/>
      <c r="O40" s="466"/>
      <c r="P40" s="466"/>
      <c r="Q40" s="466"/>
      <c r="R40" s="466"/>
      <c r="S40" s="466"/>
      <c r="T40" s="466"/>
      <c r="U40" s="466"/>
      <c r="V40" s="466"/>
      <c r="W40" s="466"/>
      <c r="X40" s="466"/>
      <c r="Y40" s="466"/>
      <c r="Z40" s="466"/>
      <c r="AA40" s="466"/>
      <c r="AB40" s="466"/>
      <c r="AC40" s="468"/>
      <c r="AD40" s="466"/>
      <c r="AE40" s="466"/>
      <c r="AF40" s="466"/>
      <c r="AG40" s="466"/>
      <c r="AH40" s="468"/>
      <c r="AI40" s="466"/>
      <c r="AJ40" s="466"/>
      <c r="AL40" s="466"/>
      <c r="AM40" s="466"/>
      <c r="AN40" s="468"/>
      <c r="AO40" s="466"/>
      <c r="AP40" s="466"/>
      <c r="AQ40" s="419"/>
    </row>
    <row r="41" spans="1:43" s="465" customFormat="1" ht="28.5" customHeight="1">
      <c r="B41" s="466"/>
      <c r="C41" s="466"/>
      <c r="D41" s="466"/>
      <c r="E41" s="466"/>
      <c r="F41" s="466"/>
      <c r="G41" s="466"/>
      <c r="H41" s="432"/>
      <c r="I41" s="467"/>
      <c r="J41" s="466"/>
      <c r="K41" s="466"/>
      <c r="L41" s="466"/>
      <c r="M41" s="466"/>
      <c r="N41" s="466"/>
      <c r="O41" s="466"/>
      <c r="P41" s="466"/>
      <c r="Q41" s="466"/>
      <c r="R41" s="466"/>
      <c r="S41" s="466"/>
      <c r="T41" s="466"/>
      <c r="U41" s="466"/>
      <c r="V41" s="466"/>
      <c r="W41" s="466"/>
      <c r="X41" s="466"/>
      <c r="Y41" s="466"/>
      <c r="Z41" s="466"/>
      <c r="AA41" s="466"/>
      <c r="AB41" s="466"/>
      <c r="AC41" s="468"/>
      <c r="AD41" s="466"/>
      <c r="AE41" s="466"/>
      <c r="AF41" s="466"/>
      <c r="AG41" s="466"/>
      <c r="AH41" s="468"/>
      <c r="AI41" s="466"/>
      <c r="AJ41" s="466"/>
      <c r="AL41" s="466"/>
      <c r="AM41" s="466"/>
      <c r="AN41" s="468"/>
      <c r="AO41" s="466"/>
      <c r="AP41" s="466"/>
      <c r="AQ41" s="419"/>
    </row>
    <row r="42" spans="1:43" s="465" customFormat="1" ht="28.5" customHeight="1">
      <c r="B42" s="466"/>
      <c r="C42" s="466"/>
      <c r="D42" s="466"/>
      <c r="E42" s="466"/>
      <c r="F42" s="466"/>
      <c r="G42" s="466"/>
      <c r="H42" s="432"/>
      <c r="I42" s="467"/>
      <c r="J42" s="466"/>
      <c r="K42" s="466"/>
      <c r="L42" s="466"/>
      <c r="M42" s="466"/>
      <c r="N42" s="466"/>
      <c r="O42" s="466"/>
      <c r="P42" s="466"/>
      <c r="Q42" s="466"/>
      <c r="R42" s="466"/>
      <c r="S42" s="466"/>
      <c r="T42" s="466"/>
      <c r="U42" s="466"/>
      <c r="V42" s="466"/>
      <c r="W42" s="466"/>
      <c r="X42" s="466"/>
      <c r="Y42" s="466"/>
      <c r="Z42" s="466"/>
      <c r="AA42" s="466"/>
      <c r="AB42" s="466"/>
      <c r="AC42" s="468"/>
      <c r="AD42" s="466"/>
      <c r="AE42" s="466"/>
      <c r="AF42" s="466"/>
      <c r="AG42" s="466"/>
      <c r="AH42" s="468"/>
      <c r="AI42" s="466"/>
      <c r="AJ42" s="466"/>
      <c r="AL42" s="466"/>
      <c r="AM42" s="466"/>
      <c r="AN42" s="468"/>
      <c r="AO42" s="466"/>
      <c r="AP42" s="466"/>
      <c r="AQ42" s="419"/>
    </row>
    <row r="43" spans="1:43" s="465" customFormat="1" ht="28.5" customHeight="1">
      <c r="B43" s="466"/>
      <c r="C43" s="466"/>
      <c r="D43" s="466"/>
      <c r="E43" s="466"/>
      <c r="F43" s="466"/>
      <c r="G43" s="466"/>
      <c r="H43" s="432"/>
      <c r="I43" s="467"/>
      <c r="J43" s="466"/>
      <c r="K43" s="466"/>
      <c r="L43" s="466"/>
      <c r="M43" s="466"/>
      <c r="N43" s="466"/>
      <c r="O43" s="466"/>
      <c r="P43" s="466"/>
      <c r="Q43" s="466"/>
      <c r="R43" s="466"/>
      <c r="S43" s="466"/>
      <c r="T43" s="466"/>
      <c r="U43" s="466"/>
      <c r="V43" s="466"/>
      <c r="W43" s="466"/>
      <c r="X43" s="466"/>
      <c r="Y43" s="466"/>
      <c r="Z43" s="466"/>
      <c r="AA43" s="466"/>
      <c r="AB43" s="466"/>
      <c r="AC43" s="468"/>
      <c r="AD43" s="466"/>
      <c r="AE43" s="466"/>
      <c r="AF43" s="466"/>
      <c r="AG43" s="466"/>
      <c r="AH43" s="468"/>
      <c r="AI43" s="466"/>
      <c r="AJ43" s="466"/>
      <c r="AL43" s="466"/>
      <c r="AM43" s="466"/>
      <c r="AN43" s="468"/>
      <c r="AO43" s="466"/>
      <c r="AP43" s="466"/>
      <c r="AQ43" s="419"/>
    </row>
    <row r="44" spans="1:43" s="465" customFormat="1" ht="28.5" customHeight="1">
      <c r="B44" s="466"/>
      <c r="C44" s="466"/>
      <c r="D44" s="466"/>
      <c r="E44" s="466"/>
      <c r="F44" s="466"/>
      <c r="G44" s="466"/>
      <c r="H44" s="432"/>
      <c r="I44" s="467"/>
      <c r="J44" s="466"/>
      <c r="K44" s="466"/>
      <c r="L44" s="466"/>
      <c r="M44" s="466"/>
      <c r="N44" s="466"/>
      <c r="O44" s="466"/>
      <c r="P44" s="466"/>
      <c r="Q44" s="466"/>
      <c r="R44" s="466"/>
      <c r="S44" s="466"/>
      <c r="T44" s="466"/>
      <c r="U44" s="466"/>
      <c r="V44" s="466"/>
      <c r="W44" s="466"/>
      <c r="X44" s="466"/>
      <c r="Y44" s="466"/>
      <c r="Z44" s="466"/>
      <c r="AA44" s="466"/>
      <c r="AB44" s="466"/>
      <c r="AC44" s="468"/>
      <c r="AD44" s="466"/>
      <c r="AE44" s="466"/>
      <c r="AF44" s="466"/>
      <c r="AG44" s="466"/>
      <c r="AH44" s="468"/>
      <c r="AI44" s="466"/>
      <c r="AJ44" s="466"/>
      <c r="AL44" s="466"/>
      <c r="AM44" s="466"/>
      <c r="AN44" s="468"/>
      <c r="AO44" s="466"/>
      <c r="AP44" s="466"/>
      <c r="AQ44" s="419"/>
    </row>
    <row r="45" spans="1:43" s="465" customFormat="1" ht="28.5" customHeight="1">
      <c r="B45" s="466"/>
      <c r="C45" s="466"/>
      <c r="D45" s="466"/>
      <c r="E45" s="466"/>
      <c r="F45" s="466"/>
      <c r="G45" s="466"/>
      <c r="H45" s="432"/>
      <c r="I45" s="467"/>
      <c r="J45" s="466"/>
      <c r="K45" s="466"/>
      <c r="L45" s="466"/>
      <c r="M45" s="466"/>
      <c r="N45" s="466"/>
      <c r="O45" s="466"/>
      <c r="P45" s="466"/>
      <c r="Q45" s="466"/>
      <c r="R45" s="466"/>
      <c r="S45" s="466"/>
      <c r="T45" s="466"/>
      <c r="U45" s="466"/>
      <c r="V45" s="466"/>
      <c r="W45" s="466"/>
      <c r="X45" s="466"/>
      <c r="Y45" s="466"/>
      <c r="Z45" s="466"/>
      <c r="AA45" s="466"/>
      <c r="AB45" s="466"/>
      <c r="AC45" s="468"/>
      <c r="AD45" s="466"/>
      <c r="AE45" s="466"/>
      <c r="AF45" s="466"/>
      <c r="AG45" s="466"/>
      <c r="AH45" s="468"/>
      <c r="AI45" s="466"/>
      <c r="AJ45" s="466"/>
      <c r="AL45" s="466"/>
      <c r="AM45" s="466"/>
      <c r="AN45" s="468"/>
      <c r="AO45" s="466"/>
      <c r="AP45" s="466"/>
      <c r="AQ45" s="419"/>
    </row>
    <row r="46" spans="1:43" s="465" customFormat="1" ht="28.5" customHeight="1">
      <c r="B46" s="466"/>
      <c r="C46" s="466"/>
      <c r="D46" s="466"/>
      <c r="E46" s="466"/>
      <c r="F46" s="466"/>
      <c r="G46" s="466"/>
      <c r="H46" s="432"/>
      <c r="I46" s="467"/>
      <c r="J46" s="466"/>
      <c r="K46" s="466"/>
      <c r="L46" s="466"/>
      <c r="M46" s="466"/>
      <c r="N46" s="466"/>
      <c r="O46" s="466"/>
      <c r="P46" s="466"/>
      <c r="Q46" s="466"/>
      <c r="R46" s="466"/>
      <c r="S46" s="466"/>
      <c r="T46" s="466"/>
      <c r="U46" s="466"/>
      <c r="V46" s="466"/>
      <c r="W46" s="466"/>
      <c r="X46" s="466"/>
      <c r="Y46" s="466"/>
      <c r="Z46" s="466"/>
      <c r="AA46" s="466"/>
      <c r="AB46" s="466"/>
      <c r="AC46" s="468"/>
      <c r="AD46" s="466"/>
      <c r="AE46" s="466"/>
      <c r="AF46" s="466"/>
      <c r="AG46" s="466"/>
      <c r="AH46" s="468"/>
      <c r="AI46" s="466"/>
      <c r="AJ46" s="466"/>
      <c r="AL46" s="466"/>
      <c r="AM46" s="466"/>
      <c r="AN46" s="468"/>
      <c r="AO46" s="466"/>
      <c r="AP46" s="466"/>
      <c r="AQ46" s="419"/>
    </row>
    <row r="47" spans="1:43" s="465" customFormat="1" ht="28.5" customHeight="1">
      <c r="B47" s="466"/>
      <c r="C47" s="466"/>
      <c r="D47" s="466"/>
      <c r="E47" s="466"/>
      <c r="F47" s="466"/>
      <c r="G47" s="466"/>
      <c r="H47" s="432"/>
      <c r="I47" s="467"/>
      <c r="J47" s="466"/>
      <c r="K47" s="466"/>
      <c r="L47" s="466"/>
      <c r="M47" s="466"/>
      <c r="N47" s="466"/>
      <c r="O47" s="466"/>
      <c r="P47" s="466"/>
      <c r="Q47" s="466"/>
      <c r="R47" s="466"/>
      <c r="S47" s="466"/>
      <c r="T47" s="466"/>
      <c r="U47" s="466"/>
      <c r="V47" s="466"/>
      <c r="W47" s="466"/>
      <c r="X47" s="466"/>
      <c r="Y47" s="466"/>
      <c r="Z47" s="466"/>
      <c r="AA47" s="466"/>
      <c r="AB47" s="466"/>
      <c r="AC47" s="468"/>
      <c r="AD47" s="466"/>
      <c r="AE47" s="466"/>
      <c r="AF47" s="466"/>
      <c r="AG47" s="466"/>
      <c r="AH47" s="468"/>
      <c r="AI47" s="466"/>
      <c r="AJ47" s="466"/>
      <c r="AL47" s="466"/>
      <c r="AM47" s="466"/>
      <c r="AN47" s="468"/>
      <c r="AO47" s="466"/>
      <c r="AP47" s="466"/>
      <c r="AQ47" s="419"/>
    </row>
    <row r="48" spans="1:43" s="465" customFormat="1" ht="28.5" customHeight="1">
      <c r="B48" s="466"/>
      <c r="C48" s="466"/>
      <c r="D48" s="466"/>
      <c r="E48" s="466"/>
      <c r="F48" s="466"/>
      <c r="G48" s="466"/>
      <c r="H48" s="432"/>
      <c r="I48" s="467"/>
      <c r="J48" s="466"/>
      <c r="K48" s="466"/>
      <c r="L48" s="466"/>
      <c r="M48" s="466"/>
      <c r="N48" s="466"/>
      <c r="O48" s="466"/>
      <c r="P48" s="466"/>
      <c r="Q48" s="466"/>
      <c r="R48" s="466"/>
      <c r="S48" s="466"/>
      <c r="T48" s="466"/>
      <c r="U48" s="466"/>
      <c r="V48" s="466"/>
      <c r="W48" s="466"/>
      <c r="X48" s="466"/>
      <c r="Y48" s="466"/>
      <c r="Z48" s="466"/>
      <c r="AA48" s="466"/>
      <c r="AB48" s="466"/>
      <c r="AC48" s="468"/>
      <c r="AD48" s="466"/>
      <c r="AE48" s="466"/>
      <c r="AF48" s="466"/>
      <c r="AG48" s="466"/>
      <c r="AH48" s="468"/>
      <c r="AI48" s="466"/>
      <c r="AJ48" s="466"/>
      <c r="AL48" s="466"/>
      <c r="AM48" s="466"/>
      <c r="AN48" s="468"/>
      <c r="AO48" s="466"/>
      <c r="AP48" s="466"/>
      <c r="AQ48" s="419"/>
    </row>
    <row r="49" spans="1:9" ht="28.5" customHeight="1">
      <c r="A49" s="473"/>
      <c r="B49" s="470"/>
      <c r="C49" s="470"/>
      <c r="D49" s="470"/>
      <c r="E49" s="470"/>
      <c r="F49" s="470"/>
      <c r="G49" s="470"/>
      <c r="H49" s="433"/>
      <c r="I49" s="471"/>
    </row>
  </sheetData>
  <mergeCells count="14">
    <mergeCell ref="AQ2:AU2"/>
    <mergeCell ref="AW2:BA2"/>
    <mergeCell ref="AF2:AJ2"/>
    <mergeCell ref="AL2:AP2"/>
    <mergeCell ref="A38:M38"/>
    <mergeCell ref="L2:P2"/>
    <mergeCell ref="G2:K2"/>
    <mergeCell ref="B2:F2"/>
    <mergeCell ref="A33:M33"/>
    <mergeCell ref="AA2:AE2"/>
    <mergeCell ref="V2:Z2"/>
    <mergeCell ref="Q2:U2"/>
    <mergeCell ref="A34:M34"/>
    <mergeCell ref="A36:M36"/>
  </mergeCells>
  <pageMargins left="0.70866141732283472" right="0.70866141732283472" top="0.74803149606299213" bottom="0.74803149606299213" header="0.31496062992125984" footer="0.31496062992125984"/>
  <pageSetup paperSize="9" scale="53" orientation="landscape" r:id="rId1"/>
  <ignoredErrors>
    <ignoredError sqref="F19 K19 P19 U19 P29 Z19 Z26 X29:Y29 Z9 P9 K9 F9 W29 AE26 AP9 AE9 AJ9 AJ24 AJ26 AP24 AP26 Z22:Z24 AE24 AU9 AU19 AU24:AU26 BA24:BA26" formula="1"/>
    <ignoredError sqref="B9:C9 Z5:Z8 Z10:Z14 Z18 Z15 Z16:Z17 Q9:Y9 L9:O9 G9:J9 D9:E9 AA9:AD9 Z28 AL9:AO9 AF9:AI9 AJ22 AQ9 AW9" formulaRange="1"/>
    <ignoredError sqref="AG31:AH31 AN31"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R170"/>
  <sheetViews>
    <sheetView showGridLines="0" topLeftCell="B1" zoomScaleNormal="100" zoomScaleSheetLayoutView="100" workbookViewId="0">
      <pane xSplit="1" topLeftCell="D1" activePane="topRight" state="frozen"/>
      <selection activeCell="B1" sqref="B1"/>
      <selection pane="topRight" activeCell="X5" sqref="X5"/>
    </sheetView>
  </sheetViews>
  <sheetFormatPr defaultRowHeight="14.25"/>
  <cols>
    <col min="1" max="1" width="1.625" customWidth="1"/>
    <col min="2" max="2" width="34.875" customWidth="1"/>
    <col min="3" max="3" width="18" customWidth="1"/>
    <col min="4" max="4" width="1.875" customWidth="1"/>
    <col min="5" max="5" width="16.75" bestFit="1" customWidth="1"/>
    <col min="6" max="6" width="1.625" customWidth="1"/>
    <col min="7" max="7" width="9.625" customWidth="1"/>
    <col min="8" max="8" width="18.625" customWidth="1"/>
    <col min="9" max="9" width="1.875" customWidth="1"/>
    <col min="10" max="10" width="16.75" bestFit="1" customWidth="1"/>
    <col min="11" max="11" width="1.875" customWidth="1"/>
    <col min="12" max="12" width="10" customWidth="1"/>
    <col min="13" max="13" width="18.375" customWidth="1"/>
    <col min="14" max="14" width="1.875" customWidth="1"/>
    <col min="15" max="15" width="16.75" bestFit="1" customWidth="1"/>
    <col min="16" max="16" width="1.875" customWidth="1"/>
    <col min="17" max="17" width="9.625" customWidth="1"/>
    <col min="18" max="18" width="17.875" customWidth="1"/>
    <col min="19" max="19" width="1.875" customWidth="1"/>
    <col min="20" max="20" width="16.75" bestFit="1" customWidth="1"/>
    <col min="21" max="21" width="1.875" customWidth="1"/>
    <col min="22" max="22" width="9.625" customWidth="1"/>
    <col min="23" max="24" width="9" style="15"/>
    <col min="25" max="31" width="0" style="15" hidden="1" customWidth="1"/>
    <col min="32" max="278" width="9" style="15"/>
  </cols>
  <sheetData>
    <row r="1" spans="2:278" ht="50.25" customHeight="1" thickBot="1">
      <c r="B1" s="3" t="s">
        <v>24</v>
      </c>
      <c r="C1" s="15"/>
      <c r="D1" s="15"/>
      <c r="E1" s="15"/>
      <c r="F1" s="15"/>
      <c r="G1" s="15"/>
      <c r="H1" s="15"/>
      <c r="I1" s="15"/>
      <c r="J1" s="15"/>
      <c r="K1" s="15"/>
      <c r="L1" s="15"/>
      <c r="M1" s="15"/>
      <c r="N1" s="15"/>
      <c r="O1" s="15"/>
      <c r="P1" s="15"/>
      <c r="Q1" s="15"/>
      <c r="R1" s="15"/>
      <c r="S1" s="15"/>
      <c r="T1" s="15"/>
      <c r="U1" s="15"/>
      <c r="V1" s="15"/>
    </row>
    <row r="2" spans="2:278" s="18" customFormat="1" ht="30" customHeight="1" thickBot="1">
      <c r="B2" s="642" t="s">
        <v>49</v>
      </c>
      <c r="C2" s="646" t="s">
        <v>71</v>
      </c>
      <c r="D2" s="647"/>
      <c r="E2" s="647"/>
      <c r="F2" s="647"/>
      <c r="G2" s="648"/>
      <c r="H2" s="646" t="s">
        <v>72</v>
      </c>
      <c r="I2" s="647"/>
      <c r="J2" s="647"/>
      <c r="K2" s="647"/>
      <c r="L2" s="648"/>
      <c r="M2" s="646" t="s">
        <v>73</v>
      </c>
      <c r="N2" s="647"/>
      <c r="O2" s="647"/>
      <c r="P2" s="647"/>
      <c r="Q2" s="648"/>
      <c r="R2" s="646" t="s">
        <v>74</v>
      </c>
      <c r="S2" s="647"/>
      <c r="T2" s="647"/>
      <c r="U2" s="647"/>
      <c r="V2" s="648"/>
      <c r="W2" s="16"/>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row>
    <row r="3" spans="2:278" s="18" customFormat="1" ht="48" customHeight="1" thickBot="1">
      <c r="B3" s="643"/>
      <c r="C3" s="649" t="s">
        <v>318</v>
      </c>
      <c r="D3" s="650"/>
      <c r="E3" s="650"/>
      <c r="F3" s="650"/>
      <c r="G3" s="651"/>
      <c r="H3" s="649" t="s">
        <v>318</v>
      </c>
      <c r="I3" s="650"/>
      <c r="J3" s="650"/>
      <c r="K3" s="650"/>
      <c r="L3" s="651"/>
      <c r="M3" s="649" t="s">
        <v>318</v>
      </c>
      <c r="N3" s="650"/>
      <c r="O3" s="650"/>
      <c r="P3" s="650"/>
      <c r="Q3" s="651"/>
      <c r="R3" s="649" t="s">
        <v>318</v>
      </c>
      <c r="S3" s="650"/>
      <c r="T3" s="650"/>
      <c r="U3" s="650"/>
      <c r="V3" s="651"/>
      <c r="W3" s="16"/>
      <c r="X3" s="19"/>
      <c r="Y3" s="479" t="s">
        <v>307</v>
      </c>
      <c r="Z3" s="645" t="s">
        <v>292</v>
      </c>
      <c r="AA3" s="645"/>
      <c r="AB3" s="645" t="s">
        <v>293</v>
      </c>
      <c r="AC3" s="645"/>
      <c r="AD3" s="645" t="s">
        <v>294</v>
      </c>
      <c r="AE3" s="645" t="s">
        <v>295</v>
      </c>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c r="IW3" s="17"/>
      <c r="IX3" s="17"/>
      <c r="IY3" s="17"/>
      <c r="IZ3" s="17"/>
      <c r="JA3" s="17"/>
      <c r="JB3" s="17"/>
      <c r="JC3" s="17"/>
      <c r="JD3" s="17"/>
      <c r="JE3" s="17"/>
      <c r="JF3" s="17"/>
      <c r="JG3" s="17"/>
      <c r="JH3" s="17"/>
      <c r="JI3" s="17"/>
      <c r="JJ3" s="17"/>
      <c r="JK3" s="17"/>
      <c r="JL3" s="17"/>
      <c r="JM3" s="17"/>
      <c r="JN3" s="17"/>
      <c r="JO3" s="17"/>
      <c r="JP3" s="17"/>
      <c r="JQ3" s="17"/>
      <c r="JR3" s="17"/>
    </row>
    <row r="4" spans="2:278" s="25" customFormat="1" ht="30.75" thickBot="1">
      <c r="B4" s="644"/>
      <c r="C4" s="380" t="s">
        <v>319</v>
      </c>
      <c r="D4" s="20"/>
      <c r="E4" s="151" t="s">
        <v>320</v>
      </c>
      <c r="F4" s="21"/>
      <c r="G4" s="22" t="s">
        <v>75</v>
      </c>
      <c r="H4" s="380" t="s">
        <v>319</v>
      </c>
      <c r="I4" s="20"/>
      <c r="J4" s="151" t="s">
        <v>320</v>
      </c>
      <c r="K4" s="21"/>
      <c r="L4" s="22" t="s">
        <v>75</v>
      </c>
      <c r="M4" s="380" t="s">
        <v>319</v>
      </c>
      <c r="N4" s="20"/>
      <c r="O4" s="151" t="s">
        <v>320</v>
      </c>
      <c r="P4" s="21"/>
      <c r="Q4" s="22" t="s">
        <v>75</v>
      </c>
      <c r="R4" s="380" t="s">
        <v>319</v>
      </c>
      <c r="S4" s="20"/>
      <c r="T4" s="151" t="s">
        <v>320</v>
      </c>
      <c r="U4" s="151"/>
      <c r="V4" s="22" t="s">
        <v>75</v>
      </c>
      <c r="W4" s="23"/>
      <c r="X4" s="23"/>
      <c r="Y4" s="479" t="s">
        <v>291</v>
      </c>
      <c r="Z4" s="645"/>
      <c r="AA4" s="645"/>
      <c r="AB4" s="645"/>
      <c r="AC4" s="645"/>
      <c r="AD4" s="645"/>
      <c r="AE4" s="645"/>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c r="IS4" s="24"/>
      <c r="IT4" s="24"/>
      <c r="IU4" s="24"/>
      <c r="IV4" s="24"/>
      <c r="IW4" s="24"/>
      <c r="IX4" s="24"/>
      <c r="IY4" s="24"/>
      <c r="IZ4" s="24"/>
      <c r="JA4" s="24"/>
      <c r="JB4" s="24"/>
      <c r="JC4" s="24"/>
      <c r="JD4" s="24"/>
      <c r="JE4" s="24"/>
      <c r="JF4" s="24"/>
      <c r="JG4" s="24"/>
      <c r="JH4" s="24"/>
      <c r="JI4" s="24"/>
      <c r="JJ4" s="24"/>
      <c r="JK4" s="24"/>
      <c r="JL4" s="24"/>
      <c r="JM4" s="24"/>
      <c r="JN4" s="24"/>
      <c r="JO4" s="24"/>
      <c r="JP4" s="24"/>
      <c r="JQ4" s="24"/>
      <c r="JR4" s="24"/>
    </row>
    <row r="5" spans="2:278" s="18" customFormat="1" ht="20.100000000000001" customHeight="1">
      <c r="B5" s="28" t="s">
        <v>76</v>
      </c>
      <c r="C5" s="570">
        <v>2385.5</v>
      </c>
      <c r="D5" s="388"/>
      <c r="E5" s="573">
        <v>2036.8</v>
      </c>
      <c r="F5" s="235"/>
      <c r="G5" s="236">
        <f>C5-E5</f>
        <v>348.70000000000005</v>
      </c>
      <c r="H5" s="570">
        <v>406.1</v>
      </c>
      <c r="I5" s="388"/>
      <c r="J5" s="573">
        <v>309.10000000000002</v>
      </c>
      <c r="K5" s="235"/>
      <c r="L5" s="236">
        <f>H5-J5</f>
        <v>97</v>
      </c>
      <c r="M5" s="570">
        <v>0</v>
      </c>
      <c r="N5" s="580"/>
      <c r="O5" s="573">
        <v>0</v>
      </c>
      <c r="P5" s="239"/>
      <c r="Q5" s="240">
        <f t="shared" ref="Q5:Q11" si="0">M5-O5</f>
        <v>0</v>
      </c>
      <c r="R5" s="241">
        <f t="shared" ref="R5:R11" si="1">C5+H5+M5</f>
        <v>2791.6</v>
      </c>
      <c r="S5" s="241"/>
      <c r="T5" s="242">
        <f t="shared" ref="T5:T11" si="2">E5+J5+O5</f>
        <v>2345.9</v>
      </c>
      <c r="U5" s="242"/>
      <c r="V5" s="243">
        <f>R5-T5</f>
        <v>445.69999999999982</v>
      </c>
      <c r="W5" s="347"/>
      <c r="X5" s="27"/>
      <c r="Y5" s="480" t="s">
        <v>296</v>
      </c>
      <c r="Z5" s="487">
        <v>6379.5</v>
      </c>
      <c r="AA5" s="481"/>
      <c r="AB5" s="487">
        <v>869.9</v>
      </c>
      <c r="AC5" s="481"/>
      <c r="AD5" s="491" t="s">
        <v>278</v>
      </c>
      <c r="AE5" s="487" t="s">
        <v>308</v>
      </c>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row>
    <row r="6" spans="2:278" s="18" customFormat="1" ht="20.25" customHeight="1">
      <c r="B6" s="28" t="s">
        <v>77</v>
      </c>
      <c r="C6" s="571">
        <v>12.7</v>
      </c>
      <c r="D6" s="389"/>
      <c r="E6" s="574">
        <v>12.6</v>
      </c>
      <c r="F6" s="234"/>
      <c r="G6" s="586">
        <f t="shared" ref="G6:G14" si="3">C6-E6</f>
        <v>9.9999999999999645E-2</v>
      </c>
      <c r="H6" s="571">
        <v>48.5</v>
      </c>
      <c r="I6" s="389"/>
      <c r="J6" s="574">
        <v>40.5</v>
      </c>
      <c r="K6" s="234"/>
      <c r="L6" s="244">
        <f t="shared" ref="L6:L11" si="4">H6-J6</f>
        <v>8</v>
      </c>
      <c r="M6" s="571">
        <v>-61.2</v>
      </c>
      <c r="N6" s="581"/>
      <c r="O6" s="574">
        <v>-53.1</v>
      </c>
      <c r="P6" s="234"/>
      <c r="Q6" s="240">
        <f t="shared" si="0"/>
        <v>-8.1000000000000014</v>
      </c>
      <c r="R6" s="245">
        <f t="shared" si="1"/>
        <v>0</v>
      </c>
      <c r="S6" s="251"/>
      <c r="T6" s="239">
        <f t="shared" si="2"/>
        <v>0</v>
      </c>
      <c r="U6" s="239"/>
      <c r="V6" s="240">
        <f t="shared" ref="V6:V11" si="5">R6-T6</f>
        <v>0</v>
      </c>
      <c r="W6" s="16"/>
      <c r="X6" s="26"/>
      <c r="Y6" s="480" t="s">
        <v>297</v>
      </c>
      <c r="Z6" s="487">
        <v>30.5</v>
      </c>
      <c r="AA6" s="481"/>
      <c r="AB6" s="487">
        <v>130.30000000000001</v>
      </c>
      <c r="AC6" s="481"/>
      <c r="AD6" s="491">
        <v>-160.80000000000001</v>
      </c>
      <c r="AE6" s="491" t="s">
        <v>278</v>
      </c>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row>
    <row r="7" spans="2:278" s="18" customFormat="1" ht="20.25" customHeight="1">
      <c r="B7" s="29" t="s">
        <v>78</v>
      </c>
      <c r="C7" s="605">
        <v>2398.1999999999998</v>
      </c>
      <c r="D7" s="608"/>
      <c r="E7" s="606">
        <v>2049.4</v>
      </c>
      <c r="F7" s="606"/>
      <c r="G7" s="249">
        <f>C7-E7</f>
        <v>348.79999999999973</v>
      </c>
      <c r="H7" s="605">
        <v>454.6</v>
      </c>
      <c r="I7" s="247"/>
      <c r="J7" s="606">
        <v>349.6</v>
      </c>
      <c r="K7" s="248"/>
      <c r="L7" s="249">
        <f t="shared" si="4"/>
        <v>105</v>
      </c>
      <c r="M7" s="246">
        <v>-61.2</v>
      </c>
      <c r="N7" s="247"/>
      <c r="O7" s="248">
        <v>-53.1</v>
      </c>
      <c r="P7" s="248"/>
      <c r="Q7" s="249">
        <f t="shared" si="0"/>
        <v>-8.1000000000000014</v>
      </c>
      <c r="R7" s="251">
        <f t="shared" si="1"/>
        <v>2791.6</v>
      </c>
      <c r="S7" s="251"/>
      <c r="T7" s="252">
        <f t="shared" si="2"/>
        <v>2345.9</v>
      </c>
      <c r="U7" s="252"/>
      <c r="V7" s="250">
        <f t="shared" si="5"/>
        <v>445.69999999999982</v>
      </c>
      <c r="W7" s="16"/>
      <c r="X7" s="30"/>
      <c r="Y7" s="482" t="s">
        <v>298</v>
      </c>
      <c r="Z7" s="492">
        <v>6410</v>
      </c>
      <c r="AA7" s="481"/>
      <c r="AB7" s="492">
        <v>1000.2</v>
      </c>
      <c r="AC7" s="481"/>
      <c r="AD7" s="493">
        <v>-160.80000000000001</v>
      </c>
      <c r="AE7" s="492" t="s">
        <v>308</v>
      </c>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row>
    <row r="8" spans="2:278" s="18" customFormat="1" ht="20.25" customHeight="1">
      <c r="B8" s="29" t="s">
        <v>191</v>
      </c>
      <c r="C8" s="588">
        <v>892.6</v>
      </c>
      <c r="D8" s="612"/>
      <c r="E8" s="614">
        <v>755</v>
      </c>
      <c r="F8" s="606"/>
      <c r="G8" s="249">
        <f t="shared" si="3"/>
        <v>137.60000000000002</v>
      </c>
      <c r="H8" s="588">
        <v>145.69999999999999</v>
      </c>
      <c r="I8" s="330"/>
      <c r="J8" s="614">
        <v>135</v>
      </c>
      <c r="K8" s="248"/>
      <c r="L8" s="249">
        <f t="shared" si="4"/>
        <v>10.699999999999989</v>
      </c>
      <c r="M8" s="251">
        <v>0</v>
      </c>
      <c r="N8" s="251"/>
      <c r="O8" s="252">
        <v>0</v>
      </c>
      <c r="P8" s="248"/>
      <c r="Q8" s="250">
        <f t="shared" si="0"/>
        <v>0</v>
      </c>
      <c r="R8" s="490">
        <f t="shared" si="1"/>
        <v>1038.3</v>
      </c>
      <c r="S8" s="490"/>
      <c r="T8" s="252">
        <f t="shared" si="2"/>
        <v>890</v>
      </c>
      <c r="U8" s="252"/>
      <c r="V8" s="250">
        <f t="shared" si="5"/>
        <v>148.29999999999995</v>
      </c>
      <c r="W8" s="16"/>
      <c r="X8" s="30"/>
      <c r="Y8" s="482" t="s">
        <v>299</v>
      </c>
      <c r="Z8" s="492">
        <v>2389.3000000000002</v>
      </c>
      <c r="AA8" s="481"/>
      <c r="AB8" s="492">
        <v>355</v>
      </c>
      <c r="AC8" s="481"/>
      <c r="AD8" s="493" t="s">
        <v>278</v>
      </c>
      <c r="AE8" s="492" t="s">
        <v>309</v>
      </c>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c r="JF8" s="17"/>
      <c r="JG8" s="17"/>
      <c r="JH8" s="17"/>
      <c r="JI8" s="17"/>
      <c r="JJ8" s="17"/>
      <c r="JK8" s="17"/>
      <c r="JL8" s="17"/>
      <c r="JM8" s="17"/>
      <c r="JN8" s="17"/>
      <c r="JO8" s="17"/>
      <c r="JP8" s="17"/>
      <c r="JQ8" s="17"/>
      <c r="JR8" s="17"/>
    </row>
    <row r="9" spans="2:278" s="18" customFormat="1" ht="32.25" customHeight="1">
      <c r="B9" s="28" t="s">
        <v>58</v>
      </c>
      <c r="C9" s="571">
        <v>532.20000000000005</v>
      </c>
      <c r="D9" s="389"/>
      <c r="E9" s="574">
        <v>444.3</v>
      </c>
      <c r="F9" s="234"/>
      <c r="G9" s="586">
        <f t="shared" si="3"/>
        <v>87.900000000000034</v>
      </c>
      <c r="H9" s="571">
        <v>14.9</v>
      </c>
      <c r="I9" s="389"/>
      <c r="J9" s="574">
        <v>10.199999999999999</v>
      </c>
      <c r="K9" s="234"/>
      <c r="L9" s="244">
        <f t="shared" si="4"/>
        <v>4.7000000000000011</v>
      </c>
      <c r="M9" s="571">
        <v>0</v>
      </c>
      <c r="N9" s="580"/>
      <c r="O9" s="574">
        <v>0</v>
      </c>
      <c r="P9" s="234"/>
      <c r="Q9" s="240">
        <f t="shared" si="0"/>
        <v>0</v>
      </c>
      <c r="R9" s="238">
        <f t="shared" si="1"/>
        <v>547.1</v>
      </c>
      <c r="S9" s="238"/>
      <c r="T9" s="239">
        <f t="shared" si="2"/>
        <v>454.5</v>
      </c>
      <c r="U9" s="239"/>
      <c r="V9" s="240">
        <f t="shared" si="5"/>
        <v>92.600000000000023</v>
      </c>
      <c r="W9" s="16"/>
      <c r="X9" s="30"/>
      <c r="Y9" s="480" t="s">
        <v>300</v>
      </c>
      <c r="Z9" s="487">
        <v>1319.5</v>
      </c>
      <c r="AA9" s="481"/>
      <c r="AB9" s="487">
        <v>28.7</v>
      </c>
      <c r="AC9" s="481"/>
      <c r="AD9" s="491" t="s">
        <v>278</v>
      </c>
      <c r="AE9" s="487" t="s">
        <v>310</v>
      </c>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row>
    <row r="10" spans="2:278" s="18" customFormat="1" ht="20.25" customHeight="1">
      <c r="B10" s="29" t="s">
        <v>79</v>
      </c>
      <c r="C10" s="605">
        <v>360.4</v>
      </c>
      <c r="D10" s="609"/>
      <c r="E10" s="614">
        <v>310.7</v>
      </c>
      <c r="F10" s="606"/>
      <c r="G10" s="249">
        <f t="shared" si="3"/>
        <v>49.699999999999989</v>
      </c>
      <c r="H10" s="605">
        <v>130.80000000000001</v>
      </c>
      <c r="I10" s="253"/>
      <c r="J10" s="614">
        <v>124.8</v>
      </c>
      <c r="K10" s="248"/>
      <c r="L10" s="249">
        <f t="shared" si="4"/>
        <v>6.0000000000000142</v>
      </c>
      <c r="M10" s="246">
        <v>0</v>
      </c>
      <c r="N10" s="251"/>
      <c r="O10" s="252">
        <v>0</v>
      </c>
      <c r="P10" s="248"/>
      <c r="Q10" s="250">
        <f t="shared" si="0"/>
        <v>0</v>
      </c>
      <c r="R10" s="251">
        <f t="shared" si="1"/>
        <v>491.2</v>
      </c>
      <c r="S10" s="251"/>
      <c r="T10" s="252">
        <f t="shared" si="2"/>
        <v>435.5</v>
      </c>
      <c r="U10" s="252"/>
      <c r="V10" s="250">
        <f t="shared" si="5"/>
        <v>55.699999999999989</v>
      </c>
      <c r="W10" s="16"/>
      <c r="X10" s="30"/>
      <c r="Y10" s="482" t="s">
        <v>301</v>
      </c>
      <c r="Z10" s="492">
        <v>1069.8</v>
      </c>
      <c r="AA10" s="481"/>
      <c r="AB10" s="492">
        <v>326.3</v>
      </c>
      <c r="AC10" s="481"/>
      <c r="AD10" s="493" t="s">
        <v>278</v>
      </c>
      <c r="AE10" s="492" t="s">
        <v>311</v>
      </c>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row>
    <row r="11" spans="2:278" s="18" customFormat="1" ht="48" customHeight="1" thickBot="1">
      <c r="B11" s="339" t="s">
        <v>80</v>
      </c>
      <c r="C11" s="572">
        <v>376.8</v>
      </c>
      <c r="D11" s="613">
        <v>1</v>
      </c>
      <c r="E11" s="575">
        <v>191.2</v>
      </c>
      <c r="F11" s="622">
        <v>1</v>
      </c>
      <c r="G11" s="255">
        <f t="shared" si="3"/>
        <v>185.60000000000002</v>
      </c>
      <c r="H11" s="572">
        <v>9</v>
      </c>
      <c r="I11" s="390"/>
      <c r="J11" s="575">
        <v>9.4</v>
      </c>
      <c r="K11" s="254"/>
      <c r="L11" s="255">
        <f t="shared" si="4"/>
        <v>-0.40000000000000036</v>
      </c>
      <c r="M11" s="572">
        <v>0</v>
      </c>
      <c r="N11" s="572"/>
      <c r="O11" s="575">
        <v>0</v>
      </c>
      <c r="P11" s="258"/>
      <c r="Q11" s="259">
        <f t="shared" si="0"/>
        <v>0</v>
      </c>
      <c r="R11" s="256">
        <f t="shared" si="1"/>
        <v>385.8</v>
      </c>
      <c r="S11" s="256"/>
      <c r="T11" s="257">
        <f t="shared" si="2"/>
        <v>200.6</v>
      </c>
      <c r="U11" s="257"/>
      <c r="V11" s="260">
        <f t="shared" si="5"/>
        <v>185.20000000000002</v>
      </c>
      <c r="W11" s="16"/>
      <c r="X11" s="30"/>
      <c r="Y11" s="483" t="s">
        <v>302</v>
      </c>
      <c r="Z11" s="484">
        <v>635.70000000000005</v>
      </c>
      <c r="AA11" s="485" t="s">
        <v>303</v>
      </c>
      <c r="AB11" s="484">
        <v>19.2</v>
      </c>
      <c r="AC11" s="484"/>
      <c r="AD11" s="494" t="s">
        <v>278</v>
      </c>
      <c r="AE11" s="484">
        <v>654.9</v>
      </c>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row>
    <row r="12" spans="2:278" s="18" customFormat="1" ht="20.25" customHeight="1">
      <c r="B12" s="152" t="s">
        <v>306</v>
      </c>
      <c r="C12" s="578"/>
      <c r="D12" s="391"/>
      <c r="E12" s="607"/>
      <c r="F12" s="607"/>
      <c r="G12" s="263"/>
      <c r="H12" s="578">
        <v>0</v>
      </c>
      <c r="I12" s="391"/>
      <c r="J12" s="607">
        <v>0</v>
      </c>
      <c r="K12" s="262"/>
      <c r="L12" s="263"/>
      <c r="M12" s="578">
        <v>0</v>
      </c>
      <c r="N12" s="261"/>
      <c r="O12" s="262">
        <v>0</v>
      </c>
      <c r="P12" s="262"/>
      <c r="Q12" s="243"/>
      <c r="R12" s="261"/>
      <c r="S12" s="261"/>
      <c r="T12" s="262"/>
      <c r="U12" s="262"/>
      <c r="V12" s="263"/>
      <c r="W12" s="16"/>
      <c r="X12" s="27"/>
      <c r="Y12" s="480" t="s">
        <v>312</v>
      </c>
      <c r="Z12" s="481"/>
      <c r="AA12" s="481"/>
      <c r="AB12" s="481"/>
      <c r="AC12" s="481"/>
      <c r="AD12" s="486"/>
      <c r="AE12" s="486"/>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row>
    <row r="13" spans="2:278" s="18" customFormat="1" ht="20.25" customHeight="1">
      <c r="B13" s="28" t="s">
        <v>81</v>
      </c>
      <c r="C13" s="571">
        <v>25860.5</v>
      </c>
      <c r="D13" s="613"/>
      <c r="E13" s="576">
        <v>23267.9</v>
      </c>
      <c r="F13" s="610"/>
      <c r="G13" s="586">
        <f t="shared" si="3"/>
        <v>2592.5999999999985</v>
      </c>
      <c r="H13" s="571">
        <v>5665.9</v>
      </c>
      <c r="I13" s="340">
        <v>2</v>
      </c>
      <c r="J13" s="576">
        <v>4677.3</v>
      </c>
      <c r="K13" s="269">
        <v>3</v>
      </c>
      <c r="L13" s="244">
        <f t="shared" ref="L13" si="6">H13-J13</f>
        <v>988.59999999999945</v>
      </c>
      <c r="M13" s="571">
        <v>-62.6</v>
      </c>
      <c r="N13" s="264"/>
      <c r="O13" s="576">
        <v>-62.3</v>
      </c>
      <c r="P13" s="265"/>
      <c r="Q13" s="240">
        <f>M13-O13</f>
        <v>-0.30000000000000426</v>
      </c>
      <c r="R13" s="237">
        <f>C13+H13+M13</f>
        <v>31463.800000000003</v>
      </c>
      <c r="S13" s="238"/>
      <c r="T13" s="234">
        <f>J13+O13+E13</f>
        <v>27882.9</v>
      </c>
      <c r="U13" s="234"/>
      <c r="V13" s="244">
        <f>R13-T13</f>
        <v>3580.9000000000015</v>
      </c>
      <c r="W13" s="16"/>
      <c r="X13" s="27"/>
      <c r="Y13" s="480" t="s">
        <v>304</v>
      </c>
      <c r="Z13" s="492">
        <v>22507</v>
      </c>
      <c r="AA13" s="481"/>
      <c r="AB13" s="492">
        <v>4434.2</v>
      </c>
      <c r="AC13" s="487" t="s">
        <v>305</v>
      </c>
      <c r="AD13" s="493">
        <v>-48.6</v>
      </c>
      <c r="AE13" s="492" t="s">
        <v>313</v>
      </c>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row>
    <row r="14" spans="2:278" s="18" customFormat="1" ht="31.5" customHeight="1" thickBot="1">
      <c r="B14" s="150" t="s">
        <v>82</v>
      </c>
      <c r="C14" s="579">
        <v>18</v>
      </c>
      <c r="D14" s="342"/>
      <c r="E14" s="577">
        <v>0</v>
      </c>
      <c r="F14" s="611"/>
      <c r="G14" s="587">
        <f t="shared" si="3"/>
        <v>18</v>
      </c>
      <c r="H14" s="579">
        <v>29.2</v>
      </c>
      <c r="I14" s="342"/>
      <c r="J14" s="577">
        <v>38.200000000000003</v>
      </c>
      <c r="K14" s="307"/>
      <c r="L14" s="267">
        <f>H14-J14</f>
        <v>-9.0000000000000036</v>
      </c>
      <c r="M14" s="579">
        <v>0</v>
      </c>
      <c r="N14" s="582"/>
      <c r="O14" s="577">
        <v>0</v>
      </c>
      <c r="P14" s="266"/>
      <c r="Q14" s="268">
        <f>M14-O14</f>
        <v>0</v>
      </c>
      <c r="R14" s="341">
        <f>C14+H14+M14</f>
        <v>47.2</v>
      </c>
      <c r="S14" s="341"/>
      <c r="T14" s="343">
        <f>J14+O14+E14</f>
        <v>38.200000000000003</v>
      </c>
      <c r="U14" s="343"/>
      <c r="V14" s="268">
        <f>R14-T14</f>
        <v>9</v>
      </c>
      <c r="W14" s="16"/>
      <c r="X14" s="27"/>
      <c r="Y14" s="488" t="s">
        <v>314</v>
      </c>
      <c r="Z14" s="489" t="s">
        <v>278</v>
      </c>
      <c r="AA14" s="489"/>
      <c r="AB14" s="489">
        <v>5.8</v>
      </c>
      <c r="AC14" s="489"/>
      <c r="AD14" s="495" t="s">
        <v>278</v>
      </c>
      <c r="AE14" s="495">
        <v>5.8</v>
      </c>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row>
    <row r="15" spans="2:278" s="15" customFormat="1" ht="15">
      <c r="B15" s="604" t="s">
        <v>321</v>
      </c>
      <c r="G15" s="33"/>
      <c r="H15" s="31"/>
      <c r="I15" s="31"/>
      <c r="J15" s="33"/>
      <c r="K15" s="33"/>
      <c r="L15" s="33"/>
      <c r="M15" s="31"/>
      <c r="N15" s="31"/>
      <c r="O15" s="31"/>
      <c r="P15" s="31"/>
      <c r="Q15" s="31"/>
      <c r="R15" s="31"/>
      <c r="S15" s="31"/>
      <c r="T15" s="31"/>
      <c r="U15" s="31"/>
      <c r="V15" s="31"/>
      <c r="W15" s="31"/>
    </row>
    <row r="16" spans="2:278" s="15" customFormat="1" ht="15">
      <c r="B16" s="584" t="s">
        <v>322</v>
      </c>
      <c r="G16" s="32"/>
      <c r="H16" s="31"/>
      <c r="I16" s="31"/>
      <c r="J16" s="32"/>
      <c r="K16" s="32"/>
      <c r="L16" s="32"/>
      <c r="M16" s="31"/>
      <c r="N16" s="31"/>
      <c r="O16" s="31"/>
      <c r="P16" s="31"/>
      <c r="Q16" s="31"/>
      <c r="R16" s="31"/>
      <c r="S16" s="31"/>
      <c r="T16" s="31"/>
      <c r="U16" s="31"/>
      <c r="V16" s="31"/>
      <c r="W16" s="31"/>
    </row>
    <row r="17" spans="2:23" s="15" customFormat="1" ht="15">
      <c r="B17" s="604" t="s">
        <v>323</v>
      </c>
      <c r="C17" s="31"/>
      <c r="D17" s="31"/>
      <c r="E17" s="31"/>
      <c r="F17" s="31"/>
      <c r="G17" s="31"/>
      <c r="H17" s="31"/>
      <c r="I17" s="31"/>
      <c r="J17" s="31"/>
      <c r="K17" s="31"/>
      <c r="L17" s="31"/>
      <c r="M17" s="31"/>
      <c r="N17" s="31"/>
      <c r="O17" s="31"/>
      <c r="P17" s="31"/>
      <c r="Q17" s="31"/>
      <c r="R17" s="31"/>
      <c r="S17" s="31"/>
      <c r="T17" s="31"/>
      <c r="U17" s="31"/>
      <c r="V17" s="31"/>
      <c r="W17" s="31"/>
    </row>
    <row r="18" spans="2:23" s="15" customFormat="1" ht="15">
      <c r="W18" s="31"/>
    </row>
    <row r="19" spans="2:23" s="15" customFormat="1"/>
    <row r="20" spans="2:23" s="15" customFormat="1"/>
    <row r="21" spans="2:23" s="15" customFormat="1"/>
    <row r="22" spans="2:23" s="15" customFormat="1"/>
    <row r="23" spans="2:23" s="15" customFormat="1"/>
    <row r="24" spans="2:23" s="15" customFormat="1"/>
    <row r="25" spans="2:23" s="15" customFormat="1"/>
    <row r="26" spans="2:23" s="15" customFormat="1"/>
    <row r="27" spans="2:23" s="15" customFormat="1"/>
    <row r="28" spans="2:23" s="15" customFormat="1"/>
    <row r="29" spans="2:23" s="15" customFormat="1"/>
    <row r="30" spans="2:23" s="15" customFormat="1"/>
    <row r="31" spans="2:23" s="15" customFormat="1"/>
    <row r="32" spans="2:23" s="15" customFormat="1"/>
    <row r="33" s="15" customFormat="1"/>
    <row r="34" s="15" customFormat="1"/>
    <row r="35" s="15" customFormat="1"/>
    <row r="36" s="15" customFormat="1"/>
    <row r="37" s="15" customFormat="1"/>
    <row r="38" s="15" customFormat="1"/>
    <row r="39" s="15" customFormat="1"/>
    <row r="40" s="15" customFormat="1"/>
    <row r="41" s="15" customFormat="1"/>
    <row r="42" s="15" customFormat="1"/>
    <row r="43" s="15" customFormat="1"/>
    <row r="44" s="15" customFormat="1"/>
    <row r="45" s="15" customFormat="1"/>
    <row r="46" s="15" customFormat="1"/>
    <row r="47" s="15" customFormat="1"/>
    <row r="48" s="15" customFormat="1"/>
    <row r="49" s="15" customFormat="1"/>
    <row r="50" s="15" customFormat="1"/>
    <row r="51" s="15" customFormat="1"/>
    <row r="52" s="15" customFormat="1"/>
    <row r="53" s="15" customFormat="1"/>
    <row r="54" s="15" customFormat="1"/>
    <row r="55" s="15" customFormat="1"/>
    <row r="56" s="15" customFormat="1"/>
    <row r="57" s="15" customFormat="1"/>
    <row r="58" s="15" customFormat="1"/>
    <row r="59" s="15" customFormat="1"/>
    <row r="60" s="15" customFormat="1"/>
    <row r="61" s="15" customFormat="1"/>
    <row r="62" s="15" customFormat="1"/>
    <row r="63" s="15" customFormat="1"/>
    <row r="64" s="15" customFormat="1"/>
    <row r="65" s="15" customFormat="1"/>
    <row r="66" s="15" customFormat="1"/>
    <row r="67" s="15" customFormat="1"/>
    <row r="68" s="15" customFormat="1"/>
    <row r="69" s="15" customFormat="1"/>
    <row r="70" s="15" customFormat="1"/>
    <row r="71" s="15" customFormat="1"/>
    <row r="72" s="15" customFormat="1"/>
    <row r="73" s="15" customFormat="1"/>
    <row r="74" s="15" customFormat="1"/>
    <row r="75" s="15" customFormat="1"/>
    <row r="76" s="15" customFormat="1"/>
    <row r="77" s="15" customFormat="1"/>
    <row r="78" s="15" customFormat="1"/>
    <row r="79" s="15" customFormat="1"/>
    <row r="80"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15" customFormat="1"/>
    <row r="114" s="15" customFormat="1"/>
    <row r="115" s="15" customFormat="1"/>
    <row r="116" s="15" customFormat="1"/>
    <row r="117" s="15" customFormat="1"/>
    <row r="118" s="15" customFormat="1"/>
    <row r="119" s="15" customFormat="1"/>
    <row r="120" s="15" customFormat="1"/>
    <row r="121" s="15" customFormat="1"/>
    <row r="122" s="15" customFormat="1"/>
    <row r="123" s="15" customFormat="1"/>
    <row r="124" s="15" customFormat="1"/>
    <row r="125" s="15" customFormat="1"/>
    <row r="126" s="15" customFormat="1"/>
    <row r="127" s="15" customFormat="1"/>
    <row r="128" s="15" customForma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row r="147" s="15" customFormat="1"/>
    <row r="148" s="15" customFormat="1"/>
    <row r="149" s="15" customFormat="1"/>
    <row r="150" s="15" customFormat="1"/>
    <row r="151" s="15" customFormat="1"/>
    <row r="152" s="15" customFormat="1"/>
    <row r="153" s="15" customFormat="1"/>
    <row r="154" s="15" customFormat="1"/>
    <row r="155" s="15" customFormat="1"/>
    <row r="156" s="15" customFormat="1"/>
    <row r="157" s="15" customFormat="1"/>
    <row r="158" s="15" customFormat="1"/>
    <row r="159" s="15" customFormat="1"/>
    <row r="160" s="15" customFormat="1"/>
    <row r="161" s="15" customFormat="1"/>
    <row r="162" s="15" customFormat="1"/>
    <row r="163" s="15" customFormat="1"/>
    <row r="164" s="15" customFormat="1"/>
    <row r="165" s="15" customFormat="1"/>
    <row r="166" s="15" customFormat="1"/>
    <row r="167" s="15" customFormat="1"/>
    <row r="168" s="15" customFormat="1"/>
    <row r="169" s="15" customFormat="1"/>
    <row r="170" s="15" customFormat="1"/>
  </sheetData>
  <mergeCells count="15">
    <mergeCell ref="B2:B4"/>
    <mergeCell ref="AD3:AD4"/>
    <mergeCell ref="AE3:AE4"/>
    <mergeCell ref="Z3:Z4"/>
    <mergeCell ref="AA3:AA4"/>
    <mergeCell ref="AB3:AB4"/>
    <mergeCell ref="AC3:AC4"/>
    <mergeCell ref="C2:G2"/>
    <mergeCell ref="H2:L2"/>
    <mergeCell ref="M2:Q2"/>
    <mergeCell ref="R2:V2"/>
    <mergeCell ref="C3:G3"/>
    <mergeCell ref="H3:L3"/>
    <mergeCell ref="M3:Q3"/>
    <mergeCell ref="R3:V3"/>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Q76"/>
  <sheetViews>
    <sheetView showGridLines="0" zoomScaleNormal="100" zoomScaleSheetLayoutView="85" workbookViewId="0">
      <pane xSplit="1" ySplit="3" topLeftCell="AA31" activePane="bottomRight" state="frozen"/>
      <selection pane="topRight" activeCell="B1" sqref="B1"/>
      <selection pane="bottomLeft" activeCell="A4" sqref="A4"/>
      <selection pane="bottomRight" activeCell="H11" sqref="H11"/>
    </sheetView>
  </sheetViews>
  <sheetFormatPr defaultColWidth="9" defaultRowHeight="12.75"/>
  <cols>
    <col min="1" max="1" width="53" style="171" customWidth="1"/>
    <col min="2" max="2" width="11.5" style="161" bestFit="1" customWidth="1"/>
    <col min="3" max="3" width="12.375" style="161" bestFit="1" customWidth="1"/>
    <col min="4" max="4" width="13.625" style="161" customWidth="1"/>
    <col min="5" max="5" width="12.125" style="161" bestFit="1" customWidth="1"/>
    <col min="6" max="8" width="13.625" style="161" customWidth="1"/>
    <col min="9" max="9" width="12.125" style="161" customWidth="1"/>
    <col min="10" max="10" width="13.625" style="161" customWidth="1"/>
    <col min="11" max="12" width="13.625" style="172" customWidth="1"/>
    <col min="13" max="13" width="12.125" style="161" customWidth="1"/>
    <col min="14" max="15" width="13.625" style="161" customWidth="1"/>
    <col min="16" max="16" width="13.625" style="172" customWidth="1"/>
    <col min="17" max="21" width="13.625" style="161" customWidth="1"/>
    <col min="22" max="29" width="13.625" style="7" customWidth="1"/>
    <col min="30" max="33" width="13.625" style="160" customWidth="1"/>
    <col min="34" max="16384" width="9" style="161"/>
  </cols>
  <sheetData>
    <row r="1" spans="1:485" s="156" customFormat="1" ht="50.25" customHeight="1" thickBot="1">
      <c r="A1" s="5" t="s">
        <v>24</v>
      </c>
      <c r="B1" s="5"/>
      <c r="C1" s="155"/>
      <c r="D1" s="155"/>
      <c r="E1" s="155"/>
      <c r="F1" s="155"/>
      <c r="G1" s="155"/>
      <c r="H1" s="155"/>
      <c r="I1" s="155"/>
      <c r="J1" s="155"/>
      <c r="K1" s="155"/>
      <c r="L1" s="155"/>
      <c r="M1" s="155"/>
      <c r="N1" s="155"/>
      <c r="O1" s="155"/>
      <c r="P1" s="155"/>
      <c r="Q1" s="155"/>
      <c r="R1" s="155"/>
      <c r="S1" s="155"/>
      <c r="T1" s="155"/>
      <c r="U1" s="155"/>
      <c r="V1" s="312"/>
      <c r="W1" s="312"/>
      <c r="X1" s="312"/>
      <c r="Y1" s="312"/>
      <c r="Z1" s="312"/>
      <c r="AA1" s="312"/>
      <c r="AB1" s="312"/>
      <c r="AC1" s="312"/>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c r="JS1" s="155"/>
      <c r="JT1" s="155"/>
      <c r="JU1" s="155"/>
      <c r="JV1" s="155"/>
      <c r="JW1" s="155"/>
      <c r="JX1" s="155"/>
      <c r="JY1" s="155"/>
      <c r="JZ1" s="155"/>
      <c r="KA1" s="155"/>
      <c r="KB1" s="155"/>
      <c r="KC1" s="155"/>
      <c r="KD1" s="155"/>
      <c r="KE1" s="155"/>
      <c r="KF1" s="155"/>
      <c r="KG1" s="155"/>
      <c r="KH1" s="155"/>
      <c r="KI1" s="155"/>
      <c r="KJ1" s="155"/>
      <c r="KK1" s="155"/>
      <c r="KL1" s="155"/>
      <c r="KM1" s="155"/>
      <c r="KN1" s="155"/>
      <c r="KO1" s="155"/>
      <c r="KP1" s="155"/>
      <c r="KQ1" s="155"/>
      <c r="KR1" s="155"/>
      <c r="KS1" s="155"/>
      <c r="KT1" s="155"/>
      <c r="KU1" s="155"/>
      <c r="KV1" s="155"/>
      <c r="KW1" s="155"/>
      <c r="KX1" s="155"/>
      <c r="KY1" s="155"/>
      <c r="KZ1" s="155"/>
      <c r="LA1" s="155"/>
      <c r="LB1" s="155"/>
      <c r="LC1" s="155"/>
      <c r="LD1" s="155"/>
      <c r="LE1" s="155"/>
      <c r="LF1" s="155"/>
      <c r="LG1" s="155"/>
      <c r="LH1" s="155"/>
      <c r="LI1" s="155"/>
      <c r="LJ1" s="155"/>
      <c r="LK1" s="155"/>
      <c r="LL1" s="155"/>
      <c r="LM1" s="155"/>
      <c r="LN1" s="155"/>
      <c r="LO1" s="155"/>
      <c r="LP1" s="155"/>
      <c r="LQ1" s="155"/>
      <c r="LR1" s="155"/>
      <c r="LS1" s="155"/>
      <c r="LT1" s="155"/>
      <c r="LU1" s="155"/>
      <c r="LV1" s="155"/>
      <c r="LW1" s="155"/>
      <c r="LX1" s="155"/>
      <c r="LY1" s="155"/>
      <c r="LZ1" s="155"/>
      <c r="MA1" s="155"/>
      <c r="MB1" s="155"/>
      <c r="MC1" s="155"/>
      <c r="MD1" s="155"/>
      <c r="ME1" s="155"/>
      <c r="MF1" s="155"/>
      <c r="MG1" s="155"/>
      <c r="MH1" s="155"/>
      <c r="MI1" s="155"/>
      <c r="MJ1" s="155"/>
      <c r="MK1" s="155"/>
      <c r="ML1" s="155"/>
      <c r="MM1" s="155"/>
      <c r="MN1" s="155"/>
      <c r="MO1" s="155"/>
      <c r="MP1" s="155"/>
      <c r="MQ1" s="155"/>
      <c r="MR1" s="155"/>
      <c r="MS1" s="155"/>
      <c r="MT1" s="155"/>
      <c r="MU1" s="155"/>
      <c r="MV1" s="155"/>
      <c r="MW1" s="155"/>
      <c r="MX1" s="155"/>
      <c r="MY1" s="155"/>
      <c r="MZ1" s="155"/>
      <c r="NA1" s="155"/>
      <c r="NB1" s="155"/>
      <c r="NC1" s="155"/>
      <c r="ND1" s="155"/>
      <c r="NE1" s="155"/>
      <c r="NF1" s="155"/>
      <c r="NG1" s="155"/>
      <c r="NH1" s="155"/>
      <c r="NI1" s="155"/>
      <c r="NJ1" s="155"/>
      <c r="NK1" s="155"/>
      <c r="NL1" s="155"/>
      <c r="NM1" s="155"/>
      <c r="NN1" s="155"/>
      <c r="NO1" s="155"/>
      <c r="NP1" s="155"/>
      <c r="NQ1" s="155"/>
      <c r="NR1" s="155"/>
      <c r="NS1" s="155"/>
      <c r="NT1" s="155"/>
      <c r="NU1" s="155"/>
      <c r="NV1" s="155"/>
      <c r="NW1" s="155"/>
      <c r="NX1" s="155"/>
      <c r="NY1" s="155"/>
      <c r="NZ1" s="155"/>
      <c r="OA1" s="155"/>
      <c r="OB1" s="155"/>
      <c r="OC1" s="155"/>
      <c r="OD1" s="155"/>
      <c r="OE1" s="155"/>
      <c r="OF1" s="155"/>
      <c r="OG1" s="155"/>
      <c r="OH1" s="155"/>
      <c r="OI1" s="155"/>
      <c r="OJ1" s="155"/>
      <c r="OK1" s="155"/>
      <c r="OL1" s="155"/>
      <c r="OM1" s="155"/>
      <c r="ON1" s="155"/>
      <c r="OO1" s="155"/>
      <c r="OP1" s="155"/>
      <c r="OQ1" s="155"/>
      <c r="OR1" s="155"/>
      <c r="OS1" s="155"/>
      <c r="OT1" s="155"/>
      <c r="OU1" s="155"/>
      <c r="OV1" s="155"/>
      <c r="OW1" s="155"/>
      <c r="OX1" s="155"/>
      <c r="OY1" s="155"/>
      <c r="OZ1" s="155"/>
      <c r="PA1" s="155"/>
      <c r="PB1" s="155"/>
      <c r="PC1" s="155"/>
      <c r="PD1" s="155"/>
      <c r="PE1" s="155"/>
      <c r="PF1" s="155"/>
      <c r="PG1" s="155"/>
      <c r="PH1" s="155"/>
      <c r="PI1" s="155"/>
      <c r="PJ1" s="155"/>
      <c r="PK1" s="155"/>
      <c r="PL1" s="155"/>
      <c r="PM1" s="155"/>
      <c r="PN1" s="155"/>
      <c r="PO1" s="155"/>
      <c r="PP1" s="155"/>
      <c r="PQ1" s="155"/>
      <c r="PR1" s="155"/>
      <c r="PS1" s="155"/>
      <c r="PT1" s="155"/>
      <c r="PU1" s="155"/>
      <c r="PV1" s="155"/>
      <c r="PW1" s="155"/>
      <c r="PX1" s="155"/>
      <c r="PY1" s="155"/>
      <c r="PZ1" s="155"/>
      <c r="QA1" s="155"/>
      <c r="QB1" s="155"/>
      <c r="QC1" s="155"/>
      <c r="QD1" s="155"/>
      <c r="QE1" s="155"/>
      <c r="QF1" s="155"/>
      <c r="QG1" s="155"/>
      <c r="QH1" s="155"/>
      <c r="QI1" s="155"/>
      <c r="QJ1" s="155"/>
      <c r="QK1" s="155"/>
      <c r="QL1" s="155"/>
      <c r="QM1" s="155"/>
      <c r="QN1" s="155"/>
      <c r="QO1" s="155"/>
      <c r="QP1" s="155"/>
      <c r="QQ1" s="155"/>
      <c r="QR1" s="155"/>
      <c r="QS1" s="155"/>
      <c r="QT1" s="155"/>
      <c r="QU1" s="155"/>
      <c r="QV1" s="155"/>
      <c r="QW1" s="155"/>
      <c r="QX1" s="155"/>
      <c r="QY1" s="155"/>
      <c r="QZ1" s="155"/>
      <c r="RA1" s="155"/>
      <c r="RB1" s="155"/>
      <c r="RC1" s="155"/>
      <c r="RD1" s="155"/>
      <c r="RE1" s="155"/>
      <c r="RF1" s="155"/>
      <c r="RG1" s="155"/>
      <c r="RH1" s="155"/>
      <c r="RI1" s="155"/>
      <c r="RJ1" s="155"/>
      <c r="RK1" s="155"/>
      <c r="RL1" s="155"/>
      <c r="RM1" s="155"/>
      <c r="RN1" s="155"/>
      <c r="RO1" s="155"/>
      <c r="RP1" s="155"/>
      <c r="RQ1" s="155"/>
    </row>
    <row r="2" spans="1:485" s="156" customFormat="1" ht="24.95" customHeight="1">
      <c r="A2" s="8" t="s">
        <v>87</v>
      </c>
      <c r="B2" s="653">
        <v>2012</v>
      </c>
      <c r="C2" s="653"/>
      <c r="D2" s="653"/>
      <c r="E2" s="653"/>
      <c r="F2" s="653">
        <v>2013</v>
      </c>
      <c r="G2" s="653"/>
      <c r="H2" s="653"/>
      <c r="I2" s="653"/>
      <c r="J2" s="654">
        <v>2014</v>
      </c>
      <c r="K2" s="653"/>
      <c r="L2" s="653"/>
      <c r="M2" s="655"/>
      <c r="N2" s="656">
        <v>2015</v>
      </c>
      <c r="O2" s="656"/>
      <c r="P2" s="656"/>
      <c r="Q2" s="657"/>
      <c r="R2" s="654">
        <v>2016</v>
      </c>
      <c r="S2" s="653"/>
      <c r="T2" s="653"/>
      <c r="U2" s="655"/>
      <c r="V2" s="654" t="s">
        <v>252</v>
      </c>
      <c r="W2" s="653"/>
      <c r="X2" s="653"/>
      <c r="Y2" s="655"/>
      <c r="Z2" s="654" t="s">
        <v>274</v>
      </c>
      <c r="AA2" s="653"/>
      <c r="AB2" s="653"/>
      <c r="AC2" s="655"/>
      <c r="AD2" s="654" t="s">
        <v>329</v>
      </c>
      <c r="AE2" s="653">
        <v>0</v>
      </c>
      <c r="AF2" s="653">
        <v>0</v>
      </c>
      <c r="AG2" s="655">
        <v>0</v>
      </c>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c r="JS2" s="155"/>
      <c r="JT2" s="155"/>
      <c r="JU2" s="155"/>
      <c r="JV2" s="155"/>
      <c r="JW2" s="155"/>
      <c r="JX2" s="155"/>
      <c r="JY2" s="155"/>
      <c r="JZ2" s="155"/>
      <c r="KA2" s="155"/>
      <c r="KB2" s="155"/>
      <c r="KC2" s="155"/>
      <c r="KD2" s="155"/>
      <c r="KE2" s="155"/>
      <c r="KF2" s="155"/>
      <c r="KG2" s="155"/>
      <c r="KH2" s="155"/>
      <c r="KI2" s="155"/>
      <c r="KJ2" s="155"/>
      <c r="KK2" s="155"/>
      <c r="KL2" s="155"/>
      <c r="KM2" s="155"/>
      <c r="KN2" s="155"/>
      <c r="KO2" s="155"/>
      <c r="KP2" s="155"/>
      <c r="KQ2" s="155"/>
      <c r="KR2" s="155"/>
      <c r="KS2" s="155"/>
      <c r="KT2" s="155"/>
      <c r="KU2" s="155"/>
      <c r="KV2" s="155"/>
      <c r="KW2" s="155"/>
      <c r="KX2" s="155"/>
      <c r="KY2" s="155"/>
      <c r="KZ2" s="155"/>
      <c r="LA2" s="155"/>
      <c r="LB2" s="155"/>
      <c r="LC2" s="155"/>
      <c r="LD2" s="155"/>
      <c r="LE2" s="155"/>
      <c r="LF2" s="155"/>
      <c r="LG2" s="155"/>
      <c r="LH2" s="155"/>
      <c r="LI2" s="155"/>
      <c r="LJ2" s="155"/>
      <c r="LK2" s="155"/>
      <c r="LL2" s="155"/>
      <c r="LM2" s="155"/>
      <c r="LN2" s="155"/>
      <c r="LO2" s="155"/>
      <c r="LP2" s="155"/>
      <c r="LQ2" s="155"/>
      <c r="LR2" s="155"/>
      <c r="LS2" s="155"/>
      <c r="LT2" s="155"/>
      <c r="LU2" s="155"/>
      <c r="LV2" s="155"/>
      <c r="LW2" s="155"/>
      <c r="LX2" s="155"/>
      <c r="LY2" s="155"/>
      <c r="LZ2" s="155"/>
      <c r="MA2" s="155"/>
      <c r="MB2" s="155"/>
      <c r="MC2" s="155"/>
      <c r="MD2" s="155"/>
      <c r="ME2" s="155"/>
      <c r="MF2" s="155"/>
      <c r="MG2" s="155"/>
      <c r="MH2" s="155"/>
      <c r="MI2" s="155"/>
      <c r="MJ2" s="155"/>
      <c r="MK2" s="155"/>
      <c r="ML2" s="155"/>
      <c r="MM2" s="155"/>
      <c r="MN2" s="155"/>
      <c r="MO2" s="155"/>
      <c r="MP2" s="155"/>
      <c r="MQ2" s="155"/>
      <c r="MR2" s="155"/>
      <c r="MS2" s="155"/>
      <c r="MT2" s="155"/>
      <c r="MU2" s="155"/>
      <c r="MV2" s="155"/>
      <c r="MW2" s="155"/>
      <c r="MX2" s="155"/>
      <c r="MY2" s="155"/>
      <c r="MZ2" s="155"/>
      <c r="NA2" s="155"/>
      <c r="NB2" s="155"/>
      <c r="NC2" s="155"/>
      <c r="ND2" s="155"/>
      <c r="NE2" s="155"/>
      <c r="NF2" s="155"/>
      <c r="NG2" s="155"/>
      <c r="NH2" s="155"/>
      <c r="NI2" s="155"/>
      <c r="NJ2" s="155"/>
      <c r="NK2" s="155"/>
      <c r="NL2" s="155"/>
      <c r="NM2" s="155"/>
      <c r="NN2" s="155"/>
      <c r="NO2" s="155"/>
      <c r="NP2" s="155"/>
      <c r="NQ2" s="155"/>
      <c r="NR2" s="155"/>
      <c r="NS2" s="155"/>
      <c r="NT2" s="155"/>
      <c r="NU2" s="155"/>
      <c r="NV2" s="155"/>
      <c r="NW2" s="155"/>
      <c r="NX2" s="155"/>
      <c r="NY2" s="155"/>
      <c r="NZ2" s="155"/>
      <c r="OA2" s="155"/>
      <c r="OB2" s="155"/>
      <c r="OC2" s="155"/>
      <c r="OD2" s="155"/>
      <c r="OE2" s="155"/>
      <c r="OF2" s="155"/>
      <c r="OG2" s="155"/>
      <c r="OH2" s="155"/>
      <c r="OI2" s="155"/>
      <c r="OJ2" s="155"/>
      <c r="OK2" s="155"/>
      <c r="OL2" s="155"/>
      <c r="OM2" s="155"/>
      <c r="ON2" s="155"/>
      <c r="OO2" s="155"/>
      <c r="OP2" s="155"/>
      <c r="OQ2" s="155"/>
      <c r="OR2" s="155"/>
      <c r="OS2" s="155"/>
      <c r="OT2" s="155"/>
      <c r="OU2" s="155"/>
      <c r="OV2" s="155"/>
      <c r="OW2" s="155"/>
      <c r="OX2" s="155"/>
      <c r="OY2" s="155"/>
      <c r="OZ2" s="155"/>
      <c r="PA2" s="155"/>
      <c r="PB2" s="155"/>
      <c r="PC2" s="155"/>
      <c r="PD2" s="155"/>
      <c r="PE2" s="155"/>
      <c r="PF2" s="155"/>
      <c r="PG2" s="155"/>
      <c r="PH2" s="155"/>
      <c r="PI2" s="155"/>
      <c r="PJ2" s="155"/>
      <c r="PK2" s="155"/>
      <c r="PL2" s="155"/>
      <c r="PM2" s="155"/>
      <c r="PN2" s="155"/>
      <c r="PO2" s="155"/>
      <c r="PP2" s="155"/>
      <c r="PQ2" s="155"/>
      <c r="PR2" s="155"/>
      <c r="PS2" s="155"/>
      <c r="PT2" s="155"/>
      <c r="PU2" s="155"/>
      <c r="PV2" s="155"/>
      <c r="PW2" s="155"/>
      <c r="PX2" s="155"/>
      <c r="PY2" s="155"/>
      <c r="PZ2" s="155"/>
      <c r="QA2" s="155"/>
      <c r="QB2" s="155"/>
      <c r="QC2" s="155"/>
      <c r="QD2" s="155"/>
      <c r="QE2" s="155"/>
      <c r="QF2" s="155"/>
      <c r="QG2" s="155"/>
      <c r="QH2" s="155"/>
      <c r="QI2" s="155"/>
      <c r="QJ2" s="155"/>
      <c r="QK2" s="155"/>
      <c r="QL2" s="155"/>
      <c r="QM2" s="155"/>
      <c r="QN2" s="155"/>
      <c r="QO2" s="155"/>
      <c r="QP2" s="155"/>
      <c r="QQ2" s="155"/>
      <c r="QR2" s="155"/>
      <c r="QS2" s="155"/>
      <c r="QT2" s="155"/>
      <c r="QU2" s="155"/>
      <c r="QV2" s="155"/>
      <c r="QW2" s="155"/>
      <c r="QX2" s="155"/>
      <c r="QY2" s="155"/>
      <c r="QZ2" s="155"/>
      <c r="RA2" s="155"/>
      <c r="RB2" s="155"/>
      <c r="RC2" s="155"/>
      <c r="RD2" s="155"/>
      <c r="RE2" s="155"/>
      <c r="RF2" s="155"/>
      <c r="RG2" s="155"/>
      <c r="RH2" s="155"/>
      <c r="RI2" s="155"/>
      <c r="RJ2" s="155"/>
      <c r="RK2" s="155"/>
      <c r="RL2" s="155"/>
      <c r="RM2" s="155"/>
      <c r="RN2" s="155"/>
      <c r="RO2" s="155"/>
      <c r="RP2" s="155"/>
      <c r="RQ2" s="155"/>
    </row>
    <row r="3" spans="1:485" ht="26.25" thickBot="1">
      <c r="A3" s="9" t="s">
        <v>49</v>
      </c>
      <c r="B3" s="157" t="s">
        <v>83</v>
      </c>
      <c r="C3" s="157" t="s">
        <v>84</v>
      </c>
      <c r="D3" s="157" t="s">
        <v>85</v>
      </c>
      <c r="E3" s="158" t="s">
        <v>86</v>
      </c>
      <c r="F3" s="157" t="s">
        <v>83</v>
      </c>
      <c r="G3" s="157" t="s">
        <v>84</v>
      </c>
      <c r="H3" s="157" t="s">
        <v>85</v>
      </c>
      <c r="I3" s="158" t="s">
        <v>86</v>
      </c>
      <c r="J3" s="157" t="s">
        <v>83</v>
      </c>
      <c r="K3" s="157" t="s">
        <v>84</v>
      </c>
      <c r="L3" s="157" t="s">
        <v>85</v>
      </c>
      <c r="M3" s="159" t="s">
        <v>200</v>
      </c>
      <c r="N3" s="157" t="s">
        <v>83</v>
      </c>
      <c r="O3" s="157" t="s">
        <v>84</v>
      </c>
      <c r="P3" s="157" t="s">
        <v>205</v>
      </c>
      <c r="Q3" s="158" t="s">
        <v>86</v>
      </c>
      <c r="R3" s="157" t="s">
        <v>83</v>
      </c>
      <c r="S3" s="157" t="s">
        <v>84</v>
      </c>
      <c r="T3" s="157" t="s">
        <v>205</v>
      </c>
      <c r="U3" s="158" t="s">
        <v>86</v>
      </c>
      <c r="V3" s="157" t="s">
        <v>83</v>
      </c>
      <c r="W3" s="157" t="s">
        <v>84</v>
      </c>
      <c r="X3" s="157" t="s">
        <v>205</v>
      </c>
      <c r="Y3" s="159" t="s">
        <v>86</v>
      </c>
      <c r="Z3" s="381" t="s">
        <v>83</v>
      </c>
      <c r="AA3" s="157" t="s">
        <v>84</v>
      </c>
      <c r="AB3" s="157" t="s">
        <v>205</v>
      </c>
      <c r="AC3" s="158" t="s">
        <v>86</v>
      </c>
      <c r="AD3" s="381" t="s">
        <v>83</v>
      </c>
      <c r="AE3" s="157" t="s">
        <v>84</v>
      </c>
      <c r="AF3" s="157" t="s">
        <v>205</v>
      </c>
      <c r="AG3" s="158" t="s">
        <v>86</v>
      </c>
    </row>
    <row r="4" spans="1:485" s="367" customFormat="1" ht="33.75" customHeight="1" thickBot="1">
      <c r="A4" s="368" t="s">
        <v>88</v>
      </c>
      <c r="B4" s="369"/>
      <c r="C4" s="369"/>
      <c r="D4" s="369"/>
      <c r="E4" s="369"/>
      <c r="F4" s="369"/>
      <c r="G4" s="369"/>
      <c r="H4" s="369"/>
      <c r="I4" s="369"/>
      <c r="J4" s="369"/>
      <c r="K4" s="370"/>
      <c r="L4" s="370"/>
      <c r="M4" s="369"/>
      <c r="N4" s="369"/>
      <c r="O4" s="369"/>
      <c r="P4" s="370"/>
      <c r="Q4" s="369"/>
      <c r="R4" s="369"/>
      <c r="S4" s="369"/>
      <c r="T4" s="369"/>
      <c r="U4" s="369"/>
      <c r="V4" s="366"/>
      <c r="W4" s="366"/>
      <c r="X4" s="366"/>
      <c r="Y4" s="371"/>
      <c r="Z4" s="366"/>
      <c r="AA4" s="366"/>
      <c r="AB4" s="366"/>
      <c r="AC4" s="371"/>
      <c r="AD4" s="366"/>
      <c r="AE4" s="366"/>
      <c r="AF4" s="366"/>
      <c r="AG4" s="371"/>
    </row>
    <row r="5" spans="1:485" s="160" customFormat="1" ht="20.100000000000001" customHeight="1">
      <c r="A5" s="153" t="s">
        <v>89</v>
      </c>
      <c r="B5" s="188">
        <f>415.308</f>
        <v>415.30799999999999</v>
      </c>
      <c r="C5" s="188">
        <f>419.479</f>
        <v>419.47899999999998</v>
      </c>
      <c r="D5" s="204">
        <f>(425068)*0.001</f>
        <v>425.06799999999998</v>
      </c>
      <c r="E5" s="274">
        <f>(420060)*0.001</f>
        <v>420.06</v>
      </c>
      <c r="F5" s="204">
        <f>(419894)*0.001</f>
        <v>419.89400000000001</v>
      </c>
      <c r="G5" s="204">
        <f>(418521)*0.001</f>
        <v>418.52100000000002</v>
      </c>
      <c r="H5" s="204">
        <f>(409736)*0.001</f>
        <v>409.73599999999999</v>
      </c>
      <c r="I5" s="275">
        <f>(407579)*0.001</f>
        <v>407.57900000000001</v>
      </c>
      <c r="J5" s="276">
        <f>(395393)*0.001</f>
        <v>395.39300000000003</v>
      </c>
      <c r="K5" s="188">
        <v>384.8</v>
      </c>
      <c r="L5" s="188">
        <v>417</v>
      </c>
      <c r="M5" s="189">
        <v>421.1</v>
      </c>
      <c r="N5" s="188">
        <v>416.6</v>
      </c>
      <c r="O5" s="188">
        <v>401.1</v>
      </c>
      <c r="P5" s="188">
        <v>377</v>
      </c>
      <c r="Q5" s="189">
        <v>371</v>
      </c>
      <c r="R5" s="188">
        <v>356.7</v>
      </c>
      <c r="S5" s="188">
        <v>353.3</v>
      </c>
      <c r="T5" s="188">
        <v>350.4</v>
      </c>
      <c r="U5" s="189">
        <v>350.9</v>
      </c>
      <c r="V5" s="313">
        <v>342.2</v>
      </c>
      <c r="W5" s="313">
        <v>332.9</v>
      </c>
      <c r="X5" s="313">
        <v>324</v>
      </c>
      <c r="Y5" s="314">
        <v>325.3</v>
      </c>
      <c r="Z5" s="313">
        <v>312.5</v>
      </c>
      <c r="AA5" s="313">
        <v>294.10000000000002</v>
      </c>
      <c r="AB5" s="313">
        <v>275.8</v>
      </c>
      <c r="AC5" s="314">
        <v>264.5</v>
      </c>
      <c r="AD5" s="313">
        <v>258.2</v>
      </c>
      <c r="AE5" s="313"/>
      <c r="AF5" s="313"/>
      <c r="AG5" s="314"/>
    </row>
    <row r="6" spans="1:485" s="160" customFormat="1" ht="20.100000000000001" customHeight="1">
      <c r="A6" s="153" t="s">
        <v>90</v>
      </c>
      <c r="B6" s="188">
        <f>258.7</f>
        <v>258.7</v>
      </c>
      <c r="C6" s="188">
        <f>258.506</f>
        <v>258.50599999999997</v>
      </c>
      <c r="D6" s="204">
        <f>(257043)*0.001</f>
        <v>257.04300000000001</v>
      </c>
      <c r="E6" s="274">
        <f>(276407)*0.001</f>
        <v>276.40699999999998</v>
      </c>
      <c r="F6" s="204">
        <f>(266252)*0.001</f>
        <v>266.25200000000001</v>
      </c>
      <c r="G6" s="204">
        <f>(265011)*0.001</f>
        <v>265.01100000000002</v>
      </c>
      <c r="H6" s="204">
        <f>(252063)*0.001</f>
        <v>252.06300000000002</v>
      </c>
      <c r="I6" s="275">
        <f>(251152)*0.001</f>
        <v>251.15200000000002</v>
      </c>
      <c r="J6" s="276">
        <f>(248178)*0.001</f>
        <v>248.178</v>
      </c>
      <c r="K6" s="188">
        <v>3010.6</v>
      </c>
      <c r="L6" s="188">
        <v>2933.8</v>
      </c>
      <c r="M6" s="189">
        <v>2714.9</v>
      </c>
      <c r="N6" s="188">
        <v>2855.8</v>
      </c>
      <c r="O6" s="188">
        <v>2541.1999999999998</v>
      </c>
      <c r="P6" s="188">
        <v>2535.1999999999998</v>
      </c>
      <c r="Q6" s="189">
        <v>2548.6</v>
      </c>
      <c r="R6" s="188">
        <v>3002.2</v>
      </c>
      <c r="S6" s="188">
        <v>2931</v>
      </c>
      <c r="T6" s="188">
        <v>2882.8</v>
      </c>
      <c r="U6" s="189">
        <v>2964.3</v>
      </c>
      <c r="V6" s="313">
        <v>2885.9</v>
      </c>
      <c r="W6" s="313">
        <v>2904.7</v>
      </c>
      <c r="X6" s="313">
        <v>2866.4</v>
      </c>
      <c r="Y6" s="314">
        <v>2867.1</v>
      </c>
      <c r="Z6" s="313">
        <v>2797</v>
      </c>
      <c r="AA6" s="313">
        <v>4419.8999999999996</v>
      </c>
      <c r="AB6" s="313">
        <v>4438</v>
      </c>
      <c r="AC6" s="314">
        <v>4792.2</v>
      </c>
      <c r="AD6" s="313">
        <v>4720.3</v>
      </c>
      <c r="AE6" s="313"/>
      <c r="AF6" s="313"/>
      <c r="AG6" s="314"/>
    </row>
    <row r="7" spans="1:485" s="160" customFormat="1" ht="20.100000000000001" customHeight="1">
      <c r="A7" s="153" t="s">
        <v>91</v>
      </c>
      <c r="B7" s="188">
        <f>2422.989</f>
        <v>2422.989</v>
      </c>
      <c r="C7" s="188">
        <f>2575.456</f>
        <v>2575.4560000000001</v>
      </c>
      <c r="D7" s="188">
        <f>(2575456)*0.001</f>
        <v>2575.4560000000001</v>
      </c>
      <c r="E7" s="205">
        <f>(2568033)*0.001</f>
        <v>2568.0329999999999</v>
      </c>
      <c r="F7" s="188">
        <f>(2568033)*0.001</f>
        <v>2568.0329999999999</v>
      </c>
      <c r="G7" s="188">
        <f>(2568033)*0.001</f>
        <v>2568.0329999999999</v>
      </c>
      <c r="H7" s="188">
        <f>(2637594)*0.001</f>
        <v>2637.5940000000001</v>
      </c>
      <c r="I7" s="205">
        <f>(2602804)*0.001</f>
        <v>2602.8040000000001</v>
      </c>
      <c r="J7" s="188">
        <f>(2602804)*0.001</f>
        <v>2602.8040000000001</v>
      </c>
      <c r="K7" s="188">
        <v>11735.5</v>
      </c>
      <c r="L7" s="188">
        <v>11735.5</v>
      </c>
      <c r="M7" s="189">
        <v>10585.3</v>
      </c>
      <c r="N7" s="188">
        <v>10831.2</v>
      </c>
      <c r="O7" s="188">
        <v>10606.4</v>
      </c>
      <c r="P7" s="188">
        <v>10606.4</v>
      </c>
      <c r="Q7" s="189">
        <v>10606.4</v>
      </c>
      <c r="R7" s="188">
        <v>11675.3</v>
      </c>
      <c r="S7" s="188">
        <v>10975.2</v>
      </c>
      <c r="T7" s="188">
        <v>10975.3</v>
      </c>
      <c r="U7" s="189">
        <v>10975.4</v>
      </c>
      <c r="V7" s="313">
        <v>10975.4</v>
      </c>
      <c r="W7" s="313">
        <v>10975.4</v>
      </c>
      <c r="X7" s="313">
        <v>10975.4</v>
      </c>
      <c r="Y7" s="314">
        <v>11041.7</v>
      </c>
      <c r="Z7" s="313">
        <v>11060.5</v>
      </c>
      <c r="AA7" s="313">
        <v>11530</v>
      </c>
      <c r="AB7" s="313">
        <v>11519.3</v>
      </c>
      <c r="AC7" s="314">
        <v>11309.4</v>
      </c>
      <c r="AD7" s="313">
        <v>11309.4</v>
      </c>
      <c r="AE7" s="313"/>
      <c r="AF7" s="313"/>
      <c r="AG7" s="314"/>
    </row>
    <row r="8" spans="1:485" s="160" customFormat="1" ht="20.100000000000001" customHeight="1">
      <c r="A8" s="163" t="s">
        <v>192</v>
      </c>
      <c r="B8" s="190">
        <f>0</f>
        <v>0</v>
      </c>
      <c r="C8" s="190">
        <v>0</v>
      </c>
      <c r="D8" s="190">
        <f>0</f>
        <v>0</v>
      </c>
      <c r="E8" s="189">
        <v>0</v>
      </c>
      <c r="F8" s="190">
        <f>0</f>
        <v>0</v>
      </c>
      <c r="G8" s="190">
        <f>0</f>
        <v>0</v>
      </c>
      <c r="H8" s="190">
        <f>0</f>
        <v>0</v>
      </c>
      <c r="I8" s="277">
        <f>0</f>
        <v>0</v>
      </c>
      <c r="J8" s="278">
        <v>0</v>
      </c>
      <c r="K8" s="188">
        <v>4482</v>
      </c>
      <c r="L8" s="188">
        <v>4331.8999999999996</v>
      </c>
      <c r="M8" s="189">
        <v>4255.8</v>
      </c>
      <c r="N8" s="190">
        <v>4002.2</v>
      </c>
      <c r="O8" s="190">
        <v>3944.6</v>
      </c>
      <c r="P8" s="188">
        <v>3791.6</v>
      </c>
      <c r="Q8" s="189">
        <v>3638.5</v>
      </c>
      <c r="R8" s="190">
        <v>3488.7</v>
      </c>
      <c r="S8" s="190">
        <v>3337.3</v>
      </c>
      <c r="T8" s="190">
        <v>3184.2</v>
      </c>
      <c r="U8" s="189">
        <v>3031.2</v>
      </c>
      <c r="V8" s="315">
        <v>2883.1</v>
      </c>
      <c r="W8" s="315">
        <v>2762.8</v>
      </c>
      <c r="X8" s="315">
        <v>2660.5</v>
      </c>
      <c r="Y8" s="314">
        <v>2557.3000000000002</v>
      </c>
      <c r="Z8" s="313">
        <v>2458.6</v>
      </c>
      <c r="AA8" s="315">
        <v>2358.6999999999998</v>
      </c>
      <c r="AB8" s="313">
        <v>2257.6999999999998</v>
      </c>
      <c r="AC8" s="314">
        <v>2212.1999999999998</v>
      </c>
      <c r="AD8" s="313">
        <v>2111.6</v>
      </c>
      <c r="AE8" s="315"/>
      <c r="AF8" s="313"/>
      <c r="AG8" s="314"/>
    </row>
    <row r="9" spans="1:485" s="160" customFormat="1" ht="20.100000000000001" customHeight="1">
      <c r="A9" s="153" t="s">
        <v>92</v>
      </c>
      <c r="B9" s="188">
        <f>840</f>
        <v>840</v>
      </c>
      <c r="C9" s="204">
        <f>(840000)*0.001</f>
        <v>840</v>
      </c>
      <c r="D9" s="204">
        <f>(840000)*0.001</f>
        <v>840</v>
      </c>
      <c r="E9" s="274">
        <f>(847800)*0.001</f>
        <v>847.80000000000007</v>
      </c>
      <c r="F9" s="204">
        <f>(847800)*0.001</f>
        <v>847.80000000000007</v>
      </c>
      <c r="G9" s="204">
        <f>(847800)*0.001</f>
        <v>847.80000000000007</v>
      </c>
      <c r="H9" s="204">
        <f>(847800)*0.001</f>
        <v>847.80000000000007</v>
      </c>
      <c r="I9" s="275">
        <f>(890800)*0.001</f>
        <v>890.80000000000007</v>
      </c>
      <c r="J9" s="276">
        <f>(890800)*0.001</f>
        <v>890.80000000000007</v>
      </c>
      <c r="K9" s="188">
        <v>890.8</v>
      </c>
      <c r="L9" s="188">
        <v>890.8</v>
      </c>
      <c r="M9" s="189">
        <v>2085.9</v>
      </c>
      <c r="N9" s="188">
        <v>1783.7</v>
      </c>
      <c r="O9" s="188">
        <v>2092.6999999999998</v>
      </c>
      <c r="P9" s="188">
        <v>2086.6</v>
      </c>
      <c r="Q9" s="189">
        <v>2080.6</v>
      </c>
      <c r="R9" s="188">
        <v>2074.6</v>
      </c>
      <c r="S9" s="188">
        <v>2068.6</v>
      </c>
      <c r="T9" s="188">
        <v>2062.5</v>
      </c>
      <c r="U9" s="189">
        <v>2056.5</v>
      </c>
      <c r="V9" s="313">
        <v>2050.5</v>
      </c>
      <c r="W9" s="313">
        <v>2044.4</v>
      </c>
      <c r="X9" s="313">
        <v>2038.4</v>
      </c>
      <c r="Y9" s="314">
        <v>2037.1</v>
      </c>
      <c r="Z9" s="313">
        <v>2031</v>
      </c>
      <c r="AA9" s="313">
        <v>2024.8</v>
      </c>
      <c r="AB9" s="313">
        <v>2019</v>
      </c>
      <c r="AC9" s="314">
        <v>2096.1</v>
      </c>
      <c r="AD9" s="313">
        <v>2087.9</v>
      </c>
      <c r="AE9" s="313"/>
      <c r="AF9" s="313"/>
      <c r="AG9" s="314"/>
    </row>
    <row r="10" spans="1:485" s="160" customFormat="1" ht="20.100000000000001" customHeight="1">
      <c r="A10" s="153" t="s">
        <v>93</v>
      </c>
      <c r="B10" s="188">
        <f>69.466</f>
        <v>69.465999999999994</v>
      </c>
      <c r="C10" s="204">
        <f>(69627)*0.001</f>
        <v>69.626999999999995</v>
      </c>
      <c r="D10" s="204">
        <f>(68459)*0.001</f>
        <v>68.459000000000003</v>
      </c>
      <c r="E10" s="274">
        <f>(81380)*0.001</f>
        <v>81.38</v>
      </c>
      <c r="F10" s="204">
        <f>(82841)*0.001</f>
        <v>82.841000000000008</v>
      </c>
      <c r="G10" s="204">
        <f>(83804)*0.001</f>
        <v>83.804000000000002</v>
      </c>
      <c r="H10" s="204">
        <f>(115337)*0.001</f>
        <v>115.337</v>
      </c>
      <c r="I10" s="275">
        <f>(137401)*0.001</f>
        <v>137.40100000000001</v>
      </c>
      <c r="J10" s="276">
        <f>(136697)*0.001</f>
        <v>136.697</v>
      </c>
      <c r="K10" s="188">
        <v>2360.6</v>
      </c>
      <c r="L10" s="188">
        <v>2624.2</v>
      </c>
      <c r="M10" s="189">
        <v>2591.4</v>
      </c>
      <c r="N10" s="188">
        <v>2527.5</v>
      </c>
      <c r="O10" s="188">
        <v>2525.8000000000002</v>
      </c>
      <c r="P10" s="188">
        <v>2464.1999999999998</v>
      </c>
      <c r="Q10" s="189">
        <v>2422.1999999999998</v>
      </c>
      <c r="R10" s="188">
        <v>2988.7</v>
      </c>
      <c r="S10" s="188">
        <v>3903</v>
      </c>
      <c r="T10" s="188">
        <v>3769.5</v>
      </c>
      <c r="U10" s="189">
        <v>3656.2</v>
      </c>
      <c r="V10" s="313">
        <v>3540.5</v>
      </c>
      <c r="W10" s="313">
        <v>3471.1</v>
      </c>
      <c r="X10" s="313">
        <v>3343.6</v>
      </c>
      <c r="Y10" s="314">
        <v>3261.5</v>
      </c>
      <c r="Z10" s="313">
        <v>3146.4</v>
      </c>
      <c r="AA10" s="313">
        <v>3097.5</v>
      </c>
      <c r="AB10" s="313">
        <v>3015.6</v>
      </c>
      <c r="AC10" s="314">
        <v>3005.5</v>
      </c>
      <c r="AD10" s="313">
        <v>2967.8</v>
      </c>
      <c r="AE10" s="313"/>
      <c r="AF10" s="313"/>
      <c r="AG10" s="314"/>
    </row>
    <row r="11" spans="1:485" s="160" customFormat="1" ht="20.100000000000001" customHeight="1">
      <c r="A11" s="153"/>
      <c r="B11" s="188"/>
      <c r="C11" s="592"/>
      <c r="D11" s="592"/>
      <c r="E11" s="274"/>
      <c r="F11" s="592"/>
      <c r="G11" s="592"/>
      <c r="H11" s="592"/>
      <c r="I11" s="275"/>
      <c r="J11" s="276"/>
      <c r="K11" s="188"/>
      <c r="L11" s="188"/>
      <c r="M11" s="189"/>
      <c r="N11" s="188"/>
      <c r="O11" s="188"/>
      <c r="P11" s="188"/>
      <c r="Q11" s="189"/>
      <c r="R11" s="188"/>
      <c r="S11" s="188"/>
      <c r="T11" s="188"/>
      <c r="U11" s="189"/>
      <c r="V11" s="313"/>
      <c r="W11" s="313"/>
      <c r="X11" s="313"/>
      <c r="Y11" s="314"/>
      <c r="Z11" s="313"/>
      <c r="AA11" s="313"/>
      <c r="AB11" s="313"/>
      <c r="AC11" s="314"/>
      <c r="AD11" s="313">
        <v>1482</v>
      </c>
      <c r="AE11" s="313"/>
      <c r="AF11" s="313"/>
      <c r="AG11" s="314"/>
    </row>
    <row r="12" spans="1:485" s="160" customFormat="1" ht="20.100000000000001" customHeight="1">
      <c r="A12" s="153" t="s">
        <v>94</v>
      </c>
      <c r="B12" s="188">
        <f>91.415</f>
        <v>91.415000000000006</v>
      </c>
      <c r="C12" s="204">
        <f>(95405)*0.001</f>
        <v>95.405000000000001</v>
      </c>
      <c r="D12" s="204">
        <f>(95323)*0.001</f>
        <v>95.323000000000008</v>
      </c>
      <c r="E12" s="274">
        <f>(97988)*0.001</f>
        <v>97.988</v>
      </c>
      <c r="F12" s="204">
        <f>(104074)*0.001</f>
        <v>104.074</v>
      </c>
      <c r="G12" s="204">
        <f>(115904)*0.001</f>
        <v>115.904</v>
      </c>
      <c r="H12" s="204">
        <f>(82162)*0.001</f>
        <v>82.162000000000006</v>
      </c>
      <c r="I12" s="275">
        <f>(71571)*0.001</f>
        <v>71.570999999999998</v>
      </c>
      <c r="J12" s="276">
        <f>(107548)*0.001</f>
        <v>107.548</v>
      </c>
      <c r="K12" s="188">
        <v>128.1</v>
      </c>
      <c r="L12" s="188">
        <v>148.80000000000001</v>
      </c>
      <c r="M12" s="189">
        <v>135.80000000000001</v>
      </c>
      <c r="N12" s="188">
        <v>158.69999999999999</v>
      </c>
      <c r="O12" s="188">
        <v>174.6</v>
      </c>
      <c r="P12" s="188">
        <v>109</v>
      </c>
      <c r="Q12" s="189">
        <v>145</v>
      </c>
      <c r="R12" s="188">
        <v>129.80000000000001</v>
      </c>
      <c r="S12" s="188">
        <v>156.19999999999999</v>
      </c>
      <c r="T12" s="188">
        <v>125.6</v>
      </c>
      <c r="U12" s="189">
        <v>151.80000000000001</v>
      </c>
      <c r="V12" s="313">
        <v>150</v>
      </c>
      <c r="W12" s="313">
        <v>167.3</v>
      </c>
      <c r="X12" s="313">
        <v>180.5</v>
      </c>
      <c r="Y12" s="314">
        <v>170.1</v>
      </c>
      <c r="Z12" s="313">
        <v>170.1</v>
      </c>
      <c r="AA12" s="313">
        <v>211.1</v>
      </c>
      <c r="AB12" s="313">
        <v>584.29999999999995</v>
      </c>
      <c r="AC12" s="314">
        <v>503.8</v>
      </c>
      <c r="AD12" s="313">
        <v>474</v>
      </c>
      <c r="AE12" s="313"/>
      <c r="AF12" s="313"/>
      <c r="AG12" s="314"/>
    </row>
    <row r="13" spans="1:485" s="160" customFormat="1" ht="20.100000000000001" customHeight="1">
      <c r="A13" s="153" t="s">
        <v>95</v>
      </c>
      <c r="B13" s="188">
        <f>8.419</f>
        <v>8.4190000000000005</v>
      </c>
      <c r="C13" s="204">
        <f>(8398)*0.001</f>
        <v>8.3979999999999997</v>
      </c>
      <c r="D13" s="204">
        <f>(8378)*0.001</f>
        <v>8.3780000000000001</v>
      </c>
      <c r="E13" s="274">
        <f>(8357)*0.001</f>
        <v>8.3569999999999993</v>
      </c>
      <c r="F13" s="204">
        <f>(8336)*0.001</f>
        <v>8.3360000000000003</v>
      </c>
      <c r="G13" s="204">
        <f>(7788)*0.001</f>
        <v>7.7880000000000003</v>
      </c>
      <c r="H13" s="204">
        <f>(7427)*0.001</f>
        <v>7.4270000000000005</v>
      </c>
      <c r="I13" s="275">
        <f>(5330)*0.001</f>
        <v>5.33</v>
      </c>
      <c r="J13" s="276">
        <f>(5315)*0.001</f>
        <v>5.3150000000000004</v>
      </c>
      <c r="K13" s="188">
        <v>5.3</v>
      </c>
      <c r="L13" s="188">
        <v>5.3</v>
      </c>
      <c r="M13" s="189">
        <v>5.3</v>
      </c>
      <c r="N13" s="188">
        <v>5.2</v>
      </c>
      <c r="O13" s="188">
        <v>5.2</v>
      </c>
      <c r="P13" s="188">
        <v>5.2</v>
      </c>
      <c r="Q13" s="189">
        <v>5.2</v>
      </c>
      <c r="R13" s="188">
        <v>5.2</v>
      </c>
      <c r="S13" s="188">
        <v>5.2</v>
      </c>
      <c r="T13" s="188">
        <v>5.2</v>
      </c>
      <c r="U13" s="189">
        <v>5.0999999999999996</v>
      </c>
      <c r="V13" s="313">
        <v>5.0999999999999996</v>
      </c>
      <c r="W13" s="313">
        <v>5.0999999999999996</v>
      </c>
      <c r="X13" s="313">
        <v>5.0999999999999996</v>
      </c>
      <c r="Y13" s="314">
        <v>5.0999999999999996</v>
      </c>
      <c r="Z13" s="313">
        <v>5.0999999999999996</v>
      </c>
      <c r="AA13" s="313">
        <v>30</v>
      </c>
      <c r="AB13" s="313">
        <v>29.9</v>
      </c>
      <c r="AC13" s="314">
        <v>29.9</v>
      </c>
      <c r="AD13" s="313">
        <v>29.7</v>
      </c>
      <c r="AE13" s="313"/>
      <c r="AF13" s="313"/>
      <c r="AG13" s="314"/>
    </row>
    <row r="14" spans="1:485" s="160" customFormat="1" ht="20.100000000000001" customHeight="1">
      <c r="A14" s="153" t="s">
        <v>193</v>
      </c>
      <c r="B14" s="190">
        <v>0</v>
      </c>
      <c r="C14" s="204">
        <f>(33259)*0.001</f>
        <v>33.259</v>
      </c>
      <c r="D14" s="204">
        <f>(33252)*0.001</f>
        <v>33.252000000000002</v>
      </c>
      <c r="E14" s="274">
        <f>(35125)*0.001</f>
        <v>35.125</v>
      </c>
      <c r="F14" s="204">
        <f>(34399)*0.001</f>
        <v>34.399000000000001</v>
      </c>
      <c r="G14" s="204">
        <f>(32935)*0.001</f>
        <v>32.935000000000002</v>
      </c>
      <c r="H14" s="204">
        <f>(29318)*0.001</f>
        <v>29.318000000000001</v>
      </c>
      <c r="I14" s="275">
        <f>(29551)*0.001</f>
        <v>29.551000000000002</v>
      </c>
      <c r="J14" s="276">
        <f>(26502)*0.001</f>
        <v>26.501999999999999</v>
      </c>
      <c r="K14" s="188">
        <v>46.2</v>
      </c>
      <c r="L14" s="188">
        <v>67</v>
      </c>
      <c r="M14" s="189">
        <v>81</v>
      </c>
      <c r="N14" s="188">
        <v>84.1</v>
      </c>
      <c r="O14" s="188">
        <v>82.3</v>
      </c>
      <c r="P14" s="188">
        <v>81.2</v>
      </c>
      <c r="Q14" s="189">
        <v>83.3</v>
      </c>
      <c r="R14" s="188">
        <v>81.099999999999994</v>
      </c>
      <c r="S14" s="188">
        <v>79.7</v>
      </c>
      <c r="T14" s="188">
        <v>80.400000000000006</v>
      </c>
      <c r="U14" s="189">
        <v>82.8</v>
      </c>
      <c r="V14" s="313">
        <v>83.8</v>
      </c>
      <c r="W14" s="313">
        <v>82.9</v>
      </c>
      <c r="X14" s="313">
        <v>85.8</v>
      </c>
      <c r="Y14" s="314">
        <v>91.4</v>
      </c>
      <c r="Z14" s="313">
        <v>90.4</v>
      </c>
      <c r="AA14" s="313">
        <v>93</v>
      </c>
      <c r="AB14" s="313">
        <v>94.8</v>
      </c>
      <c r="AC14" s="314">
        <v>99.7</v>
      </c>
      <c r="AD14" s="313">
        <v>97.9</v>
      </c>
      <c r="AE14" s="313"/>
      <c r="AF14" s="313"/>
      <c r="AG14" s="314"/>
    </row>
    <row r="15" spans="1:485" s="160" customFormat="1" ht="20.100000000000001" customHeight="1">
      <c r="A15" s="153" t="s">
        <v>176</v>
      </c>
      <c r="B15" s="190">
        <v>0</v>
      </c>
      <c r="C15" s="190">
        <v>0</v>
      </c>
      <c r="D15" s="190">
        <v>0</v>
      </c>
      <c r="E15" s="274">
        <v>0</v>
      </c>
      <c r="F15" s="204">
        <v>0</v>
      </c>
      <c r="G15" s="204">
        <v>0</v>
      </c>
      <c r="H15" s="204">
        <v>0</v>
      </c>
      <c r="I15" s="275">
        <v>0</v>
      </c>
      <c r="J15" s="276">
        <v>0</v>
      </c>
      <c r="K15" s="188">
        <v>0</v>
      </c>
      <c r="L15" s="188">
        <v>0</v>
      </c>
      <c r="M15" s="189">
        <v>0</v>
      </c>
      <c r="N15" s="188">
        <v>0</v>
      </c>
      <c r="O15" s="188">
        <v>0</v>
      </c>
      <c r="P15" s="188">
        <v>0</v>
      </c>
      <c r="Q15" s="189">
        <v>0</v>
      </c>
      <c r="R15" s="188">
        <v>180.5</v>
      </c>
      <c r="S15" s="188">
        <v>0</v>
      </c>
      <c r="T15" s="188">
        <v>0</v>
      </c>
      <c r="U15" s="189">
        <v>0</v>
      </c>
      <c r="V15" s="313">
        <v>0</v>
      </c>
      <c r="W15" s="313">
        <v>0</v>
      </c>
      <c r="X15" s="313">
        <v>0</v>
      </c>
      <c r="Y15" s="314">
        <v>0</v>
      </c>
      <c r="Z15" s="313">
        <v>0</v>
      </c>
      <c r="AA15" s="313">
        <v>0</v>
      </c>
      <c r="AB15" s="313">
        <v>0</v>
      </c>
      <c r="AC15" s="314">
        <v>0</v>
      </c>
      <c r="AD15" s="313">
        <v>0</v>
      </c>
      <c r="AE15" s="313"/>
      <c r="AF15" s="313"/>
      <c r="AG15" s="314"/>
    </row>
    <row r="16" spans="1:485" s="160" customFormat="1" ht="20.100000000000001" customHeight="1">
      <c r="A16" s="153" t="s">
        <v>248</v>
      </c>
      <c r="B16" s="188">
        <f>92.159</f>
        <v>92.159000000000006</v>
      </c>
      <c r="C16" s="204">
        <f>(84770)*0.001</f>
        <v>84.77</v>
      </c>
      <c r="D16" s="204">
        <f>(116704)*0.001</f>
        <v>116.70400000000001</v>
      </c>
      <c r="E16" s="274">
        <f>(109642)*0.001</f>
        <v>109.642</v>
      </c>
      <c r="F16" s="204">
        <f>(62960)*0.001</f>
        <v>62.96</v>
      </c>
      <c r="G16" s="204">
        <f>(61422)*0.001</f>
        <v>61.422000000000004</v>
      </c>
      <c r="H16" s="204">
        <f>(27107)*0.001</f>
        <v>27.106999999999999</v>
      </c>
      <c r="I16" s="275">
        <f>(20803)*0.001</f>
        <v>20.803000000000001</v>
      </c>
      <c r="J16" s="276">
        <f>(6430)*0.001</f>
        <v>6.43</v>
      </c>
      <c r="K16" s="188">
        <v>107.4</v>
      </c>
      <c r="L16" s="188">
        <v>141.4</v>
      </c>
      <c r="M16" s="189">
        <v>198.5</v>
      </c>
      <c r="N16" s="188">
        <v>238</v>
      </c>
      <c r="O16" s="188">
        <v>232.8</v>
      </c>
      <c r="P16" s="188">
        <v>232.7</v>
      </c>
      <c r="Q16" s="189">
        <v>272.8</v>
      </c>
      <c r="R16" s="188">
        <v>295.39999999999998</v>
      </c>
      <c r="S16" s="188">
        <v>331.8</v>
      </c>
      <c r="T16" s="188">
        <v>373.3</v>
      </c>
      <c r="U16" s="189">
        <v>452</v>
      </c>
      <c r="V16" s="313">
        <v>476.3</v>
      </c>
      <c r="W16" s="313">
        <v>508.1</v>
      </c>
      <c r="X16" s="313">
        <v>544.20000000000005</v>
      </c>
      <c r="Y16" s="314">
        <v>1270.7</v>
      </c>
      <c r="Z16" s="313">
        <v>1280.5999999999999</v>
      </c>
      <c r="AA16" s="313">
        <v>649.29999999999995</v>
      </c>
      <c r="AB16" s="313">
        <v>647.9</v>
      </c>
      <c r="AC16" s="314">
        <v>701.1</v>
      </c>
      <c r="AD16" s="313">
        <v>714.5</v>
      </c>
      <c r="AE16" s="313"/>
      <c r="AF16" s="313"/>
      <c r="AG16" s="314"/>
    </row>
    <row r="17" spans="1:33" s="160" customFormat="1" ht="20.100000000000001" customHeight="1">
      <c r="A17" s="350" t="s">
        <v>249</v>
      </c>
      <c r="B17" s="344"/>
      <c r="C17" s="344"/>
      <c r="D17" s="344"/>
      <c r="E17" s="345"/>
      <c r="F17" s="344"/>
      <c r="G17" s="344"/>
      <c r="H17" s="344"/>
      <c r="I17" s="345"/>
      <c r="J17" s="344"/>
      <c r="K17" s="344"/>
      <c r="L17" s="344"/>
      <c r="M17" s="345"/>
      <c r="N17" s="344"/>
      <c r="O17" s="344"/>
      <c r="P17" s="344"/>
      <c r="Q17" s="345"/>
      <c r="R17" s="344"/>
      <c r="S17" s="344"/>
      <c r="T17" s="344"/>
      <c r="U17" s="345">
        <v>0</v>
      </c>
      <c r="V17" s="344"/>
      <c r="W17" s="344"/>
      <c r="X17" s="344"/>
      <c r="Y17" s="317">
        <v>665.2</v>
      </c>
      <c r="Z17" s="316">
        <v>681.2</v>
      </c>
      <c r="AA17" s="316">
        <v>40.4</v>
      </c>
      <c r="AB17" s="316">
        <v>36.9</v>
      </c>
      <c r="AC17" s="317">
        <v>43</v>
      </c>
      <c r="AD17" s="316">
        <v>41.3</v>
      </c>
      <c r="AE17" s="316"/>
      <c r="AF17" s="316"/>
      <c r="AG17" s="317"/>
    </row>
    <row r="18" spans="1:33" s="164" customFormat="1" ht="20.100000000000001" customHeight="1">
      <c r="A18" s="154" t="s">
        <v>250</v>
      </c>
      <c r="B18" s="191">
        <v>0</v>
      </c>
      <c r="C18" s="191">
        <v>0</v>
      </c>
      <c r="D18" s="191">
        <v>0</v>
      </c>
      <c r="E18" s="192">
        <v>0</v>
      </c>
      <c r="F18" s="191">
        <v>0</v>
      </c>
      <c r="G18" s="191">
        <v>0</v>
      </c>
      <c r="H18" s="191">
        <v>0</v>
      </c>
      <c r="I18" s="279">
        <v>0</v>
      </c>
      <c r="J18" s="280">
        <v>0</v>
      </c>
      <c r="K18" s="191">
        <v>0</v>
      </c>
      <c r="L18" s="191">
        <v>0</v>
      </c>
      <c r="M18" s="192">
        <v>1.2</v>
      </c>
      <c r="N18" s="191">
        <v>0</v>
      </c>
      <c r="O18" s="191">
        <v>0</v>
      </c>
      <c r="P18" s="191">
        <v>0</v>
      </c>
      <c r="Q18" s="192">
        <v>6.9</v>
      </c>
      <c r="R18" s="191">
        <v>0.6</v>
      </c>
      <c r="S18" s="191">
        <v>0</v>
      </c>
      <c r="T18" s="191">
        <v>3.5</v>
      </c>
      <c r="U18" s="192">
        <v>9.5</v>
      </c>
      <c r="V18" s="316">
        <v>7.8</v>
      </c>
      <c r="W18" s="316">
        <v>4.9000000000000004</v>
      </c>
      <c r="X18" s="316">
        <v>2.5</v>
      </c>
      <c r="Y18" s="317">
        <v>1.9</v>
      </c>
      <c r="Z18" s="316">
        <v>0.1</v>
      </c>
      <c r="AA18" s="316">
        <v>1.4</v>
      </c>
      <c r="AB18" s="316">
        <v>2.7</v>
      </c>
      <c r="AC18" s="317">
        <v>0</v>
      </c>
      <c r="AD18" s="316">
        <v>0</v>
      </c>
      <c r="AE18" s="316"/>
      <c r="AF18" s="316"/>
      <c r="AG18" s="317"/>
    </row>
    <row r="19" spans="1:33" s="160" customFormat="1" ht="20.100000000000001" customHeight="1" thickBot="1">
      <c r="A19" s="153" t="s">
        <v>97</v>
      </c>
      <c r="B19" s="193">
        <f>30.5</f>
        <v>30.5</v>
      </c>
      <c r="C19" s="204">
        <f>(40245)*0.001</f>
        <v>40.244999999999997</v>
      </c>
      <c r="D19" s="204">
        <f>(37018)*0.001</f>
        <v>37.018000000000001</v>
      </c>
      <c r="E19" s="274">
        <f>(31356)*0.001</f>
        <v>31.356000000000002</v>
      </c>
      <c r="F19" s="204">
        <f>(30260)*0.001</f>
        <v>30.26</v>
      </c>
      <c r="G19" s="204">
        <f>(27326)*0.001</f>
        <v>27.326000000000001</v>
      </c>
      <c r="H19" s="204">
        <f>(27552)*0.001</f>
        <v>27.552</v>
      </c>
      <c r="I19" s="275">
        <f>(38854)*0.001</f>
        <v>38.853999999999999</v>
      </c>
      <c r="J19" s="276">
        <f>(34685)*0.001</f>
        <v>34.685000000000002</v>
      </c>
      <c r="K19" s="193">
        <v>240.5</v>
      </c>
      <c r="L19" s="193">
        <v>285.7</v>
      </c>
      <c r="M19" s="194">
        <v>281.10000000000002</v>
      </c>
      <c r="N19" s="193">
        <v>229</v>
      </c>
      <c r="O19" s="193">
        <v>260.89999999999998</v>
      </c>
      <c r="P19" s="193">
        <v>107.2</v>
      </c>
      <c r="Q19" s="194">
        <v>87.6</v>
      </c>
      <c r="R19" s="193">
        <v>211.3</v>
      </c>
      <c r="S19" s="193">
        <v>236.5</v>
      </c>
      <c r="T19" s="193">
        <v>238.4</v>
      </c>
      <c r="U19" s="194">
        <v>232.7</v>
      </c>
      <c r="V19" s="313">
        <v>249.3</v>
      </c>
      <c r="W19" s="318">
        <v>199.9</v>
      </c>
      <c r="X19" s="318">
        <v>192.1</v>
      </c>
      <c r="Y19" s="314">
        <v>197.2</v>
      </c>
      <c r="Z19" s="313">
        <v>178.4</v>
      </c>
      <c r="AA19" s="318">
        <v>216</v>
      </c>
      <c r="AB19" s="313">
        <v>213</v>
      </c>
      <c r="AC19" s="314">
        <v>259.7</v>
      </c>
      <c r="AD19" s="313">
        <v>258.2</v>
      </c>
      <c r="AE19" s="318"/>
      <c r="AF19" s="313"/>
      <c r="AG19" s="314"/>
    </row>
    <row r="20" spans="1:33" s="165" customFormat="1" ht="24.95" customHeight="1" thickBot="1">
      <c r="A20" s="14" t="s">
        <v>98</v>
      </c>
      <c r="B20" s="319">
        <f t="shared" ref="B20:C20" si="0">SUM(B5:B16,B19)</f>
        <v>4228.9560000000001</v>
      </c>
      <c r="C20" s="319">
        <f t="shared" si="0"/>
        <v>4425.1450000000004</v>
      </c>
      <c r="D20" s="319">
        <f t="shared" ref="D20:E20" si="1">SUM(D5:D16,D19)</f>
        <v>4456.701</v>
      </c>
      <c r="E20" s="320">
        <f t="shared" si="1"/>
        <v>4476.1480000000001</v>
      </c>
      <c r="F20" s="319">
        <f t="shared" ref="F20:G20" si="2">SUM(F5:F16,F19)</f>
        <v>4424.8490000000011</v>
      </c>
      <c r="G20" s="319">
        <f t="shared" si="2"/>
        <v>4428.5439999999999</v>
      </c>
      <c r="H20" s="319">
        <f t="shared" ref="H20:I20" si="3">SUM(H5:H16,H19)</f>
        <v>4436.0960000000005</v>
      </c>
      <c r="I20" s="320">
        <f t="shared" si="3"/>
        <v>4455.8450000000003</v>
      </c>
      <c r="J20" s="319">
        <f t="shared" ref="J20:K20" si="4">SUM(J5:J16,J19)</f>
        <v>4454.3520000000008</v>
      </c>
      <c r="K20" s="319">
        <f t="shared" si="4"/>
        <v>23391.8</v>
      </c>
      <c r="L20" s="319">
        <f t="shared" ref="L20:M20" si="5">SUM(L5:L16,L19)</f>
        <v>23581.399999999998</v>
      </c>
      <c r="M20" s="320">
        <f t="shared" si="5"/>
        <v>23356.1</v>
      </c>
      <c r="N20" s="319">
        <f t="shared" ref="N20:O20" si="6">SUM(N5:N16,N19)</f>
        <v>23132</v>
      </c>
      <c r="O20" s="319">
        <f t="shared" si="6"/>
        <v>22867.599999999999</v>
      </c>
      <c r="P20" s="319">
        <f t="shared" ref="P20:Q20" si="7">SUM(P5:P16,P19)</f>
        <v>22396.3</v>
      </c>
      <c r="Q20" s="320">
        <f t="shared" si="7"/>
        <v>22261.199999999997</v>
      </c>
      <c r="R20" s="319">
        <f t="shared" ref="R20:S20" si="8">SUM(R5:R16,R19)</f>
        <v>24489.499999999996</v>
      </c>
      <c r="S20" s="319">
        <f t="shared" si="8"/>
        <v>24377.8</v>
      </c>
      <c r="T20" s="319">
        <f t="shared" ref="T20:U20" si="9">SUM(T5:T16,T19)</f>
        <v>24047.600000000002</v>
      </c>
      <c r="U20" s="320">
        <f t="shared" si="9"/>
        <v>23958.899999999998</v>
      </c>
      <c r="V20" s="319">
        <f t="shared" ref="V20" si="10">SUM(V5:V16,V19)</f>
        <v>23642.099999999995</v>
      </c>
      <c r="W20" s="319">
        <f>SUM(W5:W16,W19)</f>
        <v>23454.6</v>
      </c>
      <c r="X20" s="319">
        <f t="shared" ref="X20" si="11">SUM(X5:X16,X19)</f>
        <v>23215.999999999996</v>
      </c>
      <c r="Y20" s="320">
        <f>SUM(Y5:Y16,Y19)</f>
        <v>23824.5</v>
      </c>
      <c r="Z20" s="319">
        <f t="shared" ref="Z20:AF20" si="12">SUM(Z5:Z16,Z19)</f>
        <v>23530.6</v>
      </c>
      <c r="AA20" s="319">
        <f t="shared" si="12"/>
        <v>24924.399999999998</v>
      </c>
      <c r="AB20" s="319">
        <f t="shared" si="12"/>
        <v>25095.3</v>
      </c>
      <c r="AC20" s="320">
        <f>SUM(AC5:AC16,AC19)</f>
        <v>25274.1</v>
      </c>
      <c r="AD20" s="319">
        <f t="shared" si="12"/>
        <v>26511.500000000004</v>
      </c>
      <c r="AE20" s="319">
        <f>SUM(AE5:AE16,AE19)</f>
        <v>0</v>
      </c>
      <c r="AF20" s="319">
        <f t="shared" si="12"/>
        <v>0</v>
      </c>
      <c r="AG20" s="320">
        <f>SUM(AG5:AG16,AG19)</f>
        <v>0</v>
      </c>
    </row>
    <row r="21" spans="1:33" s="165" customFormat="1" ht="20.100000000000001" customHeight="1">
      <c r="A21" s="153" t="s">
        <v>99</v>
      </c>
      <c r="B21" s="197">
        <f>176.114</f>
        <v>176.114</v>
      </c>
      <c r="C21" s="204">
        <f>(167251)*0.001</f>
        <v>167.251</v>
      </c>
      <c r="D21" s="204">
        <f>(171461)*0.001</f>
        <v>171.46100000000001</v>
      </c>
      <c r="E21" s="274">
        <f>(141652)*0.001</f>
        <v>141.65200000000002</v>
      </c>
      <c r="F21" s="204">
        <f>(155399)*0.001</f>
        <v>155.399</v>
      </c>
      <c r="G21" s="204">
        <f>(170743)*0.001</f>
        <v>170.74299999999999</v>
      </c>
      <c r="H21" s="204">
        <f>(208533)*0.001</f>
        <v>208.53300000000002</v>
      </c>
      <c r="I21" s="275">
        <f>(181341)*0.001</f>
        <v>181.34100000000001</v>
      </c>
      <c r="J21" s="276">
        <f>(228936)*0.001</f>
        <v>228.93600000000001</v>
      </c>
      <c r="K21" s="197">
        <v>199.1</v>
      </c>
      <c r="L21" s="197">
        <v>172.6</v>
      </c>
      <c r="M21" s="198">
        <v>152.1</v>
      </c>
      <c r="N21" s="197">
        <v>163.1</v>
      </c>
      <c r="O21" s="197">
        <v>170.4</v>
      </c>
      <c r="P21" s="197">
        <v>255.6</v>
      </c>
      <c r="Q21" s="198">
        <v>192.2</v>
      </c>
      <c r="R21" s="197">
        <v>234.7</v>
      </c>
      <c r="S21" s="197">
        <v>163.5</v>
      </c>
      <c r="T21" s="197">
        <v>219.1</v>
      </c>
      <c r="U21" s="198">
        <v>192</v>
      </c>
      <c r="V21" s="321">
        <v>179.8</v>
      </c>
      <c r="W21" s="321">
        <v>214.3</v>
      </c>
      <c r="X21" s="321">
        <v>243.6</v>
      </c>
      <c r="Y21" s="314">
        <v>251.7</v>
      </c>
      <c r="Z21" s="321">
        <v>256.60000000000002</v>
      </c>
      <c r="AA21" s="321">
        <v>353.2</v>
      </c>
      <c r="AB21" s="321">
        <v>544.5</v>
      </c>
      <c r="AC21" s="314">
        <v>543.20000000000005</v>
      </c>
      <c r="AD21" s="321">
        <v>539.79999999999995</v>
      </c>
      <c r="AE21" s="321"/>
      <c r="AF21" s="321"/>
      <c r="AG21" s="314"/>
    </row>
    <row r="22" spans="1:33" s="165" customFormat="1" ht="20.100000000000001" customHeight="1">
      <c r="A22" s="153" t="s">
        <v>239</v>
      </c>
      <c r="B22" s="188"/>
      <c r="C22" s="204"/>
      <c r="D22" s="204"/>
      <c r="E22" s="274"/>
      <c r="F22" s="204"/>
      <c r="G22" s="204"/>
      <c r="H22" s="204"/>
      <c r="I22" s="275"/>
      <c r="J22" s="276"/>
      <c r="K22" s="188"/>
      <c r="L22" s="188"/>
      <c r="M22" s="189"/>
      <c r="N22" s="188"/>
      <c r="O22" s="188"/>
      <c r="P22" s="188"/>
      <c r="Q22" s="189"/>
      <c r="R22" s="188"/>
      <c r="S22" s="188"/>
      <c r="T22" s="188"/>
      <c r="U22" s="189"/>
      <c r="V22" s="313"/>
      <c r="W22" s="313"/>
      <c r="X22" s="313"/>
      <c r="Y22" s="314"/>
      <c r="Z22" s="313">
        <v>680.8</v>
      </c>
      <c r="AA22" s="313">
        <v>681.5</v>
      </c>
      <c r="AB22" s="313">
        <v>655.20000000000005</v>
      </c>
      <c r="AC22" s="314">
        <v>648.4</v>
      </c>
      <c r="AD22" s="313">
        <v>657.6</v>
      </c>
      <c r="AE22" s="313"/>
      <c r="AF22" s="313"/>
      <c r="AG22" s="314"/>
    </row>
    <row r="23" spans="1:33" s="160" customFormat="1" ht="20.100000000000001" customHeight="1">
      <c r="A23" s="153" t="s">
        <v>100</v>
      </c>
      <c r="B23" s="188">
        <f>185.376</f>
        <v>185.376</v>
      </c>
      <c r="C23" s="204">
        <f>(185528)*0.001</f>
        <v>185.52799999999999</v>
      </c>
      <c r="D23" s="204">
        <f>(177054)*0.001</f>
        <v>177.054</v>
      </c>
      <c r="E23" s="274">
        <f>(161974)*0.001</f>
        <v>161.97399999999999</v>
      </c>
      <c r="F23" s="204">
        <f>(150701)*0.001</f>
        <v>150.70099999999999</v>
      </c>
      <c r="G23" s="204">
        <f>(157445)*0.001</f>
        <v>157.44499999999999</v>
      </c>
      <c r="H23" s="204">
        <f>(155698)*0.001</f>
        <v>155.69800000000001</v>
      </c>
      <c r="I23" s="275">
        <f>(146771)*0.001</f>
        <v>146.77100000000002</v>
      </c>
      <c r="J23" s="276">
        <f>(163072)*0.001</f>
        <v>163.072</v>
      </c>
      <c r="K23" s="188">
        <v>343.8</v>
      </c>
      <c r="L23" s="188">
        <v>316.60000000000002</v>
      </c>
      <c r="M23" s="189">
        <v>301.39999999999998</v>
      </c>
      <c r="N23" s="188">
        <v>252.9</v>
      </c>
      <c r="O23" s="188">
        <v>261.7</v>
      </c>
      <c r="P23" s="188">
        <v>264.10000000000002</v>
      </c>
      <c r="Q23" s="189">
        <v>281</v>
      </c>
      <c r="R23" s="188">
        <v>260.2</v>
      </c>
      <c r="S23" s="188">
        <v>270</v>
      </c>
      <c r="T23" s="188">
        <v>281</v>
      </c>
      <c r="U23" s="189">
        <v>278.7</v>
      </c>
      <c r="V23" s="313">
        <v>237.2</v>
      </c>
      <c r="W23" s="313">
        <v>279</v>
      </c>
      <c r="X23" s="313">
        <v>295.60000000000002</v>
      </c>
      <c r="Y23" s="314">
        <v>283.7</v>
      </c>
      <c r="Z23" s="315">
        <v>305.3</v>
      </c>
      <c r="AA23" s="313">
        <v>362.1</v>
      </c>
      <c r="AB23" s="313">
        <v>387.6</v>
      </c>
      <c r="AC23" s="314">
        <v>394</v>
      </c>
      <c r="AD23" s="315">
        <v>333.7</v>
      </c>
      <c r="AE23" s="313"/>
      <c r="AF23" s="313"/>
      <c r="AG23" s="314"/>
    </row>
    <row r="24" spans="1:33" s="160" customFormat="1" ht="20.100000000000001" customHeight="1">
      <c r="A24" s="153" t="s">
        <v>101</v>
      </c>
      <c r="B24" s="188">
        <f>1.102</f>
        <v>1.1020000000000001</v>
      </c>
      <c r="C24" s="190">
        <f>0</f>
        <v>0</v>
      </c>
      <c r="D24" s="190">
        <f>0</f>
        <v>0</v>
      </c>
      <c r="E24" s="189">
        <f>0</f>
        <v>0</v>
      </c>
      <c r="F24" s="190">
        <f>0</f>
        <v>0</v>
      </c>
      <c r="G24" s="190">
        <f>0</f>
        <v>0</v>
      </c>
      <c r="H24" s="190">
        <f>0</f>
        <v>0</v>
      </c>
      <c r="I24" s="277">
        <v>0</v>
      </c>
      <c r="J24" s="278">
        <v>0</v>
      </c>
      <c r="K24" s="199">
        <v>0</v>
      </c>
      <c r="L24" s="199">
        <v>0</v>
      </c>
      <c r="M24" s="189">
        <f>0*($A$75)</f>
        <v>0</v>
      </c>
      <c r="N24" s="190">
        <f>0*($A$75)</f>
        <v>0</v>
      </c>
      <c r="O24" s="190">
        <v>0</v>
      </c>
      <c r="P24" s="199">
        <v>0</v>
      </c>
      <c r="Q24" s="189">
        <v>0</v>
      </c>
      <c r="R24" s="190">
        <v>0</v>
      </c>
      <c r="S24" s="190">
        <v>0</v>
      </c>
      <c r="T24" s="190">
        <v>0</v>
      </c>
      <c r="U24" s="189">
        <v>0</v>
      </c>
      <c r="V24" s="315">
        <v>0</v>
      </c>
      <c r="W24" s="315">
        <v>0</v>
      </c>
      <c r="X24" s="315">
        <v>0</v>
      </c>
      <c r="Y24" s="314">
        <v>0</v>
      </c>
      <c r="Z24" s="313">
        <v>0</v>
      </c>
      <c r="AA24" s="315">
        <v>0</v>
      </c>
      <c r="AB24" s="315">
        <v>0</v>
      </c>
      <c r="AC24" s="314">
        <v>0</v>
      </c>
      <c r="AD24" s="313">
        <v>0</v>
      </c>
      <c r="AE24" s="315"/>
      <c r="AF24" s="315"/>
      <c r="AG24" s="314"/>
    </row>
    <row r="25" spans="1:33" s="160" customFormat="1" ht="20.100000000000001" customHeight="1">
      <c r="A25" s="153" t="s">
        <v>194</v>
      </c>
      <c r="B25" s="188">
        <f>342.386</f>
        <v>342.38600000000002</v>
      </c>
      <c r="C25" s="204">
        <f>(382365)*0.001</f>
        <v>382.36500000000001</v>
      </c>
      <c r="D25" s="204">
        <f>(376949)*0.001</f>
        <v>376.94900000000001</v>
      </c>
      <c r="E25" s="274">
        <f>(375659)*0.001</f>
        <v>375.65899999999999</v>
      </c>
      <c r="F25" s="204">
        <f>(403593)*0.001</f>
        <v>403.59300000000002</v>
      </c>
      <c r="G25" s="204">
        <f>(410902)*0.001</f>
        <v>410.90199999999999</v>
      </c>
      <c r="H25" s="204">
        <f>(401503)*0.001</f>
        <v>401.50299999999999</v>
      </c>
      <c r="I25" s="275">
        <f>(374424)*0.001</f>
        <v>374.42400000000004</v>
      </c>
      <c r="J25" s="276">
        <f>(398589)*0.001</f>
        <v>398.589</v>
      </c>
      <c r="K25" s="188">
        <v>1374.4</v>
      </c>
      <c r="L25" s="188">
        <v>1369.9</v>
      </c>
      <c r="M25" s="189">
        <v>1453.4</v>
      </c>
      <c r="N25" s="188">
        <v>1599.5</v>
      </c>
      <c r="O25" s="188">
        <v>1988.6</v>
      </c>
      <c r="P25" s="188">
        <v>1699.4</v>
      </c>
      <c r="Q25" s="189">
        <v>1619.1</v>
      </c>
      <c r="R25" s="188">
        <v>1503.9</v>
      </c>
      <c r="S25" s="188">
        <v>1541.1</v>
      </c>
      <c r="T25" s="188">
        <v>1571.8</v>
      </c>
      <c r="U25" s="189">
        <v>1688</v>
      </c>
      <c r="V25" s="313">
        <v>1608.5</v>
      </c>
      <c r="W25" s="313">
        <v>1727</v>
      </c>
      <c r="X25" s="313">
        <v>1758.5</v>
      </c>
      <c r="Y25" s="314">
        <v>1983.2</v>
      </c>
      <c r="Z25" s="313">
        <v>1990.7</v>
      </c>
      <c r="AA25" s="313">
        <v>2161.3000000000002</v>
      </c>
      <c r="AB25" s="313">
        <v>2197.3000000000002</v>
      </c>
      <c r="AC25" s="314">
        <v>2370.4</v>
      </c>
      <c r="AD25" s="313">
        <v>2334.6999999999998</v>
      </c>
      <c r="AE25" s="313"/>
      <c r="AF25" s="313"/>
      <c r="AG25" s="314"/>
    </row>
    <row r="26" spans="1:33" s="160" customFormat="1" ht="20.100000000000001" customHeight="1">
      <c r="A26" s="153" t="s">
        <v>102</v>
      </c>
      <c r="B26" s="188">
        <f>9.894</f>
        <v>9.8940000000000001</v>
      </c>
      <c r="C26" s="204">
        <f>(263)*0.001</f>
        <v>0.26300000000000001</v>
      </c>
      <c r="D26" s="204">
        <f>(321)*0.001</f>
        <v>0.32100000000000001</v>
      </c>
      <c r="E26" s="274">
        <f>(6494)*0.001</f>
        <v>6.4939999999999998</v>
      </c>
      <c r="F26" s="204">
        <f>(1372)*0.001</f>
        <v>1.3720000000000001</v>
      </c>
      <c r="G26" s="204">
        <f>(1952)*0.001</f>
        <v>1.952</v>
      </c>
      <c r="H26" s="204">
        <f>(1195)*0.001</f>
        <v>1.1950000000000001</v>
      </c>
      <c r="I26" s="275">
        <f>(183)*0.001</f>
        <v>0.183</v>
      </c>
      <c r="J26" s="276">
        <f>(365)*0.001</f>
        <v>0.36499999999999999</v>
      </c>
      <c r="K26" s="188">
        <v>28</v>
      </c>
      <c r="L26" s="188">
        <v>26</v>
      </c>
      <c r="M26" s="189">
        <v>26</v>
      </c>
      <c r="N26" s="188">
        <v>28.9</v>
      </c>
      <c r="O26" s="188">
        <v>1.5</v>
      </c>
      <c r="P26" s="188">
        <v>0.7</v>
      </c>
      <c r="Q26" s="189">
        <v>0.7</v>
      </c>
      <c r="R26" s="188">
        <v>1.9</v>
      </c>
      <c r="S26" s="188">
        <v>1.4</v>
      </c>
      <c r="T26" s="188">
        <v>0.9</v>
      </c>
      <c r="U26" s="189">
        <v>29.1</v>
      </c>
      <c r="V26" s="313">
        <v>30.3</v>
      </c>
      <c r="W26" s="313">
        <v>17</v>
      </c>
      <c r="X26" s="313">
        <v>25.3</v>
      </c>
      <c r="Y26" s="314">
        <v>1.3</v>
      </c>
      <c r="Z26" s="313">
        <v>55.8</v>
      </c>
      <c r="AA26" s="313">
        <v>68.7</v>
      </c>
      <c r="AB26" s="313">
        <v>65.400000000000006</v>
      </c>
      <c r="AC26" s="314">
        <v>34.6</v>
      </c>
      <c r="AD26" s="313">
        <v>36.799999999999997</v>
      </c>
      <c r="AE26" s="313"/>
      <c r="AF26" s="313"/>
      <c r="AG26" s="314"/>
    </row>
    <row r="27" spans="1:33" s="160" customFormat="1" ht="20.100000000000001" customHeight="1">
      <c r="A27" s="153" t="s">
        <v>195</v>
      </c>
      <c r="B27" s="190">
        <v>0</v>
      </c>
      <c r="C27" s="204">
        <f>(53916)*0.001</f>
        <v>53.916000000000004</v>
      </c>
      <c r="D27" s="204">
        <f>(54038)*0.001</f>
        <v>54.038000000000004</v>
      </c>
      <c r="E27" s="274">
        <f>(57096)*0.001</f>
        <v>57.096000000000004</v>
      </c>
      <c r="F27" s="204">
        <f>(60035)*0.001</f>
        <v>60.035000000000004</v>
      </c>
      <c r="G27" s="204">
        <f>(63564)*0.001</f>
        <v>63.564</v>
      </c>
      <c r="H27" s="204">
        <f>(65852)*0.001</f>
        <v>65.852000000000004</v>
      </c>
      <c r="I27" s="275">
        <f>(70055)*0.001</f>
        <v>70.055000000000007</v>
      </c>
      <c r="J27" s="276">
        <f>(70958)*0.001</f>
        <v>70.957999999999998</v>
      </c>
      <c r="K27" s="188">
        <v>91.2</v>
      </c>
      <c r="L27" s="188">
        <v>117.3</v>
      </c>
      <c r="M27" s="189">
        <v>141.69999999999999</v>
      </c>
      <c r="N27" s="188">
        <v>165.3</v>
      </c>
      <c r="O27" s="188">
        <v>186.1</v>
      </c>
      <c r="P27" s="188">
        <v>200.4</v>
      </c>
      <c r="Q27" s="189">
        <v>212.7</v>
      </c>
      <c r="R27" s="188">
        <v>213.3</v>
      </c>
      <c r="S27" s="188">
        <v>209.1</v>
      </c>
      <c r="T27" s="188">
        <v>207.6</v>
      </c>
      <c r="U27" s="189">
        <v>207.2</v>
      </c>
      <c r="V27" s="313">
        <v>205.7</v>
      </c>
      <c r="W27" s="313">
        <v>202.3</v>
      </c>
      <c r="X27" s="313">
        <v>203.5</v>
      </c>
      <c r="Y27" s="314">
        <v>207.9</v>
      </c>
      <c r="Z27" s="313">
        <v>206.9</v>
      </c>
      <c r="AA27" s="313">
        <v>230.1</v>
      </c>
      <c r="AB27" s="313">
        <v>230.1</v>
      </c>
      <c r="AC27" s="314">
        <v>218.5</v>
      </c>
      <c r="AD27" s="313">
        <v>221.6</v>
      </c>
      <c r="AE27" s="313"/>
      <c r="AF27" s="313"/>
      <c r="AG27" s="314"/>
    </row>
    <row r="28" spans="1:33" s="160" customFormat="1" ht="20.100000000000001" customHeight="1">
      <c r="A28" s="153" t="s">
        <v>196</v>
      </c>
      <c r="B28" s="188">
        <f>136.299</f>
        <v>136.29900000000001</v>
      </c>
      <c r="C28" s="204">
        <f>(73814)*0.001</f>
        <v>73.814000000000007</v>
      </c>
      <c r="D28" s="204">
        <f>(53239)*0.001</f>
        <v>53.239000000000004</v>
      </c>
      <c r="E28" s="274">
        <f>(71968)*0.001</f>
        <v>71.968000000000004</v>
      </c>
      <c r="F28" s="204">
        <f>(109187)*0.001</f>
        <v>109.187</v>
      </c>
      <c r="G28" s="204">
        <f>(93754)*0.001</f>
        <v>93.754000000000005</v>
      </c>
      <c r="H28" s="204">
        <f>(113708)*0.001</f>
        <v>113.708</v>
      </c>
      <c r="I28" s="275">
        <f>(105360)*0.001</f>
        <v>105.36</v>
      </c>
      <c r="J28" s="276">
        <f>(106732)*0.001</f>
        <v>106.732</v>
      </c>
      <c r="K28" s="188">
        <v>221.9</v>
      </c>
      <c r="L28" s="188">
        <v>224.2</v>
      </c>
      <c r="M28" s="189">
        <v>160.1</v>
      </c>
      <c r="N28" s="188">
        <v>212.9</v>
      </c>
      <c r="O28" s="188">
        <v>226.2</v>
      </c>
      <c r="P28" s="188">
        <v>255</v>
      </c>
      <c r="Q28" s="189">
        <v>399.5</v>
      </c>
      <c r="R28" s="188">
        <v>69.599999999999994</v>
      </c>
      <c r="S28" s="188">
        <v>62.8</v>
      </c>
      <c r="T28" s="188">
        <v>54.9</v>
      </c>
      <c r="U28" s="189">
        <v>38.700000000000003</v>
      </c>
      <c r="V28" s="313">
        <v>72.3</v>
      </c>
      <c r="W28" s="313">
        <v>60.7</v>
      </c>
      <c r="X28" s="313">
        <v>61.7</v>
      </c>
      <c r="Y28" s="314">
        <v>31.7</v>
      </c>
      <c r="Z28" s="313">
        <v>70.2</v>
      </c>
      <c r="AA28" s="313">
        <v>82.5</v>
      </c>
      <c r="AB28" s="313">
        <v>56.8</v>
      </c>
      <c r="AC28" s="314">
        <v>34.9</v>
      </c>
      <c r="AD28" s="313">
        <v>71.099999999999994</v>
      </c>
      <c r="AE28" s="313"/>
      <c r="AF28" s="313"/>
      <c r="AG28" s="314"/>
    </row>
    <row r="29" spans="1:33" s="164" customFormat="1" ht="20.100000000000001" customHeight="1">
      <c r="A29" s="154" t="s">
        <v>96</v>
      </c>
      <c r="B29" s="190">
        <v>0</v>
      </c>
      <c r="C29" s="190">
        <f>0</f>
        <v>0</v>
      </c>
      <c r="D29" s="190">
        <v>0</v>
      </c>
      <c r="E29" s="282">
        <f>0</f>
        <v>0</v>
      </c>
      <c r="F29" s="190">
        <f>0</f>
        <v>0</v>
      </c>
      <c r="G29" s="190">
        <v>0</v>
      </c>
      <c r="H29" s="190">
        <f>0</f>
        <v>0</v>
      </c>
      <c r="I29" s="283">
        <v>0</v>
      </c>
      <c r="J29" s="278">
        <v>0</v>
      </c>
      <c r="K29" s="190">
        <f>0*($A$75)</f>
        <v>0</v>
      </c>
      <c r="L29" s="190">
        <f>0*($A$75)</f>
        <v>0</v>
      </c>
      <c r="M29" s="192">
        <v>22.2</v>
      </c>
      <c r="N29" s="191">
        <v>26.3</v>
      </c>
      <c r="O29" s="191">
        <v>27.3</v>
      </c>
      <c r="P29" s="191">
        <v>3.8</v>
      </c>
      <c r="Q29" s="192">
        <v>10.5</v>
      </c>
      <c r="R29" s="191">
        <v>0.2</v>
      </c>
      <c r="S29" s="191">
        <v>3.6</v>
      </c>
      <c r="T29" s="191">
        <v>4.8</v>
      </c>
      <c r="U29" s="192">
        <v>6.7</v>
      </c>
      <c r="V29" s="316">
        <v>4.9000000000000004</v>
      </c>
      <c r="W29" s="316">
        <v>5.3</v>
      </c>
      <c r="X29" s="316">
        <v>6.4</v>
      </c>
      <c r="Y29" s="317">
        <v>5.0999999999999996</v>
      </c>
      <c r="Z29" s="316">
        <v>2.7</v>
      </c>
      <c r="AA29" s="316">
        <v>1.6</v>
      </c>
      <c r="AB29" s="316">
        <v>0.4</v>
      </c>
      <c r="AC29" s="317">
        <v>0</v>
      </c>
      <c r="AD29" s="316">
        <v>0</v>
      </c>
      <c r="AE29" s="316"/>
      <c r="AF29" s="316"/>
      <c r="AG29" s="317"/>
    </row>
    <row r="30" spans="1:33" s="160" customFormat="1" ht="20.100000000000001" customHeight="1">
      <c r="A30" s="153" t="s">
        <v>103</v>
      </c>
      <c r="B30" s="190">
        <v>0</v>
      </c>
      <c r="C30" s="190">
        <f>0</f>
        <v>0</v>
      </c>
      <c r="D30" s="190">
        <v>0</v>
      </c>
      <c r="E30" s="189">
        <v>0</v>
      </c>
      <c r="F30" s="190">
        <f>0</f>
        <v>0</v>
      </c>
      <c r="G30" s="190">
        <v>0</v>
      </c>
      <c r="H30" s="190">
        <f>0</f>
        <v>0</v>
      </c>
      <c r="I30" s="277">
        <v>0</v>
      </c>
      <c r="J30" s="278">
        <v>0</v>
      </c>
      <c r="K30" s="199">
        <v>270</v>
      </c>
      <c r="L30" s="199">
        <v>30</v>
      </c>
      <c r="M30" s="189">
        <f>0*($A$75)</f>
        <v>0</v>
      </c>
      <c r="N30" s="188">
        <v>42.7</v>
      </c>
      <c r="O30" s="188">
        <v>43.1</v>
      </c>
      <c r="P30" s="188">
        <v>0</v>
      </c>
      <c r="Q30" s="189">
        <v>0</v>
      </c>
      <c r="R30" s="188">
        <v>12.4</v>
      </c>
      <c r="S30" s="188">
        <v>0</v>
      </c>
      <c r="T30" s="188">
        <v>0</v>
      </c>
      <c r="U30" s="189">
        <v>0</v>
      </c>
      <c r="V30" s="313">
        <v>0</v>
      </c>
      <c r="W30" s="313">
        <v>0</v>
      </c>
      <c r="X30" s="313">
        <v>0</v>
      </c>
      <c r="Y30" s="314">
        <v>0</v>
      </c>
      <c r="Z30" s="313">
        <v>0</v>
      </c>
      <c r="AA30" s="313">
        <v>0</v>
      </c>
      <c r="AB30" s="313">
        <v>0</v>
      </c>
      <c r="AC30" s="314">
        <v>0</v>
      </c>
      <c r="AD30" s="313">
        <v>0</v>
      </c>
      <c r="AE30" s="313"/>
      <c r="AF30" s="313"/>
      <c r="AG30" s="314"/>
    </row>
    <row r="31" spans="1:33" s="160" customFormat="1" ht="20.100000000000001" customHeight="1">
      <c r="A31" s="153" t="s">
        <v>104</v>
      </c>
      <c r="B31" s="188">
        <f>422.627</f>
        <v>422.62700000000001</v>
      </c>
      <c r="C31" s="204">
        <f>(309519)*0.001</f>
        <v>309.51900000000001</v>
      </c>
      <c r="D31" s="204">
        <f>(225111)*0.001</f>
        <v>225.11100000000002</v>
      </c>
      <c r="E31" s="274">
        <f>(270354)*0.001</f>
        <v>270.35399999999998</v>
      </c>
      <c r="F31" s="204">
        <f>(324338)*0.001</f>
        <v>324.33800000000002</v>
      </c>
      <c r="G31" s="204">
        <f>(265803)*0.001</f>
        <v>265.803</v>
      </c>
      <c r="H31" s="204">
        <f>(215396)*0.001</f>
        <v>215.39600000000002</v>
      </c>
      <c r="I31" s="275">
        <f>(342251)*0.001</f>
        <v>342.25100000000003</v>
      </c>
      <c r="J31" s="276">
        <f>(428190)*0.001</f>
        <v>428.19</v>
      </c>
      <c r="K31" s="188">
        <v>1894.3</v>
      </c>
      <c r="L31" s="188">
        <v>1631</v>
      </c>
      <c r="M31" s="189">
        <v>1735.3</v>
      </c>
      <c r="N31" s="188">
        <v>1478.9</v>
      </c>
      <c r="O31" s="188">
        <v>1383.8</v>
      </c>
      <c r="P31" s="188">
        <v>1059.5999999999999</v>
      </c>
      <c r="Q31" s="189">
        <v>1512</v>
      </c>
      <c r="R31" s="188">
        <v>1538.6</v>
      </c>
      <c r="S31" s="188">
        <v>944.5</v>
      </c>
      <c r="T31" s="188">
        <v>1099.4000000000001</v>
      </c>
      <c r="U31" s="189">
        <v>1326</v>
      </c>
      <c r="V31" s="313">
        <v>1567.7</v>
      </c>
      <c r="W31" s="313">
        <v>1354.6</v>
      </c>
      <c r="X31" s="313">
        <v>1080.2</v>
      </c>
      <c r="Y31" s="314">
        <v>1161.5</v>
      </c>
      <c r="Z31" s="313">
        <v>785.9</v>
      </c>
      <c r="AA31" s="313">
        <v>876.1</v>
      </c>
      <c r="AB31" s="313">
        <v>1151.5</v>
      </c>
      <c r="AC31" s="314">
        <v>1167</v>
      </c>
      <c r="AD31" s="313">
        <v>745.7</v>
      </c>
      <c r="AE31" s="313"/>
      <c r="AF31" s="313"/>
      <c r="AG31" s="314"/>
    </row>
    <row r="32" spans="1:33" s="160" customFormat="1" ht="20.100000000000001" customHeight="1" thickBot="1">
      <c r="A32" s="153" t="s">
        <v>105</v>
      </c>
      <c r="B32" s="190">
        <v>0</v>
      </c>
      <c r="C32" s="190">
        <f>0</f>
        <v>0</v>
      </c>
      <c r="D32" s="190">
        <f>0</f>
        <v>0</v>
      </c>
      <c r="E32" s="189">
        <v>0</v>
      </c>
      <c r="F32" s="190">
        <f>0</f>
        <v>0</v>
      </c>
      <c r="G32" s="190">
        <v>0</v>
      </c>
      <c r="H32" s="190">
        <f>0</f>
        <v>0</v>
      </c>
      <c r="I32" s="277">
        <v>0</v>
      </c>
      <c r="J32" s="278">
        <v>0</v>
      </c>
      <c r="K32" s="199">
        <v>12.6</v>
      </c>
      <c r="L32" s="199">
        <v>12.2</v>
      </c>
      <c r="M32" s="189">
        <v>12.6</v>
      </c>
      <c r="N32" s="188">
        <v>12.7</v>
      </c>
      <c r="O32" s="188">
        <v>12.8</v>
      </c>
      <c r="P32" s="199">
        <v>12.4</v>
      </c>
      <c r="Q32" s="189">
        <v>11.7</v>
      </c>
      <c r="R32" s="188">
        <v>31.4</v>
      </c>
      <c r="S32" s="188">
        <v>10.9</v>
      </c>
      <c r="T32" s="188">
        <v>10.8</v>
      </c>
      <c r="U32" s="189">
        <v>10.7</v>
      </c>
      <c r="V32" s="313">
        <v>9.6</v>
      </c>
      <c r="W32" s="313">
        <v>8</v>
      </c>
      <c r="X32" s="313">
        <v>8.1999999999999993</v>
      </c>
      <c r="Y32" s="314">
        <v>10.5</v>
      </c>
      <c r="Z32" s="313">
        <v>11.6</v>
      </c>
      <c r="AA32" s="313">
        <v>11.7</v>
      </c>
      <c r="AB32" s="313">
        <v>11.6</v>
      </c>
      <c r="AC32" s="314">
        <v>11.7</v>
      </c>
      <c r="AD32" s="313">
        <v>11.3</v>
      </c>
      <c r="AE32" s="313"/>
      <c r="AF32" s="313"/>
      <c r="AG32" s="314"/>
    </row>
    <row r="33" spans="1:33" s="165" customFormat="1" ht="24.95" customHeight="1" thickBot="1">
      <c r="A33" s="14" t="s">
        <v>106</v>
      </c>
      <c r="B33" s="195">
        <f t="shared" ref="B33:L33" si="13">SUM(B21:B32)</f>
        <v>1273.798</v>
      </c>
      <c r="C33" s="195">
        <f t="shared" si="13"/>
        <v>1172.6559999999999</v>
      </c>
      <c r="D33" s="195">
        <f t="shared" si="13"/>
        <v>1058.173</v>
      </c>
      <c r="E33" s="196">
        <f t="shared" si="13"/>
        <v>1085.1969999999999</v>
      </c>
      <c r="F33" s="195">
        <f t="shared" si="13"/>
        <v>1204.625</v>
      </c>
      <c r="G33" s="195">
        <f t="shared" si="13"/>
        <v>1164.163</v>
      </c>
      <c r="H33" s="195">
        <f t="shared" si="13"/>
        <v>1161.885</v>
      </c>
      <c r="I33" s="195">
        <f t="shared" si="13"/>
        <v>1220.3850000000002</v>
      </c>
      <c r="J33" s="281">
        <f t="shared" si="13"/>
        <v>1396.8419999999999</v>
      </c>
      <c r="K33" s="195">
        <f t="shared" si="13"/>
        <v>4435.3</v>
      </c>
      <c r="L33" s="195">
        <f t="shared" si="13"/>
        <v>3899.7999999999997</v>
      </c>
      <c r="M33" s="196">
        <f t="shared" ref="M33:R33" si="14">SUM(M21:M32)-M29</f>
        <v>3982.6</v>
      </c>
      <c r="N33" s="195">
        <f t="shared" si="14"/>
        <v>3956.9</v>
      </c>
      <c r="O33" s="195">
        <f t="shared" si="14"/>
        <v>4274.2</v>
      </c>
      <c r="P33" s="195">
        <f t="shared" si="14"/>
        <v>3747.2000000000003</v>
      </c>
      <c r="Q33" s="196">
        <f t="shared" si="14"/>
        <v>4228.8999999999987</v>
      </c>
      <c r="R33" s="195">
        <f t="shared" si="14"/>
        <v>3866.0000000000005</v>
      </c>
      <c r="S33" s="195">
        <f t="shared" ref="S33" si="15">SUM(S21:S32)-S29</f>
        <v>3203.3</v>
      </c>
      <c r="T33" s="195">
        <f t="shared" ref="T33" si="16">SUM(T21:T32)-T29</f>
        <v>3445.5000000000005</v>
      </c>
      <c r="U33" s="196">
        <f t="shared" ref="U33" si="17">SUM(U21:U32)-U29</f>
        <v>3770.3999999999992</v>
      </c>
      <c r="V33" s="319">
        <f t="shared" ref="V33:W33" si="18">SUM(V21:V32)-V29</f>
        <v>3911.1000000000004</v>
      </c>
      <c r="W33" s="319">
        <f t="shared" si="18"/>
        <v>3862.9</v>
      </c>
      <c r="X33" s="319">
        <f t="shared" ref="X33:AG33" si="19">SUM(X21:X32)-X29</f>
        <v>3676.6</v>
      </c>
      <c r="Y33" s="320">
        <f t="shared" si="19"/>
        <v>3931.5</v>
      </c>
      <c r="Z33" s="319">
        <f t="shared" si="19"/>
        <v>4363.8</v>
      </c>
      <c r="AA33" s="319">
        <f t="shared" si="19"/>
        <v>4827.2</v>
      </c>
      <c r="AB33" s="319">
        <f t="shared" si="19"/>
        <v>5300.0000000000009</v>
      </c>
      <c r="AC33" s="320">
        <f t="shared" ref="AC33" si="20">SUM(AC21:AC32)-AC29</f>
        <v>5422.7</v>
      </c>
      <c r="AD33" s="319">
        <f t="shared" si="19"/>
        <v>4952.3000000000011</v>
      </c>
      <c r="AE33" s="319">
        <f t="shared" si="19"/>
        <v>0</v>
      </c>
      <c r="AF33" s="319">
        <f t="shared" si="19"/>
        <v>0</v>
      </c>
      <c r="AG33" s="320">
        <f t="shared" si="19"/>
        <v>0</v>
      </c>
    </row>
    <row r="34" spans="1:33" s="160" customFormat="1" ht="24.95" customHeight="1" thickBot="1">
      <c r="A34" s="166" t="s">
        <v>107</v>
      </c>
      <c r="B34" s="200">
        <f t="shared" ref="B34:P34" si="21">B20+B33</f>
        <v>5502.7539999999999</v>
      </c>
      <c r="C34" s="200">
        <f t="shared" si="21"/>
        <v>5597.8010000000004</v>
      </c>
      <c r="D34" s="200">
        <f t="shared" si="21"/>
        <v>5514.8739999999998</v>
      </c>
      <c r="E34" s="201">
        <f t="shared" si="21"/>
        <v>5561.3450000000003</v>
      </c>
      <c r="F34" s="200">
        <f t="shared" si="21"/>
        <v>5629.4740000000011</v>
      </c>
      <c r="G34" s="200">
        <f t="shared" si="21"/>
        <v>5592.7070000000003</v>
      </c>
      <c r="H34" s="200">
        <f t="shared" si="21"/>
        <v>5597.9810000000007</v>
      </c>
      <c r="I34" s="284">
        <f t="shared" si="21"/>
        <v>5676.2300000000005</v>
      </c>
      <c r="J34" s="285">
        <f t="shared" si="21"/>
        <v>5851.1940000000004</v>
      </c>
      <c r="K34" s="200">
        <f t="shared" si="21"/>
        <v>27827.1</v>
      </c>
      <c r="L34" s="200">
        <f t="shared" si="21"/>
        <v>27481.199999999997</v>
      </c>
      <c r="M34" s="201">
        <f t="shared" si="21"/>
        <v>27338.699999999997</v>
      </c>
      <c r="N34" s="200">
        <f t="shared" si="21"/>
        <v>27088.9</v>
      </c>
      <c r="O34" s="200">
        <f t="shared" si="21"/>
        <v>27141.8</v>
      </c>
      <c r="P34" s="200">
        <f t="shared" si="21"/>
        <v>26143.5</v>
      </c>
      <c r="Q34" s="202">
        <f t="shared" ref="Q34:R34" si="22">Q20+Q33</f>
        <v>26490.099999999995</v>
      </c>
      <c r="R34" s="200">
        <f t="shared" si="22"/>
        <v>28355.499999999996</v>
      </c>
      <c r="S34" s="200">
        <f t="shared" ref="S34" si="23">S20+S33</f>
        <v>27581.1</v>
      </c>
      <c r="T34" s="200">
        <f t="shared" ref="T34:V34" si="24">T20+T33</f>
        <v>27493.100000000002</v>
      </c>
      <c r="U34" s="202">
        <f t="shared" si="24"/>
        <v>27729.299999999996</v>
      </c>
      <c r="V34" s="322">
        <f t="shared" si="24"/>
        <v>27553.199999999997</v>
      </c>
      <c r="W34" s="322">
        <f t="shared" ref="W34:X34" si="25">W20+W33</f>
        <v>27317.5</v>
      </c>
      <c r="X34" s="322">
        <f t="shared" si="25"/>
        <v>26892.599999999995</v>
      </c>
      <c r="Y34" s="323">
        <f t="shared" ref="Y34:AG34" si="26">Y20+Y33</f>
        <v>27756</v>
      </c>
      <c r="Z34" s="322">
        <f t="shared" si="26"/>
        <v>27894.399999999998</v>
      </c>
      <c r="AA34" s="322">
        <f t="shared" si="26"/>
        <v>29751.599999999999</v>
      </c>
      <c r="AB34" s="322">
        <f t="shared" si="26"/>
        <v>30395.3</v>
      </c>
      <c r="AC34" s="323">
        <f t="shared" ref="AC34" si="27">AC20+AC33</f>
        <v>30696.799999999999</v>
      </c>
      <c r="AD34" s="322">
        <f t="shared" si="26"/>
        <v>31463.800000000003</v>
      </c>
      <c r="AE34" s="322">
        <f t="shared" si="26"/>
        <v>0</v>
      </c>
      <c r="AF34" s="322">
        <f t="shared" si="26"/>
        <v>0</v>
      </c>
      <c r="AG34" s="323">
        <f t="shared" si="26"/>
        <v>0</v>
      </c>
    </row>
    <row r="35" spans="1:33" s="367" customFormat="1" ht="33.75" customHeight="1" thickBot="1">
      <c r="A35" s="361" t="s">
        <v>108</v>
      </c>
      <c r="B35" s="362"/>
      <c r="C35" s="362"/>
      <c r="D35" s="362"/>
      <c r="E35" s="362"/>
      <c r="F35" s="362"/>
      <c r="G35" s="362"/>
      <c r="H35" s="362"/>
      <c r="I35" s="362"/>
      <c r="J35" s="362"/>
      <c r="K35" s="363"/>
      <c r="L35" s="363"/>
      <c r="M35" s="364"/>
      <c r="N35" s="364"/>
      <c r="O35" s="364"/>
      <c r="P35" s="363"/>
      <c r="Q35" s="364"/>
      <c r="R35" s="364"/>
      <c r="S35" s="364"/>
      <c r="T35" s="364"/>
      <c r="U35" s="364"/>
      <c r="V35" s="365"/>
      <c r="W35" s="365"/>
      <c r="X35" s="365"/>
      <c r="Y35" s="371"/>
      <c r="Z35" s="365"/>
      <c r="AA35" s="365"/>
      <c r="AB35" s="365"/>
      <c r="AC35" s="371"/>
      <c r="AD35" s="365"/>
      <c r="AE35" s="365"/>
      <c r="AF35" s="365"/>
      <c r="AG35" s="371"/>
    </row>
    <row r="36" spans="1:33" s="160" customFormat="1" ht="20.100000000000001" customHeight="1">
      <c r="A36" s="153" t="s">
        <v>109</v>
      </c>
      <c r="B36" s="286">
        <f>13.934</f>
        <v>13.933999999999999</v>
      </c>
      <c r="C36" s="286">
        <f t="shared" ref="C36:J36" si="28">(13934)*0.001</f>
        <v>13.934000000000001</v>
      </c>
      <c r="D36" s="286">
        <f t="shared" si="28"/>
        <v>13.934000000000001</v>
      </c>
      <c r="E36" s="287">
        <f t="shared" si="28"/>
        <v>13.934000000000001</v>
      </c>
      <c r="F36" s="286">
        <f t="shared" si="28"/>
        <v>13.934000000000001</v>
      </c>
      <c r="G36" s="286">
        <f t="shared" si="28"/>
        <v>13.934000000000001</v>
      </c>
      <c r="H36" s="286">
        <f t="shared" si="28"/>
        <v>13.934000000000001</v>
      </c>
      <c r="I36" s="288">
        <f t="shared" si="28"/>
        <v>13.934000000000001</v>
      </c>
      <c r="J36" s="289">
        <f t="shared" si="28"/>
        <v>13.934000000000001</v>
      </c>
      <c r="K36" s="197">
        <v>25.6</v>
      </c>
      <c r="L36" s="197">
        <v>25.6</v>
      </c>
      <c r="M36" s="198">
        <v>25.6</v>
      </c>
      <c r="N36" s="197">
        <v>25.6</v>
      </c>
      <c r="O36" s="197">
        <v>25.6</v>
      </c>
      <c r="P36" s="197">
        <v>25.6</v>
      </c>
      <c r="Q36" s="198">
        <v>25.6</v>
      </c>
      <c r="R36" s="197">
        <v>25.6</v>
      </c>
      <c r="S36" s="197">
        <v>25.6</v>
      </c>
      <c r="T36" s="197">
        <v>25.6</v>
      </c>
      <c r="U36" s="198">
        <v>25.6</v>
      </c>
      <c r="V36" s="321">
        <v>25.6</v>
      </c>
      <c r="W36" s="321">
        <v>25.6</v>
      </c>
      <c r="X36" s="321">
        <v>25.6</v>
      </c>
      <c r="Y36" s="324">
        <v>25.6</v>
      </c>
      <c r="Z36" s="321">
        <v>25.6</v>
      </c>
      <c r="AA36" s="321">
        <v>25.6</v>
      </c>
      <c r="AB36" s="313">
        <v>25.6</v>
      </c>
      <c r="AC36" s="324">
        <v>25.6</v>
      </c>
      <c r="AD36" s="321">
        <v>25.6</v>
      </c>
      <c r="AE36" s="321"/>
      <c r="AF36" s="313"/>
      <c r="AG36" s="324"/>
    </row>
    <row r="37" spans="1:33" s="160" customFormat="1" ht="20.100000000000001" customHeight="1">
      <c r="A37" s="153" t="s">
        <v>110</v>
      </c>
      <c r="B37" s="204">
        <f>432.265</f>
        <v>432.26499999999999</v>
      </c>
      <c r="C37" s="199">
        <v>0</v>
      </c>
      <c r="D37" s="199">
        <v>0</v>
      </c>
      <c r="E37" s="203">
        <v>0</v>
      </c>
      <c r="F37" s="199">
        <v>0</v>
      </c>
      <c r="G37" s="199">
        <v>0</v>
      </c>
      <c r="H37" s="199">
        <v>0</v>
      </c>
      <c r="I37" s="290">
        <v>0</v>
      </c>
      <c r="J37" s="291">
        <v>0</v>
      </c>
      <c r="K37" s="199">
        <v>0</v>
      </c>
      <c r="L37" s="199">
        <v>0</v>
      </c>
      <c r="M37" s="203">
        <v>0</v>
      </c>
      <c r="N37" s="199">
        <v>0</v>
      </c>
      <c r="O37" s="199">
        <v>0</v>
      </c>
      <c r="P37" s="199">
        <v>0</v>
      </c>
      <c r="Q37" s="189">
        <v>0</v>
      </c>
      <c r="R37" s="199">
        <v>0</v>
      </c>
      <c r="S37" s="199">
        <v>0</v>
      </c>
      <c r="T37" s="199">
        <v>0</v>
      </c>
      <c r="U37" s="189">
        <v>0</v>
      </c>
      <c r="V37" s="325">
        <v>0</v>
      </c>
      <c r="W37" s="325">
        <v>0</v>
      </c>
      <c r="X37" s="325">
        <v>0</v>
      </c>
      <c r="Y37" s="314">
        <v>0</v>
      </c>
      <c r="Z37" s="325">
        <v>0</v>
      </c>
      <c r="AA37" s="325">
        <v>0</v>
      </c>
      <c r="AB37" s="325">
        <v>0</v>
      </c>
      <c r="AC37" s="314">
        <v>0</v>
      </c>
      <c r="AD37" s="325">
        <v>0</v>
      </c>
      <c r="AE37" s="325"/>
      <c r="AF37" s="325"/>
      <c r="AG37" s="314"/>
    </row>
    <row r="38" spans="1:33" s="160" customFormat="1" ht="20.100000000000001" customHeight="1">
      <c r="A38" s="153" t="s">
        <v>111</v>
      </c>
      <c r="B38" s="204">
        <f>1305.277</f>
        <v>1305.277</v>
      </c>
      <c r="C38" s="199">
        <v>0</v>
      </c>
      <c r="D38" s="199">
        <v>0</v>
      </c>
      <c r="E38" s="203">
        <v>0</v>
      </c>
      <c r="F38" s="199">
        <v>0</v>
      </c>
      <c r="G38" s="199">
        <v>0</v>
      </c>
      <c r="H38" s="199">
        <v>0</v>
      </c>
      <c r="I38" s="290">
        <v>0</v>
      </c>
      <c r="J38" s="291">
        <v>0</v>
      </c>
      <c r="K38" s="199">
        <v>0</v>
      </c>
      <c r="L38" s="199">
        <v>0</v>
      </c>
      <c r="M38" s="203">
        <v>0</v>
      </c>
      <c r="N38" s="199">
        <v>0</v>
      </c>
      <c r="O38" s="199">
        <v>0</v>
      </c>
      <c r="P38" s="199">
        <v>0</v>
      </c>
      <c r="Q38" s="189">
        <v>0</v>
      </c>
      <c r="R38" s="199">
        <v>0</v>
      </c>
      <c r="S38" s="199">
        <v>0</v>
      </c>
      <c r="T38" s="199">
        <v>0</v>
      </c>
      <c r="U38" s="189">
        <v>0</v>
      </c>
      <c r="V38" s="325">
        <v>0</v>
      </c>
      <c r="W38" s="325">
        <v>0</v>
      </c>
      <c r="X38" s="325">
        <v>0</v>
      </c>
      <c r="Y38" s="314">
        <v>0</v>
      </c>
      <c r="Z38" s="325">
        <v>0</v>
      </c>
      <c r="AA38" s="325">
        <v>0</v>
      </c>
      <c r="AB38" s="325">
        <v>0</v>
      </c>
      <c r="AC38" s="314">
        <v>0</v>
      </c>
      <c r="AD38" s="325">
        <v>0</v>
      </c>
      <c r="AE38" s="325"/>
      <c r="AF38" s="325"/>
      <c r="AG38" s="314"/>
    </row>
    <row r="39" spans="1:33" s="160" customFormat="1" ht="20.100000000000001" customHeight="1">
      <c r="A39" s="153" t="s">
        <v>197</v>
      </c>
      <c r="B39" s="199">
        <v>0</v>
      </c>
      <c r="C39" s="204">
        <f t="shared" ref="C39:J39" si="29">(1295103)*0.001</f>
        <v>1295.1030000000001</v>
      </c>
      <c r="D39" s="204">
        <f t="shared" si="29"/>
        <v>1295.1030000000001</v>
      </c>
      <c r="E39" s="205">
        <f t="shared" si="29"/>
        <v>1295.1030000000001</v>
      </c>
      <c r="F39" s="204">
        <f t="shared" si="29"/>
        <v>1295.1030000000001</v>
      </c>
      <c r="G39" s="204">
        <f t="shared" si="29"/>
        <v>1295.1030000000001</v>
      </c>
      <c r="H39" s="204">
        <f t="shared" si="29"/>
        <v>1295.1030000000001</v>
      </c>
      <c r="I39" s="205">
        <f t="shared" si="29"/>
        <v>1295.1030000000001</v>
      </c>
      <c r="J39" s="204">
        <f t="shared" si="29"/>
        <v>1295.1030000000001</v>
      </c>
      <c r="K39" s="204">
        <v>7237.5</v>
      </c>
      <c r="L39" s="204">
        <v>7237.5</v>
      </c>
      <c r="M39" s="189">
        <v>7174</v>
      </c>
      <c r="N39" s="188">
        <v>7237.4</v>
      </c>
      <c r="O39" s="188">
        <v>7174</v>
      </c>
      <c r="P39" s="188">
        <v>7174</v>
      </c>
      <c r="Q39" s="189">
        <v>7174</v>
      </c>
      <c r="R39" s="188">
        <v>7174</v>
      </c>
      <c r="S39" s="188">
        <v>7174</v>
      </c>
      <c r="T39" s="188">
        <v>7174</v>
      </c>
      <c r="U39" s="189">
        <v>7174</v>
      </c>
      <c r="V39" s="313">
        <v>7174</v>
      </c>
      <c r="W39" s="313">
        <v>7174</v>
      </c>
      <c r="X39" s="313">
        <v>7174</v>
      </c>
      <c r="Y39" s="314">
        <v>7174</v>
      </c>
      <c r="Z39" s="313">
        <v>7174</v>
      </c>
      <c r="AA39" s="313">
        <v>7174</v>
      </c>
      <c r="AB39" s="313">
        <v>7174</v>
      </c>
      <c r="AC39" s="314">
        <v>7174</v>
      </c>
      <c r="AD39" s="313">
        <v>7174</v>
      </c>
      <c r="AE39" s="313"/>
      <c r="AF39" s="313"/>
      <c r="AG39" s="314"/>
    </row>
    <row r="40" spans="1:33" s="160" customFormat="1" ht="20.100000000000001" customHeight="1">
      <c r="A40" s="153" t="s">
        <v>112</v>
      </c>
      <c r="B40" s="204">
        <f>-3.17</f>
        <v>-3.17</v>
      </c>
      <c r="C40" s="199">
        <v>0</v>
      </c>
      <c r="D40" s="199">
        <v>0</v>
      </c>
      <c r="E40" s="203">
        <v>0</v>
      </c>
      <c r="F40" s="199">
        <v>0</v>
      </c>
      <c r="G40" s="199">
        <v>0</v>
      </c>
      <c r="H40" s="199">
        <v>0</v>
      </c>
      <c r="I40" s="290">
        <v>0</v>
      </c>
      <c r="J40" s="291">
        <v>0</v>
      </c>
      <c r="K40" s="199">
        <v>0</v>
      </c>
      <c r="L40" s="199">
        <v>0</v>
      </c>
      <c r="M40" s="203">
        <v>0</v>
      </c>
      <c r="N40" s="199">
        <v>0</v>
      </c>
      <c r="O40" s="199">
        <v>0</v>
      </c>
      <c r="P40" s="199">
        <v>0</v>
      </c>
      <c r="Q40" s="189">
        <v>0</v>
      </c>
      <c r="R40" s="199">
        <v>0</v>
      </c>
      <c r="S40" s="199">
        <v>0</v>
      </c>
      <c r="T40" s="199">
        <v>0</v>
      </c>
      <c r="U40" s="189">
        <v>0</v>
      </c>
      <c r="V40" s="325">
        <v>0</v>
      </c>
      <c r="W40" s="325">
        <v>0</v>
      </c>
      <c r="X40" s="325">
        <v>0</v>
      </c>
      <c r="Y40" s="314">
        <v>0</v>
      </c>
      <c r="Z40" s="325">
        <v>0</v>
      </c>
      <c r="AA40" s="325">
        <v>0</v>
      </c>
      <c r="AB40" s="325">
        <v>0</v>
      </c>
      <c r="AC40" s="314">
        <v>0</v>
      </c>
      <c r="AD40" s="325">
        <v>0</v>
      </c>
      <c r="AE40" s="325"/>
      <c r="AF40" s="325"/>
      <c r="AG40" s="314"/>
    </row>
    <row r="41" spans="1:33" s="160" customFormat="1" ht="20.100000000000001" customHeight="1">
      <c r="A41" s="153" t="s">
        <v>113</v>
      </c>
      <c r="B41" s="204">
        <f>2.396</f>
        <v>2.3959999999999999</v>
      </c>
      <c r="C41" s="199">
        <v>0</v>
      </c>
      <c r="D41" s="199">
        <v>0</v>
      </c>
      <c r="E41" s="203">
        <v>0</v>
      </c>
      <c r="F41" s="199">
        <v>0</v>
      </c>
      <c r="G41" s="199">
        <v>0</v>
      </c>
      <c r="H41" s="199">
        <v>0</v>
      </c>
      <c r="I41" s="290">
        <v>0</v>
      </c>
      <c r="J41" s="291">
        <v>0</v>
      </c>
      <c r="K41" s="199">
        <v>0</v>
      </c>
      <c r="L41" s="199">
        <v>0</v>
      </c>
      <c r="M41" s="203">
        <v>0</v>
      </c>
      <c r="N41" s="199">
        <v>0</v>
      </c>
      <c r="O41" s="199">
        <v>0</v>
      </c>
      <c r="P41" s="199">
        <v>0</v>
      </c>
      <c r="Q41" s="189">
        <v>0</v>
      </c>
      <c r="R41" s="199">
        <v>0</v>
      </c>
      <c r="S41" s="199">
        <v>0</v>
      </c>
      <c r="T41" s="199">
        <v>0</v>
      </c>
      <c r="U41" s="189">
        <v>0</v>
      </c>
      <c r="V41" s="325">
        <v>0</v>
      </c>
      <c r="W41" s="325">
        <v>0</v>
      </c>
      <c r="X41" s="325">
        <v>0</v>
      </c>
      <c r="Y41" s="314">
        <v>0</v>
      </c>
      <c r="Z41" s="325">
        <v>0</v>
      </c>
      <c r="AA41" s="325">
        <v>0</v>
      </c>
      <c r="AB41" s="325">
        <v>0</v>
      </c>
      <c r="AC41" s="314">
        <v>0</v>
      </c>
      <c r="AD41" s="325">
        <v>0</v>
      </c>
      <c r="AE41" s="325"/>
      <c r="AF41" s="325"/>
      <c r="AG41" s="314"/>
    </row>
    <row r="42" spans="1:33" s="160" customFormat="1" ht="20.100000000000001" customHeight="1">
      <c r="A42" s="153" t="s">
        <v>111</v>
      </c>
      <c r="B42" s="199">
        <v>0</v>
      </c>
      <c r="C42" s="204">
        <f>(1225)*0.001</f>
        <v>1.2250000000000001</v>
      </c>
      <c r="D42" s="204">
        <f>(-8191)*0.001</f>
        <v>-8.1910000000000007</v>
      </c>
      <c r="E42" s="274">
        <f>(-16327)*0.001</f>
        <v>-16.327000000000002</v>
      </c>
      <c r="F42" s="204">
        <f>(-17667)*0.001</f>
        <v>-17.667000000000002</v>
      </c>
      <c r="G42" s="204">
        <f>(-13285)*0.001</f>
        <v>-13.285</v>
      </c>
      <c r="H42" s="204">
        <f>(-11455)*0.001</f>
        <v>-11.455</v>
      </c>
      <c r="I42" s="275">
        <f>(-8964)*0.001</f>
        <v>-8.9640000000000004</v>
      </c>
      <c r="J42" s="291">
        <v>0</v>
      </c>
      <c r="K42" s="199">
        <v>0</v>
      </c>
      <c r="L42" s="204">
        <v>-9.1999999999999993</v>
      </c>
      <c r="M42" s="189">
        <v>-12.2</v>
      </c>
      <c r="N42" s="204">
        <v>-12.7</v>
      </c>
      <c r="O42" s="204">
        <v>-7.9</v>
      </c>
      <c r="P42" s="204">
        <v>-8.1999999999999993</v>
      </c>
      <c r="Q42" s="205">
        <v>-3.7</v>
      </c>
      <c r="R42" s="204">
        <v>-1.7</v>
      </c>
      <c r="S42" s="204">
        <v>0.1</v>
      </c>
      <c r="T42" s="204">
        <v>2.2000000000000002</v>
      </c>
      <c r="U42" s="205">
        <v>4.5</v>
      </c>
      <c r="V42" s="326">
        <v>3.8</v>
      </c>
      <c r="W42" s="326">
        <v>3.6</v>
      </c>
      <c r="X42" s="326">
        <v>3.5</v>
      </c>
      <c r="Y42" s="314">
        <v>3.2</v>
      </c>
      <c r="Z42" s="326">
        <v>2.8</v>
      </c>
      <c r="AA42" s="326">
        <v>-204.3</v>
      </c>
      <c r="AB42" s="313">
        <v>-204.1</v>
      </c>
      <c r="AC42" s="314">
        <v>-162.5</v>
      </c>
      <c r="AD42" s="326">
        <v>-162.4</v>
      </c>
      <c r="AE42" s="326"/>
      <c r="AF42" s="313"/>
      <c r="AG42" s="314"/>
    </row>
    <row r="43" spans="1:33" s="160" customFormat="1" ht="20.100000000000001" customHeight="1" thickBot="1">
      <c r="A43" s="153" t="s">
        <v>114</v>
      </c>
      <c r="B43" s="204">
        <f>340.065</f>
        <v>340.065</v>
      </c>
      <c r="C43" s="204">
        <f>(882007)*0.001</f>
        <v>882.00700000000006</v>
      </c>
      <c r="D43" s="204">
        <f>(1054069)*0.001</f>
        <v>1054.069</v>
      </c>
      <c r="E43" s="205">
        <f>(1175693)*0.001</f>
        <v>1175.693</v>
      </c>
      <c r="F43" s="204">
        <f>(1270798)*0.001</f>
        <v>1270.798</v>
      </c>
      <c r="G43" s="204">
        <f>(1351543)*0.001</f>
        <v>1351.5430000000001</v>
      </c>
      <c r="H43" s="204">
        <f>(1527994)*0.001</f>
        <v>1527.9940000000001</v>
      </c>
      <c r="I43" s="205">
        <f>(1701138)*0.001</f>
        <v>1701.1380000000001</v>
      </c>
      <c r="J43" s="204">
        <f>(1799310)*0.001</f>
        <v>1799.31</v>
      </c>
      <c r="K43" s="204">
        <v>1828.6</v>
      </c>
      <c r="L43" s="204">
        <v>1876.8</v>
      </c>
      <c r="M43" s="189">
        <v>1890.8</v>
      </c>
      <c r="N43" s="204">
        <v>2061.6</v>
      </c>
      <c r="O43" s="204">
        <v>2366.1</v>
      </c>
      <c r="P43" s="204">
        <v>2868.6</v>
      </c>
      <c r="Q43" s="205">
        <v>3054.2</v>
      </c>
      <c r="R43" s="204">
        <v>3229.7</v>
      </c>
      <c r="S43" s="204">
        <v>3467.4</v>
      </c>
      <c r="T43" s="204">
        <v>3745.6</v>
      </c>
      <c r="U43" s="205">
        <v>4095.5</v>
      </c>
      <c r="V43" s="326">
        <v>4374.8999999999996</v>
      </c>
      <c r="W43" s="326">
        <v>4461.3999999999996</v>
      </c>
      <c r="X43" s="326">
        <v>4704.3</v>
      </c>
      <c r="Y43" s="314">
        <v>4871.3999999999996</v>
      </c>
      <c r="Z43" s="326">
        <v>5668.6</v>
      </c>
      <c r="AA43" s="326">
        <v>5904.4</v>
      </c>
      <c r="AB43" s="313">
        <v>6130.5</v>
      </c>
      <c r="AC43" s="314">
        <v>6189.9</v>
      </c>
      <c r="AD43" s="326">
        <v>6481.8</v>
      </c>
      <c r="AE43" s="326"/>
      <c r="AF43" s="313"/>
      <c r="AG43" s="314"/>
    </row>
    <row r="44" spans="1:33" s="165" customFormat="1" ht="24.95" customHeight="1" thickBot="1">
      <c r="A44" s="14" t="s">
        <v>115</v>
      </c>
      <c r="B44" s="195">
        <f t="shared" ref="B44:C44" si="30">SUM(B36:B43)</f>
        <v>2090.7669999999998</v>
      </c>
      <c r="C44" s="195">
        <f t="shared" si="30"/>
        <v>2192.2690000000002</v>
      </c>
      <c r="D44" s="195">
        <f t="shared" ref="D44:H44" si="31">SUM(D36:D43)</f>
        <v>2354.915</v>
      </c>
      <c r="E44" s="196">
        <f t="shared" si="31"/>
        <v>2468.4030000000002</v>
      </c>
      <c r="F44" s="195">
        <f t="shared" si="31"/>
        <v>2562.1680000000001</v>
      </c>
      <c r="G44" s="195">
        <f t="shared" si="31"/>
        <v>2647.2950000000001</v>
      </c>
      <c r="H44" s="195">
        <f t="shared" si="31"/>
        <v>2825.576</v>
      </c>
      <c r="I44" s="195">
        <f t="shared" ref="I44:J44" si="32">SUM(I36:I43)</f>
        <v>3001.2110000000002</v>
      </c>
      <c r="J44" s="281">
        <f t="shared" si="32"/>
        <v>3108.3469999999998</v>
      </c>
      <c r="K44" s="195">
        <f t="shared" ref="K44:Q44" si="33">SUM(K36:K43)</f>
        <v>9091.7000000000007</v>
      </c>
      <c r="L44" s="195">
        <f t="shared" si="33"/>
        <v>9130.7000000000007</v>
      </c>
      <c r="M44" s="196">
        <f t="shared" si="33"/>
        <v>9078.2000000000007</v>
      </c>
      <c r="N44" s="195">
        <f t="shared" si="33"/>
        <v>9311.9</v>
      </c>
      <c r="O44" s="195">
        <f t="shared" si="33"/>
        <v>9557.8000000000011</v>
      </c>
      <c r="P44" s="195">
        <f t="shared" si="33"/>
        <v>10060</v>
      </c>
      <c r="Q44" s="196">
        <f t="shared" si="33"/>
        <v>10250.1</v>
      </c>
      <c r="R44" s="195">
        <f t="shared" ref="R44:Y44" si="34">SUM(R36:R43)</f>
        <v>10427.6</v>
      </c>
      <c r="S44" s="195">
        <f t="shared" si="34"/>
        <v>10667.1</v>
      </c>
      <c r="T44" s="195">
        <f t="shared" si="34"/>
        <v>10947.4</v>
      </c>
      <c r="U44" s="196">
        <f t="shared" si="34"/>
        <v>11299.6</v>
      </c>
      <c r="V44" s="319">
        <f t="shared" si="34"/>
        <v>11578.3</v>
      </c>
      <c r="W44" s="319">
        <f t="shared" si="34"/>
        <v>11664.6</v>
      </c>
      <c r="X44" s="319">
        <f t="shared" si="34"/>
        <v>11907.400000000001</v>
      </c>
      <c r="Y44" s="297">
        <f t="shared" si="34"/>
        <v>12074.2</v>
      </c>
      <c r="Z44" s="319">
        <f t="shared" ref="Z44:AG44" si="35">SUM(Z36:Z43)</f>
        <v>12871</v>
      </c>
      <c r="AA44" s="319">
        <f t="shared" si="35"/>
        <v>12899.7</v>
      </c>
      <c r="AB44" s="319">
        <f t="shared" si="35"/>
        <v>13126</v>
      </c>
      <c r="AC44" s="297">
        <f t="shared" si="35"/>
        <v>13227</v>
      </c>
      <c r="AD44" s="319">
        <f t="shared" si="35"/>
        <v>13519</v>
      </c>
      <c r="AE44" s="319">
        <f t="shared" si="35"/>
        <v>0</v>
      </c>
      <c r="AF44" s="319">
        <f t="shared" si="35"/>
        <v>0</v>
      </c>
      <c r="AG44" s="297">
        <f t="shared" si="35"/>
        <v>0</v>
      </c>
    </row>
    <row r="45" spans="1:33" s="165" customFormat="1" ht="20.100000000000001" customHeight="1" thickBot="1">
      <c r="A45" s="167" t="s">
        <v>116</v>
      </c>
      <c r="B45" s="199">
        <v>0</v>
      </c>
      <c r="C45" s="199">
        <v>0</v>
      </c>
      <c r="D45" s="199">
        <v>0</v>
      </c>
      <c r="E45" s="203">
        <v>0</v>
      </c>
      <c r="F45" s="199">
        <v>0</v>
      </c>
      <c r="G45" s="199">
        <v>0</v>
      </c>
      <c r="H45" s="209">
        <f>2/1000</f>
        <v>2E-3</v>
      </c>
      <c r="I45" s="210">
        <f>2/1000</f>
        <v>2E-3</v>
      </c>
      <c r="J45" s="211">
        <f>2/1000</f>
        <v>2E-3</v>
      </c>
      <c r="K45" s="206">
        <v>0</v>
      </c>
      <c r="L45" s="206">
        <v>0</v>
      </c>
      <c r="M45" s="203">
        <v>0</v>
      </c>
      <c r="N45" s="206">
        <v>0</v>
      </c>
      <c r="O45" s="206">
        <v>0</v>
      </c>
      <c r="P45" s="206">
        <v>0</v>
      </c>
      <c r="Q45" s="205">
        <v>0</v>
      </c>
      <c r="R45" s="206">
        <v>-22.4</v>
      </c>
      <c r="S45" s="206">
        <v>94.5</v>
      </c>
      <c r="T45" s="206">
        <v>86.1</v>
      </c>
      <c r="U45" s="205">
        <v>78</v>
      </c>
      <c r="V45" s="327">
        <v>70</v>
      </c>
      <c r="W45" s="327">
        <v>60.5</v>
      </c>
      <c r="X45" s="327">
        <v>52.5</v>
      </c>
      <c r="Y45" s="346">
        <v>42.6</v>
      </c>
      <c r="Z45" s="327">
        <v>34</v>
      </c>
      <c r="AA45" s="327">
        <v>554.29999999999995</v>
      </c>
      <c r="AB45" s="327">
        <v>555.29999999999995</v>
      </c>
      <c r="AC45" s="346">
        <v>648.20000000000005</v>
      </c>
      <c r="AD45" s="327">
        <v>653.6</v>
      </c>
      <c r="AE45" s="327"/>
      <c r="AF45" s="327"/>
      <c r="AG45" s="346"/>
    </row>
    <row r="46" spans="1:33" s="165" customFormat="1" ht="24.95" customHeight="1" thickBot="1">
      <c r="A46" s="14" t="s">
        <v>117</v>
      </c>
      <c r="B46" s="195">
        <f t="shared" ref="B46" si="36">B44+B45</f>
        <v>2090.7669999999998</v>
      </c>
      <c r="C46" s="195">
        <f t="shared" ref="C46" si="37">C44+C45</f>
        <v>2192.2690000000002</v>
      </c>
      <c r="D46" s="195">
        <f t="shared" ref="D46" si="38">D44+D45</f>
        <v>2354.915</v>
      </c>
      <c r="E46" s="196">
        <f t="shared" ref="E46:G46" si="39">E44</f>
        <v>2468.4030000000002</v>
      </c>
      <c r="F46" s="195">
        <f t="shared" si="39"/>
        <v>2562.1680000000001</v>
      </c>
      <c r="G46" s="195">
        <f t="shared" si="39"/>
        <v>2647.2950000000001</v>
      </c>
      <c r="H46" s="195">
        <f>SUM(H44:H45)</f>
        <v>2825.578</v>
      </c>
      <c r="I46" s="195">
        <f t="shared" ref="I46:O46" si="40">I44+I45</f>
        <v>3001.2130000000002</v>
      </c>
      <c r="J46" s="281">
        <f t="shared" si="40"/>
        <v>3108.3489999999997</v>
      </c>
      <c r="K46" s="195">
        <f t="shared" si="40"/>
        <v>9091.7000000000007</v>
      </c>
      <c r="L46" s="195">
        <f t="shared" si="40"/>
        <v>9130.7000000000007</v>
      </c>
      <c r="M46" s="196">
        <f t="shared" si="40"/>
        <v>9078.2000000000007</v>
      </c>
      <c r="N46" s="195">
        <f t="shared" si="40"/>
        <v>9311.9</v>
      </c>
      <c r="O46" s="195">
        <f t="shared" si="40"/>
        <v>9557.8000000000011</v>
      </c>
      <c r="P46" s="195">
        <f t="shared" ref="P46:R46" si="41">P44+P45</f>
        <v>10060</v>
      </c>
      <c r="Q46" s="196">
        <f t="shared" si="41"/>
        <v>10250.1</v>
      </c>
      <c r="R46" s="195">
        <f t="shared" si="41"/>
        <v>10405.200000000001</v>
      </c>
      <c r="S46" s="195">
        <f t="shared" ref="S46:Y46" si="42">S44+S45</f>
        <v>10761.6</v>
      </c>
      <c r="T46" s="195">
        <f t="shared" si="42"/>
        <v>11033.5</v>
      </c>
      <c r="U46" s="196">
        <f t="shared" si="42"/>
        <v>11377.6</v>
      </c>
      <c r="V46" s="319">
        <f t="shared" si="42"/>
        <v>11648.3</v>
      </c>
      <c r="W46" s="319">
        <f t="shared" si="42"/>
        <v>11725.1</v>
      </c>
      <c r="X46" s="319">
        <f t="shared" si="42"/>
        <v>11959.900000000001</v>
      </c>
      <c r="Y46" s="297">
        <f t="shared" si="42"/>
        <v>12116.800000000001</v>
      </c>
      <c r="Z46" s="319">
        <f t="shared" ref="Z46:AG46" si="43">Z44+Z45</f>
        <v>12905</v>
      </c>
      <c r="AA46" s="319">
        <f t="shared" si="43"/>
        <v>13454</v>
      </c>
      <c r="AB46" s="319">
        <f t="shared" si="43"/>
        <v>13681.3</v>
      </c>
      <c r="AC46" s="297">
        <f t="shared" si="43"/>
        <v>13875.2</v>
      </c>
      <c r="AD46" s="319">
        <f t="shared" si="43"/>
        <v>14172.6</v>
      </c>
      <c r="AE46" s="319">
        <f t="shared" si="43"/>
        <v>0</v>
      </c>
      <c r="AF46" s="319">
        <f t="shared" si="43"/>
        <v>0</v>
      </c>
      <c r="AG46" s="297">
        <f t="shared" si="43"/>
        <v>0</v>
      </c>
    </row>
    <row r="47" spans="1:33" s="160" customFormat="1" ht="20.100000000000001" customHeight="1">
      <c r="A47" s="153" t="s">
        <v>118</v>
      </c>
      <c r="B47" s="204">
        <f>932.068</f>
        <v>932.06799999999998</v>
      </c>
      <c r="C47" s="204">
        <f>(889155)*0.001</f>
        <v>889.15499999999997</v>
      </c>
      <c r="D47" s="204">
        <f>(680371)*0.001</f>
        <v>680.37099999999998</v>
      </c>
      <c r="E47" s="274">
        <f>(592003)*0.001</f>
        <v>592.00300000000004</v>
      </c>
      <c r="F47" s="204">
        <f>(572819)*0.001</f>
        <v>572.81899999999996</v>
      </c>
      <c r="G47" s="204">
        <f>(422858)*0.001</f>
        <v>422.858</v>
      </c>
      <c r="H47" s="204">
        <f>(329798)*0.001</f>
        <v>329.798</v>
      </c>
      <c r="I47" s="275">
        <f>(239889)*0.001</f>
        <v>239.88900000000001</v>
      </c>
      <c r="J47" s="276">
        <f>(236277)*0.001</f>
        <v>236.27700000000002</v>
      </c>
      <c r="K47" s="188">
        <v>8446.1</v>
      </c>
      <c r="L47" s="188">
        <v>7976.3</v>
      </c>
      <c r="M47" s="189">
        <v>7683.5</v>
      </c>
      <c r="N47" s="204">
        <v>7357.9</v>
      </c>
      <c r="O47" s="204">
        <v>7034.6</v>
      </c>
      <c r="P47" s="188">
        <v>5644.9</v>
      </c>
      <c r="Q47" s="205">
        <v>5379.8</v>
      </c>
      <c r="R47" s="204">
        <v>9982.1</v>
      </c>
      <c r="S47" s="204">
        <v>9752</v>
      </c>
      <c r="T47" s="204">
        <v>9530.2999999999993</v>
      </c>
      <c r="U47" s="205">
        <v>9302.7000000000007</v>
      </c>
      <c r="V47" s="326">
        <v>9056</v>
      </c>
      <c r="W47" s="326">
        <v>8808.6</v>
      </c>
      <c r="X47" s="326">
        <v>8561.9</v>
      </c>
      <c r="Y47" s="205">
        <v>9291.4</v>
      </c>
      <c r="Z47" s="326">
        <v>9474.7000000000007</v>
      </c>
      <c r="AA47" s="326">
        <v>9139.4</v>
      </c>
      <c r="AB47" s="313">
        <v>9043.7999999999993</v>
      </c>
      <c r="AC47" s="205">
        <v>8605.2999999999993</v>
      </c>
      <c r="AD47" s="326">
        <v>8339.7999999999993</v>
      </c>
      <c r="AE47" s="326"/>
      <c r="AF47" s="313"/>
      <c r="AG47" s="205"/>
    </row>
    <row r="48" spans="1:33" s="160" customFormat="1" ht="20.100000000000001" customHeight="1">
      <c r="A48" s="153" t="s">
        <v>119</v>
      </c>
      <c r="B48" s="204">
        <f>1360.637</f>
        <v>1360.6369999999999</v>
      </c>
      <c r="C48" s="204">
        <f>(1369593)*0.001</f>
        <v>1369.5930000000001</v>
      </c>
      <c r="D48" s="204">
        <f>(1347224)*0.001</f>
        <v>1347.2239999999999</v>
      </c>
      <c r="E48" s="205">
        <f>(1316479)*0.001</f>
        <v>1316.479</v>
      </c>
      <c r="F48" s="204">
        <f>(1370119)*0.001</f>
        <v>1370.1190000000001</v>
      </c>
      <c r="G48" s="204">
        <f>(1395972)*0.001</f>
        <v>1395.972</v>
      </c>
      <c r="H48" s="204">
        <f>(1385314)*0.001</f>
        <v>1385.3140000000001</v>
      </c>
      <c r="I48" s="205">
        <f>(1340010)*0.001</f>
        <v>1340.01</v>
      </c>
      <c r="J48" s="204">
        <f>(1396071)*0.001</f>
        <v>1396.0710000000001</v>
      </c>
      <c r="K48" s="188">
        <v>4286.8999999999996</v>
      </c>
      <c r="L48" s="188">
        <v>4302.1000000000004</v>
      </c>
      <c r="M48" s="189">
        <v>4550.2</v>
      </c>
      <c r="N48" s="204">
        <v>4470</v>
      </c>
      <c r="O48" s="204">
        <v>4582.5</v>
      </c>
      <c r="P48" s="188">
        <v>964.4</v>
      </c>
      <c r="Q48" s="205">
        <v>975.3</v>
      </c>
      <c r="R48" s="204">
        <v>2252.6</v>
      </c>
      <c r="S48" s="204">
        <v>1795.1</v>
      </c>
      <c r="T48" s="204">
        <v>1805.1</v>
      </c>
      <c r="U48" s="205">
        <v>1835.7</v>
      </c>
      <c r="V48" s="326">
        <v>964.9</v>
      </c>
      <c r="W48" s="326">
        <v>975.3</v>
      </c>
      <c r="X48" s="326">
        <v>965.2</v>
      </c>
      <c r="Y48" s="205">
        <v>975.7</v>
      </c>
      <c r="Z48" s="326">
        <v>965.2</v>
      </c>
      <c r="AA48" s="326">
        <v>975.5</v>
      </c>
      <c r="AB48" s="313">
        <v>965.6</v>
      </c>
      <c r="AC48" s="205">
        <v>976</v>
      </c>
      <c r="AD48" s="326">
        <v>965.5</v>
      </c>
      <c r="AE48" s="326"/>
      <c r="AF48" s="313"/>
      <c r="AG48" s="205"/>
    </row>
    <row r="49" spans="1:33" s="160" customFormat="1" ht="20.100000000000001" customHeight="1">
      <c r="A49" s="153" t="s">
        <v>120</v>
      </c>
      <c r="B49" s="204">
        <f>0.81</f>
        <v>0.81</v>
      </c>
      <c r="C49" s="204">
        <f>(741)*0.001</f>
        <v>0.74099999999999999</v>
      </c>
      <c r="D49" s="204">
        <f>(638)*0.001</f>
        <v>0.63800000000000001</v>
      </c>
      <c r="E49" s="274">
        <f>(551)*0.001</f>
        <v>0.55100000000000005</v>
      </c>
      <c r="F49" s="204">
        <f>(474)*0.001</f>
        <v>0.47400000000000003</v>
      </c>
      <c r="G49" s="204">
        <f>(424)*0.001</f>
        <v>0.42399999999999999</v>
      </c>
      <c r="H49" s="204">
        <f>(306)*0.001</f>
        <v>0.30599999999999999</v>
      </c>
      <c r="I49" s="275">
        <f>(227)*0.001</f>
        <v>0.22700000000000001</v>
      </c>
      <c r="J49" s="276">
        <f>(166)*0.001</f>
        <v>0.16600000000000001</v>
      </c>
      <c r="K49" s="188">
        <v>4.5</v>
      </c>
      <c r="L49" s="188">
        <v>7.9</v>
      </c>
      <c r="M49" s="189">
        <v>11.7</v>
      </c>
      <c r="N49" s="188">
        <v>13.4</v>
      </c>
      <c r="O49" s="188">
        <v>15.7</v>
      </c>
      <c r="P49" s="188">
        <v>21.3</v>
      </c>
      <c r="Q49" s="205">
        <v>20.9</v>
      </c>
      <c r="R49" s="188">
        <v>21.2</v>
      </c>
      <c r="S49" s="188">
        <v>23.3</v>
      </c>
      <c r="T49" s="188">
        <v>22.1</v>
      </c>
      <c r="U49" s="205">
        <v>20.9</v>
      </c>
      <c r="V49" s="313">
        <v>22.6</v>
      </c>
      <c r="W49" s="313">
        <v>21.4</v>
      </c>
      <c r="X49" s="313">
        <v>19.399999999999999</v>
      </c>
      <c r="Y49" s="205">
        <v>18.600000000000001</v>
      </c>
      <c r="Z49" s="313">
        <v>17.3</v>
      </c>
      <c r="AA49" s="313">
        <v>14.6</v>
      </c>
      <c r="AB49" s="313">
        <v>15</v>
      </c>
      <c r="AC49" s="205">
        <v>15.8</v>
      </c>
      <c r="AD49" s="313">
        <v>1070</v>
      </c>
      <c r="AE49" s="313"/>
      <c r="AF49" s="313"/>
      <c r="AG49" s="205"/>
    </row>
    <row r="50" spans="1:33" s="160" customFormat="1" ht="20.100000000000001" customHeight="1">
      <c r="A50" s="153" t="s">
        <v>199</v>
      </c>
      <c r="B50" s="190">
        <f>0*($A$75)</f>
        <v>0</v>
      </c>
      <c r="C50" s="190">
        <f>0</f>
        <v>0</v>
      </c>
      <c r="D50" s="190">
        <f>0</f>
        <v>0</v>
      </c>
      <c r="E50" s="282">
        <v>0</v>
      </c>
      <c r="F50" s="190">
        <v>0</v>
      </c>
      <c r="G50" s="190">
        <f>0</f>
        <v>0</v>
      </c>
      <c r="H50" s="190">
        <v>0</v>
      </c>
      <c r="I50" s="283">
        <v>0</v>
      </c>
      <c r="J50" s="278">
        <v>0</v>
      </c>
      <c r="K50" s="188">
        <v>835.8</v>
      </c>
      <c r="L50" s="188">
        <v>730.2</v>
      </c>
      <c r="M50" s="189">
        <v>750.3</v>
      </c>
      <c r="N50" s="188">
        <v>724.4</v>
      </c>
      <c r="O50" s="188">
        <v>747.9</v>
      </c>
      <c r="P50" s="188">
        <v>645.1</v>
      </c>
      <c r="Q50" s="205">
        <v>652.79999999999995</v>
      </c>
      <c r="R50" s="188">
        <v>658</v>
      </c>
      <c r="S50" s="188">
        <v>686.7</v>
      </c>
      <c r="T50" s="188">
        <v>555.79999999999995</v>
      </c>
      <c r="U50" s="205">
        <v>574</v>
      </c>
      <c r="V50" s="313">
        <v>551</v>
      </c>
      <c r="W50" s="313">
        <v>555.4</v>
      </c>
      <c r="X50" s="313">
        <v>452.4</v>
      </c>
      <c r="Y50" s="205">
        <v>440.8</v>
      </c>
      <c r="Z50" s="313">
        <v>447.6</v>
      </c>
      <c r="AA50" s="313">
        <v>466.9</v>
      </c>
      <c r="AB50" s="313">
        <v>343.6</v>
      </c>
      <c r="AC50" s="205">
        <v>348.2</v>
      </c>
      <c r="AD50" s="313">
        <v>350.5</v>
      </c>
      <c r="AE50" s="313"/>
      <c r="AF50" s="313"/>
      <c r="AG50" s="205"/>
    </row>
    <row r="51" spans="1:33" s="160" customFormat="1" ht="20.100000000000001" customHeight="1">
      <c r="A51" s="153" t="s">
        <v>121</v>
      </c>
      <c r="B51" s="204">
        <f>87.307</f>
        <v>87.307000000000002</v>
      </c>
      <c r="C51" s="204">
        <f>(88480)*0.001</f>
        <v>88.48</v>
      </c>
      <c r="D51" s="204">
        <f>(97271)*0.001</f>
        <v>97.271000000000001</v>
      </c>
      <c r="E51" s="274">
        <f>(94258)*0.001</f>
        <v>94.257999999999996</v>
      </c>
      <c r="F51" s="204">
        <f>(93487)*0.001</f>
        <v>93.487000000000009</v>
      </c>
      <c r="G51" s="204">
        <f>(93150)*0.001</f>
        <v>93.15</v>
      </c>
      <c r="H51" s="204">
        <f>(98799)*0.001</f>
        <v>98.799000000000007</v>
      </c>
      <c r="I51" s="275">
        <f>(108066)*0.001</f>
        <v>108.066</v>
      </c>
      <c r="J51" s="276">
        <f>(95950)*0.001</f>
        <v>95.95</v>
      </c>
      <c r="K51" s="188">
        <v>1010.7</v>
      </c>
      <c r="L51" s="188">
        <v>1038.8</v>
      </c>
      <c r="M51" s="189">
        <v>908.7</v>
      </c>
      <c r="N51" s="188">
        <v>888.6</v>
      </c>
      <c r="O51" s="188">
        <v>821.1</v>
      </c>
      <c r="P51" s="188">
        <v>770.4</v>
      </c>
      <c r="Q51" s="205">
        <v>615.79999999999995</v>
      </c>
      <c r="R51" s="188">
        <v>694.4</v>
      </c>
      <c r="S51" s="188">
        <v>889.1</v>
      </c>
      <c r="T51" s="188">
        <v>923.2</v>
      </c>
      <c r="U51" s="205">
        <v>786.9</v>
      </c>
      <c r="V51" s="313">
        <v>812.3</v>
      </c>
      <c r="W51" s="313">
        <v>775.7</v>
      </c>
      <c r="X51" s="313">
        <v>771.8</v>
      </c>
      <c r="Y51" s="205">
        <v>879.8</v>
      </c>
      <c r="Z51" s="313">
        <v>1034.8</v>
      </c>
      <c r="AA51" s="313">
        <v>1027.8</v>
      </c>
      <c r="AB51" s="313">
        <v>1006.2</v>
      </c>
      <c r="AC51" s="205">
        <v>1160.0999999999999</v>
      </c>
      <c r="AD51" s="313">
        <v>1132</v>
      </c>
      <c r="AE51" s="313"/>
      <c r="AF51" s="313"/>
      <c r="AG51" s="205"/>
    </row>
    <row r="52" spans="1:33" s="160" customFormat="1" ht="20.100000000000001" customHeight="1">
      <c r="A52" s="153" t="s">
        <v>198</v>
      </c>
      <c r="B52" s="199">
        <v>0</v>
      </c>
      <c r="C52" s="204">
        <f>(6285)*0.001</f>
        <v>6.2850000000000001</v>
      </c>
      <c r="D52" s="204">
        <f>(5716)*0.001</f>
        <v>5.7160000000000002</v>
      </c>
      <c r="E52" s="274">
        <f>(5181)*0.001</f>
        <v>5.181</v>
      </c>
      <c r="F52" s="204">
        <f>(4978)*0.001</f>
        <v>4.9779999999999998</v>
      </c>
      <c r="G52" s="204">
        <f>(4754)*0.001</f>
        <v>4.7540000000000004</v>
      </c>
      <c r="H52" s="204">
        <f>(4303)*0.001</f>
        <v>4.3029999999999999</v>
      </c>
      <c r="I52" s="275">
        <f>(4079)*0.001</f>
        <v>4.0789999999999997</v>
      </c>
      <c r="J52" s="276">
        <f>(3008)*0.001</f>
        <v>3.008</v>
      </c>
      <c r="K52" s="188">
        <v>2.8</v>
      </c>
      <c r="L52" s="188">
        <v>3.9</v>
      </c>
      <c r="M52" s="189">
        <v>4.7</v>
      </c>
      <c r="N52" s="188">
        <v>5.5</v>
      </c>
      <c r="O52" s="188">
        <v>5</v>
      </c>
      <c r="P52" s="188">
        <v>4.5</v>
      </c>
      <c r="Q52" s="205">
        <v>4.7</v>
      </c>
      <c r="R52" s="188">
        <v>22.1</v>
      </c>
      <c r="S52" s="188">
        <v>21</v>
      </c>
      <c r="T52" s="188">
        <v>20.100000000000001</v>
      </c>
      <c r="U52" s="205">
        <v>20.100000000000001</v>
      </c>
      <c r="V52" s="313">
        <v>4</v>
      </c>
      <c r="W52" s="313">
        <v>3.8</v>
      </c>
      <c r="X52" s="313">
        <v>3.4</v>
      </c>
      <c r="Y52" s="205">
        <v>3.2</v>
      </c>
      <c r="Z52" s="313">
        <v>0</v>
      </c>
      <c r="AA52" s="313">
        <v>0</v>
      </c>
      <c r="AB52" s="313">
        <v>0</v>
      </c>
      <c r="AC52" s="205">
        <v>0</v>
      </c>
      <c r="AD52" s="313">
        <v>0</v>
      </c>
      <c r="AE52" s="313"/>
      <c r="AF52" s="313"/>
      <c r="AG52" s="205"/>
    </row>
    <row r="53" spans="1:33" s="160" customFormat="1" ht="20.100000000000001" customHeight="1">
      <c r="A53" s="153" t="s">
        <v>122</v>
      </c>
      <c r="B53" s="204">
        <f>13.779</f>
        <v>13.779</v>
      </c>
      <c r="C53" s="204">
        <f>(17835)*0.001</f>
        <v>17.835000000000001</v>
      </c>
      <c r="D53" s="204">
        <f>(19037)*0.001</f>
        <v>19.036999999999999</v>
      </c>
      <c r="E53" s="274">
        <f>(17690)*0.001</f>
        <v>17.690000000000001</v>
      </c>
      <c r="F53" s="204">
        <f>(17684)*0.001</f>
        <v>17.684000000000001</v>
      </c>
      <c r="G53" s="204">
        <f>(10154)*0.001</f>
        <v>10.154</v>
      </c>
      <c r="H53" s="204">
        <f>(8594)*0.001</f>
        <v>8.5939999999999994</v>
      </c>
      <c r="I53" s="275">
        <f>(7915)*0.001</f>
        <v>7.915</v>
      </c>
      <c r="J53" s="276">
        <f>(7828)*0.001</f>
        <v>7.8280000000000003</v>
      </c>
      <c r="K53" s="188">
        <v>158.19999999999999</v>
      </c>
      <c r="L53" s="188">
        <v>164.6</v>
      </c>
      <c r="M53" s="189">
        <v>184.2</v>
      </c>
      <c r="N53" s="188">
        <v>167.4</v>
      </c>
      <c r="O53" s="188">
        <v>132.4</v>
      </c>
      <c r="P53" s="188">
        <v>133.1</v>
      </c>
      <c r="Q53" s="205">
        <v>124.2</v>
      </c>
      <c r="R53" s="188">
        <v>157.30000000000001</v>
      </c>
      <c r="S53" s="188">
        <v>148.9</v>
      </c>
      <c r="T53" s="188">
        <v>148.19999999999999</v>
      </c>
      <c r="U53" s="205">
        <v>130.19999999999999</v>
      </c>
      <c r="V53" s="313">
        <v>128.1</v>
      </c>
      <c r="W53" s="313">
        <v>122</v>
      </c>
      <c r="X53" s="313">
        <v>122.2</v>
      </c>
      <c r="Y53" s="205">
        <v>114.2</v>
      </c>
      <c r="Z53" s="313">
        <v>122.4</v>
      </c>
      <c r="AA53" s="313">
        <v>436.6</v>
      </c>
      <c r="AB53" s="313">
        <v>728.3</v>
      </c>
      <c r="AC53" s="205">
        <v>697.6</v>
      </c>
      <c r="AD53" s="313">
        <v>620.1</v>
      </c>
      <c r="AE53" s="313"/>
      <c r="AF53" s="313"/>
      <c r="AG53" s="205"/>
    </row>
    <row r="54" spans="1:33" s="164" customFormat="1" ht="20.100000000000001" customHeight="1" thickBot="1">
      <c r="A54" s="154" t="s">
        <v>123</v>
      </c>
      <c r="B54" s="190">
        <f>0*($A$75)</f>
        <v>0</v>
      </c>
      <c r="C54" s="190">
        <f>0</f>
        <v>0</v>
      </c>
      <c r="D54" s="190">
        <f>0</f>
        <v>0</v>
      </c>
      <c r="E54" s="282">
        <v>0</v>
      </c>
      <c r="F54" s="190">
        <v>0</v>
      </c>
      <c r="G54" s="190">
        <f>0</f>
        <v>0</v>
      </c>
      <c r="H54" s="190">
        <v>0</v>
      </c>
      <c r="I54" s="192">
        <v>0.1</v>
      </c>
      <c r="J54" s="278">
        <v>0</v>
      </c>
      <c r="K54" s="190">
        <f>0*($A$75)</f>
        <v>0</v>
      </c>
      <c r="L54" s="190">
        <f>0*($A$75)</f>
        <v>0</v>
      </c>
      <c r="M54" s="192">
        <v>40.1</v>
      </c>
      <c r="N54" s="191">
        <v>22.6</v>
      </c>
      <c r="O54" s="191">
        <v>2</v>
      </c>
      <c r="P54" s="191">
        <v>1.9</v>
      </c>
      <c r="Q54" s="205">
        <v>0</v>
      </c>
      <c r="R54" s="191">
        <v>1.1000000000000001</v>
      </c>
      <c r="S54" s="191">
        <v>0.9</v>
      </c>
      <c r="T54" s="191">
        <v>0</v>
      </c>
      <c r="U54" s="205">
        <v>0</v>
      </c>
      <c r="V54" s="316">
        <v>1.5</v>
      </c>
      <c r="W54" s="316">
        <v>1.7</v>
      </c>
      <c r="X54" s="316">
        <v>1.3</v>
      </c>
      <c r="Y54" s="205">
        <v>0</v>
      </c>
      <c r="Z54" s="316">
        <v>2.2000000000000002</v>
      </c>
      <c r="AA54" s="316">
        <v>0.5</v>
      </c>
      <c r="AB54" s="316">
        <v>205</v>
      </c>
      <c r="AC54" s="205">
        <v>165.2</v>
      </c>
      <c r="AD54" s="316">
        <v>167.2</v>
      </c>
      <c r="AE54" s="316"/>
      <c r="AF54" s="316"/>
      <c r="AG54" s="205"/>
    </row>
    <row r="55" spans="1:33" s="165" customFormat="1" ht="24.95" customHeight="1" thickBot="1">
      <c r="A55" s="14" t="s">
        <v>124</v>
      </c>
      <c r="B55" s="195">
        <f t="shared" ref="B55" si="44">SUM(B47:B53)</f>
        <v>2394.6009999999997</v>
      </c>
      <c r="C55" s="195">
        <f t="shared" ref="C55" si="45">SUM(C47:C53)</f>
        <v>2372.0889999999999</v>
      </c>
      <c r="D55" s="195">
        <f t="shared" ref="D55" si="46">SUM(D47:D53)</f>
        <v>2150.2569999999996</v>
      </c>
      <c r="E55" s="196">
        <f t="shared" ref="E55:H55" si="47">SUM(E47:E53)</f>
        <v>2026.162</v>
      </c>
      <c r="F55" s="195">
        <f t="shared" si="47"/>
        <v>2059.5610000000001</v>
      </c>
      <c r="G55" s="195">
        <f t="shared" si="47"/>
        <v>1927.3119999999999</v>
      </c>
      <c r="H55" s="195">
        <f t="shared" si="47"/>
        <v>1827.1140000000003</v>
      </c>
      <c r="I55" s="195">
        <f t="shared" ref="I55:J55" si="48">SUM(I47:I53)</f>
        <v>1700.1859999999999</v>
      </c>
      <c r="J55" s="281">
        <f t="shared" si="48"/>
        <v>1739.3000000000002</v>
      </c>
      <c r="K55" s="195">
        <f t="shared" ref="K55:L55" si="49">SUM(K47:K53)</f>
        <v>14745</v>
      </c>
      <c r="L55" s="195">
        <f t="shared" si="49"/>
        <v>14223.800000000001</v>
      </c>
      <c r="M55" s="196">
        <f t="shared" ref="M55:R55" si="50">SUM(M47:M54)-M54</f>
        <v>14093.300000000003</v>
      </c>
      <c r="N55" s="195">
        <f t="shared" si="50"/>
        <v>13627.199999999999</v>
      </c>
      <c r="O55" s="195">
        <f t="shared" si="50"/>
        <v>13339.2</v>
      </c>
      <c r="P55" s="195">
        <f t="shared" si="50"/>
        <v>8183.7</v>
      </c>
      <c r="Q55" s="196">
        <f t="shared" si="50"/>
        <v>7773.5</v>
      </c>
      <c r="R55" s="195">
        <f t="shared" si="50"/>
        <v>13787.7</v>
      </c>
      <c r="S55" s="195">
        <f t="shared" ref="S55:T55" si="51">SUM(S47:S54)-S54</f>
        <v>13316.1</v>
      </c>
      <c r="T55" s="195">
        <f t="shared" si="51"/>
        <v>13004.800000000001</v>
      </c>
      <c r="U55" s="196">
        <f t="shared" ref="U55" si="52">SUM(U47:U54)-U54</f>
        <v>12670.500000000002</v>
      </c>
      <c r="V55" s="319">
        <f t="shared" ref="V55:Y55" si="53">SUM(V47:V54)-V54</f>
        <v>11538.9</v>
      </c>
      <c r="W55" s="319">
        <f t="shared" si="53"/>
        <v>11262.199999999999</v>
      </c>
      <c r="X55" s="319">
        <f t="shared" si="53"/>
        <v>10896.3</v>
      </c>
      <c r="Y55" s="297">
        <f t="shared" si="53"/>
        <v>11723.7</v>
      </c>
      <c r="Z55" s="319">
        <f t="shared" ref="Z55:AG55" si="54">SUM(Z47:Z54)-Z54</f>
        <v>12062</v>
      </c>
      <c r="AA55" s="319">
        <f t="shared" si="54"/>
        <v>12060.8</v>
      </c>
      <c r="AB55" s="319">
        <f t="shared" si="54"/>
        <v>12102.5</v>
      </c>
      <c r="AC55" s="297">
        <f t="shared" si="54"/>
        <v>11803</v>
      </c>
      <c r="AD55" s="319">
        <f t="shared" si="54"/>
        <v>12477.9</v>
      </c>
      <c r="AE55" s="319">
        <f t="shared" si="54"/>
        <v>0</v>
      </c>
      <c r="AF55" s="319">
        <f t="shared" si="54"/>
        <v>0</v>
      </c>
      <c r="AG55" s="297">
        <f t="shared" si="54"/>
        <v>0</v>
      </c>
    </row>
    <row r="56" spans="1:33" s="160" customFormat="1" ht="20.100000000000001" customHeight="1">
      <c r="A56" s="153" t="s">
        <v>118</v>
      </c>
      <c r="B56" s="204">
        <f>250.363</f>
        <v>250.363</v>
      </c>
      <c r="C56" s="204">
        <f>(265796)*0.001</f>
        <v>265.79599999999999</v>
      </c>
      <c r="D56" s="204">
        <f>(238676)*0.001</f>
        <v>238.67600000000002</v>
      </c>
      <c r="E56" s="274">
        <f>(275608)*0.001</f>
        <v>275.608</v>
      </c>
      <c r="F56" s="204">
        <f>(250329)*0.001</f>
        <v>250.32900000000001</v>
      </c>
      <c r="G56" s="204">
        <f>(263389)*0.001</f>
        <v>263.38900000000001</v>
      </c>
      <c r="H56" s="204">
        <f>(214673)*0.001</f>
        <v>214.673</v>
      </c>
      <c r="I56" s="275">
        <f>(245994)*0.001</f>
        <v>245.994</v>
      </c>
      <c r="J56" s="276">
        <f>(240921)*0.001</f>
        <v>240.92099999999999</v>
      </c>
      <c r="K56" s="188">
        <v>1094.3</v>
      </c>
      <c r="L56" s="188">
        <v>1365.1</v>
      </c>
      <c r="M56" s="189">
        <v>1322.6</v>
      </c>
      <c r="N56" s="204">
        <v>1543.9</v>
      </c>
      <c r="O56" s="204">
        <v>1169.9000000000001</v>
      </c>
      <c r="P56" s="188">
        <v>963.7</v>
      </c>
      <c r="Q56" s="205">
        <v>1230.9000000000001</v>
      </c>
      <c r="R56" s="204">
        <v>1593</v>
      </c>
      <c r="S56" s="204">
        <v>1251.3</v>
      </c>
      <c r="T56" s="204">
        <v>1269.4000000000001</v>
      </c>
      <c r="U56" s="205">
        <v>1270</v>
      </c>
      <c r="V56" s="326">
        <v>1286.8</v>
      </c>
      <c r="W56" s="326">
        <v>1805.9</v>
      </c>
      <c r="X56" s="326">
        <v>1824.8</v>
      </c>
      <c r="Y56" s="205">
        <v>1341.9</v>
      </c>
      <c r="Z56" s="326">
        <v>552.9</v>
      </c>
      <c r="AA56" s="326">
        <v>1074.7</v>
      </c>
      <c r="AB56" s="313">
        <v>1368.9</v>
      </c>
      <c r="AC56" s="205">
        <v>1611.3</v>
      </c>
      <c r="AD56" s="326">
        <v>1298.2</v>
      </c>
      <c r="AE56" s="326"/>
      <c r="AF56" s="313"/>
      <c r="AG56" s="205"/>
    </row>
    <row r="57" spans="1:33" s="160" customFormat="1" ht="20.100000000000001" customHeight="1">
      <c r="A57" s="153" t="s">
        <v>119</v>
      </c>
      <c r="B57" s="204">
        <f>100.836</f>
        <v>100.836</v>
      </c>
      <c r="C57" s="204">
        <f>(101342)*0.001</f>
        <v>101.342</v>
      </c>
      <c r="D57" s="204">
        <f>(99687)*0.001</f>
        <v>99.686999999999998</v>
      </c>
      <c r="E57" s="274">
        <f>(97256)*0.001</f>
        <v>97.256</v>
      </c>
      <c r="F57" s="204">
        <f>(101219)*0.001</f>
        <v>101.21900000000001</v>
      </c>
      <c r="G57" s="204">
        <f>(102957)*0.001</f>
        <v>102.95700000000001</v>
      </c>
      <c r="H57" s="204">
        <f>(102171)*0.001</f>
        <v>102.17100000000001</v>
      </c>
      <c r="I57" s="275">
        <f>(98659)*0.001</f>
        <v>98.659000000000006</v>
      </c>
      <c r="J57" s="276">
        <f>(101071)*0.001</f>
        <v>101.071</v>
      </c>
      <c r="K57" s="188">
        <v>431.9</v>
      </c>
      <c r="L57" s="188">
        <v>439.1</v>
      </c>
      <c r="M57" s="189">
        <v>464.4</v>
      </c>
      <c r="N57" s="188">
        <v>462.5</v>
      </c>
      <c r="O57" s="188">
        <v>479.4</v>
      </c>
      <c r="P57" s="188">
        <v>4607.5</v>
      </c>
      <c r="Q57" s="205">
        <v>4776.7</v>
      </c>
      <c r="R57" s="188">
        <v>41.5</v>
      </c>
      <c r="S57" s="188">
        <v>42.3</v>
      </c>
      <c r="T57" s="188">
        <v>41.9</v>
      </c>
      <c r="U57" s="205">
        <v>42.4</v>
      </c>
      <c r="V57" s="313">
        <v>981.4</v>
      </c>
      <c r="W57" s="313">
        <v>42.5</v>
      </c>
      <c r="X57" s="313">
        <v>42.1</v>
      </c>
      <c r="Y57" s="205">
        <v>42.5</v>
      </c>
      <c r="Z57" s="313">
        <v>41.9</v>
      </c>
      <c r="AA57" s="313">
        <v>42.4</v>
      </c>
      <c r="AB57" s="313">
        <v>41.8</v>
      </c>
      <c r="AC57" s="205">
        <v>42.3</v>
      </c>
      <c r="AD57" s="313">
        <v>41.9</v>
      </c>
      <c r="AE57" s="313"/>
      <c r="AF57" s="313"/>
      <c r="AG57" s="205"/>
    </row>
    <row r="58" spans="1:33" s="160" customFormat="1" ht="20.100000000000001" customHeight="1">
      <c r="A58" s="153" t="s">
        <v>120</v>
      </c>
      <c r="B58" s="204">
        <f>0.237</f>
        <v>0.23699999999999999</v>
      </c>
      <c r="C58" s="204">
        <f>(243)*0.001</f>
        <v>0.24299999999999999</v>
      </c>
      <c r="D58" s="204">
        <f>(234)*0.001</f>
        <v>0.23400000000000001</v>
      </c>
      <c r="E58" s="274">
        <f>(233)*0.001</f>
        <v>0.23300000000000001</v>
      </c>
      <c r="F58" s="204">
        <f>(238)*0.001</f>
        <v>0.23800000000000002</v>
      </c>
      <c r="G58" s="204">
        <f>(247)*0.001</f>
        <v>0.247</v>
      </c>
      <c r="H58" s="204">
        <f>(240)*0.001</f>
        <v>0.24</v>
      </c>
      <c r="I58" s="275">
        <f>(236)*0.001</f>
        <v>0.23600000000000002</v>
      </c>
      <c r="J58" s="276">
        <f>(237)*0.001</f>
        <v>0.23700000000000002</v>
      </c>
      <c r="K58" s="188">
        <v>5.3</v>
      </c>
      <c r="L58" s="188">
        <v>5.8</v>
      </c>
      <c r="M58" s="189">
        <v>6.8</v>
      </c>
      <c r="N58" s="188">
        <v>2.7</v>
      </c>
      <c r="O58" s="188">
        <v>3.7</v>
      </c>
      <c r="P58" s="188">
        <v>4.3</v>
      </c>
      <c r="Q58" s="205">
        <v>4.3</v>
      </c>
      <c r="R58" s="188">
        <v>4.5</v>
      </c>
      <c r="S58" s="188">
        <v>4.9000000000000004</v>
      </c>
      <c r="T58" s="188">
        <v>4.9000000000000004</v>
      </c>
      <c r="U58" s="205">
        <v>5</v>
      </c>
      <c r="V58" s="313">
        <v>5.2</v>
      </c>
      <c r="W58" s="313">
        <v>7.6</v>
      </c>
      <c r="X58" s="313">
        <v>7</v>
      </c>
      <c r="Y58" s="205">
        <v>9.6999999999999993</v>
      </c>
      <c r="Z58" s="313">
        <v>10.4</v>
      </c>
      <c r="AA58" s="313">
        <v>9.6999999999999993</v>
      </c>
      <c r="AB58" s="313">
        <v>10.7</v>
      </c>
      <c r="AC58" s="205">
        <v>8.1999999999999993</v>
      </c>
      <c r="AD58" s="313">
        <v>411.5</v>
      </c>
      <c r="AE58" s="313"/>
      <c r="AF58" s="313"/>
      <c r="AG58" s="205"/>
    </row>
    <row r="59" spans="1:33" s="160" customFormat="1" ht="20.100000000000001" customHeight="1">
      <c r="A59" s="153" t="s">
        <v>199</v>
      </c>
      <c r="B59" s="188">
        <v>0</v>
      </c>
      <c r="C59" s="188">
        <v>0</v>
      </c>
      <c r="D59" s="188">
        <v>0</v>
      </c>
      <c r="E59" s="189">
        <v>0</v>
      </c>
      <c r="F59" s="188">
        <v>0</v>
      </c>
      <c r="G59" s="188">
        <v>0</v>
      </c>
      <c r="H59" s="188">
        <v>0</v>
      </c>
      <c r="I59" s="277">
        <v>0</v>
      </c>
      <c r="J59" s="292">
        <v>0</v>
      </c>
      <c r="K59" s="188">
        <v>115.8</v>
      </c>
      <c r="L59" s="188">
        <v>113.9</v>
      </c>
      <c r="M59" s="189">
        <v>117.1</v>
      </c>
      <c r="N59" s="188">
        <v>113</v>
      </c>
      <c r="O59" s="188">
        <v>116.7</v>
      </c>
      <c r="P59" s="188">
        <v>115.6</v>
      </c>
      <c r="Q59" s="205">
        <v>117</v>
      </c>
      <c r="R59" s="188">
        <v>118</v>
      </c>
      <c r="S59" s="188">
        <v>123.1</v>
      </c>
      <c r="T59" s="188">
        <v>117.7</v>
      </c>
      <c r="U59" s="205">
        <v>121.5</v>
      </c>
      <c r="V59" s="313">
        <v>116.6</v>
      </c>
      <c r="W59" s="313">
        <v>117.6</v>
      </c>
      <c r="X59" s="313">
        <v>117.6</v>
      </c>
      <c r="Y59" s="205">
        <v>114.5</v>
      </c>
      <c r="Z59" s="313">
        <v>116.3</v>
      </c>
      <c r="AA59" s="313">
        <v>121.3</v>
      </c>
      <c r="AB59" s="313">
        <v>116.6</v>
      </c>
      <c r="AC59" s="205">
        <v>118.1</v>
      </c>
      <c r="AD59" s="313">
        <v>118.9</v>
      </c>
      <c r="AE59" s="313"/>
      <c r="AF59" s="313"/>
      <c r="AG59" s="205"/>
    </row>
    <row r="60" spans="1:33" s="160" customFormat="1" ht="20.100000000000001" customHeight="1">
      <c r="A60" s="153" t="s">
        <v>240</v>
      </c>
      <c r="B60" s="188"/>
      <c r="C60" s="188"/>
      <c r="D60" s="188"/>
      <c r="E60" s="189"/>
      <c r="F60" s="188"/>
      <c r="G60" s="188"/>
      <c r="H60" s="188"/>
      <c r="I60" s="277"/>
      <c r="J60" s="292"/>
      <c r="K60" s="188"/>
      <c r="L60" s="188"/>
      <c r="M60" s="189"/>
      <c r="N60" s="188"/>
      <c r="O60" s="188"/>
      <c r="P60" s="188"/>
      <c r="Q60" s="205"/>
      <c r="R60" s="188"/>
      <c r="S60" s="188"/>
      <c r="T60" s="188"/>
      <c r="U60" s="205"/>
      <c r="V60" s="313"/>
      <c r="W60" s="313"/>
      <c r="X60" s="313"/>
      <c r="Y60" s="205"/>
      <c r="Z60" s="326">
        <v>359</v>
      </c>
      <c r="AA60" s="313">
        <v>649.1</v>
      </c>
      <c r="AB60" s="313">
        <v>643.5</v>
      </c>
      <c r="AC60" s="205">
        <v>705.2</v>
      </c>
      <c r="AD60" s="326">
        <v>722.6</v>
      </c>
      <c r="AE60" s="313"/>
      <c r="AF60" s="313"/>
      <c r="AG60" s="205"/>
    </row>
    <row r="61" spans="1:33" s="160" customFormat="1" ht="20.100000000000001" customHeight="1">
      <c r="A61" s="153" t="s">
        <v>125</v>
      </c>
      <c r="B61" s="204">
        <f>435.427</f>
        <v>435.42700000000002</v>
      </c>
      <c r="C61" s="204">
        <f>(436188)*0.001</f>
        <v>436.18799999999999</v>
      </c>
      <c r="D61" s="204">
        <f>(441676)*0.001</f>
        <v>441.67599999999999</v>
      </c>
      <c r="E61" s="274">
        <f>(472094)*0.001</f>
        <v>472.09399999999999</v>
      </c>
      <c r="F61" s="204">
        <f>(432897)*0.001</f>
        <v>432.89699999999999</v>
      </c>
      <c r="G61" s="204">
        <f>(428004)*0.001</f>
        <v>428.00400000000002</v>
      </c>
      <c r="H61" s="204">
        <f>(390829)*0.001</f>
        <v>390.82900000000001</v>
      </c>
      <c r="I61" s="275">
        <f>(413210)*0.001</f>
        <v>413.21000000000004</v>
      </c>
      <c r="J61" s="276">
        <f>(418100)*0.001</f>
        <v>418.1</v>
      </c>
      <c r="K61" s="188">
        <v>1618.8</v>
      </c>
      <c r="L61" s="188">
        <v>1505.3</v>
      </c>
      <c r="M61" s="189">
        <v>1523</v>
      </c>
      <c r="N61" s="204">
        <v>1333.5</v>
      </c>
      <c r="O61" s="204">
        <v>1670.4</v>
      </c>
      <c r="P61" s="188">
        <v>1431.5</v>
      </c>
      <c r="Q61" s="205">
        <v>1485.4</v>
      </c>
      <c r="R61" s="204">
        <v>1711.4</v>
      </c>
      <c r="S61" s="204">
        <v>1365.9</v>
      </c>
      <c r="T61" s="204">
        <v>1338.1</v>
      </c>
      <c r="U61" s="205">
        <v>1569.5</v>
      </c>
      <c r="V61" s="326">
        <v>1337.9</v>
      </c>
      <c r="W61" s="326">
        <v>1694.4</v>
      </c>
      <c r="X61" s="326">
        <v>1397.9</v>
      </c>
      <c r="Y61" s="205">
        <v>1727.3</v>
      </c>
      <c r="Z61" s="313">
        <v>1430.8</v>
      </c>
      <c r="AA61" s="326">
        <v>2254.9</v>
      </c>
      <c r="AB61" s="313">
        <v>2302.6999999999998</v>
      </c>
      <c r="AC61" s="205">
        <v>2382.4</v>
      </c>
      <c r="AD61" s="313">
        <v>2029.1</v>
      </c>
      <c r="AE61" s="326"/>
      <c r="AF61" s="313"/>
      <c r="AG61" s="205"/>
    </row>
    <row r="62" spans="1:33" s="160" customFormat="1" ht="20.100000000000001" customHeight="1">
      <c r="A62" s="154" t="s">
        <v>123</v>
      </c>
      <c r="B62" s="188">
        <v>0</v>
      </c>
      <c r="C62" s="188">
        <v>0</v>
      </c>
      <c r="D62" s="188">
        <v>0</v>
      </c>
      <c r="E62" s="189">
        <v>0</v>
      </c>
      <c r="F62" s="188">
        <v>0</v>
      </c>
      <c r="G62" s="188">
        <v>0</v>
      </c>
      <c r="H62" s="188">
        <v>0</v>
      </c>
      <c r="I62" s="192">
        <v>12</v>
      </c>
      <c r="J62" s="292">
        <v>0</v>
      </c>
      <c r="K62" s="188">
        <v>0</v>
      </c>
      <c r="L62" s="188">
        <v>0</v>
      </c>
      <c r="M62" s="192">
        <v>87</v>
      </c>
      <c r="N62" s="191">
        <v>99.7</v>
      </c>
      <c r="O62" s="191">
        <v>79</v>
      </c>
      <c r="P62" s="191">
        <v>57.1</v>
      </c>
      <c r="Q62" s="311">
        <v>72.900000000000006</v>
      </c>
      <c r="R62" s="191">
        <v>25.8</v>
      </c>
      <c r="S62" s="191">
        <v>3.5</v>
      </c>
      <c r="T62" s="191">
        <v>1.8</v>
      </c>
      <c r="U62" s="205">
        <v>0</v>
      </c>
      <c r="V62" s="316">
        <v>1.5</v>
      </c>
      <c r="W62" s="316">
        <v>0.6</v>
      </c>
      <c r="X62" s="316">
        <v>0.5</v>
      </c>
      <c r="Y62" s="311">
        <v>3.6</v>
      </c>
      <c r="Z62" s="316">
        <v>2.8</v>
      </c>
      <c r="AA62" s="316">
        <v>4.2</v>
      </c>
      <c r="AB62" s="316">
        <v>5.5</v>
      </c>
      <c r="AC62" s="311">
        <v>8.8000000000000007</v>
      </c>
      <c r="AD62" s="316">
        <v>9.1</v>
      </c>
      <c r="AE62" s="316"/>
      <c r="AF62" s="316"/>
      <c r="AG62" s="311"/>
    </row>
    <row r="63" spans="1:33" s="160" customFormat="1" ht="20.100000000000001" customHeight="1">
      <c r="A63" s="153" t="s">
        <v>126</v>
      </c>
      <c r="B63" s="204">
        <f>29.589</f>
        <v>29.588999999999999</v>
      </c>
      <c r="C63" s="204">
        <f>(7799)*0.001</f>
        <v>7.7990000000000004</v>
      </c>
      <c r="D63" s="204">
        <f>(6782)*0.001</f>
        <v>6.782</v>
      </c>
      <c r="E63" s="274">
        <f>(7092)*0.001</f>
        <v>7.0920000000000005</v>
      </c>
      <c r="F63" s="204">
        <f>(1990)*0.001</f>
        <v>1.99</v>
      </c>
      <c r="G63" s="204">
        <f>(6510)*0.001</f>
        <v>6.51</v>
      </c>
      <c r="H63" s="204">
        <f>(14152)*0.001</f>
        <v>14.152000000000001</v>
      </c>
      <c r="I63" s="275">
        <f>(4520)*0.001</f>
        <v>4.5200000000000005</v>
      </c>
      <c r="J63" s="276">
        <f>(12203)*0.001</f>
        <v>12.202999999999999</v>
      </c>
      <c r="K63" s="188">
        <v>43.7</v>
      </c>
      <c r="L63" s="188">
        <v>22.1</v>
      </c>
      <c r="M63" s="189">
        <v>48.028993427171699</v>
      </c>
      <c r="N63" s="188">
        <v>22.5</v>
      </c>
      <c r="O63" s="188">
        <v>132.69999999999999</v>
      </c>
      <c r="P63" s="188">
        <v>96.3</v>
      </c>
      <c r="Q63" s="205">
        <v>176.1</v>
      </c>
      <c r="R63" s="188">
        <v>29.2</v>
      </c>
      <c r="S63" s="188">
        <v>39.1</v>
      </c>
      <c r="T63" s="188">
        <v>21.967722325707697</v>
      </c>
      <c r="U63" s="205">
        <v>24.9</v>
      </c>
      <c r="V63" s="313">
        <v>4.3</v>
      </c>
      <c r="W63" s="313">
        <v>24.9</v>
      </c>
      <c r="X63" s="313">
        <v>17.5</v>
      </c>
      <c r="Y63" s="205">
        <v>61.3</v>
      </c>
      <c r="Z63" s="313">
        <v>60.1</v>
      </c>
      <c r="AA63" s="313">
        <v>44.9</v>
      </c>
      <c r="AB63" s="313">
        <v>62.3</v>
      </c>
      <c r="AC63" s="205">
        <v>151.1</v>
      </c>
      <c r="AD63" s="313">
        <v>191.1</v>
      </c>
      <c r="AE63" s="313"/>
      <c r="AF63" s="313"/>
      <c r="AG63" s="205"/>
    </row>
    <row r="64" spans="1:33" s="160" customFormat="1" ht="20.100000000000001" customHeight="1">
      <c r="A64" s="153" t="s">
        <v>127</v>
      </c>
      <c r="B64" s="204">
        <f>12.532</f>
        <v>12.532</v>
      </c>
      <c r="C64" s="204">
        <f>(12125)*0.001</f>
        <v>12.125</v>
      </c>
      <c r="D64" s="204">
        <f>(12084)*0.001</f>
        <v>12.084</v>
      </c>
      <c r="E64" s="274">
        <f>(13259)*0.001</f>
        <v>13.259</v>
      </c>
      <c r="F64" s="204">
        <f>(13182)*0.001</f>
        <v>13.182</v>
      </c>
      <c r="G64" s="204">
        <f>(12551)*0.001</f>
        <v>12.551</v>
      </c>
      <c r="H64" s="204">
        <f>(12536)*0.001</f>
        <v>12.536</v>
      </c>
      <c r="I64" s="275">
        <f>(2727)*0.001</f>
        <v>2.7269999999999999</v>
      </c>
      <c r="J64" s="276">
        <f>(2843)*0.001</f>
        <v>2.843</v>
      </c>
      <c r="K64" s="188">
        <v>2.6</v>
      </c>
      <c r="L64" s="188">
        <v>2.7</v>
      </c>
      <c r="M64" s="189">
        <v>1.4</v>
      </c>
      <c r="N64" s="188">
        <v>1.4</v>
      </c>
      <c r="O64" s="207" t="s">
        <v>1</v>
      </c>
      <c r="P64" s="207" t="s">
        <v>1</v>
      </c>
      <c r="Q64" s="208" t="s">
        <v>1</v>
      </c>
      <c r="R64" s="207" t="s">
        <v>1</v>
      </c>
      <c r="S64" s="207" t="s">
        <v>1</v>
      </c>
      <c r="T64" s="207" t="s">
        <v>1</v>
      </c>
      <c r="U64" s="208" t="s">
        <v>1</v>
      </c>
      <c r="V64" s="328" t="s">
        <v>1</v>
      </c>
      <c r="W64" s="328" t="s">
        <v>1</v>
      </c>
      <c r="X64" s="328" t="s">
        <v>1</v>
      </c>
      <c r="Y64" s="208" t="s">
        <v>1</v>
      </c>
      <c r="Z64" s="328" t="s">
        <v>1</v>
      </c>
      <c r="AA64" s="328" t="s">
        <v>1</v>
      </c>
      <c r="AB64" s="328" t="s">
        <v>1</v>
      </c>
      <c r="AC64" s="208" t="s">
        <v>1</v>
      </c>
      <c r="AD64" s="328" t="s">
        <v>1</v>
      </c>
      <c r="AE64" s="328"/>
      <c r="AF64" s="328"/>
      <c r="AG64" s="208"/>
    </row>
    <row r="65" spans="1:33" s="160" customFormat="1" ht="20.100000000000001" customHeight="1" thickBot="1">
      <c r="A65" s="153" t="s">
        <v>198</v>
      </c>
      <c r="B65" s="204">
        <f>188.402</f>
        <v>188.40199999999999</v>
      </c>
      <c r="C65" s="204">
        <f>(209950)*0.001</f>
        <v>209.95000000000002</v>
      </c>
      <c r="D65" s="204">
        <f>(210563)*0.001</f>
        <v>210.56300000000002</v>
      </c>
      <c r="E65" s="274">
        <f>(201238)*0.001</f>
        <v>201.238</v>
      </c>
      <c r="F65" s="204">
        <f>(207890)*0.001</f>
        <v>207.89000000000001</v>
      </c>
      <c r="G65" s="204">
        <f>(204442)*0.001</f>
        <v>204.44200000000001</v>
      </c>
      <c r="H65" s="204">
        <f>(210688)*0.001</f>
        <v>210.68800000000002</v>
      </c>
      <c r="I65" s="275">
        <f>(209485)*0.001</f>
        <v>209.48500000000001</v>
      </c>
      <c r="J65" s="276">
        <f>(228170)*0.001</f>
        <v>228.17000000000002</v>
      </c>
      <c r="K65" s="188">
        <v>678</v>
      </c>
      <c r="L65" s="188">
        <v>672.7</v>
      </c>
      <c r="M65" s="189">
        <v>683.9</v>
      </c>
      <c r="N65" s="188">
        <v>670.3</v>
      </c>
      <c r="O65" s="188">
        <v>672</v>
      </c>
      <c r="P65" s="188">
        <v>680.9</v>
      </c>
      <c r="Q65" s="205">
        <v>676.1</v>
      </c>
      <c r="R65" s="188">
        <v>665</v>
      </c>
      <c r="S65" s="188">
        <v>676.8</v>
      </c>
      <c r="T65" s="188">
        <v>660.84343092999995</v>
      </c>
      <c r="U65" s="205">
        <v>647.9</v>
      </c>
      <c r="V65" s="313">
        <v>633.79999999999995</v>
      </c>
      <c r="W65" s="313">
        <v>637.29999999999995</v>
      </c>
      <c r="X65" s="313">
        <v>629.5</v>
      </c>
      <c r="Y65" s="205">
        <v>618.29999999999995</v>
      </c>
      <c r="Z65" s="313">
        <v>356</v>
      </c>
      <c r="AA65" s="313">
        <v>39.799999999999997</v>
      </c>
      <c r="AB65" s="313">
        <v>65</v>
      </c>
      <c r="AC65" s="205">
        <v>0</v>
      </c>
      <c r="AD65" s="313">
        <v>0</v>
      </c>
      <c r="AE65" s="313"/>
      <c r="AF65" s="313"/>
      <c r="AG65" s="205"/>
    </row>
    <row r="66" spans="1:33" s="165" customFormat="1" ht="24.95" customHeight="1" thickBot="1">
      <c r="A66" s="14" t="s">
        <v>128</v>
      </c>
      <c r="B66" s="195">
        <f t="shared" ref="B66:H66" si="55">SUM(B56:B65)</f>
        <v>1017.386</v>
      </c>
      <c r="C66" s="195">
        <f t="shared" si="55"/>
        <v>1033.443</v>
      </c>
      <c r="D66" s="195">
        <f t="shared" si="55"/>
        <v>1009.7019999999999</v>
      </c>
      <c r="E66" s="196">
        <f t="shared" si="55"/>
        <v>1066.78</v>
      </c>
      <c r="F66" s="195">
        <f t="shared" si="55"/>
        <v>1007.745</v>
      </c>
      <c r="G66" s="195">
        <f t="shared" si="55"/>
        <v>1018.1</v>
      </c>
      <c r="H66" s="195">
        <f t="shared" si="55"/>
        <v>945.28899999999999</v>
      </c>
      <c r="I66" s="195">
        <f>SUM(I56:I65)-I62</f>
        <v>974.83100000000002</v>
      </c>
      <c r="J66" s="281">
        <f>SUM(J56:J65)</f>
        <v>1003.5449999999998</v>
      </c>
      <c r="K66" s="195">
        <f>SUM(K56:K65)</f>
        <v>3990.3999999999992</v>
      </c>
      <c r="L66" s="195">
        <f>SUM(L56:L65)</f>
        <v>4126.7</v>
      </c>
      <c r="M66" s="196">
        <f t="shared" ref="M66:R66" si="56">SUM(M56:M65)-M62</f>
        <v>4167.2289934271712</v>
      </c>
      <c r="N66" s="195">
        <f t="shared" si="56"/>
        <v>4149.8</v>
      </c>
      <c r="O66" s="195">
        <f t="shared" si="56"/>
        <v>4244.8</v>
      </c>
      <c r="P66" s="195">
        <f t="shared" si="56"/>
        <v>7899.8</v>
      </c>
      <c r="Q66" s="196">
        <f t="shared" si="56"/>
        <v>8466.5000000000018</v>
      </c>
      <c r="R66" s="195">
        <f t="shared" si="56"/>
        <v>4162.5999999999995</v>
      </c>
      <c r="S66" s="195">
        <f>SUM(S56:S65)-S62</f>
        <v>3503.3999999999996</v>
      </c>
      <c r="T66" s="195">
        <f>SUM(T56:T65)-T62</f>
        <v>3454.8111532557077</v>
      </c>
      <c r="U66" s="196">
        <f t="shared" ref="U66" si="57">SUM(U56:U65)-U62</f>
        <v>3681.2000000000003</v>
      </c>
      <c r="V66" s="319">
        <f t="shared" ref="V66:W66" si="58">SUM(V56:V65)-V62</f>
        <v>4366</v>
      </c>
      <c r="W66" s="319">
        <f t="shared" si="58"/>
        <v>4330.2</v>
      </c>
      <c r="X66" s="319">
        <f t="shared" ref="X66" si="59">SUM(X56:X65)-X62</f>
        <v>4036.3999999999996</v>
      </c>
      <c r="Y66" s="297">
        <f t="shared" ref="Y66" si="60">SUM(Y56:Y65)-Y62</f>
        <v>3915.5000000000005</v>
      </c>
      <c r="Z66" s="319">
        <f t="shared" ref="Z66:AB66" si="61">SUM(Z56:Z65)-Z62</f>
        <v>2927.4</v>
      </c>
      <c r="AA66" s="319">
        <f t="shared" si="61"/>
        <v>4236.8</v>
      </c>
      <c r="AB66" s="319">
        <f t="shared" si="61"/>
        <v>4611.5</v>
      </c>
      <c r="AC66" s="297">
        <f t="shared" ref="AC66:AF66" si="62">SUM(AC56:AC65)-AC62</f>
        <v>5018.6000000000004</v>
      </c>
      <c r="AD66" s="319">
        <f t="shared" si="62"/>
        <v>4813.3000000000011</v>
      </c>
      <c r="AE66" s="319">
        <f t="shared" si="62"/>
        <v>0</v>
      </c>
      <c r="AF66" s="319">
        <f t="shared" si="62"/>
        <v>0</v>
      </c>
      <c r="AG66" s="297">
        <f t="shared" ref="AG66" si="63">SUM(AG56:AG65)-AG62</f>
        <v>0</v>
      </c>
    </row>
    <row r="67" spans="1:33" s="165" customFormat="1" ht="24.95" customHeight="1" thickBot="1">
      <c r="A67" s="14" t="s">
        <v>129</v>
      </c>
      <c r="B67" s="195">
        <f>B55+B66</f>
        <v>3411.9869999999996</v>
      </c>
      <c r="C67" s="195">
        <f>C55+C66</f>
        <v>3405.5320000000002</v>
      </c>
      <c r="D67" s="195">
        <f>D55+D66</f>
        <v>3159.9589999999994</v>
      </c>
      <c r="E67" s="196">
        <f t="shared" ref="E67:T67" si="64">E66+E55</f>
        <v>3092.942</v>
      </c>
      <c r="F67" s="195">
        <f t="shared" si="64"/>
        <v>3067.306</v>
      </c>
      <c r="G67" s="195">
        <f t="shared" si="64"/>
        <v>2945.4119999999998</v>
      </c>
      <c r="H67" s="195">
        <f t="shared" si="64"/>
        <v>2772.4030000000002</v>
      </c>
      <c r="I67" s="195">
        <f t="shared" si="64"/>
        <v>2675.0169999999998</v>
      </c>
      <c r="J67" s="281">
        <f t="shared" si="64"/>
        <v>2742.8450000000003</v>
      </c>
      <c r="K67" s="195">
        <f t="shared" si="64"/>
        <v>18735.399999999998</v>
      </c>
      <c r="L67" s="195">
        <f t="shared" si="64"/>
        <v>18350.5</v>
      </c>
      <c r="M67" s="196">
        <f t="shared" si="64"/>
        <v>18260.528993427175</v>
      </c>
      <c r="N67" s="195">
        <f t="shared" si="64"/>
        <v>17777</v>
      </c>
      <c r="O67" s="195">
        <f t="shared" si="64"/>
        <v>17584</v>
      </c>
      <c r="P67" s="195">
        <f t="shared" si="64"/>
        <v>16083.5</v>
      </c>
      <c r="Q67" s="196">
        <f t="shared" si="64"/>
        <v>16240.000000000002</v>
      </c>
      <c r="R67" s="195">
        <f t="shared" si="64"/>
        <v>17950.3</v>
      </c>
      <c r="S67" s="195">
        <f t="shared" si="64"/>
        <v>16819.5</v>
      </c>
      <c r="T67" s="195">
        <f t="shared" si="64"/>
        <v>16459.611153255708</v>
      </c>
      <c r="U67" s="196">
        <f t="shared" ref="U67:V67" si="65">U66+U55</f>
        <v>16351.700000000003</v>
      </c>
      <c r="V67" s="319">
        <f t="shared" si="65"/>
        <v>15904.9</v>
      </c>
      <c r="W67" s="319">
        <f t="shared" ref="W67:X67" si="66">W66+W55</f>
        <v>15592.399999999998</v>
      </c>
      <c r="X67" s="319">
        <f t="shared" si="66"/>
        <v>14932.699999999999</v>
      </c>
      <c r="Y67" s="297">
        <f t="shared" ref="Y67:AB67" si="67">Y66+Y55</f>
        <v>15639.2</v>
      </c>
      <c r="Z67" s="319">
        <f t="shared" si="67"/>
        <v>14989.4</v>
      </c>
      <c r="AA67" s="319">
        <f t="shared" si="67"/>
        <v>16297.599999999999</v>
      </c>
      <c r="AB67" s="319">
        <f t="shared" si="67"/>
        <v>16714</v>
      </c>
      <c r="AC67" s="297">
        <f t="shared" ref="AC67:AF67" si="68">AC66+AC55</f>
        <v>16821.599999999999</v>
      </c>
      <c r="AD67" s="319">
        <f t="shared" si="68"/>
        <v>17291.2</v>
      </c>
      <c r="AE67" s="319">
        <f t="shared" si="68"/>
        <v>0</v>
      </c>
      <c r="AF67" s="319">
        <f t="shared" si="68"/>
        <v>0</v>
      </c>
      <c r="AG67" s="297">
        <f t="shared" ref="AG67" si="69">AG66+AG55</f>
        <v>0</v>
      </c>
    </row>
    <row r="68" spans="1:33" s="165" customFormat="1" ht="24.95" customHeight="1" thickBot="1">
      <c r="A68" s="166" t="s">
        <v>108</v>
      </c>
      <c r="B68" s="200">
        <f t="shared" ref="B68:T68" si="70">B67+B46</f>
        <v>5502.753999999999</v>
      </c>
      <c r="C68" s="200">
        <f t="shared" si="70"/>
        <v>5597.8010000000004</v>
      </c>
      <c r="D68" s="200">
        <f t="shared" si="70"/>
        <v>5514.8739999999998</v>
      </c>
      <c r="E68" s="201">
        <f t="shared" si="70"/>
        <v>5561.3450000000003</v>
      </c>
      <c r="F68" s="200">
        <f t="shared" si="70"/>
        <v>5629.4740000000002</v>
      </c>
      <c r="G68" s="200">
        <f t="shared" si="70"/>
        <v>5592.7070000000003</v>
      </c>
      <c r="H68" s="200">
        <f t="shared" si="70"/>
        <v>5597.9809999999998</v>
      </c>
      <c r="I68" s="284">
        <f t="shared" si="70"/>
        <v>5676.23</v>
      </c>
      <c r="J68" s="285">
        <f t="shared" si="70"/>
        <v>5851.1939999999995</v>
      </c>
      <c r="K68" s="200">
        <f t="shared" si="70"/>
        <v>27827.1</v>
      </c>
      <c r="L68" s="200">
        <f t="shared" si="70"/>
        <v>27481.200000000001</v>
      </c>
      <c r="M68" s="201">
        <f t="shared" si="70"/>
        <v>27338.728993427176</v>
      </c>
      <c r="N68" s="200">
        <f t="shared" si="70"/>
        <v>27088.9</v>
      </c>
      <c r="O68" s="200">
        <f t="shared" si="70"/>
        <v>27141.800000000003</v>
      </c>
      <c r="P68" s="200">
        <f t="shared" si="70"/>
        <v>26143.5</v>
      </c>
      <c r="Q68" s="202">
        <f t="shared" si="70"/>
        <v>26490.100000000002</v>
      </c>
      <c r="R68" s="200">
        <f t="shared" si="70"/>
        <v>28355.5</v>
      </c>
      <c r="S68" s="200">
        <f t="shared" si="70"/>
        <v>27581.1</v>
      </c>
      <c r="T68" s="200">
        <f t="shared" si="70"/>
        <v>27493.111153255708</v>
      </c>
      <c r="U68" s="202">
        <f t="shared" ref="U68:V68" si="71">U67+U46</f>
        <v>27729.300000000003</v>
      </c>
      <c r="V68" s="322">
        <f t="shared" si="71"/>
        <v>27553.199999999997</v>
      </c>
      <c r="W68" s="322">
        <f t="shared" ref="W68:X68" si="72">W67+W46</f>
        <v>27317.5</v>
      </c>
      <c r="X68" s="322">
        <f t="shared" si="72"/>
        <v>26892.6</v>
      </c>
      <c r="Y68" s="202">
        <f t="shared" ref="Y68:AB68" si="73">Y67+Y46</f>
        <v>27756</v>
      </c>
      <c r="Z68" s="322">
        <f>Z67+Z46</f>
        <v>27894.400000000001</v>
      </c>
      <c r="AA68" s="322">
        <f t="shared" si="73"/>
        <v>29751.599999999999</v>
      </c>
      <c r="AB68" s="322">
        <f t="shared" si="73"/>
        <v>30395.3</v>
      </c>
      <c r="AC68" s="202">
        <f t="shared" ref="AC68" si="74">AC67+AC46</f>
        <v>30696.799999999999</v>
      </c>
      <c r="AD68" s="322">
        <f>AD67+AD46</f>
        <v>31463.800000000003</v>
      </c>
      <c r="AE68" s="322">
        <f t="shared" ref="AE68:AG68" si="75">AE67+AE46</f>
        <v>0</v>
      </c>
      <c r="AF68" s="322">
        <f t="shared" si="75"/>
        <v>0</v>
      </c>
      <c r="AG68" s="202">
        <f t="shared" si="75"/>
        <v>0</v>
      </c>
    </row>
    <row r="69" spans="1:33" s="160" customFormat="1">
      <c r="A69" s="168"/>
      <c r="K69" s="169"/>
      <c r="L69" s="169"/>
      <c r="P69" s="169"/>
      <c r="V69" s="13"/>
      <c r="W69" s="13"/>
      <c r="X69" s="13"/>
      <c r="Y69" s="13"/>
      <c r="Z69" s="13"/>
      <c r="AA69" s="13"/>
      <c r="AB69" s="13"/>
      <c r="AC69" s="13"/>
    </row>
    <row r="70" spans="1:33" s="160" customFormat="1">
      <c r="A70" s="168"/>
      <c r="K70" s="169"/>
      <c r="L70" s="169"/>
      <c r="P70" s="169"/>
      <c r="V70" s="13"/>
      <c r="W70" s="13"/>
      <c r="X70" s="13"/>
      <c r="Y70" s="13"/>
      <c r="Z70" s="13"/>
      <c r="AA70" s="13"/>
      <c r="AB70" s="13"/>
      <c r="AC70" s="13"/>
    </row>
    <row r="71" spans="1:33" s="160" customFormat="1" ht="20.100000000000001" customHeight="1">
      <c r="A71" s="652" t="s">
        <v>201</v>
      </c>
      <c r="B71" s="652"/>
      <c r="C71" s="652"/>
      <c r="D71" s="652"/>
      <c r="E71" s="652"/>
      <c r="F71" s="652"/>
      <c r="G71" s="652"/>
      <c r="H71" s="652"/>
      <c r="I71" s="652"/>
      <c r="J71" s="652"/>
      <c r="K71" s="652"/>
      <c r="L71" s="652"/>
      <c r="M71" s="652"/>
      <c r="N71" s="652"/>
      <c r="O71" s="652"/>
      <c r="P71" s="652"/>
      <c r="Q71" s="652"/>
      <c r="V71" s="13"/>
      <c r="W71" s="13"/>
      <c r="X71" s="13"/>
      <c r="Y71" s="13"/>
      <c r="Z71" s="13"/>
      <c r="AA71" s="13"/>
      <c r="AB71" s="13"/>
      <c r="AC71" s="13"/>
    </row>
    <row r="72" spans="1:33" s="160" customFormat="1" ht="20.100000000000001" customHeight="1">
      <c r="A72" s="652" t="s">
        <v>202</v>
      </c>
      <c r="B72" s="652"/>
      <c r="C72" s="652"/>
      <c r="D72" s="652"/>
      <c r="E72" s="652"/>
      <c r="F72" s="652"/>
      <c r="G72" s="652"/>
      <c r="H72" s="652"/>
      <c r="I72" s="652"/>
      <c r="J72" s="652"/>
      <c r="K72" s="652"/>
      <c r="L72" s="652"/>
      <c r="M72" s="652"/>
      <c r="N72" s="652"/>
      <c r="O72" s="652"/>
      <c r="P72" s="652"/>
      <c r="Q72" s="652"/>
      <c r="V72" s="13"/>
      <c r="W72" s="13"/>
      <c r="X72" s="13"/>
      <c r="Y72" s="13"/>
      <c r="Z72" s="13"/>
      <c r="AA72" s="13"/>
      <c r="AB72" s="13"/>
      <c r="AC72" s="13"/>
    </row>
    <row r="73" spans="1:33" s="160" customFormat="1">
      <c r="A73" s="170"/>
      <c r="K73" s="169"/>
      <c r="L73" s="169"/>
      <c r="P73" s="169"/>
      <c r="V73" s="13"/>
      <c r="W73" s="13"/>
      <c r="X73" s="13"/>
      <c r="Y73" s="13"/>
      <c r="Z73" s="13"/>
      <c r="AA73" s="13"/>
      <c r="AB73" s="13"/>
      <c r="AC73" s="13"/>
    </row>
    <row r="74" spans="1:33" s="160" customFormat="1">
      <c r="A74" s="162"/>
      <c r="K74" s="169"/>
      <c r="L74" s="169"/>
      <c r="P74" s="169"/>
      <c r="V74" s="13"/>
      <c r="W74" s="13"/>
      <c r="X74" s="13"/>
      <c r="Y74" s="13"/>
      <c r="Z74" s="13"/>
      <c r="AA74" s="13"/>
      <c r="AB74" s="13"/>
      <c r="AC74" s="13"/>
    </row>
    <row r="75" spans="1:33" s="160" customFormat="1">
      <c r="A75" s="170"/>
      <c r="K75" s="169"/>
      <c r="L75" s="169"/>
      <c r="P75" s="169"/>
      <c r="V75" s="13"/>
      <c r="W75" s="13"/>
      <c r="X75" s="13"/>
      <c r="Y75" s="13"/>
      <c r="Z75" s="13"/>
      <c r="AA75" s="13"/>
      <c r="AB75" s="13"/>
      <c r="AC75" s="13"/>
    </row>
    <row r="76" spans="1:33" s="160" customFormat="1">
      <c r="A76" s="170"/>
      <c r="K76" s="169"/>
      <c r="L76" s="169"/>
      <c r="P76" s="169"/>
      <c r="V76" s="13"/>
      <c r="W76" s="13"/>
      <c r="X76" s="13"/>
      <c r="Y76" s="13"/>
      <c r="Z76" s="13"/>
      <c r="AA76" s="13"/>
      <c r="AB76" s="13"/>
      <c r="AC76" s="13"/>
    </row>
  </sheetData>
  <mergeCells count="10">
    <mergeCell ref="AD2:AG2"/>
    <mergeCell ref="Z2:AC2"/>
    <mergeCell ref="V2:Y2"/>
    <mergeCell ref="R2:U2"/>
    <mergeCell ref="A71:Q71"/>
    <mergeCell ref="A72:Q72"/>
    <mergeCell ref="B2:E2"/>
    <mergeCell ref="F2:I2"/>
    <mergeCell ref="J2:M2"/>
    <mergeCell ref="N2:Q2"/>
  </mergeCells>
  <phoneticPr fontId="19" type="noConversion"/>
  <pageMargins left="0.70866141732283472" right="0.70866141732283472" top="0.74803149606299213" bottom="0.74803149606299213" header="0.31496062992125984" footer="0.31496062992125984"/>
  <pageSetup paperSize="9" scale="31" orientation="landscape" r:id="rId1"/>
  <ignoredErrors>
    <ignoredError sqref="I66 C31 F31 H3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P143"/>
  <sheetViews>
    <sheetView showGridLines="0" zoomScaleNormal="100" zoomScaleSheetLayoutView="110" workbookViewId="0">
      <pane xSplit="1" ySplit="3" topLeftCell="AC4" activePane="bottomRight" state="frozen"/>
      <selection pane="topRight" activeCell="B1" sqref="B1"/>
      <selection pane="bottomLeft" activeCell="A4" sqref="A4"/>
      <selection pane="bottomRight" activeCell="AM15" sqref="AM15"/>
    </sheetView>
  </sheetViews>
  <sheetFormatPr defaultColWidth="9" defaultRowHeight="12.75"/>
  <cols>
    <col min="1" max="1" width="60.75" style="6" customWidth="1"/>
    <col min="2" max="2" width="13.125" style="6" customWidth="1"/>
    <col min="3" max="4" width="13" style="6" bestFit="1" customWidth="1"/>
    <col min="5" max="5" width="14.125" style="6" customWidth="1"/>
    <col min="6" max="6" width="13" style="6" bestFit="1" customWidth="1"/>
    <col min="7" max="8" width="12.875" style="6" customWidth="1"/>
    <col min="9" max="9" width="14.125" style="6" customWidth="1"/>
    <col min="10" max="11" width="13" style="6" bestFit="1" customWidth="1"/>
    <col min="12" max="12" width="12.875" style="6" customWidth="1"/>
    <col min="13" max="13" width="14.125" style="6" customWidth="1"/>
    <col min="14" max="16" width="13" style="6" bestFit="1" customWidth="1"/>
    <col min="17" max="17" width="14.125" style="6" customWidth="1"/>
    <col min="18" max="20" width="13" style="6" bestFit="1" customWidth="1"/>
    <col min="21" max="21" width="14.125" style="6" customWidth="1"/>
    <col min="22" max="24" width="13" style="6" bestFit="1" customWidth="1"/>
    <col min="25" max="25" width="14.125" style="6" customWidth="1"/>
    <col min="26" max="28" width="13" style="6" bestFit="1" customWidth="1"/>
    <col min="29" max="29" width="14.125" style="6" customWidth="1"/>
    <col min="30" max="33" width="13.125" style="11" customWidth="1"/>
    <col min="34" max="34" width="9" style="11"/>
    <col min="35" max="38" width="13.125" style="11" customWidth="1"/>
    <col min="39" max="16384" width="9" style="6"/>
  </cols>
  <sheetData>
    <row r="1" spans="1:458" s="25" customFormat="1" ht="50.25" customHeight="1" thickBot="1">
      <c r="A1" s="5" t="s">
        <v>24</v>
      </c>
      <c r="B1" s="5"/>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c r="NL1" s="24"/>
      <c r="NM1" s="24"/>
      <c r="NN1" s="24"/>
      <c r="NO1" s="24"/>
      <c r="NP1" s="24"/>
      <c r="NQ1" s="24"/>
      <c r="NR1" s="24"/>
      <c r="NS1" s="24"/>
      <c r="NT1" s="24"/>
      <c r="NU1" s="24"/>
      <c r="NV1" s="24"/>
      <c r="NW1" s="24"/>
      <c r="NX1" s="24"/>
      <c r="NY1" s="24"/>
      <c r="NZ1" s="24"/>
      <c r="OA1" s="24"/>
      <c r="OB1" s="24"/>
      <c r="OC1" s="24"/>
      <c r="OD1" s="24"/>
      <c r="OE1" s="24"/>
      <c r="OF1" s="24"/>
      <c r="OG1" s="24"/>
      <c r="OH1" s="24"/>
      <c r="OI1" s="24"/>
      <c r="OJ1" s="24"/>
      <c r="OK1" s="24"/>
      <c r="OL1" s="24"/>
      <c r="OM1" s="24"/>
      <c r="ON1" s="24"/>
      <c r="OO1" s="24"/>
      <c r="OP1" s="24"/>
      <c r="OQ1" s="24"/>
      <c r="OR1" s="24"/>
      <c r="OS1" s="24"/>
      <c r="OT1" s="24"/>
      <c r="OU1" s="24"/>
      <c r="OV1" s="24"/>
      <c r="OW1" s="24"/>
      <c r="OX1" s="24"/>
      <c r="OY1" s="24"/>
      <c r="OZ1" s="24"/>
      <c r="PA1" s="24"/>
      <c r="PB1" s="24"/>
      <c r="PC1" s="24"/>
      <c r="PD1" s="24"/>
      <c r="PE1" s="24"/>
      <c r="PF1" s="24"/>
      <c r="PG1" s="24"/>
      <c r="PH1" s="24"/>
      <c r="PI1" s="24"/>
      <c r="PJ1" s="24"/>
      <c r="PK1" s="24"/>
      <c r="PL1" s="24"/>
      <c r="PM1" s="24"/>
      <c r="PN1" s="24"/>
      <c r="PO1" s="24"/>
      <c r="PP1" s="24"/>
      <c r="PQ1" s="24"/>
      <c r="PR1" s="24"/>
      <c r="PS1" s="24"/>
      <c r="PT1" s="24"/>
      <c r="PU1" s="24"/>
      <c r="PV1" s="24"/>
      <c r="PW1" s="24"/>
      <c r="PX1" s="24"/>
      <c r="PY1" s="24"/>
      <c r="PZ1" s="24"/>
      <c r="QA1" s="24"/>
      <c r="QB1" s="24"/>
      <c r="QC1" s="24"/>
      <c r="QD1" s="24"/>
      <c r="QE1" s="24"/>
      <c r="QF1" s="24"/>
      <c r="QG1" s="24"/>
      <c r="QH1" s="24"/>
      <c r="QI1" s="24"/>
      <c r="QJ1" s="24"/>
      <c r="QK1" s="24"/>
      <c r="QL1" s="24"/>
      <c r="QM1" s="24"/>
      <c r="QN1" s="24"/>
      <c r="QO1" s="24"/>
      <c r="QP1" s="24"/>
    </row>
    <row r="2" spans="1:458" s="25" customFormat="1" ht="24.95" customHeight="1">
      <c r="A2" s="38" t="s">
        <v>130</v>
      </c>
      <c r="B2" s="654">
        <v>2012</v>
      </c>
      <c r="C2" s="653"/>
      <c r="D2" s="653"/>
      <c r="E2" s="655"/>
      <c r="F2" s="654">
        <v>2013</v>
      </c>
      <c r="G2" s="653"/>
      <c r="H2" s="653"/>
      <c r="I2" s="655"/>
      <c r="J2" s="653">
        <v>2014</v>
      </c>
      <c r="K2" s="653"/>
      <c r="L2" s="653"/>
      <c r="M2" s="653"/>
      <c r="N2" s="661">
        <v>2015</v>
      </c>
      <c r="O2" s="656"/>
      <c r="P2" s="656"/>
      <c r="Q2" s="657"/>
      <c r="R2" s="660">
        <v>2016</v>
      </c>
      <c r="S2" s="658"/>
      <c r="T2" s="658"/>
      <c r="U2" s="659"/>
      <c r="V2" s="660" t="s">
        <v>252</v>
      </c>
      <c r="W2" s="658"/>
      <c r="X2" s="658"/>
      <c r="Y2" s="659"/>
      <c r="Z2" s="654" t="s">
        <v>275</v>
      </c>
      <c r="AA2" s="658"/>
      <c r="AB2" s="658"/>
      <c r="AC2" s="659"/>
      <c r="AD2" s="654" t="s">
        <v>328</v>
      </c>
      <c r="AE2" s="658"/>
      <c r="AF2" s="658"/>
      <c r="AG2" s="659"/>
      <c r="AH2" s="24"/>
      <c r="AI2" s="654" t="s">
        <v>336</v>
      </c>
      <c r="AJ2" s="658"/>
      <c r="AK2" s="658"/>
      <c r="AL2" s="659"/>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4"/>
      <c r="IX2" s="24"/>
      <c r="IY2" s="24"/>
      <c r="IZ2" s="24"/>
      <c r="JA2" s="24"/>
      <c r="JB2" s="24"/>
      <c r="JC2" s="24"/>
      <c r="JD2" s="24"/>
      <c r="JE2" s="24"/>
      <c r="JF2" s="24"/>
      <c r="JG2" s="24"/>
      <c r="JH2" s="24"/>
      <c r="JI2" s="24"/>
      <c r="JJ2" s="24"/>
      <c r="JK2" s="24"/>
      <c r="JL2" s="24"/>
      <c r="JM2" s="24"/>
      <c r="JN2" s="24"/>
      <c r="JO2" s="24"/>
      <c r="JP2" s="24"/>
      <c r="JQ2" s="24"/>
      <c r="JR2" s="24"/>
      <c r="JS2" s="24"/>
      <c r="JT2" s="24"/>
      <c r="JU2" s="24"/>
      <c r="JV2" s="24"/>
      <c r="JW2" s="24"/>
      <c r="JX2" s="24"/>
      <c r="JY2" s="24"/>
      <c r="JZ2" s="24"/>
      <c r="KA2" s="24"/>
      <c r="KB2" s="24"/>
      <c r="KC2" s="24"/>
      <c r="KD2" s="24"/>
      <c r="KE2" s="24"/>
      <c r="KF2" s="24"/>
      <c r="KG2" s="24"/>
      <c r="KH2" s="24"/>
      <c r="KI2" s="24"/>
      <c r="KJ2" s="24"/>
      <c r="KK2" s="24"/>
      <c r="KL2" s="24"/>
      <c r="KM2" s="24"/>
      <c r="KN2" s="24"/>
      <c r="KO2" s="24"/>
      <c r="KP2" s="24"/>
      <c r="KQ2" s="24"/>
      <c r="KR2" s="24"/>
      <c r="KS2" s="24"/>
      <c r="KT2" s="24"/>
      <c r="KU2" s="24"/>
      <c r="KV2" s="24"/>
      <c r="KW2" s="24"/>
      <c r="KX2" s="24"/>
      <c r="KY2" s="24"/>
      <c r="KZ2" s="24"/>
      <c r="LA2" s="24"/>
      <c r="LB2" s="24"/>
      <c r="LC2" s="24"/>
      <c r="LD2" s="24"/>
      <c r="LE2" s="24"/>
      <c r="LF2" s="24"/>
      <c r="LG2" s="24"/>
      <c r="LH2" s="24"/>
      <c r="LI2" s="24"/>
      <c r="LJ2" s="24"/>
      <c r="LK2" s="24"/>
      <c r="LL2" s="24"/>
      <c r="LM2" s="24"/>
      <c r="LN2" s="24"/>
      <c r="LO2" s="24"/>
      <c r="LP2" s="24"/>
      <c r="LQ2" s="24"/>
      <c r="LR2" s="24"/>
      <c r="LS2" s="24"/>
      <c r="LT2" s="24"/>
      <c r="LU2" s="24"/>
      <c r="LV2" s="24"/>
      <c r="LW2" s="24"/>
      <c r="LX2" s="24"/>
      <c r="LY2" s="24"/>
      <c r="LZ2" s="24"/>
      <c r="MA2" s="24"/>
      <c r="MB2" s="24"/>
      <c r="MC2" s="24"/>
      <c r="MD2" s="24"/>
      <c r="ME2" s="24"/>
      <c r="MF2" s="24"/>
      <c r="MG2" s="24"/>
      <c r="MH2" s="24"/>
      <c r="MI2" s="24"/>
      <c r="MJ2" s="24"/>
      <c r="MK2" s="24"/>
      <c r="ML2" s="24"/>
      <c r="MM2" s="24"/>
      <c r="MN2" s="24"/>
      <c r="MO2" s="24"/>
      <c r="MP2" s="24"/>
      <c r="MQ2" s="24"/>
      <c r="MR2" s="24"/>
      <c r="MS2" s="24"/>
      <c r="MT2" s="24"/>
      <c r="MU2" s="24"/>
      <c r="MV2" s="24"/>
      <c r="MW2" s="24"/>
      <c r="MX2" s="24"/>
      <c r="MY2" s="24"/>
      <c r="MZ2" s="24"/>
      <c r="NA2" s="24"/>
      <c r="NB2" s="24"/>
      <c r="NC2" s="24"/>
      <c r="ND2" s="24"/>
      <c r="NE2" s="24"/>
      <c r="NF2" s="24"/>
      <c r="NG2" s="24"/>
      <c r="NH2" s="24"/>
      <c r="NI2" s="24"/>
      <c r="NJ2" s="24"/>
      <c r="NK2" s="24"/>
      <c r="NL2" s="24"/>
      <c r="NM2" s="24"/>
      <c r="NN2" s="24"/>
      <c r="NO2" s="24"/>
      <c r="NP2" s="24"/>
      <c r="NQ2" s="24"/>
      <c r="NR2" s="24"/>
      <c r="NS2" s="24"/>
      <c r="NT2" s="24"/>
      <c r="NU2" s="24"/>
      <c r="NV2" s="24"/>
      <c r="NW2" s="24"/>
      <c r="NX2" s="24"/>
      <c r="NY2" s="24"/>
      <c r="NZ2" s="24"/>
      <c r="OA2" s="24"/>
      <c r="OB2" s="24"/>
      <c r="OC2" s="24"/>
      <c r="OD2" s="24"/>
      <c r="OE2" s="24"/>
      <c r="OF2" s="24"/>
      <c r="OG2" s="24"/>
      <c r="OH2" s="24"/>
      <c r="OI2" s="24"/>
      <c r="OJ2" s="24"/>
      <c r="OK2" s="24"/>
      <c r="OL2" s="24"/>
      <c r="OM2" s="24"/>
      <c r="ON2" s="24"/>
      <c r="OO2" s="24"/>
      <c r="OP2" s="24"/>
      <c r="OQ2" s="24"/>
      <c r="OR2" s="24"/>
      <c r="OS2" s="24"/>
      <c r="OT2" s="24"/>
      <c r="OU2" s="24"/>
      <c r="OV2" s="24"/>
      <c r="OW2" s="24"/>
      <c r="OX2" s="24"/>
      <c r="OY2" s="24"/>
      <c r="OZ2" s="24"/>
      <c r="PA2" s="24"/>
      <c r="PB2" s="24"/>
      <c r="PC2" s="24"/>
      <c r="PD2" s="24"/>
      <c r="PE2" s="24"/>
      <c r="PF2" s="24"/>
      <c r="PG2" s="24"/>
      <c r="PH2" s="24"/>
      <c r="PI2" s="24"/>
      <c r="PJ2" s="24"/>
      <c r="PK2" s="24"/>
      <c r="PL2" s="24"/>
      <c r="PM2" s="24"/>
      <c r="PN2" s="24"/>
      <c r="PO2" s="24"/>
      <c r="PP2" s="24"/>
      <c r="PQ2" s="24"/>
      <c r="PR2" s="24"/>
      <c r="PS2" s="24"/>
      <c r="PT2" s="24"/>
      <c r="PU2" s="24"/>
      <c r="PV2" s="24"/>
      <c r="PW2" s="24"/>
      <c r="PX2" s="24"/>
      <c r="PY2" s="24"/>
      <c r="PZ2" s="24"/>
      <c r="QA2" s="24"/>
      <c r="QB2" s="24"/>
      <c r="QC2" s="24"/>
      <c r="QD2" s="24"/>
      <c r="QE2" s="24"/>
      <c r="QF2" s="24"/>
      <c r="QG2" s="24"/>
      <c r="QH2" s="24"/>
      <c r="QI2" s="24"/>
      <c r="QJ2" s="24"/>
      <c r="QK2" s="24"/>
      <c r="QL2" s="24"/>
      <c r="QM2" s="24"/>
      <c r="QN2" s="24"/>
      <c r="QO2" s="24"/>
      <c r="QP2" s="24"/>
    </row>
    <row r="3" spans="1:458" ht="39" customHeight="1" thickBot="1">
      <c r="A3" s="39" t="s">
        <v>49</v>
      </c>
      <c r="B3" s="36" t="s">
        <v>169</v>
      </c>
      <c r="C3" s="35" t="s">
        <v>170</v>
      </c>
      <c r="D3" s="35" t="s">
        <v>171</v>
      </c>
      <c r="E3" s="37" t="s">
        <v>172</v>
      </c>
      <c r="F3" s="36" t="s">
        <v>169</v>
      </c>
      <c r="G3" s="35" t="s">
        <v>170</v>
      </c>
      <c r="H3" s="35" t="s">
        <v>171</v>
      </c>
      <c r="I3" s="37" t="s">
        <v>172</v>
      </c>
      <c r="J3" s="35" t="s">
        <v>169</v>
      </c>
      <c r="K3" s="35" t="s">
        <v>170</v>
      </c>
      <c r="L3" s="35" t="s">
        <v>171</v>
      </c>
      <c r="M3" s="44" t="s">
        <v>172</v>
      </c>
      <c r="N3" s="36" t="s">
        <v>169</v>
      </c>
      <c r="O3" s="35" t="s">
        <v>170</v>
      </c>
      <c r="P3" s="35" t="s">
        <v>171</v>
      </c>
      <c r="Q3" s="182" t="s">
        <v>172</v>
      </c>
      <c r="R3" s="36" t="s">
        <v>169</v>
      </c>
      <c r="S3" s="35" t="s">
        <v>170</v>
      </c>
      <c r="T3" s="35" t="s">
        <v>171</v>
      </c>
      <c r="U3" s="182" t="s">
        <v>172</v>
      </c>
      <c r="V3" s="36" t="s">
        <v>169</v>
      </c>
      <c r="W3" s="35" t="s">
        <v>170</v>
      </c>
      <c r="X3" s="35" t="s">
        <v>171</v>
      </c>
      <c r="Y3" s="182" t="s">
        <v>172</v>
      </c>
      <c r="Z3" s="36" t="s">
        <v>169</v>
      </c>
      <c r="AA3" s="35" t="s">
        <v>170</v>
      </c>
      <c r="AB3" s="35" t="s">
        <v>171</v>
      </c>
      <c r="AC3" s="182" t="s">
        <v>172</v>
      </c>
      <c r="AD3" s="36" t="s">
        <v>169</v>
      </c>
      <c r="AE3" s="35" t="s">
        <v>170</v>
      </c>
      <c r="AF3" s="35" t="s">
        <v>171</v>
      </c>
      <c r="AG3" s="182" t="s">
        <v>172</v>
      </c>
      <c r="AI3" s="36" t="s">
        <v>169</v>
      </c>
      <c r="AJ3" s="35" t="s">
        <v>170</v>
      </c>
      <c r="AK3" s="35" t="s">
        <v>171</v>
      </c>
      <c r="AL3" s="182" t="s">
        <v>172</v>
      </c>
    </row>
    <row r="4" spans="1:458" s="11" customFormat="1" ht="24.95" customHeight="1" thickBot="1">
      <c r="A4" s="40" t="s">
        <v>131</v>
      </c>
      <c r="B4" s="214">
        <v>205.10900000000001</v>
      </c>
      <c r="C4" s="212">
        <v>304.61200000000002</v>
      </c>
      <c r="D4" s="212">
        <v>476.67400000000004</v>
      </c>
      <c r="E4" s="293">
        <v>598.298</v>
      </c>
      <c r="F4" s="214">
        <v>95.105000000000004</v>
      </c>
      <c r="G4" s="212">
        <v>175.85</v>
      </c>
      <c r="H4" s="212">
        <v>352.30099999999999</v>
      </c>
      <c r="I4" s="293">
        <v>525.44500000000005</v>
      </c>
      <c r="J4" s="212">
        <v>98.171999999999997</v>
      </c>
      <c r="K4" s="212">
        <f>'Consolidated income statement'!M26+'Consolidated income statement'!L26</f>
        <v>230.29999999999976</v>
      </c>
      <c r="L4" s="212">
        <v>278.5</v>
      </c>
      <c r="M4" s="213">
        <f>'Consolidated income statement'!P26</f>
        <v>292.49999999999795</v>
      </c>
      <c r="N4" s="214">
        <v>170.8</v>
      </c>
      <c r="O4" s="212">
        <v>475.29999999999984</v>
      </c>
      <c r="P4" s="212">
        <f>SUM('Consolidated income statement'!Q26:S26)</f>
        <v>977.7999999999995</v>
      </c>
      <c r="Q4" s="215">
        <f>'Consolidated income statement'!U26</f>
        <v>1163.3999999999994</v>
      </c>
      <c r="R4" s="214">
        <f>'Consolidated income statement'!V26</f>
        <v>178.50000000000006</v>
      </c>
      <c r="S4" s="212">
        <f>'Consolidated income statement'!W26+'Consolidated income statement'!V26</f>
        <v>409.4000000000002</v>
      </c>
      <c r="T4" s="212">
        <f>'Consolidated income statement'!V26+'Consolidated income statement'!X26+'Consolidated income statement'!W26</f>
        <v>679.20000000000061</v>
      </c>
      <c r="U4" s="215">
        <f>'Consolidated income statement'!Y26+T4</f>
        <v>1021.0000000000006</v>
      </c>
      <c r="V4" s="214">
        <f>'Consolidated income statement'!AA26</f>
        <v>271.40000000000032</v>
      </c>
      <c r="W4" s="212">
        <f>'Consolidated income statement'!AA26+'Consolidated income statement'!AB26</f>
        <v>553.10000000000025</v>
      </c>
      <c r="X4" s="212">
        <f>SUM('Consolidated income statement'!AA26:AC26)</f>
        <v>788.00000000000023</v>
      </c>
      <c r="Y4" s="215">
        <v>945.2</v>
      </c>
      <c r="Z4" s="212">
        <v>292.2</v>
      </c>
      <c r="AA4" s="212">
        <v>523.6</v>
      </c>
      <c r="AB4" s="212">
        <v>750.7</v>
      </c>
      <c r="AC4" s="215">
        <v>816.1</v>
      </c>
      <c r="AD4" s="212">
        <v>300.8</v>
      </c>
      <c r="AE4" s="212"/>
      <c r="AF4" s="212"/>
      <c r="AG4" s="215"/>
      <c r="AI4" s="214">
        <v>297.3</v>
      </c>
      <c r="AJ4" s="212"/>
      <c r="AK4" s="212"/>
      <c r="AL4" s="215"/>
    </row>
    <row r="5" spans="1:458" s="11" customFormat="1" ht="24.95" customHeight="1" thickBot="1">
      <c r="A5" s="40" t="s">
        <v>132</v>
      </c>
      <c r="B5" s="294">
        <f t="shared" ref="B5:Y5" si="0">SUM(B6:B27)</f>
        <v>28.31799999999998</v>
      </c>
      <c r="C5" s="295">
        <f t="shared" si="0"/>
        <v>110.99899999999997</v>
      </c>
      <c r="D5" s="295">
        <f t="shared" si="0"/>
        <v>152.09600000000003</v>
      </c>
      <c r="E5" s="293">
        <f t="shared" si="0"/>
        <v>244.9200000000001</v>
      </c>
      <c r="F5" s="214">
        <f t="shared" si="0"/>
        <v>70.556999999999988</v>
      </c>
      <c r="G5" s="212">
        <f t="shared" si="0"/>
        <v>176.07799999999997</v>
      </c>
      <c r="H5" s="212">
        <f t="shared" si="0"/>
        <v>195.94299999999996</v>
      </c>
      <c r="I5" s="293">
        <f t="shared" si="0"/>
        <v>334.28999999999991</v>
      </c>
      <c r="J5" s="212">
        <f t="shared" si="0"/>
        <v>86.532000000000011</v>
      </c>
      <c r="K5" s="212">
        <f t="shared" si="0"/>
        <v>505.40000000000015</v>
      </c>
      <c r="L5" s="212">
        <f t="shared" si="0"/>
        <v>1145.4000000000003</v>
      </c>
      <c r="M5" s="213">
        <f t="shared" si="0"/>
        <v>1825.2999999999997</v>
      </c>
      <c r="N5" s="214">
        <f t="shared" si="0"/>
        <v>282.2000000000001</v>
      </c>
      <c r="O5" s="212">
        <f t="shared" si="0"/>
        <v>852.69999999999982</v>
      </c>
      <c r="P5" s="212">
        <f t="shared" si="0"/>
        <v>1195.6999999999994</v>
      </c>
      <c r="Q5" s="215">
        <f t="shared" si="0"/>
        <v>1821.6999999999998</v>
      </c>
      <c r="R5" s="214">
        <f t="shared" si="0"/>
        <v>405.9</v>
      </c>
      <c r="S5" s="212">
        <f t="shared" si="0"/>
        <v>1140</v>
      </c>
      <c r="T5" s="212">
        <f t="shared" si="0"/>
        <v>1678.3000000000002</v>
      </c>
      <c r="U5" s="215">
        <f t="shared" si="0"/>
        <v>2130.5</v>
      </c>
      <c r="V5" s="214">
        <f t="shared" si="0"/>
        <v>509.29999999999995</v>
      </c>
      <c r="W5" s="212">
        <f t="shared" si="0"/>
        <v>1062.8</v>
      </c>
      <c r="X5" s="212">
        <f t="shared" si="0"/>
        <v>1457.6999999999998</v>
      </c>
      <c r="Y5" s="215">
        <f t="shared" si="0"/>
        <v>2181.1000000000004</v>
      </c>
      <c r="Z5" s="214">
        <f t="shared" ref="Z5:AC5" si="1">SUM(Z6:Z27)</f>
        <v>340.90000000000009</v>
      </c>
      <c r="AA5" s="212">
        <f t="shared" si="1"/>
        <v>873.30000000000007</v>
      </c>
      <c r="AB5" s="212">
        <f t="shared" si="1"/>
        <v>1470.1000000000001</v>
      </c>
      <c r="AC5" s="215">
        <f t="shared" si="1"/>
        <v>2416</v>
      </c>
      <c r="AD5" s="214">
        <f>SUM(AD6:AD27)</f>
        <v>402.4</v>
      </c>
      <c r="AE5" s="212">
        <f t="shared" ref="AE5:AG5" si="2">SUM(AE6:AE27)</f>
        <v>0</v>
      </c>
      <c r="AF5" s="212">
        <f t="shared" si="2"/>
        <v>0</v>
      </c>
      <c r="AG5" s="215">
        <f t="shared" si="2"/>
        <v>0</v>
      </c>
      <c r="AI5" s="214">
        <f>SUM(AI6:AI27)</f>
        <v>464.9</v>
      </c>
      <c r="AJ5" s="212">
        <f t="shared" ref="AJ5:AL5" si="3">SUM(AJ6:AJ27)</f>
        <v>0</v>
      </c>
      <c r="AK5" s="212">
        <f t="shared" si="3"/>
        <v>0</v>
      </c>
      <c r="AL5" s="215">
        <f t="shared" si="3"/>
        <v>0</v>
      </c>
    </row>
    <row r="6" spans="1:458" s="11" customFormat="1" ht="20.100000000000001" customHeight="1">
      <c r="A6" s="41" t="s">
        <v>58</v>
      </c>
      <c r="B6" s="218">
        <v>54.433</v>
      </c>
      <c r="C6" s="219">
        <v>111.117</v>
      </c>
      <c r="D6" s="219">
        <v>171.35499999999999</v>
      </c>
      <c r="E6" s="296">
        <v>243.066</v>
      </c>
      <c r="F6" s="218">
        <v>60.698</v>
      </c>
      <c r="G6" s="219">
        <v>122.961</v>
      </c>
      <c r="H6" s="219">
        <v>187.82599999999999</v>
      </c>
      <c r="I6" s="296">
        <v>256.416</v>
      </c>
      <c r="J6" s="216">
        <v>62.434000000000005</v>
      </c>
      <c r="K6" s="216">
        <v>373.8</v>
      </c>
      <c r="L6" s="216">
        <v>852.1</v>
      </c>
      <c r="M6" s="217">
        <v>1295.9000000000001</v>
      </c>
      <c r="N6" s="218">
        <v>467.9</v>
      </c>
      <c r="O6" s="219">
        <v>861.4</v>
      </c>
      <c r="P6" s="219">
        <v>1262.5999999999999</v>
      </c>
      <c r="Q6" s="220">
        <v>1699.3</v>
      </c>
      <c r="R6" s="218">
        <v>423.7</v>
      </c>
      <c r="S6" s="219">
        <v>951.2</v>
      </c>
      <c r="T6" s="219">
        <v>1459.1</v>
      </c>
      <c r="U6" s="220">
        <v>1971.5</v>
      </c>
      <c r="V6" s="218">
        <v>472.3</v>
      </c>
      <c r="W6" s="219">
        <v>919</v>
      </c>
      <c r="X6" s="219">
        <v>1348.2</v>
      </c>
      <c r="Y6" s="220">
        <v>1783</v>
      </c>
      <c r="Z6" s="219">
        <v>454.5</v>
      </c>
      <c r="AA6" s="219">
        <v>925.3</v>
      </c>
      <c r="AB6" s="219">
        <v>1448.8</v>
      </c>
      <c r="AC6" s="220">
        <v>1970.7</v>
      </c>
      <c r="AD6" s="218">
        <v>440.1</v>
      </c>
      <c r="AE6" s="219"/>
      <c r="AF6" s="219"/>
      <c r="AG6" s="220"/>
      <c r="AI6" s="218">
        <v>547.1</v>
      </c>
      <c r="AJ6" s="219"/>
      <c r="AK6" s="219"/>
      <c r="AL6" s="220"/>
    </row>
    <row r="7" spans="1:458" s="11" customFormat="1" ht="20.100000000000001" customHeight="1">
      <c r="A7" s="41" t="s">
        <v>133</v>
      </c>
      <c r="B7" s="218">
        <v>-29.711000000000002</v>
      </c>
      <c r="C7" s="219">
        <v>-88.683000000000007</v>
      </c>
      <c r="D7" s="219">
        <v>-140.589</v>
      </c>
      <c r="E7" s="296">
        <v>-177.86799999999999</v>
      </c>
      <c r="F7" s="218">
        <v>-44.32</v>
      </c>
      <c r="G7" s="219">
        <v>-122.45100000000001</v>
      </c>
      <c r="H7" s="219">
        <v>-189.477</v>
      </c>
      <c r="I7" s="296">
        <v>-222.45600000000002</v>
      </c>
      <c r="J7" s="216">
        <v>-109.42100000000001</v>
      </c>
      <c r="K7" s="216">
        <v>-148.9</v>
      </c>
      <c r="L7" s="216">
        <v>-224.7</v>
      </c>
      <c r="M7" s="217">
        <v>-306.8</v>
      </c>
      <c r="N7" s="218">
        <v>-41.5</v>
      </c>
      <c r="O7" s="219">
        <v>-115.2</v>
      </c>
      <c r="P7" s="219">
        <v>-195.4</v>
      </c>
      <c r="Q7" s="220">
        <v>-238.1</v>
      </c>
      <c r="R7" s="218">
        <v>-58.1</v>
      </c>
      <c r="S7" s="219">
        <v>-119</v>
      </c>
      <c r="T7" s="219">
        <v>-189.6</v>
      </c>
      <c r="U7" s="220">
        <v>-246.5</v>
      </c>
      <c r="V7" s="218">
        <v>-33.299999999999997</v>
      </c>
      <c r="W7" s="219">
        <v>-94.2</v>
      </c>
      <c r="X7" s="219">
        <v>-246.2</v>
      </c>
      <c r="Y7" s="220">
        <v>-305.10000000000002</v>
      </c>
      <c r="Z7" s="219">
        <v>-62.4</v>
      </c>
      <c r="AA7" s="219">
        <v>-124.7</v>
      </c>
      <c r="AB7" s="219">
        <v>-411.2</v>
      </c>
      <c r="AC7" s="220">
        <v>-363.5</v>
      </c>
      <c r="AD7" s="218">
        <v>-156.30000000000001</v>
      </c>
      <c r="AE7" s="219"/>
      <c r="AF7" s="219"/>
      <c r="AG7" s="220"/>
      <c r="AI7" s="218">
        <v>-156.30000000000001</v>
      </c>
      <c r="AJ7" s="219"/>
      <c r="AK7" s="219"/>
      <c r="AL7" s="220"/>
    </row>
    <row r="8" spans="1:458" s="11" customFormat="1" ht="20.100000000000001" customHeight="1">
      <c r="A8" s="41" t="s">
        <v>134</v>
      </c>
      <c r="B8" s="218">
        <v>46.908999999999999</v>
      </c>
      <c r="C8" s="219">
        <v>99.832000000000008</v>
      </c>
      <c r="D8" s="219">
        <v>145.40600000000001</v>
      </c>
      <c r="E8" s="296">
        <v>194.52100000000002</v>
      </c>
      <c r="F8" s="218">
        <v>46.048999999999999</v>
      </c>
      <c r="G8" s="219">
        <v>102.423</v>
      </c>
      <c r="H8" s="219">
        <v>162.63200000000001</v>
      </c>
      <c r="I8" s="296">
        <v>220.37100000000001</v>
      </c>
      <c r="J8" s="216">
        <v>40.084000000000003</v>
      </c>
      <c r="K8" s="216">
        <v>85.1</v>
      </c>
      <c r="L8" s="216">
        <v>162.19999999999999</v>
      </c>
      <c r="M8" s="217">
        <v>224.4</v>
      </c>
      <c r="N8" s="218">
        <v>43.7</v>
      </c>
      <c r="O8" s="219">
        <v>90.5</v>
      </c>
      <c r="P8" s="219">
        <v>149.9</v>
      </c>
      <c r="Q8" s="220">
        <v>212.6</v>
      </c>
      <c r="R8" s="218">
        <v>49.1</v>
      </c>
      <c r="S8" s="219">
        <v>125.3</v>
      </c>
      <c r="T8" s="219">
        <v>173.5</v>
      </c>
      <c r="U8" s="220">
        <v>230.7</v>
      </c>
      <c r="V8" s="218">
        <v>48.5</v>
      </c>
      <c r="W8" s="219">
        <v>102.7</v>
      </c>
      <c r="X8" s="219">
        <v>166.1</v>
      </c>
      <c r="Y8" s="220">
        <v>228.6</v>
      </c>
      <c r="Z8" s="219">
        <v>45.7</v>
      </c>
      <c r="AA8" s="219">
        <v>103.8</v>
      </c>
      <c r="AB8" s="219">
        <v>100.5</v>
      </c>
      <c r="AC8" s="220">
        <v>337</v>
      </c>
      <c r="AD8" s="218">
        <v>123.3</v>
      </c>
      <c r="AE8" s="219"/>
      <c r="AF8" s="219"/>
      <c r="AG8" s="220"/>
      <c r="AI8" s="218">
        <v>123.3</v>
      </c>
      <c r="AJ8" s="219"/>
      <c r="AK8" s="219"/>
      <c r="AL8" s="220"/>
    </row>
    <row r="9" spans="1:458" s="11" customFormat="1" ht="20.100000000000001" customHeight="1">
      <c r="A9" s="41" t="s">
        <v>135</v>
      </c>
      <c r="B9" s="218">
        <v>-1.0999999999999999E-2</v>
      </c>
      <c r="C9" s="219">
        <v>-0.25700000000000001</v>
      </c>
      <c r="D9" s="219">
        <v>-0.48299999999999998</v>
      </c>
      <c r="E9" s="296">
        <v>-0.111</v>
      </c>
      <c r="F9" s="218">
        <v>5.8000000000000003E-2</v>
      </c>
      <c r="G9" s="219">
        <v>7.2999999999999995E-2</v>
      </c>
      <c r="H9" s="219">
        <v>-38.896000000000001</v>
      </c>
      <c r="I9" s="296">
        <v>-35.765000000000001</v>
      </c>
      <c r="J9" s="216">
        <v>-5.2999999999999999E-2</v>
      </c>
      <c r="K9" s="216">
        <v>-0.7</v>
      </c>
      <c r="L9" s="216">
        <v>-2.4</v>
      </c>
      <c r="M9" s="217">
        <v>-2.9</v>
      </c>
      <c r="N9" s="218">
        <v>-0.4</v>
      </c>
      <c r="O9" s="219">
        <v>-4.8</v>
      </c>
      <c r="P9" s="219">
        <v>-5.7</v>
      </c>
      <c r="Q9" s="220">
        <v>-6.9</v>
      </c>
      <c r="R9" s="305" t="s">
        <v>1</v>
      </c>
      <c r="S9" s="306" t="s">
        <v>1</v>
      </c>
      <c r="T9" s="306" t="s">
        <v>1</v>
      </c>
      <c r="U9" s="310" t="s">
        <v>1</v>
      </c>
      <c r="V9" s="305" t="s">
        <v>1</v>
      </c>
      <c r="W9" s="306" t="s">
        <v>1</v>
      </c>
      <c r="X9" s="306" t="s">
        <v>1</v>
      </c>
      <c r="Y9" s="310" t="s">
        <v>1</v>
      </c>
      <c r="Z9" s="306" t="s">
        <v>1</v>
      </c>
      <c r="AA9" s="306" t="s">
        <v>1</v>
      </c>
      <c r="AB9" s="306" t="s">
        <v>1</v>
      </c>
      <c r="AC9" s="310" t="s">
        <v>1</v>
      </c>
      <c r="AD9" s="305" t="s">
        <v>1</v>
      </c>
      <c r="AE9" s="306"/>
      <c r="AF9" s="306"/>
      <c r="AG9" s="310"/>
      <c r="AI9" s="305" t="s">
        <v>1</v>
      </c>
      <c r="AJ9" s="306"/>
      <c r="AK9" s="306"/>
      <c r="AL9" s="310"/>
    </row>
    <row r="10" spans="1:458" s="11" customFormat="1" ht="20.100000000000001" customHeight="1">
      <c r="A10" s="41" t="s">
        <v>136</v>
      </c>
      <c r="B10" s="218">
        <v>2.3109999999999999</v>
      </c>
      <c r="C10" s="219">
        <v>4.6020000000000003</v>
      </c>
      <c r="D10" s="219">
        <v>6.1379999999999999</v>
      </c>
      <c r="E10" s="296">
        <v>9.2439999999999998</v>
      </c>
      <c r="F10" s="218">
        <v>3.504</v>
      </c>
      <c r="G10" s="219">
        <v>5.843</v>
      </c>
      <c r="H10" s="219">
        <v>6.3049999999999997</v>
      </c>
      <c r="I10" s="296">
        <v>6.407</v>
      </c>
      <c r="J10" s="216">
        <v>4.1000000000000002E-2</v>
      </c>
      <c r="K10" s="216">
        <v>0.1</v>
      </c>
      <c r="L10" s="216">
        <v>30.4</v>
      </c>
      <c r="M10" s="217">
        <v>30.5</v>
      </c>
      <c r="N10" s="218">
        <v>0.1</v>
      </c>
      <c r="O10" s="219">
        <v>0.5</v>
      </c>
      <c r="P10" s="219">
        <v>0.5</v>
      </c>
      <c r="Q10" s="220">
        <v>1.4</v>
      </c>
      <c r="R10" s="305" t="s">
        <v>1</v>
      </c>
      <c r="S10" s="306" t="s">
        <v>1</v>
      </c>
      <c r="T10" s="306" t="s">
        <v>1</v>
      </c>
      <c r="U10" s="310" t="s">
        <v>1</v>
      </c>
      <c r="V10" s="305" t="s">
        <v>1</v>
      </c>
      <c r="W10" s="306" t="s">
        <v>1</v>
      </c>
      <c r="X10" s="306" t="s">
        <v>1</v>
      </c>
      <c r="Y10" s="310" t="s">
        <v>1</v>
      </c>
      <c r="Z10" s="306" t="s">
        <v>1</v>
      </c>
      <c r="AA10" s="306" t="s">
        <v>1</v>
      </c>
      <c r="AB10" s="306" t="s">
        <v>1</v>
      </c>
      <c r="AC10" s="310" t="s">
        <v>1</v>
      </c>
      <c r="AD10" s="305" t="s">
        <v>1</v>
      </c>
      <c r="AE10" s="306"/>
      <c r="AF10" s="306"/>
      <c r="AG10" s="310"/>
      <c r="AI10" s="305" t="s">
        <v>1</v>
      </c>
      <c r="AJ10" s="306"/>
      <c r="AK10" s="306"/>
      <c r="AL10" s="310"/>
    </row>
    <row r="11" spans="1:458" s="11" customFormat="1" ht="20.100000000000001" customHeight="1">
      <c r="A11" s="41" t="s">
        <v>137</v>
      </c>
      <c r="B11" s="218">
        <v>52.017000000000003</v>
      </c>
      <c r="C11" s="219">
        <v>105.822</v>
      </c>
      <c r="D11" s="219">
        <v>156.893</v>
      </c>
      <c r="E11" s="296">
        <v>205.185</v>
      </c>
      <c r="F11" s="218">
        <v>46.368000000000002</v>
      </c>
      <c r="G11" s="219">
        <v>93.388999999999996</v>
      </c>
      <c r="H11" s="219">
        <v>140.42699999999999</v>
      </c>
      <c r="I11" s="296">
        <v>183.81100000000001</v>
      </c>
      <c r="J11" s="216">
        <v>90.381</v>
      </c>
      <c r="K11" s="216">
        <v>248.5</v>
      </c>
      <c r="L11" s="216">
        <v>421.4</v>
      </c>
      <c r="M11" s="217">
        <v>603.70000000000005</v>
      </c>
      <c r="N11" s="218">
        <v>177.4</v>
      </c>
      <c r="O11" s="219">
        <v>348.5</v>
      </c>
      <c r="P11" s="219">
        <v>581.29999999999995</v>
      </c>
      <c r="Q11" s="220">
        <v>763.6</v>
      </c>
      <c r="R11" s="218">
        <v>144.69999999999999</v>
      </c>
      <c r="S11" s="219">
        <v>285.89999999999998</v>
      </c>
      <c r="T11" s="219">
        <v>417.4</v>
      </c>
      <c r="U11" s="220">
        <v>541.9</v>
      </c>
      <c r="V11" s="218">
        <v>114.5</v>
      </c>
      <c r="W11" s="219">
        <v>228.7</v>
      </c>
      <c r="X11" s="219">
        <v>331.1</v>
      </c>
      <c r="Y11" s="220">
        <v>432.3</v>
      </c>
      <c r="Z11" s="219">
        <v>68.5</v>
      </c>
      <c r="AA11" s="219">
        <v>166.7</v>
      </c>
      <c r="AB11" s="219">
        <v>269</v>
      </c>
      <c r="AC11" s="220">
        <v>401.6</v>
      </c>
      <c r="AD11" s="218">
        <v>94.5</v>
      </c>
      <c r="AE11" s="219"/>
      <c r="AF11" s="219"/>
      <c r="AG11" s="220"/>
      <c r="AI11" s="218">
        <v>107.2</v>
      </c>
      <c r="AJ11" s="219"/>
      <c r="AK11" s="219"/>
      <c r="AL11" s="220"/>
    </row>
    <row r="12" spans="1:458" s="11" customFormat="1" ht="20.100000000000001" customHeight="1">
      <c r="A12" s="41" t="s">
        <v>138</v>
      </c>
      <c r="B12" s="218">
        <v>-7.2490000000000006</v>
      </c>
      <c r="C12" s="219">
        <v>-7.3810000000000002</v>
      </c>
      <c r="D12" s="219">
        <v>1.093</v>
      </c>
      <c r="E12" s="296">
        <v>16.173000000000002</v>
      </c>
      <c r="F12" s="218">
        <v>11.273</v>
      </c>
      <c r="G12" s="219">
        <v>4.4740000000000002</v>
      </c>
      <c r="H12" s="219">
        <v>5.9119999999999999</v>
      </c>
      <c r="I12" s="296">
        <v>14.839</v>
      </c>
      <c r="J12" s="216">
        <v>-16.302</v>
      </c>
      <c r="K12" s="216">
        <v>-41.8</v>
      </c>
      <c r="L12" s="216">
        <v>-14.7</v>
      </c>
      <c r="M12" s="217">
        <v>0.5</v>
      </c>
      <c r="N12" s="218">
        <v>48.6</v>
      </c>
      <c r="O12" s="219">
        <v>45.6</v>
      </c>
      <c r="P12" s="219">
        <v>43.3</v>
      </c>
      <c r="Q12" s="220">
        <v>26.4</v>
      </c>
      <c r="R12" s="218">
        <v>21.5</v>
      </c>
      <c r="S12" s="219">
        <v>11.7</v>
      </c>
      <c r="T12" s="219">
        <v>0.7</v>
      </c>
      <c r="U12" s="220">
        <v>3</v>
      </c>
      <c r="V12" s="218">
        <v>41.5</v>
      </c>
      <c r="W12" s="219">
        <v>-0.3</v>
      </c>
      <c r="X12" s="219">
        <v>-16.899999999999999</v>
      </c>
      <c r="Y12" s="220">
        <v>-5</v>
      </c>
      <c r="Z12" s="219">
        <v>7.7</v>
      </c>
      <c r="AA12" s="219">
        <v>-45.1</v>
      </c>
      <c r="AB12" s="219">
        <v>-70.8</v>
      </c>
      <c r="AC12" s="220">
        <v>-77.2</v>
      </c>
      <c r="AD12" s="218">
        <v>60.3</v>
      </c>
      <c r="AE12" s="219"/>
      <c r="AF12" s="219"/>
      <c r="AG12" s="220"/>
      <c r="AI12" s="218">
        <v>60.3</v>
      </c>
      <c r="AJ12" s="219"/>
      <c r="AK12" s="219"/>
      <c r="AL12" s="220"/>
    </row>
    <row r="13" spans="1:458" s="11" customFormat="1" ht="20.100000000000001" customHeight="1">
      <c r="A13" s="41" t="s">
        <v>139</v>
      </c>
      <c r="B13" s="218">
        <v>-48.496000000000002</v>
      </c>
      <c r="C13" s="219">
        <v>-85.073000000000008</v>
      </c>
      <c r="D13" s="219">
        <v>-90.59</v>
      </c>
      <c r="E13" s="296">
        <v>-106.816</v>
      </c>
      <c r="F13" s="218">
        <v>-18.654</v>
      </c>
      <c r="G13" s="219">
        <v>-16.358000000000001</v>
      </c>
      <c r="H13" s="219">
        <v>16.681000000000001</v>
      </c>
      <c r="I13" s="296">
        <v>60.908000000000001</v>
      </c>
      <c r="J13" s="216">
        <v>-5.1610000000000005</v>
      </c>
      <c r="K13" s="216">
        <v>-29.2</v>
      </c>
      <c r="L13" s="216">
        <v>-87.6</v>
      </c>
      <c r="M13" s="217">
        <v>-191.9</v>
      </c>
      <c r="N13" s="218">
        <v>-211.8</v>
      </c>
      <c r="O13" s="219">
        <v>-581.20000000000005</v>
      </c>
      <c r="P13" s="219">
        <v>-349.3</v>
      </c>
      <c r="Q13" s="220">
        <v>-478.2</v>
      </c>
      <c r="R13" s="218">
        <v>-33.9</v>
      </c>
      <c r="S13" s="219">
        <v>-105.3</v>
      </c>
      <c r="T13" s="219">
        <v>-164.6</v>
      </c>
      <c r="U13" s="220">
        <v>-329.9</v>
      </c>
      <c r="V13" s="218">
        <v>21.5</v>
      </c>
      <c r="W13" s="219">
        <v>-112.7</v>
      </c>
      <c r="X13" s="219">
        <v>-224.5</v>
      </c>
      <c r="Y13" s="220">
        <v>-470.8</v>
      </c>
      <c r="Z13" s="219">
        <v>38.1</v>
      </c>
      <c r="AA13" s="353">
        <v>-516.5</v>
      </c>
      <c r="AB13" s="353">
        <v>-266.89999999999998</v>
      </c>
      <c r="AC13" s="220">
        <v>-289.10000000000002</v>
      </c>
      <c r="AD13" s="218">
        <v>155.9</v>
      </c>
      <c r="AE13" s="353"/>
      <c r="AF13" s="353"/>
      <c r="AG13" s="220"/>
      <c r="AI13" s="218">
        <v>158.4</v>
      </c>
      <c r="AJ13" s="353"/>
      <c r="AK13" s="353"/>
      <c r="AL13" s="220"/>
    </row>
    <row r="14" spans="1:458" s="11" customFormat="1" ht="20.100000000000001" customHeight="1">
      <c r="A14" s="41" t="s">
        <v>140</v>
      </c>
      <c r="B14" s="218">
        <v>53.564</v>
      </c>
      <c r="C14" s="219">
        <v>51.881</v>
      </c>
      <c r="D14" s="219">
        <v>66.406999999999996</v>
      </c>
      <c r="E14" s="296">
        <v>67.872</v>
      </c>
      <c r="F14" s="218">
        <v>-36.840000000000003</v>
      </c>
      <c r="G14" s="219">
        <v>-56.231999999999999</v>
      </c>
      <c r="H14" s="219">
        <v>-85.896000000000001</v>
      </c>
      <c r="I14" s="296">
        <v>-104.93900000000001</v>
      </c>
      <c r="J14" s="216">
        <v>31.469000000000001</v>
      </c>
      <c r="K14" s="216">
        <v>-73.8</v>
      </c>
      <c r="L14" s="216">
        <v>-175.9</v>
      </c>
      <c r="M14" s="217">
        <v>-277.7</v>
      </c>
      <c r="N14" s="218">
        <v>-216.1</v>
      </c>
      <c r="O14" s="219">
        <v>69.3</v>
      </c>
      <c r="P14" s="219">
        <v>-184.3</v>
      </c>
      <c r="Q14" s="220">
        <v>-118</v>
      </c>
      <c r="R14" s="218">
        <v>-205.9</v>
      </c>
      <c r="S14" s="219">
        <v>-106.7</v>
      </c>
      <c r="T14" s="219">
        <v>-141.30000000000001</v>
      </c>
      <c r="U14" s="220">
        <v>-33.299999999999997</v>
      </c>
      <c r="V14" s="218">
        <v>-181.5</v>
      </c>
      <c r="W14" s="219">
        <v>-112.9</v>
      </c>
      <c r="X14" s="219">
        <v>-90.1</v>
      </c>
      <c r="Y14" s="220">
        <v>183.1</v>
      </c>
      <c r="Z14" s="219">
        <v>-259.2</v>
      </c>
      <c r="AA14" s="353">
        <v>125.8</v>
      </c>
      <c r="AB14" s="353">
        <v>88</v>
      </c>
      <c r="AC14" s="220">
        <v>-44.2</v>
      </c>
      <c r="AD14" s="218">
        <v>-379.7</v>
      </c>
      <c r="AE14" s="353"/>
      <c r="AF14" s="353"/>
      <c r="AG14" s="220"/>
      <c r="AI14" s="218">
        <v>-439.5</v>
      </c>
      <c r="AJ14" s="353"/>
      <c r="AK14" s="353"/>
      <c r="AL14" s="220"/>
    </row>
    <row r="15" spans="1:458" s="11" customFormat="1" ht="20.100000000000001" customHeight="1">
      <c r="A15" s="41" t="s">
        <v>241</v>
      </c>
      <c r="B15" s="218"/>
      <c r="C15" s="219"/>
      <c r="D15" s="219"/>
      <c r="E15" s="296"/>
      <c r="F15" s="218"/>
      <c r="G15" s="219"/>
      <c r="H15" s="219"/>
      <c r="I15" s="296"/>
      <c r="J15" s="216"/>
      <c r="K15" s="216"/>
      <c r="L15" s="216"/>
      <c r="M15" s="217"/>
      <c r="N15" s="218"/>
      <c r="O15" s="219"/>
      <c r="P15" s="219"/>
      <c r="Q15" s="220"/>
      <c r="R15" s="218"/>
      <c r="S15" s="219"/>
      <c r="T15" s="219"/>
      <c r="U15" s="220"/>
      <c r="V15" s="218"/>
      <c r="W15" s="219"/>
      <c r="X15" s="219"/>
      <c r="Y15" s="220"/>
      <c r="Z15" s="219">
        <v>29.6</v>
      </c>
      <c r="AA15" s="219">
        <v>48.1</v>
      </c>
      <c r="AB15" s="219">
        <v>55.2</v>
      </c>
      <c r="AC15" s="220">
        <v>47.8</v>
      </c>
      <c r="AD15" s="218">
        <v>-9.1999999999999993</v>
      </c>
      <c r="AE15" s="219"/>
      <c r="AF15" s="219"/>
      <c r="AG15" s="220"/>
      <c r="AI15" s="218">
        <v>-9.1999999999999993</v>
      </c>
      <c r="AJ15" s="219"/>
      <c r="AK15" s="219"/>
      <c r="AL15" s="220"/>
    </row>
    <row r="16" spans="1:458" s="11" customFormat="1" ht="20.100000000000001" customHeight="1">
      <c r="A16" s="41" t="s">
        <v>242</v>
      </c>
      <c r="B16" s="218"/>
      <c r="C16" s="219"/>
      <c r="D16" s="219"/>
      <c r="E16" s="296"/>
      <c r="F16" s="218"/>
      <c r="G16" s="219"/>
      <c r="H16" s="219"/>
      <c r="I16" s="296"/>
      <c r="J16" s="216"/>
      <c r="K16" s="216"/>
      <c r="L16" s="216"/>
      <c r="M16" s="217"/>
      <c r="N16" s="218"/>
      <c r="O16" s="219"/>
      <c r="P16" s="219"/>
      <c r="Q16" s="220"/>
      <c r="R16" s="218"/>
      <c r="S16" s="219"/>
      <c r="T16" s="219"/>
      <c r="U16" s="220"/>
      <c r="V16" s="218"/>
      <c r="W16" s="219"/>
      <c r="X16" s="219"/>
      <c r="Y16" s="220"/>
      <c r="Z16" s="219">
        <v>-9.6</v>
      </c>
      <c r="AA16" s="219">
        <v>39.5</v>
      </c>
      <c r="AB16" s="219">
        <v>43.2</v>
      </c>
      <c r="AC16" s="220">
        <v>107.6</v>
      </c>
      <c r="AD16" s="218">
        <v>17.399999999999999</v>
      </c>
      <c r="AE16" s="219"/>
      <c r="AF16" s="219"/>
      <c r="AG16" s="220"/>
      <c r="AI16" s="218">
        <v>17.399999999999999</v>
      </c>
      <c r="AJ16" s="219"/>
      <c r="AK16" s="219"/>
      <c r="AL16" s="220"/>
    </row>
    <row r="17" spans="1:38" s="11" customFormat="1" ht="20.100000000000001" customHeight="1">
      <c r="A17" s="41" t="s">
        <v>141</v>
      </c>
      <c r="B17" s="218">
        <v>-0.186</v>
      </c>
      <c r="C17" s="219">
        <v>4.0730000000000004</v>
      </c>
      <c r="D17" s="219">
        <v>0.502</v>
      </c>
      <c r="E17" s="296">
        <v>2.093</v>
      </c>
      <c r="F17" s="218">
        <v>-1.048</v>
      </c>
      <c r="G17" s="219">
        <v>2.4170000000000003</v>
      </c>
      <c r="H17" s="219">
        <v>-3.5390000000000001</v>
      </c>
      <c r="I17" s="296">
        <v>6.4770000000000003</v>
      </c>
      <c r="J17" s="216">
        <v>-13.309000000000001</v>
      </c>
      <c r="K17" s="216">
        <v>-1.5</v>
      </c>
      <c r="L17" s="216">
        <v>-17.399999999999999</v>
      </c>
      <c r="M17" s="217">
        <v>-4.9000000000000004</v>
      </c>
      <c r="N17" s="218">
        <v>-11.7</v>
      </c>
      <c r="O17" s="219">
        <v>-7.6</v>
      </c>
      <c r="P17" s="219">
        <v>-17.7</v>
      </c>
      <c r="Q17" s="220">
        <v>-3.9</v>
      </c>
      <c r="R17" s="218">
        <v>-11.1</v>
      </c>
      <c r="S17" s="219">
        <v>1</v>
      </c>
      <c r="T17" s="219">
        <v>-5.6</v>
      </c>
      <c r="U17" s="220">
        <v>-6.1</v>
      </c>
      <c r="V17" s="305" t="s">
        <v>1</v>
      </c>
      <c r="W17" s="219">
        <v>9.4</v>
      </c>
      <c r="X17" s="219">
        <v>1.4</v>
      </c>
      <c r="Y17" s="220">
        <v>3.9</v>
      </c>
      <c r="Z17" s="305" t="s">
        <v>1</v>
      </c>
      <c r="AA17" s="306" t="s">
        <v>1</v>
      </c>
      <c r="AB17" s="306" t="s">
        <v>1</v>
      </c>
      <c r="AC17" s="310" t="s">
        <v>1</v>
      </c>
      <c r="AD17" s="305" t="s">
        <v>1</v>
      </c>
      <c r="AE17" s="306"/>
      <c r="AF17" s="306"/>
      <c r="AG17" s="310"/>
      <c r="AI17" s="305" t="s">
        <v>1</v>
      </c>
      <c r="AJ17" s="306"/>
      <c r="AK17" s="306"/>
      <c r="AL17" s="310"/>
    </row>
    <row r="18" spans="1:38" s="11" customFormat="1" ht="20.100000000000001" customHeight="1">
      <c r="A18" s="41" t="s">
        <v>142</v>
      </c>
      <c r="B18" s="218">
        <v>-9.7880000000000003</v>
      </c>
      <c r="C18" s="219">
        <v>-10.354000000000001</v>
      </c>
      <c r="D18" s="219">
        <v>-21.978000000000002</v>
      </c>
      <c r="E18" s="296">
        <v>-31.345000000000002</v>
      </c>
      <c r="F18" s="218">
        <v>3.66</v>
      </c>
      <c r="G18" s="219">
        <v>9.0690000000000008</v>
      </c>
      <c r="H18" s="219">
        <v>11.329000000000001</v>
      </c>
      <c r="I18" s="296">
        <v>14.404</v>
      </c>
      <c r="J18" s="216">
        <v>11.066000000000001</v>
      </c>
      <c r="K18" s="216">
        <v>11.1</v>
      </c>
      <c r="L18" s="216">
        <v>-0.2</v>
      </c>
      <c r="M18" s="217">
        <v>-3.9</v>
      </c>
      <c r="N18" s="218">
        <v>-0.6</v>
      </c>
      <c r="O18" s="219">
        <v>5.3</v>
      </c>
      <c r="P18" s="219">
        <v>4.8</v>
      </c>
      <c r="Q18" s="220">
        <v>6.6</v>
      </c>
      <c r="R18" s="218">
        <v>2.5</v>
      </c>
      <c r="S18" s="219">
        <v>4.7</v>
      </c>
      <c r="T18" s="219">
        <v>7.3</v>
      </c>
      <c r="U18" s="220">
        <v>9.8000000000000007</v>
      </c>
      <c r="V18" s="305" t="s">
        <v>1</v>
      </c>
      <c r="W18" s="306" t="s">
        <v>1</v>
      </c>
      <c r="X18" s="306" t="s">
        <v>1</v>
      </c>
      <c r="Y18" s="310" t="s">
        <v>1</v>
      </c>
      <c r="Z18" s="305" t="s">
        <v>1</v>
      </c>
      <c r="AA18" s="306" t="s">
        <v>1</v>
      </c>
      <c r="AB18" s="306" t="s">
        <v>1</v>
      </c>
      <c r="AC18" s="310" t="s">
        <v>1</v>
      </c>
      <c r="AD18" s="305" t="s">
        <v>1</v>
      </c>
      <c r="AE18" s="306"/>
      <c r="AF18" s="306"/>
      <c r="AG18" s="310"/>
      <c r="AI18" s="305" t="s">
        <v>1</v>
      </c>
      <c r="AJ18" s="306"/>
      <c r="AK18" s="306"/>
      <c r="AL18" s="310"/>
    </row>
    <row r="19" spans="1:38" s="10" customFormat="1" ht="20.100000000000001" customHeight="1">
      <c r="A19" s="351" t="s">
        <v>234</v>
      </c>
      <c r="B19" s="352">
        <v>-0.73</v>
      </c>
      <c r="C19" s="353">
        <v>-1.5010000000000001</v>
      </c>
      <c r="D19" s="353">
        <v>-2.044</v>
      </c>
      <c r="E19" s="354">
        <v>-2.8970000000000002</v>
      </c>
      <c r="F19" s="352">
        <v>-0.76200000000000001</v>
      </c>
      <c r="G19" s="353">
        <v>-1.58</v>
      </c>
      <c r="H19" s="353">
        <v>-2.3290000000000002</v>
      </c>
      <c r="I19" s="354">
        <v>-2.9239999999999999</v>
      </c>
      <c r="J19" s="355">
        <v>-0.63300000000000001</v>
      </c>
      <c r="K19" s="355">
        <v>-1.3</v>
      </c>
      <c r="L19" s="355">
        <v>-2</v>
      </c>
      <c r="M19" s="217">
        <v>-2.6</v>
      </c>
      <c r="N19" s="352">
        <v>-0.5</v>
      </c>
      <c r="O19" s="353">
        <v>-1.4</v>
      </c>
      <c r="P19" s="353">
        <v>-1.9</v>
      </c>
      <c r="Q19" s="220">
        <v>-2.6</v>
      </c>
      <c r="R19" s="352">
        <v>-0.8</v>
      </c>
      <c r="S19" s="353">
        <v>0</v>
      </c>
      <c r="T19" s="353">
        <v>0</v>
      </c>
      <c r="U19" s="220">
        <v>0</v>
      </c>
      <c r="V19" s="356" t="s">
        <v>1</v>
      </c>
      <c r="W19" s="357" t="s">
        <v>1</v>
      </c>
      <c r="X19" s="357" t="s">
        <v>1</v>
      </c>
      <c r="Y19" s="310" t="s">
        <v>1</v>
      </c>
      <c r="Z19" s="356" t="s">
        <v>1</v>
      </c>
      <c r="AA19" s="357" t="s">
        <v>1</v>
      </c>
      <c r="AB19" s="357" t="s">
        <v>1</v>
      </c>
      <c r="AC19" s="310" t="s">
        <v>1</v>
      </c>
      <c r="AD19" s="356" t="s">
        <v>1</v>
      </c>
      <c r="AE19" s="357"/>
      <c r="AF19" s="357"/>
      <c r="AG19" s="310"/>
      <c r="AI19" s="356" t="s">
        <v>1</v>
      </c>
      <c r="AJ19" s="357"/>
      <c r="AK19" s="357"/>
      <c r="AL19" s="310"/>
    </row>
    <row r="20" spans="1:38" s="11" customFormat="1" ht="20.100000000000001" customHeight="1">
      <c r="A20" s="351" t="s">
        <v>231</v>
      </c>
      <c r="B20" s="218"/>
      <c r="C20" s="219"/>
      <c r="D20" s="219"/>
      <c r="E20" s="296"/>
      <c r="F20" s="218"/>
      <c r="G20" s="219"/>
      <c r="H20" s="219"/>
      <c r="I20" s="296"/>
      <c r="J20" s="216"/>
      <c r="K20" s="216"/>
      <c r="L20" s="216"/>
      <c r="M20" s="217"/>
      <c r="N20" s="218"/>
      <c r="O20" s="219"/>
      <c r="P20" s="219"/>
      <c r="Q20" s="220"/>
      <c r="R20" s="218"/>
      <c r="S20" s="219"/>
      <c r="T20" s="219"/>
      <c r="U20" s="220">
        <v>0</v>
      </c>
      <c r="V20" s="218"/>
      <c r="W20" s="219"/>
      <c r="X20" s="219"/>
      <c r="Y20" s="220">
        <v>-2.8</v>
      </c>
      <c r="Z20" s="219">
        <v>-5.2</v>
      </c>
      <c r="AA20" s="219">
        <v>-5.0999999999999996</v>
      </c>
      <c r="AB20" s="11">
        <v>-1.6</v>
      </c>
      <c r="AC20" s="220">
        <v>1.2</v>
      </c>
      <c r="AD20" s="218">
        <v>1.7</v>
      </c>
      <c r="AE20" s="219"/>
      <c r="AG20" s="220"/>
      <c r="AI20" s="218">
        <v>1.7</v>
      </c>
      <c r="AJ20" s="219"/>
      <c r="AL20" s="220"/>
    </row>
    <row r="21" spans="1:38" s="11" customFormat="1" ht="20.100000000000001" customHeight="1">
      <c r="A21" s="41" t="s">
        <v>143</v>
      </c>
      <c r="B21" s="218">
        <v>-87.786000000000001</v>
      </c>
      <c r="C21" s="219">
        <v>-51.798000000000002</v>
      </c>
      <c r="D21" s="219">
        <v>-102.06700000000001</v>
      </c>
      <c r="E21" s="296">
        <v>-111.07600000000001</v>
      </c>
      <c r="F21" s="218">
        <v>25.975999999999999</v>
      </c>
      <c r="G21" s="219">
        <v>77.412999999999997</v>
      </c>
      <c r="H21" s="219">
        <v>39.252000000000002</v>
      </c>
      <c r="I21" s="296">
        <v>16.294</v>
      </c>
      <c r="J21" s="216">
        <v>10.337</v>
      </c>
      <c r="K21" s="216">
        <v>8.8000000000000007</v>
      </c>
      <c r="L21" s="216">
        <v>164.9</v>
      </c>
      <c r="M21" s="217">
        <v>369.9</v>
      </c>
      <c r="N21" s="218">
        <v>37.1</v>
      </c>
      <c r="O21" s="219">
        <v>99.2</v>
      </c>
      <c r="P21" s="219">
        <v>135.80000000000001</v>
      </c>
      <c r="Q21" s="220">
        <v>222</v>
      </c>
      <c r="R21" s="218">
        <v>250.2</v>
      </c>
      <c r="S21" s="219">
        <v>276.10000000000002</v>
      </c>
      <c r="T21" s="219">
        <v>258.3</v>
      </c>
      <c r="U21" s="220">
        <v>270.89999999999998</v>
      </c>
      <c r="V21" s="218">
        <v>-28.4</v>
      </c>
      <c r="W21" s="219">
        <v>-27.4</v>
      </c>
      <c r="X21" s="219">
        <v>-15.1</v>
      </c>
      <c r="Y21" s="220">
        <v>-31.1</v>
      </c>
      <c r="Z21" s="219">
        <v>4.5999999999999996</v>
      </c>
      <c r="AA21" s="219">
        <v>24.1</v>
      </c>
      <c r="AB21" s="219">
        <v>11.1</v>
      </c>
      <c r="AC21" s="220">
        <v>15.8</v>
      </c>
      <c r="AD21" s="218">
        <v>1.1000000000000001</v>
      </c>
      <c r="AE21" s="219"/>
      <c r="AF21" s="219"/>
      <c r="AG21" s="220"/>
      <c r="AI21" s="218">
        <v>1.9</v>
      </c>
      <c r="AJ21" s="219"/>
      <c r="AK21" s="219"/>
      <c r="AL21" s="220"/>
    </row>
    <row r="22" spans="1:38" s="11" customFormat="1" ht="20.100000000000001" customHeight="1">
      <c r="A22" s="41" t="s">
        <v>69</v>
      </c>
      <c r="B22" s="218">
        <v>41.158999999999999</v>
      </c>
      <c r="C22" s="219">
        <v>54.56</v>
      </c>
      <c r="D22" s="219">
        <v>80.768000000000001</v>
      </c>
      <c r="E22" s="296">
        <v>97.349000000000004</v>
      </c>
      <c r="F22" s="218">
        <v>14.031000000000001</v>
      </c>
      <c r="G22" s="219">
        <v>27.457000000000001</v>
      </c>
      <c r="H22" s="219">
        <v>51.835000000000001</v>
      </c>
      <c r="I22" s="296">
        <v>67.376000000000005</v>
      </c>
      <c r="J22" s="216">
        <v>14.384</v>
      </c>
      <c r="K22" s="216">
        <v>31.1</v>
      </c>
      <c r="L22" s="216">
        <v>32.200000000000003</v>
      </c>
      <c r="M22" s="217">
        <v>21.7</v>
      </c>
      <c r="N22" s="218">
        <v>26</v>
      </c>
      <c r="O22" s="219">
        <v>71.900000000000006</v>
      </c>
      <c r="P22" s="219">
        <v>182.7</v>
      </c>
      <c r="Q22" s="220">
        <v>169</v>
      </c>
      <c r="R22" s="218">
        <v>27.2</v>
      </c>
      <c r="S22" s="219">
        <v>48.4</v>
      </c>
      <c r="T22" s="219">
        <v>113.5</v>
      </c>
      <c r="U22" s="220">
        <v>12.4</v>
      </c>
      <c r="V22" s="218">
        <v>30.8</v>
      </c>
      <c r="W22" s="219">
        <v>138.4</v>
      </c>
      <c r="X22" s="219">
        <v>192.6</v>
      </c>
      <c r="Y22" s="220">
        <v>389.8</v>
      </c>
      <c r="Z22" s="219">
        <v>72.5</v>
      </c>
      <c r="AA22" s="219">
        <v>171.8</v>
      </c>
      <c r="AB22" s="219">
        <v>247.8</v>
      </c>
      <c r="AC22" s="220">
        <v>490</v>
      </c>
      <c r="AD22" s="218">
        <v>78</v>
      </c>
      <c r="AE22" s="219"/>
      <c r="AF22" s="219"/>
      <c r="AG22" s="220"/>
      <c r="AI22" s="218">
        <v>77.3</v>
      </c>
      <c r="AJ22" s="219"/>
      <c r="AK22" s="219"/>
      <c r="AL22" s="220"/>
    </row>
    <row r="23" spans="1:38" s="11" customFormat="1" ht="20.100000000000001" customHeight="1">
      <c r="A23" s="41" t="s">
        <v>144</v>
      </c>
      <c r="B23" s="218">
        <v>-38.363</v>
      </c>
      <c r="C23" s="219">
        <v>-76.626000000000005</v>
      </c>
      <c r="D23" s="219">
        <v>-120.02500000000001</v>
      </c>
      <c r="E23" s="296">
        <v>-164.00800000000001</v>
      </c>
      <c r="F23" s="218">
        <v>-40.92</v>
      </c>
      <c r="G23" s="219">
        <v>-81.858999999999995</v>
      </c>
      <c r="H23" s="219">
        <v>-116.813</v>
      </c>
      <c r="I23" s="296">
        <v>-158.85900000000001</v>
      </c>
      <c r="J23" s="216">
        <v>-30.564</v>
      </c>
      <c r="K23" s="216">
        <v>-65.3</v>
      </c>
      <c r="L23" s="216">
        <v>-142.1</v>
      </c>
      <c r="M23" s="217">
        <v>-193.1</v>
      </c>
      <c r="N23" s="218">
        <v>-43.6</v>
      </c>
      <c r="O23" s="219">
        <v>-72.2</v>
      </c>
      <c r="P23" s="219">
        <v>-96.7</v>
      </c>
      <c r="Q23" s="220">
        <v>-134.69999999999999</v>
      </c>
      <c r="R23" s="218">
        <v>-31.1</v>
      </c>
      <c r="S23" s="219">
        <v>-71.2</v>
      </c>
      <c r="T23" s="219">
        <v>-111</v>
      </c>
      <c r="U23" s="220">
        <v>-153</v>
      </c>
      <c r="V23" s="218">
        <v>-33.1</v>
      </c>
      <c r="W23" s="219">
        <v>-65.599999999999994</v>
      </c>
      <c r="X23" s="219">
        <v>-97.4</v>
      </c>
      <c r="Y23" s="220">
        <v>-137.5</v>
      </c>
      <c r="Z23" s="219">
        <v>-25.7</v>
      </c>
      <c r="AA23" s="219">
        <v>-42.9</v>
      </c>
      <c r="AB23" s="219">
        <v>-61.2</v>
      </c>
      <c r="AC23" s="220">
        <v>-83.9</v>
      </c>
      <c r="AD23" s="218">
        <v>-25.8</v>
      </c>
      <c r="AE23" s="219"/>
      <c r="AF23" s="219"/>
      <c r="AG23" s="220"/>
      <c r="AI23" s="218">
        <v>-25.8</v>
      </c>
      <c r="AJ23" s="219"/>
      <c r="AK23" s="219"/>
      <c r="AL23" s="220"/>
    </row>
    <row r="24" spans="1:38" s="11" customFormat="1" ht="20.100000000000001" customHeight="1">
      <c r="A24" s="351" t="s">
        <v>208</v>
      </c>
      <c r="B24" s="230">
        <v>0</v>
      </c>
      <c r="C24" s="231">
        <v>0</v>
      </c>
      <c r="D24" s="231">
        <v>0</v>
      </c>
      <c r="E24" s="232">
        <v>0</v>
      </c>
      <c r="F24" s="230">
        <v>0</v>
      </c>
      <c r="G24" s="231">
        <v>0</v>
      </c>
      <c r="H24" s="231">
        <v>0</v>
      </c>
      <c r="I24" s="232">
        <v>0</v>
      </c>
      <c r="J24" s="233">
        <v>0</v>
      </c>
      <c r="K24" s="216">
        <v>82.1</v>
      </c>
      <c r="L24" s="216">
        <v>82.1</v>
      </c>
      <c r="M24" s="217">
        <v>82.1</v>
      </c>
      <c r="N24" s="218">
        <v>0</v>
      </c>
      <c r="O24" s="219">
        <v>0</v>
      </c>
      <c r="P24" s="219">
        <v>-371.4</v>
      </c>
      <c r="Q24" s="220">
        <v>-371.4</v>
      </c>
      <c r="R24" s="218">
        <v>0</v>
      </c>
      <c r="S24" s="219">
        <v>0</v>
      </c>
      <c r="T24" s="219">
        <v>0</v>
      </c>
      <c r="U24" s="220"/>
      <c r="V24" s="218"/>
      <c r="W24" s="219"/>
      <c r="X24" s="219"/>
      <c r="Y24" s="220"/>
      <c r="Z24" s="219">
        <v>0</v>
      </c>
      <c r="AA24" s="219">
        <v>0</v>
      </c>
      <c r="AB24" s="219">
        <v>0</v>
      </c>
      <c r="AC24" s="220">
        <v>0</v>
      </c>
      <c r="AD24" s="218">
        <v>0</v>
      </c>
      <c r="AE24" s="219"/>
      <c r="AF24" s="219"/>
      <c r="AG24" s="220"/>
      <c r="AI24" s="218">
        <v>0</v>
      </c>
      <c r="AJ24" s="219"/>
      <c r="AK24" s="219"/>
      <c r="AL24" s="220"/>
    </row>
    <row r="25" spans="1:38" s="11" customFormat="1" ht="20.100000000000001" customHeight="1">
      <c r="A25" s="351" t="s">
        <v>232</v>
      </c>
      <c r="B25" s="230"/>
      <c r="C25" s="231"/>
      <c r="D25" s="231"/>
      <c r="E25" s="232"/>
      <c r="F25" s="230"/>
      <c r="G25" s="231"/>
      <c r="H25" s="231"/>
      <c r="I25" s="232"/>
      <c r="J25" s="233"/>
      <c r="K25" s="216"/>
      <c r="L25" s="216"/>
      <c r="M25" s="217"/>
      <c r="N25" s="218"/>
      <c r="O25" s="219"/>
      <c r="P25" s="219"/>
      <c r="Q25" s="220"/>
      <c r="R25" s="218"/>
      <c r="S25" s="219"/>
      <c r="T25" s="219"/>
      <c r="U25" s="220">
        <v>0</v>
      </c>
      <c r="V25" s="218">
        <v>58.7</v>
      </c>
      <c r="W25" s="219">
        <v>58.7</v>
      </c>
      <c r="X25" s="219">
        <v>58.7</v>
      </c>
      <c r="Y25" s="220">
        <v>58.7</v>
      </c>
      <c r="Z25" s="219">
        <v>0</v>
      </c>
      <c r="AA25" s="219">
        <v>0</v>
      </c>
      <c r="AB25" s="219">
        <v>0</v>
      </c>
      <c r="AC25" s="220">
        <v>0</v>
      </c>
      <c r="AD25" s="218">
        <v>0</v>
      </c>
      <c r="AE25" s="219"/>
      <c r="AF25" s="219"/>
      <c r="AG25" s="220"/>
      <c r="AI25" s="218">
        <v>0</v>
      </c>
      <c r="AJ25" s="219"/>
      <c r="AK25" s="219"/>
      <c r="AL25" s="220"/>
    </row>
    <row r="26" spans="1:38" s="11" customFormat="1" ht="20.100000000000001" customHeight="1">
      <c r="A26" s="41" t="s">
        <v>217</v>
      </c>
      <c r="B26" s="230">
        <v>0</v>
      </c>
      <c r="C26" s="231">
        <v>0</v>
      </c>
      <c r="D26" s="231">
        <v>0</v>
      </c>
      <c r="E26" s="232">
        <v>0</v>
      </c>
      <c r="F26" s="230">
        <v>0</v>
      </c>
      <c r="G26" s="231">
        <v>0</v>
      </c>
      <c r="H26" s="231">
        <v>0</v>
      </c>
      <c r="I26" s="232">
        <v>0</v>
      </c>
      <c r="J26" s="233">
        <v>0</v>
      </c>
      <c r="K26" s="216">
        <v>16.5</v>
      </c>
      <c r="L26" s="216">
        <v>55.4</v>
      </c>
      <c r="M26" s="217">
        <v>84.3</v>
      </c>
      <c r="N26" s="218">
        <v>10.6</v>
      </c>
      <c r="O26" s="219">
        <v>33.9</v>
      </c>
      <c r="P26" s="219">
        <v>37.6</v>
      </c>
      <c r="Q26" s="220">
        <v>53</v>
      </c>
      <c r="R26" s="218">
        <v>-174.6</v>
      </c>
      <c r="S26" s="219">
        <v>-160.19999999999999</v>
      </c>
      <c r="T26" s="219">
        <v>-161.9</v>
      </c>
      <c r="U26" s="220">
        <v>-164.9</v>
      </c>
      <c r="V26" s="218">
        <v>-0.1</v>
      </c>
      <c r="W26" s="219">
        <v>0.9</v>
      </c>
      <c r="X26" s="219">
        <v>-1.3</v>
      </c>
      <c r="Y26" s="220">
        <v>-1.5</v>
      </c>
      <c r="Z26" s="306" t="s">
        <v>1</v>
      </c>
      <c r="AA26" s="306" t="s">
        <v>1</v>
      </c>
      <c r="AB26" s="306" t="s">
        <v>1</v>
      </c>
      <c r="AC26" s="310" t="s">
        <v>1</v>
      </c>
      <c r="AD26" s="305" t="s">
        <v>1</v>
      </c>
      <c r="AE26" s="306"/>
      <c r="AF26" s="306"/>
      <c r="AG26" s="310"/>
      <c r="AI26" s="305" t="s">
        <v>1</v>
      </c>
      <c r="AJ26" s="306"/>
      <c r="AK26" s="306"/>
      <c r="AL26" s="310"/>
    </row>
    <row r="27" spans="1:38" s="11" customFormat="1" ht="20.100000000000001" customHeight="1" thickBot="1">
      <c r="A27" s="41" t="s">
        <v>145</v>
      </c>
      <c r="B27" s="218">
        <v>0.245</v>
      </c>
      <c r="C27" s="219">
        <v>0.78500000000000003</v>
      </c>
      <c r="D27" s="219">
        <v>1.31</v>
      </c>
      <c r="E27" s="296">
        <v>3.5380000000000003</v>
      </c>
      <c r="F27" s="218">
        <v>1.484</v>
      </c>
      <c r="G27" s="219">
        <f>4.197+4.842</f>
        <v>9.0389999999999997</v>
      </c>
      <c r="H27" s="219">
        <f>5.852+4.842</f>
        <v>10.693999999999999</v>
      </c>
      <c r="I27" s="296">
        <v>11.93</v>
      </c>
      <c r="J27" s="216">
        <v>1.7790000000000001</v>
      </c>
      <c r="K27" s="216">
        <v>10.8</v>
      </c>
      <c r="L27" s="216">
        <v>11.7</v>
      </c>
      <c r="M27" s="217">
        <v>96.1</v>
      </c>
      <c r="N27" s="218">
        <v>-3</v>
      </c>
      <c r="O27" s="219">
        <v>9</v>
      </c>
      <c r="P27" s="219">
        <v>19.600000000000001</v>
      </c>
      <c r="Q27" s="220">
        <v>21.6</v>
      </c>
      <c r="R27" s="218">
        <v>2.5</v>
      </c>
      <c r="S27" s="219">
        <v>-1.9</v>
      </c>
      <c r="T27" s="219">
        <v>22.5</v>
      </c>
      <c r="U27" s="220">
        <v>24</v>
      </c>
      <c r="V27" s="218">
        <v>-2.1</v>
      </c>
      <c r="W27" s="219">
        <v>18.100000000000001</v>
      </c>
      <c r="X27" s="219">
        <v>51.1</v>
      </c>
      <c r="Y27" s="220">
        <v>55.5</v>
      </c>
      <c r="Z27" s="219">
        <v>-18.2</v>
      </c>
      <c r="AA27" s="219">
        <v>2.5</v>
      </c>
      <c r="AB27" s="219">
        <v>18.2</v>
      </c>
      <c r="AC27" s="220">
        <v>-97.8</v>
      </c>
      <c r="AD27" s="218">
        <v>1.1000000000000001</v>
      </c>
      <c r="AE27" s="219"/>
      <c r="AF27" s="219"/>
      <c r="AG27" s="220"/>
      <c r="AI27" s="218">
        <v>1.1000000000000001</v>
      </c>
      <c r="AJ27" s="219"/>
      <c r="AK27" s="219"/>
      <c r="AL27" s="220"/>
    </row>
    <row r="28" spans="1:38" s="11" customFormat="1" ht="20.100000000000001" customHeight="1" thickBot="1">
      <c r="A28" s="40" t="s">
        <v>164</v>
      </c>
      <c r="B28" s="214">
        <f t="shared" ref="B28:Y28" si="4">B4+B5</f>
        <v>233.42699999999999</v>
      </c>
      <c r="C28" s="212">
        <f t="shared" si="4"/>
        <v>415.61099999999999</v>
      </c>
      <c r="D28" s="212">
        <f t="shared" si="4"/>
        <v>628.7700000000001</v>
      </c>
      <c r="E28" s="293">
        <f t="shared" si="4"/>
        <v>843.21800000000007</v>
      </c>
      <c r="F28" s="214">
        <f t="shared" si="4"/>
        <v>165.66199999999998</v>
      </c>
      <c r="G28" s="212">
        <f t="shared" si="4"/>
        <v>351.928</v>
      </c>
      <c r="H28" s="212">
        <f t="shared" si="4"/>
        <v>548.24399999999991</v>
      </c>
      <c r="I28" s="293">
        <f t="shared" si="4"/>
        <v>859.7349999999999</v>
      </c>
      <c r="J28" s="212">
        <f t="shared" si="4"/>
        <v>184.70400000000001</v>
      </c>
      <c r="K28" s="212">
        <f t="shared" si="4"/>
        <v>735.69999999999993</v>
      </c>
      <c r="L28" s="212">
        <f t="shared" si="4"/>
        <v>1423.9000000000003</v>
      </c>
      <c r="M28" s="213">
        <f t="shared" si="4"/>
        <v>2117.7999999999975</v>
      </c>
      <c r="N28" s="214">
        <f t="shared" si="4"/>
        <v>453.00000000000011</v>
      </c>
      <c r="O28" s="212">
        <f t="shared" si="4"/>
        <v>1327.9999999999995</v>
      </c>
      <c r="P28" s="212">
        <f t="shared" si="4"/>
        <v>2173.4999999999991</v>
      </c>
      <c r="Q28" s="215">
        <f t="shared" si="4"/>
        <v>2985.0999999999995</v>
      </c>
      <c r="R28" s="214">
        <f t="shared" si="4"/>
        <v>584.40000000000009</v>
      </c>
      <c r="S28" s="212">
        <f t="shared" si="4"/>
        <v>1549.4</v>
      </c>
      <c r="T28" s="212">
        <f t="shared" si="4"/>
        <v>2357.5000000000009</v>
      </c>
      <c r="U28" s="215">
        <f t="shared" si="4"/>
        <v>3151.5000000000005</v>
      </c>
      <c r="V28" s="214">
        <f t="shared" si="4"/>
        <v>780.70000000000027</v>
      </c>
      <c r="W28" s="212">
        <f t="shared" si="4"/>
        <v>1615.9</v>
      </c>
      <c r="X28" s="212">
        <f t="shared" si="4"/>
        <v>2245.6999999999998</v>
      </c>
      <c r="Y28" s="215">
        <f t="shared" si="4"/>
        <v>3126.3</v>
      </c>
      <c r="Z28" s="214">
        <f>Z4+Z5</f>
        <v>633.10000000000014</v>
      </c>
      <c r="AA28" s="212">
        <f>AA4+AA5</f>
        <v>1396.9</v>
      </c>
      <c r="AB28" s="212">
        <f>AB4+AB5</f>
        <v>2220.8000000000002</v>
      </c>
      <c r="AC28" s="215">
        <f t="shared" ref="AC28" si="5">AC4+AC5</f>
        <v>3232.1</v>
      </c>
      <c r="AD28" s="214">
        <f>AD4+AD5</f>
        <v>703.2</v>
      </c>
      <c r="AE28" s="212">
        <f t="shared" ref="AE28:AG28" si="6">AE4+AE5</f>
        <v>0</v>
      </c>
      <c r="AF28" s="212">
        <f t="shared" si="6"/>
        <v>0</v>
      </c>
      <c r="AG28" s="215">
        <f t="shared" si="6"/>
        <v>0</v>
      </c>
      <c r="AI28" s="214">
        <f>AI4+AI5</f>
        <v>762.2</v>
      </c>
      <c r="AJ28" s="212">
        <f t="shared" ref="AJ28:AL28" si="7">AJ4+AJ5</f>
        <v>0</v>
      </c>
      <c r="AK28" s="212">
        <f t="shared" si="7"/>
        <v>0</v>
      </c>
      <c r="AL28" s="215">
        <f t="shared" si="7"/>
        <v>0</v>
      </c>
    </row>
    <row r="29" spans="1:38" s="11" customFormat="1" ht="20.100000000000001" customHeight="1">
      <c r="A29" s="41" t="s">
        <v>146</v>
      </c>
      <c r="B29" s="218">
        <v>-12.561</v>
      </c>
      <c r="C29" s="219">
        <v>-47.188000000000002</v>
      </c>
      <c r="D29" s="219">
        <v>-59.765999999999998</v>
      </c>
      <c r="E29" s="296">
        <v>-78.733000000000004</v>
      </c>
      <c r="F29" s="218">
        <v>-13.763</v>
      </c>
      <c r="G29" s="219">
        <v>-26.318999999999999</v>
      </c>
      <c r="H29" s="219">
        <v>-37.451999999999998</v>
      </c>
      <c r="I29" s="296">
        <v>-67.486000000000004</v>
      </c>
      <c r="J29" s="216">
        <v>-17.809000000000001</v>
      </c>
      <c r="K29" s="216">
        <v>-99.5</v>
      </c>
      <c r="L29" s="216">
        <v>-135.19999999999999</v>
      </c>
      <c r="M29" s="217">
        <v>-189.1</v>
      </c>
      <c r="N29" s="218">
        <v>-48.5</v>
      </c>
      <c r="O29" s="219">
        <v>-44.2</v>
      </c>
      <c r="P29" s="219">
        <v>-94.2</v>
      </c>
      <c r="Q29" s="220">
        <v>-136.19999999999999</v>
      </c>
      <c r="R29" s="218">
        <v>-145.69999999999999</v>
      </c>
      <c r="S29" s="219">
        <v>-186.5</v>
      </c>
      <c r="T29" s="219">
        <v>-236.1</v>
      </c>
      <c r="U29" s="220">
        <v>-292.7</v>
      </c>
      <c r="V29" s="218">
        <v>-43.5</v>
      </c>
      <c r="W29" s="219">
        <v>-112.5</v>
      </c>
      <c r="X29" s="219">
        <v>-181.5</v>
      </c>
      <c r="Y29" s="220">
        <v>-216.2</v>
      </c>
      <c r="Z29" s="219">
        <v>-70.599999999999994</v>
      </c>
      <c r="AA29" s="219">
        <v>-191.3</v>
      </c>
      <c r="AB29" s="219">
        <v>-265.10000000000002</v>
      </c>
      <c r="AC29" s="220">
        <v>-343.2</v>
      </c>
      <c r="AD29" s="218">
        <v>-66.099999999999994</v>
      </c>
      <c r="AE29" s="219"/>
      <c r="AF29" s="219"/>
      <c r="AG29" s="220"/>
      <c r="AI29" s="218">
        <v>-66.099999999999994</v>
      </c>
      <c r="AJ29" s="219"/>
      <c r="AK29" s="219"/>
      <c r="AL29" s="220"/>
    </row>
    <row r="30" spans="1:38" s="11" customFormat="1" ht="20.100000000000001" customHeight="1" thickBot="1">
      <c r="A30" s="41" t="s">
        <v>147</v>
      </c>
      <c r="B30" s="218">
        <v>3.843</v>
      </c>
      <c r="C30" s="219">
        <v>8.1440000000000001</v>
      </c>
      <c r="D30" s="219">
        <v>12.96</v>
      </c>
      <c r="E30" s="296">
        <v>16.882000000000001</v>
      </c>
      <c r="F30" s="218">
        <v>3.544</v>
      </c>
      <c r="G30" s="219">
        <v>6.1040000000000001</v>
      </c>
      <c r="H30" s="219">
        <v>8.5630000000000006</v>
      </c>
      <c r="I30" s="296">
        <v>10.41</v>
      </c>
      <c r="J30" s="216">
        <v>2.165</v>
      </c>
      <c r="K30" s="216">
        <v>13.4</v>
      </c>
      <c r="L30" s="216">
        <v>33.1</v>
      </c>
      <c r="M30" s="217">
        <v>45.2</v>
      </c>
      <c r="N30" s="218">
        <v>13.2</v>
      </c>
      <c r="O30" s="219">
        <v>20.5</v>
      </c>
      <c r="P30" s="219">
        <v>30.5</v>
      </c>
      <c r="Q30" s="220">
        <v>38.799999999999997</v>
      </c>
      <c r="R30" s="218">
        <v>8.1</v>
      </c>
      <c r="S30" s="219">
        <v>13.1</v>
      </c>
      <c r="T30" s="219">
        <v>19.5</v>
      </c>
      <c r="U30" s="220">
        <v>25.9</v>
      </c>
      <c r="V30" s="218">
        <v>14.5</v>
      </c>
      <c r="W30" s="219">
        <v>16</v>
      </c>
      <c r="X30" s="219">
        <v>23.5</v>
      </c>
      <c r="Y30" s="220">
        <v>31.3</v>
      </c>
      <c r="Z30" s="219">
        <v>7.5</v>
      </c>
      <c r="AA30" s="219">
        <v>14.6</v>
      </c>
      <c r="AB30" s="219">
        <v>20.5</v>
      </c>
      <c r="AC30" s="220">
        <v>26.2</v>
      </c>
      <c r="AD30" s="218">
        <v>4.8</v>
      </c>
      <c r="AE30" s="219"/>
      <c r="AF30" s="219"/>
      <c r="AG30" s="220"/>
      <c r="AI30" s="218">
        <v>4.8</v>
      </c>
      <c r="AJ30" s="219"/>
      <c r="AK30" s="219"/>
      <c r="AL30" s="220"/>
    </row>
    <row r="31" spans="1:38" s="11" customFormat="1" ht="24.95" customHeight="1" thickBot="1">
      <c r="A31" s="42" t="s">
        <v>163</v>
      </c>
      <c r="B31" s="223">
        <f t="shared" ref="B31:Q31" si="8">SUM(B28:B30)</f>
        <v>224.70899999999997</v>
      </c>
      <c r="C31" s="221">
        <f t="shared" si="8"/>
        <v>376.56700000000001</v>
      </c>
      <c r="D31" s="221">
        <f t="shared" si="8"/>
        <v>581.96400000000017</v>
      </c>
      <c r="E31" s="297">
        <f t="shared" si="8"/>
        <v>781.36700000000008</v>
      </c>
      <c r="F31" s="223">
        <f t="shared" si="8"/>
        <v>155.44299999999998</v>
      </c>
      <c r="G31" s="221">
        <f t="shared" si="8"/>
        <v>331.71299999999997</v>
      </c>
      <c r="H31" s="221">
        <f t="shared" si="8"/>
        <v>519.3549999999999</v>
      </c>
      <c r="I31" s="297">
        <f t="shared" si="8"/>
        <v>802.65899999999988</v>
      </c>
      <c r="J31" s="221">
        <f t="shared" si="8"/>
        <v>169.06</v>
      </c>
      <c r="K31" s="221">
        <f t="shared" si="8"/>
        <v>649.59999999999991</v>
      </c>
      <c r="L31" s="221">
        <f t="shared" si="8"/>
        <v>1321.8000000000002</v>
      </c>
      <c r="M31" s="222">
        <f t="shared" si="8"/>
        <v>1973.8999999999976</v>
      </c>
      <c r="N31" s="223">
        <f t="shared" si="8"/>
        <v>417.7000000000001</v>
      </c>
      <c r="O31" s="221">
        <f t="shared" si="8"/>
        <v>1304.2999999999995</v>
      </c>
      <c r="P31" s="221">
        <f t="shared" si="8"/>
        <v>2109.7999999999993</v>
      </c>
      <c r="Q31" s="224">
        <f t="shared" si="8"/>
        <v>2887.7</v>
      </c>
      <c r="R31" s="223">
        <f t="shared" ref="R31:T31" si="9">SUM(R28:R30)</f>
        <v>446.80000000000013</v>
      </c>
      <c r="S31" s="221">
        <f t="shared" si="9"/>
        <v>1376</v>
      </c>
      <c r="T31" s="221">
        <f t="shared" si="9"/>
        <v>2140.900000000001</v>
      </c>
      <c r="U31" s="224">
        <f t="shared" ref="U31:X31" si="10">SUM(U28:U30)</f>
        <v>2884.7000000000007</v>
      </c>
      <c r="V31" s="223">
        <f t="shared" si="10"/>
        <v>751.70000000000027</v>
      </c>
      <c r="W31" s="221">
        <f t="shared" si="10"/>
        <v>1519.4</v>
      </c>
      <c r="X31" s="221">
        <f t="shared" si="10"/>
        <v>2087.6999999999998</v>
      </c>
      <c r="Y31" s="224">
        <f t="shared" ref="Y31:AG31" si="11">SUM(Y28:Y30)</f>
        <v>2941.4000000000005</v>
      </c>
      <c r="Z31" s="223">
        <f t="shared" si="11"/>
        <v>570.00000000000011</v>
      </c>
      <c r="AA31" s="221">
        <f t="shared" si="11"/>
        <v>1220.2</v>
      </c>
      <c r="AB31" s="221">
        <f t="shared" si="11"/>
        <v>1976.2000000000003</v>
      </c>
      <c r="AC31" s="224">
        <f>SUM(AC28:AC30)</f>
        <v>2915.1</v>
      </c>
      <c r="AD31" s="223">
        <f t="shared" si="11"/>
        <v>641.9</v>
      </c>
      <c r="AE31" s="221">
        <f t="shared" si="11"/>
        <v>0</v>
      </c>
      <c r="AF31" s="221">
        <f t="shared" si="11"/>
        <v>0</v>
      </c>
      <c r="AG31" s="224">
        <f t="shared" si="11"/>
        <v>0</v>
      </c>
      <c r="AI31" s="223">
        <f t="shared" ref="AI31:AL31" si="12">SUM(AI28:AI30)</f>
        <v>700.9</v>
      </c>
      <c r="AJ31" s="221">
        <f t="shared" si="12"/>
        <v>0</v>
      </c>
      <c r="AK31" s="221">
        <f t="shared" si="12"/>
        <v>0</v>
      </c>
      <c r="AL31" s="224">
        <f t="shared" si="12"/>
        <v>0</v>
      </c>
    </row>
    <row r="32" spans="1:38" s="11" customFormat="1" ht="20.100000000000001" customHeight="1">
      <c r="A32" s="41" t="s">
        <v>148</v>
      </c>
      <c r="B32" s="218">
        <v>-13.759</v>
      </c>
      <c r="C32" s="219">
        <v>-28.18</v>
      </c>
      <c r="D32" s="219">
        <v>-40.478000000000002</v>
      </c>
      <c r="E32" s="296">
        <v>-54.936999999999998</v>
      </c>
      <c r="F32" s="218">
        <v>-21.702999999999999</v>
      </c>
      <c r="G32" s="219">
        <v>-40.633000000000003</v>
      </c>
      <c r="H32" s="219">
        <v>-53.000999999999998</v>
      </c>
      <c r="I32" s="296">
        <v>-60.844999999999999</v>
      </c>
      <c r="J32" s="216">
        <v>-19.433</v>
      </c>
      <c r="K32" s="216">
        <v>-93</v>
      </c>
      <c r="L32" s="216">
        <v>-180</v>
      </c>
      <c r="M32" s="217">
        <v>-263.60000000000002</v>
      </c>
      <c r="N32" s="218">
        <v>-137.6</v>
      </c>
      <c r="O32" s="219">
        <v>-187</v>
      </c>
      <c r="P32" s="219">
        <v>-323.2</v>
      </c>
      <c r="Q32" s="220">
        <v>-417.8</v>
      </c>
      <c r="R32" s="218">
        <v>-98.4</v>
      </c>
      <c r="S32" s="219">
        <v>-179.5</v>
      </c>
      <c r="T32" s="219">
        <v>-301.2</v>
      </c>
      <c r="U32" s="220">
        <v>-436.2</v>
      </c>
      <c r="V32" s="218">
        <v>-138.9</v>
      </c>
      <c r="W32" s="219">
        <v>-268.8</v>
      </c>
      <c r="X32" s="219">
        <v>-418.9</v>
      </c>
      <c r="Y32" s="220">
        <v>-524.79999999999995</v>
      </c>
      <c r="Z32" s="219">
        <v>-131.6</v>
      </c>
      <c r="AA32" s="219">
        <v>-266.7</v>
      </c>
      <c r="AB32" s="219">
        <v>-465</v>
      </c>
      <c r="AC32" s="220">
        <v>-624.29999999999995</v>
      </c>
      <c r="AD32" s="218">
        <v>-251.4</v>
      </c>
      <c r="AE32" s="219"/>
      <c r="AF32" s="219"/>
      <c r="AG32" s="220"/>
      <c r="AI32" s="218">
        <v>-251.4</v>
      </c>
      <c r="AJ32" s="219"/>
      <c r="AK32" s="219"/>
      <c r="AL32" s="220"/>
    </row>
    <row r="33" spans="1:38" s="11" customFormat="1" ht="20.100000000000001" customHeight="1">
      <c r="A33" s="41" t="s">
        <v>149</v>
      </c>
      <c r="B33" s="218">
        <v>-7.0449999999999999</v>
      </c>
      <c r="C33" s="219">
        <v>-11.33</v>
      </c>
      <c r="D33" s="219">
        <v>-23.225000000000001</v>
      </c>
      <c r="E33" s="296">
        <v>-36.24</v>
      </c>
      <c r="F33" s="218">
        <v>-13.377000000000001</v>
      </c>
      <c r="G33" s="219">
        <v>-20.378</v>
      </c>
      <c r="H33" s="219">
        <v>-45.453000000000003</v>
      </c>
      <c r="I33" s="296">
        <v>-62.041000000000004</v>
      </c>
      <c r="J33" s="216">
        <v>-19.987000000000002</v>
      </c>
      <c r="K33" s="216">
        <v>-46.6</v>
      </c>
      <c r="L33" s="216">
        <v>-57.4</v>
      </c>
      <c r="M33" s="217">
        <v>-71.8</v>
      </c>
      <c r="N33" s="218">
        <v>-19.100000000000001</v>
      </c>
      <c r="O33" s="219">
        <v>-90.7</v>
      </c>
      <c r="P33" s="219">
        <v>-111.1</v>
      </c>
      <c r="Q33" s="220">
        <v>-165.3</v>
      </c>
      <c r="R33" s="218">
        <v>-20.3</v>
      </c>
      <c r="S33" s="219">
        <v>-61.3</v>
      </c>
      <c r="T33" s="219">
        <v>-94.6</v>
      </c>
      <c r="U33" s="220">
        <v>-154.19999999999999</v>
      </c>
      <c r="V33" s="218">
        <v>-33.200000000000003</v>
      </c>
      <c r="W33" s="219">
        <v>-114.2</v>
      </c>
      <c r="X33" s="219">
        <v>-137.30000000000001</v>
      </c>
      <c r="Y33" s="220">
        <v>-214.3</v>
      </c>
      <c r="Z33" s="219">
        <v>-42.8</v>
      </c>
      <c r="AA33" s="219">
        <v>-83.9</v>
      </c>
      <c r="AB33" s="219">
        <v>-168.4</v>
      </c>
      <c r="AC33" s="220">
        <v>-304.10000000000002</v>
      </c>
      <c r="AD33" s="218">
        <v>-108.5</v>
      </c>
      <c r="AE33" s="219"/>
      <c r="AF33" s="219"/>
      <c r="AG33" s="220"/>
      <c r="AI33" s="218">
        <v>-108.5</v>
      </c>
      <c r="AJ33" s="219"/>
      <c r="AK33" s="219"/>
      <c r="AL33" s="220"/>
    </row>
    <row r="34" spans="1:38" s="10" customFormat="1" ht="20.100000000000001" customHeight="1">
      <c r="A34" s="351" t="s">
        <v>188</v>
      </c>
      <c r="B34" s="352"/>
      <c r="C34" s="353"/>
      <c r="D34" s="353"/>
      <c r="E34" s="354"/>
      <c r="F34" s="352"/>
      <c r="G34" s="353"/>
      <c r="H34" s="353"/>
      <c r="I34" s="354"/>
      <c r="J34" s="355"/>
      <c r="K34" s="355"/>
      <c r="L34" s="355"/>
      <c r="M34" s="217"/>
      <c r="N34" s="352"/>
      <c r="O34" s="353"/>
      <c r="P34" s="353"/>
      <c r="Q34" s="220"/>
      <c r="R34" s="352"/>
      <c r="S34" s="353"/>
      <c r="T34" s="353"/>
      <c r="U34" s="220"/>
      <c r="V34" s="352"/>
      <c r="W34" s="353"/>
      <c r="X34" s="353"/>
      <c r="Y34" s="220">
        <v>-9.3000000000000007</v>
      </c>
      <c r="Z34" s="219">
        <v>0</v>
      </c>
      <c r="AA34" s="353">
        <v>0</v>
      </c>
      <c r="AB34" s="353">
        <v>0</v>
      </c>
      <c r="AC34" s="220">
        <v>-9.1999999999999993</v>
      </c>
      <c r="AD34" s="218">
        <v>0</v>
      </c>
      <c r="AE34" s="353"/>
      <c r="AF34" s="353"/>
      <c r="AG34" s="220"/>
      <c r="AI34" s="218">
        <v>0</v>
      </c>
      <c r="AJ34" s="353"/>
      <c r="AK34" s="353"/>
      <c r="AL34" s="220"/>
    </row>
    <row r="35" spans="1:38" s="11" customFormat="1" ht="20.100000000000001" customHeight="1">
      <c r="A35" s="41" t="s">
        <v>150</v>
      </c>
      <c r="B35" s="230">
        <v>0</v>
      </c>
      <c r="C35" s="231">
        <v>0</v>
      </c>
      <c r="D35" s="231">
        <v>0</v>
      </c>
      <c r="E35" s="232">
        <v>0</v>
      </c>
      <c r="F35" s="230">
        <v>0</v>
      </c>
      <c r="G35" s="231">
        <v>0</v>
      </c>
      <c r="H35" s="231">
        <v>0</v>
      </c>
      <c r="I35" s="232">
        <v>0</v>
      </c>
      <c r="J35" s="230">
        <v>0</v>
      </c>
      <c r="K35" s="219">
        <v>0</v>
      </c>
      <c r="L35" s="219">
        <v>-482.3</v>
      </c>
      <c r="M35" s="217">
        <v>-482.3</v>
      </c>
      <c r="N35" s="218">
        <v>0</v>
      </c>
      <c r="O35" s="219">
        <v>0</v>
      </c>
      <c r="P35" s="219">
        <v>-118.7</v>
      </c>
      <c r="Q35" s="220">
        <v>-118.7</v>
      </c>
      <c r="R35" s="218">
        <v>-147.69999999999999</v>
      </c>
      <c r="S35" s="219">
        <v>-147.69999999999999</v>
      </c>
      <c r="T35" s="219">
        <v>-268.5</v>
      </c>
      <c r="U35" s="220">
        <v>-268.5</v>
      </c>
      <c r="V35" s="218">
        <v>0</v>
      </c>
      <c r="W35" s="219">
        <v>0</v>
      </c>
      <c r="X35" s="219">
        <v>-120.7</v>
      </c>
      <c r="Y35" s="220">
        <v>-120.7</v>
      </c>
      <c r="Z35" s="353">
        <v>0</v>
      </c>
      <c r="AA35" s="353">
        <v>0</v>
      </c>
      <c r="AB35" s="353">
        <v>-119.6</v>
      </c>
      <c r="AC35" s="220">
        <v>-119.6</v>
      </c>
      <c r="AD35" s="352">
        <v>0</v>
      </c>
      <c r="AE35" s="353"/>
      <c r="AF35" s="353"/>
      <c r="AG35" s="220"/>
      <c r="AI35" s="352">
        <v>0</v>
      </c>
      <c r="AJ35" s="353"/>
      <c r="AK35" s="353"/>
      <c r="AL35" s="220"/>
    </row>
    <row r="36" spans="1:38" s="10" customFormat="1" ht="20.100000000000001" customHeight="1">
      <c r="A36" s="351" t="s">
        <v>243</v>
      </c>
      <c r="B36" s="358"/>
      <c r="C36" s="359"/>
      <c r="D36" s="359"/>
      <c r="E36" s="360"/>
      <c r="F36" s="358"/>
      <c r="G36" s="359"/>
      <c r="H36" s="359"/>
      <c r="I36" s="360"/>
      <c r="J36" s="359"/>
      <c r="K36" s="353"/>
      <c r="L36" s="353"/>
      <c r="M36" s="217"/>
      <c r="N36" s="352"/>
      <c r="O36" s="353"/>
      <c r="P36" s="353"/>
      <c r="Q36" s="220"/>
      <c r="R36" s="352">
        <v>0</v>
      </c>
      <c r="S36" s="353">
        <v>0</v>
      </c>
      <c r="T36" s="353">
        <v>0</v>
      </c>
      <c r="U36" s="220">
        <v>0</v>
      </c>
      <c r="V36" s="352">
        <v>0</v>
      </c>
      <c r="W36" s="353">
        <v>0</v>
      </c>
      <c r="X36" s="353">
        <v>0</v>
      </c>
      <c r="Y36" s="220">
        <v>-662.5</v>
      </c>
      <c r="Z36" s="219">
        <v>-11.3</v>
      </c>
      <c r="AA36" s="353">
        <v>-15.7</v>
      </c>
      <c r="AB36" s="353">
        <v>-15.7</v>
      </c>
      <c r="AC36" s="220">
        <v>-16.100000000000001</v>
      </c>
      <c r="AD36" s="218">
        <v>0</v>
      </c>
      <c r="AE36" s="353"/>
      <c r="AF36" s="353"/>
      <c r="AG36" s="220"/>
      <c r="AI36" s="218">
        <v>0</v>
      </c>
      <c r="AJ36" s="353"/>
      <c r="AK36" s="353"/>
      <c r="AL36" s="220"/>
    </row>
    <row r="37" spans="1:38" s="11" customFormat="1" ht="20.100000000000001" customHeight="1">
      <c r="A37" s="41" t="s">
        <v>151</v>
      </c>
      <c r="B37" s="218">
        <v>-2.3290000000000002</v>
      </c>
      <c r="C37" s="219">
        <v>-45.099000000000004</v>
      </c>
      <c r="D37" s="219">
        <v>-45.329000000000001</v>
      </c>
      <c r="E37" s="296">
        <v>-45.710999999999999</v>
      </c>
      <c r="F37" s="218">
        <v>-0.153</v>
      </c>
      <c r="G37" s="219">
        <v>-0.26800000000000002</v>
      </c>
      <c r="H37" s="219">
        <v>-64.186999999999998</v>
      </c>
      <c r="I37" s="296">
        <v>-64.266000000000005</v>
      </c>
      <c r="J37" s="216">
        <v>0</v>
      </c>
      <c r="K37" s="216">
        <v>1800.4</v>
      </c>
      <c r="L37" s="216">
        <v>1800.4</v>
      </c>
      <c r="M37" s="217">
        <v>1800.4</v>
      </c>
      <c r="N37" s="218">
        <v>-4.2</v>
      </c>
      <c r="O37" s="219">
        <v>-29.5</v>
      </c>
      <c r="P37" s="219">
        <v>-29.5</v>
      </c>
      <c r="Q37" s="220">
        <v>-29.5</v>
      </c>
      <c r="R37" s="218">
        <v>262.2</v>
      </c>
      <c r="S37" s="219">
        <v>-145.30000000000001</v>
      </c>
      <c r="T37" s="219">
        <v>-144.4</v>
      </c>
      <c r="U37" s="220">
        <v>-144.4</v>
      </c>
      <c r="V37" s="218">
        <v>0</v>
      </c>
      <c r="W37" s="219">
        <v>0</v>
      </c>
      <c r="X37" s="219">
        <v>1.6</v>
      </c>
      <c r="Y37" s="220">
        <v>-66.8</v>
      </c>
      <c r="Z37" s="353">
        <v>-16.7</v>
      </c>
      <c r="AA37" s="219">
        <v>-276.8</v>
      </c>
      <c r="AB37" s="219">
        <v>-453.7</v>
      </c>
      <c r="AC37" s="220">
        <v>-792.4</v>
      </c>
      <c r="AD37" s="352">
        <v>0</v>
      </c>
      <c r="AE37" s="219"/>
      <c r="AF37" s="219"/>
      <c r="AG37" s="220"/>
      <c r="AI37" s="352">
        <v>0</v>
      </c>
      <c r="AJ37" s="219"/>
      <c r="AK37" s="219"/>
      <c r="AL37" s="220"/>
    </row>
    <row r="38" spans="1:38" s="11" customFormat="1" ht="20.100000000000001" customHeight="1">
      <c r="A38" s="41" t="s">
        <v>203</v>
      </c>
      <c r="B38" s="218">
        <v>0</v>
      </c>
      <c r="C38" s="219">
        <v>0</v>
      </c>
      <c r="D38" s="219">
        <v>0</v>
      </c>
      <c r="E38" s="296">
        <v>0</v>
      </c>
      <c r="F38" s="218">
        <v>0</v>
      </c>
      <c r="G38" s="219">
        <v>0</v>
      </c>
      <c r="H38" s="219">
        <v>48.219000000000001</v>
      </c>
      <c r="I38" s="296">
        <v>48.736000000000004</v>
      </c>
      <c r="J38" s="216">
        <v>0</v>
      </c>
      <c r="K38" s="216">
        <v>0</v>
      </c>
      <c r="L38" s="216">
        <v>0</v>
      </c>
      <c r="M38" s="217">
        <v>0</v>
      </c>
      <c r="N38" s="218">
        <v>0</v>
      </c>
      <c r="O38" s="219">
        <v>0</v>
      </c>
      <c r="P38" s="219">
        <v>0</v>
      </c>
      <c r="Q38" s="220">
        <v>0</v>
      </c>
      <c r="R38" s="218">
        <v>0</v>
      </c>
      <c r="S38" s="219">
        <v>0.2</v>
      </c>
      <c r="T38" s="219">
        <v>0.2</v>
      </c>
      <c r="U38" s="220">
        <v>0</v>
      </c>
      <c r="V38" s="218">
        <v>0</v>
      </c>
      <c r="W38" s="219">
        <v>0</v>
      </c>
      <c r="X38" s="219">
        <v>0</v>
      </c>
      <c r="Y38" s="220">
        <v>0</v>
      </c>
      <c r="Z38" s="219">
        <v>0</v>
      </c>
      <c r="AA38" s="353">
        <v>0</v>
      </c>
      <c r="AB38" s="353">
        <v>0</v>
      </c>
      <c r="AC38" s="220">
        <v>0</v>
      </c>
      <c r="AD38" s="218">
        <v>0</v>
      </c>
      <c r="AE38" s="353"/>
      <c r="AF38" s="353"/>
      <c r="AG38" s="220"/>
      <c r="AI38" s="218">
        <v>0</v>
      </c>
      <c r="AJ38" s="353"/>
      <c r="AK38" s="353"/>
      <c r="AL38" s="220"/>
    </row>
    <row r="39" spans="1:38" s="11" customFormat="1" ht="20.100000000000001" customHeight="1">
      <c r="A39" s="41" t="s">
        <v>152</v>
      </c>
      <c r="B39" s="218">
        <v>0.09</v>
      </c>
      <c r="C39" s="219">
        <v>0.121</v>
      </c>
      <c r="D39" s="219">
        <v>0.69000000000000006</v>
      </c>
      <c r="E39" s="296">
        <v>0.751</v>
      </c>
      <c r="F39" s="218">
        <v>0.35000000000000003</v>
      </c>
      <c r="G39" s="219">
        <v>0.41000000000000003</v>
      </c>
      <c r="H39" s="219">
        <v>1.756</v>
      </c>
      <c r="I39" s="296">
        <v>2.0640000000000001</v>
      </c>
      <c r="J39" s="216">
        <v>0.33700000000000002</v>
      </c>
      <c r="K39" s="216">
        <v>1.6</v>
      </c>
      <c r="L39" s="216">
        <v>4</v>
      </c>
      <c r="M39" s="217">
        <v>4.0999999999999996</v>
      </c>
      <c r="N39" s="218">
        <v>0.2</v>
      </c>
      <c r="O39" s="219">
        <v>13.3</v>
      </c>
      <c r="P39" s="219">
        <v>15.1</v>
      </c>
      <c r="Q39" s="220">
        <v>16.899999999999999</v>
      </c>
      <c r="R39" s="218">
        <v>3.5</v>
      </c>
      <c r="S39" s="219">
        <v>5</v>
      </c>
      <c r="T39" s="219">
        <v>6.3</v>
      </c>
      <c r="U39" s="220">
        <v>9.5</v>
      </c>
      <c r="V39" s="218">
        <v>12.8</v>
      </c>
      <c r="W39" s="219">
        <v>16</v>
      </c>
      <c r="X39" s="219">
        <v>15.8</v>
      </c>
      <c r="Y39" s="220">
        <v>19.3</v>
      </c>
      <c r="Z39" s="219">
        <v>3.4</v>
      </c>
      <c r="AA39" s="219">
        <v>10.6</v>
      </c>
      <c r="AB39" s="219">
        <v>11.6</v>
      </c>
      <c r="AC39" s="220">
        <v>11.6</v>
      </c>
      <c r="AD39" s="218">
        <v>2.5</v>
      </c>
      <c r="AE39" s="219"/>
      <c r="AF39" s="219"/>
      <c r="AG39" s="220"/>
      <c r="AI39" s="218">
        <v>2.5</v>
      </c>
      <c r="AJ39" s="219"/>
      <c r="AK39" s="219"/>
      <c r="AL39" s="220"/>
    </row>
    <row r="40" spans="1:38" s="11" customFormat="1" ht="20.100000000000001" customHeight="1">
      <c r="A40" s="351" t="s">
        <v>255</v>
      </c>
      <c r="B40" s="218"/>
      <c r="C40" s="219"/>
      <c r="D40" s="219"/>
      <c r="E40" s="296"/>
      <c r="F40" s="218"/>
      <c r="G40" s="219"/>
      <c r="H40" s="219"/>
      <c r="I40" s="296"/>
      <c r="J40" s="216"/>
      <c r="K40" s="216"/>
      <c r="L40" s="216"/>
      <c r="M40" s="217"/>
      <c r="N40" s="218"/>
      <c r="O40" s="219"/>
      <c r="P40" s="219"/>
      <c r="Q40" s="220"/>
      <c r="R40" s="218"/>
      <c r="S40" s="219"/>
      <c r="T40" s="219"/>
      <c r="U40" s="220"/>
      <c r="V40" s="218"/>
      <c r="W40" s="219"/>
      <c r="X40" s="219"/>
      <c r="Y40" s="220"/>
      <c r="Z40" s="219">
        <v>-45</v>
      </c>
      <c r="AA40" s="353">
        <v>0.3</v>
      </c>
      <c r="AB40" s="353">
        <v>0.4</v>
      </c>
      <c r="AC40" s="220">
        <f>-130+130.5</f>
        <v>0.5</v>
      </c>
      <c r="AD40" s="218">
        <v>0.1</v>
      </c>
      <c r="AE40" s="353"/>
      <c r="AF40" s="353"/>
      <c r="AG40" s="220"/>
      <c r="AI40" s="218">
        <v>0.1</v>
      </c>
      <c r="AJ40" s="353"/>
      <c r="AK40" s="353"/>
      <c r="AL40" s="220"/>
    </row>
    <row r="41" spans="1:38" s="11" customFormat="1" ht="20.100000000000001" customHeight="1">
      <c r="A41" s="41" t="s">
        <v>103</v>
      </c>
      <c r="B41" s="218">
        <v>0</v>
      </c>
      <c r="C41" s="219">
        <v>0</v>
      </c>
      <c r="D41" s="219">
        <v>0</v>
      </c>
      <c r="E41" s="296">
        <v>0</v>
      </c>
      <c r="F41" s="218">
        <v>0</v>
      </c>
      <c r="G41" s="219">
        <v>0</v>
      </c>
      <c r="H41" s="219">
        <v>0</v>
      </c>
      <c r="I41" s="296">
        <v>0</v>
      </c>
      <c r="J41" s="216">
        <v>0</v>
      </c>
      <c r="K41" s="216">
        <v>-270</v>
      </c>
      <c r="L41" s="216">
        <v>-30</v>
      </c>
      <c r="M41" s="217">
        <v>0</v>
      </c>
      <c r="N41" s="218">
        <v>-42.7</v>
      </c>
      <c r="O41" s="219">
        <v>-42.7</v>
      </c>
      <c r="P41" s="219">
        <v>0</v>
      </c>
      <c r="Q41" s="220">
        <v>0</v>
      </c>
      <c r="R41" s="218">
        <v>-12.4</v>
      </c>
      <c r="S41" s="219">
        <v>0</v>
      </c>
      <c r="T41" s="219">
        <v>0</v>
      </c>
      <c r="U41" s="220">
        <v>0</v>
      </c>
      <c r="V41" s="218">
        <v>0</v>
      </c>
      <c r="W41" s="219">
        <v>0</v>
      </c>
      <c r="X41" s="219">
        <v>0</v>
      </c>
      <c r="Y41" s="220">
        <v>0</v>
      </c>
      <c r="Z41" s="219">
        <v>0</v>
      </c>
      <c r="AA41" s="219">
        <v>0</v>
      </c>
      <c r="AB41" s="219">
        <v>0</v>
      </c>
      <c r="AC41" s="220">
        <v>0</v>
      </c>
      <c r="AD41" s="218">
        <v>0</v>
      </c>
      <c r="AE41" s="219"/>
      <c r="AF41" s="219"/>
      <c r="AG41" s="220"/>
      <c r="AI41" s="218">
        <v>0</v>
      </c>
      <c r="AJ41" s="219"/>
      <c r="AK41" s="219"/>
      <c r="AL41" s="220"/>
    </row>
    <row r="42" spans="1:38" s="11" customFormat="1" ht="20.100000000000001" customHeight="1">
      <c r="A42" s="41" t="s">
        <v>153</v>
      </c>
      <c r="B42" s="218">
        <v>-1.1000000000000001</v>
      </c>
      <c r="C42" s="219">
        <v>-1.1000000000000001</v>
      </c>
      <c r="D42" s="219">
        <v>-1.1000000000000001</v>
      </c>
      <c r="E42" s="296">
        <v>-1.1000000000000001</v>
      </c>
      <c r="F42" s="218">
        <v>0</v>
      </c>
      <c r="G42" s="219">
        <v>0</v>
      </c>
      <c r="H42" s="219">
        <v>0</v>
      </c>
      <c r="I42" s="296">
        <v>0</v>
      </c>
      <c r="J42" s="216">
        <v>0</v>
      </c>
      <c r="K42" s="216">
        <v>-5.8</v>
      </c>
      <c r="L42" s="216">
        <v>-20.399999999999999</v>
      </c>
      <c r="M42" s="217">
        <v>-23.1</v>
      </c>
      <c r="N42" s="218">
        <v>-6</v>
      </c>
      <c r="O42" s="219">
        <v>-8.9</v>
      </c>
      <c r="P42" s="219">
        <v>-12.1</v>
      </c>
      <c r="Q42" s="220">
        <v>-16.100000000000001</v>
      </c>
      <c r="R42" s="218">
        <v>-6.8</v>
      </c>
      <c r="S42" s="219">
        <v>-9.5</v>
      </c>
      <c r="T42" s="219">
        <v>-10.5</v>
      </c>
      <c r="U42" s="220">
        <v>-11.6</v>
      </c>
      <c r="V42" s="218">
        <v>0</v>
      </c>
      <c r="W42" s="219">
        <v>0</v>
      </c>
      <c r="X42" s="219">
        <v>-28.6</v>
      </c>
      <c r="Y42" s="220">
        <v>-31.1</v>
      </c>
      <c r="Z42" s="219">
        <v>-11</v>
      </c>
      <c r="AA42" s="219">
        <v>-11</v>
      </c>
      <c r="AB42" s="219">
        <v>-11</v>
      </c>
      <c r="AC42" s="220">
        <v>-12.4</v>
      </c>
      <c r="AD42" s="218">
        <v>-12.9</v>
      </c>
      <c r="AE42" s="219"/>
      <c r="AF42" s="219"/>
      <c r="AG42" s="220"/>
      <c r="AI42" s="218">
        <v>-12.9</v>
      </c>
      <c r="AJ42" s="219"/>
      <c r="AK42" s="219"/>
      <c r="AL42" s="220"/>
    </row>
    <row r="43" spans="1:38" s="11" customFormat="1" ht="20.100000000000001" customHeight="1">
      <c r="A43" s="41" t="s">
        <v>154</v>
      </c>
      <c r="B43" s="218">
        <v>0</v>
      </c>
      <c r="C43" s="219">
        <v>1.1000000000000001</v>
      </c>
      <c r="D43" s="219">
        <v>1.1000000000000001</v>
      </c>
      <c r="E43" s="296">
        <v>1.1000000000000001</v>
      </c>
      <c r="F43" s="218">
        <v>0</v>
      </c>
      <c r="G43" s="219">
        <v>0</v>
      </c>
      <c r="H43" s="219">
        <v>0</v>
      </c>
      <c r="I43" s="296">
        <v>0</v>
      </c>
      <c r="J43" s="216">
        <v>0</v>
      </c>
      <c r="K43" s="216">
        <v>0</v>
      </c>
      <c r="L43" s="216">
        <v>0</v>
      </c>
      <c r="M43" s="217">
        <v>0</v>
      </c>
      <c r="N43" s="218">
        <v>0</v>
      </c>
      <c r="O43" s="219">
        <v>0</v>
      </c>
      <c r="P43" s="219">
        <v>0</v>
      </c>
      <c r="Q43" s="220">
        <v>0</v>
      </c>
      <c r="R43" s="218">
        <v>0</v>
      </c>
      <c r="S43" s="219">
        <v>0</v>
      </c>
      <c r="T43" s="219">
        <v>0</v>
      </c>
      <c r="U43" s="220">
        <v>0.1</v>
      </c>
      <c r="V43" s="218">
        <v>0</v>
      </c>
      <c r="W43" s="219">
        <v>0</v>
      </c>
      <c r="X43" s="219">
        <v>25</v>
      </c>
      <c r="Y43" s="220">
        <v>30.5</v>
      </c>
      <c r="Z43" s="219">
        <v>0</v>
      </c>
      <c r="AA43" s="219">
        <v>6.4</v>
      </c>
      <c r="AB43" s="219">
        <v>30</v>
      </c>
      <c r="AC43" s="220">
        <v>29.3</v>
      </c>
      <c r="AD43" s="218">
        <v>0</v>
      </c>
      <c r="AE43" s="219"/>
      <c r="AF43" s="219"/>
      <c r="AG43" s="220"/>
      <c r="AI43" s="218">
        <v>0</v>
      </c>
      <c r="AJ43" s="219"/>
      <c r="AK43" s="219"/>
      <c r="AL43" s="220"/>
    </row>
    <row r="44" spans="1:38" s="11" customFormat="1" ht="20.100000000000001" customHeight="1">
      <c r="A44" s="41" t="s">
        <v>155</v>
      </c>
      <c r="B44" s="218">
        <v>0</v>
      </c>
      <c r="C44" s="219">
        <v>0</v>
      </c>
      <c r="D44" s="219">
        <v>0</v>
      </c>
      <c r="E44" s="296">
        <v>0</v>
      </c>
      <c r="F44" s="218">
        <v>0</v>
      </c>
      <c r="G44" s="219">
        <v>0</v>
      </c>
      <c r="H44" s="219">
        <v>0</v>
      </c>
      <c r="I44" s="296">
        <v>0</v>
      </c>
      <c r="J44" s="216">
        <v>0</v>
      </c>
      <c r="K44" s="216">
        <v>5</v>
      </c>
      <c r="L44" s="216">
        <v>5.5</v>
      </c>
      <c r="M44" s="217">
        <v>6.6</v>
      </c>
      <c r="N44" s="218">
        <v>1.2</v>
      </c>
      <c r="O44" s="219">
        <v>-2.1</v>
      </c>
      <c r="P44" s="219">
        <v>3.2</v>
      </c>
      <c r="Q44" s="220">
        <v>3.9</v>
      </c>
      <c r="R44" s="218">
        <v>-5</v>
      </c>
      <c r="S44" s="219">
        <v>-4</v>
      </c>
      <c r="T44" s="219">
        <v>-3.5</v>
      </c>
      <c r="U44" s="220">
        <v>-1.6</v>
      </c>
      <c r="V44" s="218">
        <v>-1.1000000000000001</v>
      </c>
      <c r="W44" s="219">
        <v>0</v>
      </c>
      <c r="X44" s="306" t="s">
        <v>216</v>
      </c>
      <c r="Y44" s="310" t="s">
        <v>216</v>
      </c>
      <c r="Z44" s="219">
        <v>-1.5</v>
      </c>
      <c r="AA44" s="306">
        <v>0</v>
      </c>
      <c r="AB44" s="306">
        <v>0</v>
      </c>
      <c r="AC44" s="310">
        <v>0</v>
      </c>
      <c r="AD44" s="218">
        <v>0</v>
      </c>
      <c r="AE44" s="306"/>
      <c r="AF44" s="306"/>
      <c r="AG44" s="310"/>
      <c r="AI44" s="218">
        <v>0</v>
      </c>
      <c r="AJ44" s="306"/>
      <c r="AK44" s="306"/>
      <c r="AL44" s="310"/>
    </row>
    <row r="45" spans="1:38" s="11" customFormat="1" ht="20.100000000000001" customHeight="1">
      <c r="A45" s="41" t="s">
        <v>156</v>
      </c>
      <c r="B45" s="218">
        <v>0</v>
      </c>
      <c r="C45" s="219">
        <v>1.258</v>
      </c>
      <c r="D45" s="219">
        <v>1.258</v>
      </c>
      <c r="E45" s="296">
        <v>2.706</v>
      </c>
      <c r="F45" s="218">
        <v>0</v>
      </c>
      <c r="G45" s="219">
        <v>2.5150000000000001</v>
      </c>
      <c r="H45" s="219">
        <v>2.5150000000000001</v>
      </c>
      <c r="I45" s="296">
        <v>2.5150000000000001</v>
      </c>
      <c r="J45" s="216">
        <v>2.5300000000000002</v>
      </c>
      <c r="K45" s="216">
        <v>2.5</v>
      </c>
      <c r="L45" s="216">
        <v>2.5</v>
      </c>
      <c r="M45" s="217">
        <v>2.5</v>
      </c>
      <c r="N45" s="218">
        <v>0</v>
      </c>
      <c r="O45" s="219">
        <v>0</v>
      </c>
      <c r="P45" s="219">
        <v>0</v>
      </c>
      <c r="Q45" s="220">
        <v>0</v>
      </c>
      <c r="R45" s="218">
        <v>0</v>
      </c>
      <c r="S45" s="219">
        <v>0</v>
      </c>
      <c r="T45" s="219">
        <v>0</v>
      </c>
      <c r="U45" s="220">
        <v>0</v>
      </c>
      <c r="V45" s="218">
        <v>0</v>
      </c>
      <c r="W45" s="219">
        <v>0</v>
      </c>
      <c r="X45" s="219">
        <v>0</v>
      </c>
      <c r="Y45" s="220">
        <v>0</v>
      </c>
      <c r="Z45" s="219">
        <v>0</v>
      </c>
      <c r="AA45" s="219">
        <v>0</v>
      </c>
      <c r="AB45" s="219">
        <v>0</v>
      </c>
      <c r="AC45" s="220">
        <v>0</v>
      </c>
      <c r="AD45" s="218">
        <v>0</v>
      </c>
      <c r="AE45" s="219"/>
      <c r="AF45" s="219"/>
      <c r="AG45" s="220"/>
      <c r="AI45" s="218">
        <v>0</v>
      </c>
      <c r="AJ45" s="219"/>
      <c r="AK45" s="219"/>
      <c r="AL45" s="220"/>
    </row>
    <row r="46" spans="1:38" s="11" customFormat="1" ht="20.100000000000001" customHeight="1" thickBot="1">
      <c r="A46" s="41" t="s">
        <v>218</v>
      </c>
      <c r="B46" s="218">
        <v>0</v>
      </c>
      <c r="C46" s="219">
        <v>0</v>
      </c>
      <c r="D46" s="219">
        <v>0</v>
      </c>
      <c r="E46" s="296">
        <v>0</v>
      </c>
      <c r="F46" s="218">
        <v>0</v>
      </c>
      <c r="G46" s="219">
        <v>0</v>
      </c>
      <c r="H46" s="219">
        <v>0</v>
      </c>
      <c r="I46" s="296">
        <v>0</v>
      </c>
      <c r="J46" s="216">
        <v>0</v>
      </c>
      <c r="K46" s="216">
        <v>0</v>
      </c>
      <c r="L46" s="216">
        <v>0</v>
      </c>
      <c r="M46" s="217">
        <v>0</v>
      </c>
      <c r="N46" s="218">
        <v>0</v>
      </c>
      <c r="O46" s="219">
        <v>0</v>
      </c>
      <c r="P46" s="219">
        <v>0</v>
      </c>
      <c r="Q46" s="220">
        <v>0</v>
      </c>
      <c r="R46" s="218">
        <v>0</v>
      </c>
      <c r="S46" s="219">
        <v>1</v>
      </c>
      <c r="T46" s="219">
        <v>1</v>
      </c>
      <c r="U46" s="220">
        <v>3.5</v>
      </c>
      <c r="V46" s="218">
        <v>1.2</v>
      </c>
      <c r="W46" s="219">
        <v>-0.5</v>
      </c>
      <c r="X46" s="219">
        <v>5.9</v>
      </c>
      <c r="Y46" s="220">
        <v>6.4</v>
      </c>
      <c r="Z46" s="219">
        <v>1.1000000000000001</v>
      </c>
      <c r="AA46" s="219">
        <v>-0.9</v>
      </c>
      <c r="AB46" s="219">
        <v>-5.9</v>
      </c>
      <c r="AC46" s="220">
        <v>1.2</v>
      </c>
      <c r="AD46" s="218">
        <v>3</v>
      </c>
      <c r="AE46" s="219"/>
      <c r="AF46" s="219"/>
      <c r="AG46" s="220"/>
      <c r="AI46" s="218">
        <v>3</v>
      </c>
      <c r="AJ46" s="219"/>
      <c r="AK46" s="219"/>
      <c r="AL46" s="220"/>
    </row>
    <row r="47" spans="1:38" s="11" customFormat="1" ht="24.95" customHeight="1" thickBot="1">
      <c r="A47" s="42" t="s">
        <v>162</v>
      </c>
      <c r="B47" s="223">
        <f t="shared" ref="B47:U47" si="13">SUM(B32:B46)</f>
        <v>-24.143000000000004</v>
      </c>
      <c r="C47" s="221">
        <f t="shared" si="13"/>
        <v>-83.230000000000018</v>
      </c>
      <c r="D47" s="221">
        <f t="shared" si="13"/>
        <v>-107.08400000000002</v>
      </c>
      <c r="E47" s="297">
        <f t="shared" si="13"/>
        <v>-133.43099999999998</v>
      </c>
      <c r="F47" s="223">
        <f t="shared" si="13"/>
        <v>-34.882999999999996</v>
      </c>
      <c r="G47" s="221">
        <f t="shared" si="13"/>
        <v>-58.354000000000006</v>
      </c>
      <c r="H47" s="221">
        <f t="shared" si="13"/>
        <v>-110.15100000000002</v>
      </c>
      <c r="I47" s="297">
        <f t="shared" si="13"/>
        <v>-133.83700000000002</v>
      </c>
      <c r="J47" s="223">
        <f t="shared" si="13"/>
        <v>-36.552999999999997</v>
      </c>
      <c r="K47" s="221">
        <f t="shared" si="13"/>
        <v>1394.1000000000001</v>
      </c>
      <c r="L47" s="221">
        <f t="shared" si="13"/>
        <v>1042.3</v>
      </c>
      <c r="M47" s="222">
        <f t="shared" si="13"/>
        <v>972.80000000000007</v>
      </c>
      <c r="N47" s="223">
        <f t="shared" si="13"/>
        <v>-208.2</v>
      </c>
      <c r="O47" s="221">
        <f t="shared" si="13"/>
        <v>-347.59999999999997</v>
      </c>
      <c r="P47" s="221">
        <f t="shared" si="13"/>
        <v>-576.29999999999995</v>
      </c>
      <c r="Q47" s="224">
        <f t="shared" si="13"/>
        <v>-726.60000000000014</v>
      </c>
      <c r="R47" s="223">
        <f t="shared" si="13"/>
        <v>-24.899999999999988</v>
      </c>
      <c r="S47" s="221">
        <f t="shared" si="13"/>
        <v>-541.09999999999991</v>
      </c>
      <c r="T47" s="221">
        <f t="shared" si="13"/>
        <v>-815.19999999999993</v>
      </c>
      <c r="U47" s="224">
        <f t="shared" si="13"/>
        <v>-1003.4</v>
      </c>
      <c r="V47" s="223">
        <f t="shared" ref="V47:Y47" si="14">SUM(V32:V46)</f>
        <v>-159.20000000000002</v>
      </c>
      <c r="W47" s="221">
        <f t="shared" si="14"/>
        <v>-367.5</v>
      </c>
      <c r="X47" s="221">
        <f t="shared" si="14"/>
        <v>-657.20000000000016</v>
      </c>
      <c r="Y47" s="224">
        <f t="shared" si="14"/>
        <v>-1573.2999999999997</v>
      </c>
      <c r="Z47" s="223">
        <f t="shared" ref="Z47:AG47" si="15">SUM(Z32:Z46)</f>
        <v>-255.4</v>
      </c>
      <c r="AA47" s="221">
        <f t="shared" si="15"/>
        <v>-637.70000000000005</v>
      </c>
      <c r="AB47" s="221">
        <f t="shared" si="15"/>
        <v>-1197.3000000000002</v>
      </c>
      <c r="AC47" s="224">
        <f t="shared" si="15"/>
        <v>-1835.5</v>
      </c>
      <c r="AD47" s="223">
        <f t="shared" si="15"/>
        <v>-367.19999999999993</v>
      </c>
      <c r="AE47" s="221">
        <f t="shared" si="15"/>
        <v>0</v>
      </c>
      <c r="AF47" s="221">
        <f t="shared" si="15"/>
        <v>0</v>
      </c>
      <c r="AG47" s="224">
        <f t="shared" si="15"/>
        <v>0</v>
      </c>
      <c r="AI47" s="223">
        <f t="shared" ref="AI47:AL47" si="16">SUM(AI32:AI46)</f>
        <v>-367.19999999999993</v>
      </c>
      <c r="AJ47" s="221">
        <f t="shared" si="16"/>
        <v>0</v>
      </c>
      <c r="AK47" s="221">
        <f t="shared" si="16"/>
        <v>0</v>
      </c>
      <c r="AL47" s="224">
        <f t="shared" si="16"/>
        <v>0</v>
      </c>
    </row>
    <row r="48" spans="1:38" s="11" customFormat="1" ht="19.5" customHeight="1">
      <c r="A48" s="41" t="s">
        <v>157</v>
      </c>
      <c r="B48" s="218">
        <v>-26.754999999999999</v>
      </c>
      <c r="C48" s="219">
        <v>-155.76300000000001</v>
      </c>
      <c r="D48" s="219">
        <v>-397.57499999999999</v>
      </c>
      <c r="E48" s="296">
        <v>-453.32400000000001</v>
      </c>
      <c r="F48" s="218">
        <v>-49.813000000000002</v>
      </c>
      <c r="G48" s="219">
        <v>-192.59</v>
      </c>
      <c r="H48" s="219">
        <v>-366.16200000000003</v>
      </c>
      <c r="I48" s="296">
        <v>-431.11700000000002</v>
      </c>
      <c r="J48" s="216">
        <v>-37.393999999999998</v>
      </c>
      <c r="K48" s="216">
        <v>-547.1</v>
      </c>
      <c r="L48" s="216">
        <v>-747.1</v>
      </c>
      <c r="M48" s="217">
        <v>-1087.0999999999999</v>
      </c>
      <c r="N48" s="218">
        <v>-157</v>
      </c>
      <c r="O48" s="219">
        <v>-954.2</v>
      </c>
      <c r="P48" s="219">
        <v>-9222.2000000000007</v>
      </c>
      <c r="Q48" s="220">
        <v>-9222.2000000000007</v>
      </c>
      <c r="R48" s="218">
        <v>-916.1</v>
      </c>
      <c r="S48" s="219">
        <v>-1498.9</v>
      </c>
      <c r="T48" s="219">
        <v>-1706.9</v>
      </c>
      <c r="U48" s="220">
        <v>-1940.9</v>
      </c>
      <c r="V48" s="218">
        <v>-234</v>
      </c>
      <c r="W48" s="219">
        <v>-568</v>
      </c>
      <c r="X48" s="219">
        <v>-802</v>
      </c>
      <c r="Y48" s="220">
        <v>-1162.5</v>
      </c>
      <c r="Z48" s="219">
        <v>-550</v>
      </c>
      <c r="AA48" s="219">
        <v>-652</v>
      </c>
      <c r="AB48" s="219">
        <v>-1077.8</v>
      </c>
      <c r="AC48" s="220">
        <v>-1282.2</v>
      </c>
      <c r="AD48" s="218">
        <v>-584.4</v>
      </c>
      <c r="AE48" s="219"/>
      <c r="AF48" s="219"/>
      <c r="AG48" s="220"/>
      <c r="AI48" s="218">
        <v>-584.4</v>
      </c>
      <c r="AJ48" s="219"/>
      <c r="AK48" s="219"/>
      <c r="AL48" s="220"/>
    </row>
    <row r="49" spans="1:38" s="11" customFormat="1" ht="19.5" customHeight="1">
      <c r="A49" s="41" t="s">
        <v>158</v>
      </c>
      <c r="B49" s="218">
        <v>0</v>
      </c>
      <c r="C49" s="219">
        <v>0</v>
      </c>
      <c r="D49" s="219">
        <v>0</v>
      </c>
      <c r="E49" s="296">
        <v>0</v>
      </c>
      <c r="F49" s="218">
        <v>0</v>
      </c>
      <c r="G49" s="219">
        <v>0</v>
      </c>
      <c r="H49" s="219">
        <v>0</v>
      </c>
      <c r="I49" s="296">
        <v>0</v>
      </c>
      <c r="J49" s="216">
        <v>0</v>
      </c>
      <c r="K49" s="216">
        <v>2800</v>
      </c>
      <c r="L49" s="216">
        <v>2800</v>
      </c>
      <c r="M49" s="217">
        <v>2800</v>
      </c>
      <c r="N49" s="218">
        <v>50</v>
      </c>
      <c r="O49" s="219">
        <v>120</v>
      </c>
      <c r="P49" s="219">
        <v>6820</v>
      </c>
      <c r="Q49" s="220">
        <v>6820</v>
      </c>
      <c r="R49" s="218">
        <v>5500</v>
      </c>
      <c r="S49" s="219">
        <v>5500</v>
      </c>
      <c r="T49" s="219">
        <v>5500</v>
      </c>
      <c r="U49" s="220">
        <v>5500</v>
      </c>
      <c r="V49" s="218">
        <v>0</v>
      </c>
      <c r="W49" s="219">
        <v>600</v>
      </c>
      <c r="X49" s="219">
        <v>600</v>
      </c>
      <c r="Y49" s="220">
        <v>1200</v>
      </c>
      <c r="Z49" s="219">
        <v>0</v>
      </c>
      <c r="AA49" s="219">
        <v>18.100000000000001</v>
      </c>
      <c r="AB49" s="219">
        <v>635.29999999999995</v>
      </c>
      <c r="AC49" s="220">
        <v>635.29999999999995</v>
      </c>
      <c r="AD49" s="218">
        <v>0</v>
      </c>
      <c r="AE49" s="219"/>
      <c r="AF49" s="219"/>
      <c r="AG49" s="220"/>
      <c r="AI49" s="218">
        <v>0</v>
      </c>
      <c r="AJ49" s="219"/>
      <c r="AK49" s="219"/>
      <c r="AL49" s="220"/>
    </row>
    <row r="50" spans="1:38" s="11" customFormat="1" ht="19.5" customHeight="1">
      <c r="A50" s="41" t="s">
        <v>206</v>
      </c>
      <c r="B50" s="218">
        <v>0</v>
      </c>
      <c r="C50" s="219">
        <v>0</v>
      </c>
      <c r="D50" s="219">
        <v>0</v>
      </c>
      <c r="E50" s="296">
        <v>0</v>
      </c>
      <c r="F50" s="218">
        <v>0</v>
      </c>
      <c r="G50" s="219">
        <v>0</v>
      </c>
      <c r="H50" s="219">
        <v>0</v>
      </c>
      <c r="I50" s="296">
        <v>0</v>
      </c>
      <c r="J50" s="216">
        <v>0</v>
      </c>
      <c r="K50" s="216">
        <v>-2275.9</v>
      </c>
      <c r="L50" s="216">
        <v>-2275.9</v>
      </c>
      <c r="M50" s="217">
        <v>-2275.9</v>
      </c>
      <c r="N50" s="218">
        <v>0</v>
      </c>
      <c r="O50" s="219">
        <v>0</v>
      </c>
      <c r="P50" s="219">
        <v>1000</v>
      </c>
      <c r="Q50" s="220">
        <v>1000</v>
      </c>
      <c r="R50" s="218">
        <v>-4483.8</v>
      </c>
      <c r="S50" s="219">
        <v>-4483.8</v>
      </c>
      <c r="T50" s="219">
        <v>-4483.8</v>
      </c>
      <c r="U50" s="220">
        <v>-4484</v>
      </c>
      <c r="V50" s="218">
        <v>0</v>
      </c>
      <c r="W50" s="219">
        <v>-886.7</v>
      </c>
      <c r="X50" s="219">
        <v>-886.7</v>
      </c>
      <c r="Y50" s="220">
        <v>-886.7</v>
      </c>
      <c r="Z50" s="219">
        <v>0</v>
      </c>
      <c r="AA50" s="219">
        <v>0</v>
      </c>
      <c r="AB50" s="219">
        <v>0</v>
      </c>
      <c r="AC50" s="220">
        <v>0</v>
      </c>
      <c r="AD50" s="218">
        <v>0</v>
      </c>
      <c r="AE50" s="219"/>
      <c r="AF50" s="219"/>
      <c r="AG50" s="220"/>
      <c r="AI50" s="218">
        <v>0</v>
      </c>
      <c r="AJ50" s="219"/>
      <c r="AK50" s="219"/>
      <c r="AL50" s="220"/>
    </row>
    <row r="51" spans="1:38" s="11" customFormat="1" ht="19.5" customHeight="1">
      <c r="A51" s="41" t="s">
        <v>177</v>
      </c>
      <c r="B51" s="218">
        <v>0</v>
      </c>
      <c r="C51" s="219">
        <v>0</v>
      </c>
      <c r="D51" s="219">
        <v>0</v>
      </c>
      <c r="E51" s="296">
        <v>0</v>
      </c>
      <c r="F51" s="218">
        <v>0</v>
      </c>
      <c r="G51" s="219">
        <v>0</v>
      </c>
      <c r="H51" s="219">
        <v>0</v>
      </c>
      <c r="I51" s="296">
        <v>0</v>
      </c>
      <c r="J51" s="216">
        <v>0</v>
      </c>
      <c r="K51" s="216">
        <v>0</v>
      </c>
      <c r="L51" s="216">
        <v>0</v>
      </c>
      <c r="M51" s="217">
        <v>0</v>
      </c>
      <c r="N51" s="218">
        <v>0</v>
      </c>
      <c r="O51" s="219">
        <v>0</v>
      </c>
      <c r="P51" s="219">
        <v>0</v>
      </c>
      <c r="Q51" s="220">
        <v>0</v>
      </c>
      <c r="R51" s="218">
        <v>-262.10000000000002</v>
      </c>
      <c r="S51" s="219">
        <v>-262.10000000000002</v>
      </c>
      <c r="T51" s="219">
        <v>-262.10000000000002</v>
      </c>
      <c r="U51" s="220">
        <v>-262.10000000000002</v>
      </c>
      <c r="V51" s="218">
        <v>0</v>
      </c>
      <c r="W51" s="219">
        <v>-58.7</v>
      </c>
      <c r="X51" s="219">
        <v>-58.7</v>
      </c>
      <c r="Y51" s="220">
        <v>-58.7</v>
      </c>
      <c r="Z51" s="219">
        <v>0</v>
      </c>
      <c r="AA51" s="219">
        <v>0</v>
      </c>
      <c r="AB51" s="219">
        <v>0</v>
      </c>
      <c r="AC51" s="220">
        <v>0</v>
      </c>
      <c r="AD51" s="218">
        <v>0</v>
      </c>
      <c r="AE51" s="219"/>
      <c r="AF51" s="219"/>
      <c r="AG51" s="220"/>
      <c r="AI51" s="218">
        <v>0</v>
      </c>
      <c r="AJ51" s="219"/>
      <c r="AK51" s="219"/>
      <c r="AL51" s="220"/>
    </row>
    <row r="52" spans="1:38" s="11" customFormat="1" ht="19.5" customHeight="1">
      <c r="A52" s="41" t="s">
        <v>178</v>
      </c>
      <c r="B52" s="218">
        <v>0</v>
      </c>
      <c r="C52" s="219">
        <v>0</v>
      </c>
      <c r="D52" s="219">
        <v>0</v>
      </c>
      <c r="E52" s="296">
        <v>0</v>
      </c>
      <c r="F52" s="218">
        <v>0</v>
      </c>
      <c r="G52" s="219">
        <v>0</v>
      </c>
      <c r="H52" s="219">
        <v>0</v>
      </c>
      <c r="I52" s="296">
        <v>0</v>
      </c>
      <c r="J52" s="216">
        <v>0</v>
      </c>
      <c r="K52" s="216">
        <v>0</v>
      </c>
      <c r="L52" s="216">
        <v>0</v>
      </c>
      <c r="M52" s="217">
        <v>0</v>
      </c>
      <c r="N52" s="218">
        <v>0</v>
      </c>
      <c r="O52" s="219">
        <v>0</v>
      </c>
      <c r="P52" s="219">
        <v>0</v>
      </c>
      <c r="Q52" s="220">
        <v>0</v>
      </c>
      <c r="R52" s="218">
        <v>175.4</v>
      </c>
      <c r="S52" s="219">
        <v>175.4</v>
      </c>
      <c r="T52" s="219">
        <v>175.4</v>
      </c>
      <c r="U52" s="220">
        <v>175.4</v>
      </c>
      <c r="V52" s="218">
        <v>0</v>
      </c>
      <c r="W52" s="219">
        <v>0</v>
      </c>
      <c r="X52" s="219">
        <v>0</v>
      </c>
      <c r="Y52" s="220">
        <v>0</v>
      </c>
      <c r="Z52" s="219">
        <v>0</v>
      </c>
      <c r="AA52" s="219">
        <v>0</v>
      </c>
      <c r="AB52" s="219">
        <v>0</v>
      </c>
      <c r="AC52" s="220">
        <v>0</v>
      </c>
      <c r="AD52" s="218">
        <v>0</v>
      </c>
      <c r="AE52" s="219"/>
      <c r="AF52" s="219"/>
      <c r="AG52" s="220"/>
      <c r="AI52" s="218">
        <v>0</v>
      </c>
      <c r="AJ52" s="219"/>
      <c r="AK52" s="219"/>
      <c r="AL52" s="220"/>
    </row>
    <row r="53" spans="1:38" s="11" customFormat="1" ht="19.5" customHeight="1">
      <c r="A53" s="181" t="s">
        <v>324</v>
      </c>
      <c r="B53" s="218">
        <v>-26.132999999999999</v>
      </c>
      <c r="C53" s="219">
        <f>(-103258-821)*0.001</f>
        <v>-104.07900000000001</v>
      </c>
      <c r="D53" s="219">
        <f>(-125824-2250)*0.001</f>
        <v>-128.07400000000001</v>
      </c>
      <c r="E53" s="296">
        <f>(-195934-3683)*0.001</f>
        <v>-199.61699999999999</v>
      </c>
      <c r="F53" s="218">
        <f>(-15811-1035)*0.001</f>
        <v>-16.846</v>
      </c>
      <c r="G53" s="219">
        <f>(-84439-1241)*0.001</f>
        <v>-85.68</v>
      </c>
      <c r="H53" s="219">
        <f>(-96215-1689)*0.001</f>
        <v>-97.903999999999996</v>
      </c>
      <c r="I53" s="296">
        <v>-165.017</v>
      </c>
      <c r="J53" s="216">
        <v>-9.0950000000000006</v>
      </c>
      <c r="K53" s="216">
        <v>-348.3</v>
      </c>
      <c r="L53" s="216">
        <v>-733.5</v>
      </c>
      <c r="M53" s="217">
        <v>-872.2</v>
      </c>
      <c r="N53" s="218">
        <v>-357.9</v>
      </c>
      <c r="O53" s="219">
        <v>-472.3</v>
      </c>
      <c r="P53" s="219">
        <v>-804.1</v>
      </c>
      <c r="Q53" s="220">
        <v>-978.9</v>
      </c>
      <c r="R53" s="218">
        <v>-383.2</v>
      </c>
      <c r="S53" s="219">
        <v>-507.9</v>
      </c>
      <c r="T53" s="219">
        <v>-631.70000000000005</v>
      </c>
      <c r="U53" s="220">
        <v>-729.6</v>
      </c>
      <c r="V53" s="218">
        <v>-112.5</v>
      </c>
      <c r="W53" s="219">
        <v>-206</v>
      </c>
      <c r="X53" s="219">
        <v>-319.60000000000002</v>
      </c>
      <c r="Y53" s="220">
        <v>-409.9</v>
      </c>
      <c r="Z53" s="219">
        <v>-138</v>
      </c>
      <c r="AA53" s="219">
        <v>-230.9</v>
      </c>
      <c r="AB53" s="219">
        <v>-342.8</v>
      </c>
      <c r="AC53" s="220">
        <v>-419</v>
      </c>
      <c r="AD53" s="218">
        <v>-107.1</v>
      </c>
      <c r="AE53" s="219"/>
      <c r="AF53" s="219"/>
      <c r="AG53" s="220"/>
      <c r="AI53" s="218">
        <v>-107.1</v>
      </c>
      <c r="AJ53" s="219"/>
      <c r="AK53" s="219"/>
      <c r="AL53" s="220"/>
    </row>
    <row r="54" spans="1:38" s="11" customFormat="1" ht="19.5" customHeight="1">
      <c r="A54" s="623" t="s">
        <v>331</v>
      </c>
      <c r="B54" s="218"/>
      <c r="C54" s="219"/>
      <c r="D54" s="219"/>
      <c r="E54" s="296"/>
      <c r="F54" s="218"/>
      <c r="G54" s="219"/>
      <c r="H54" s="219"/>
      <c r="I54" s="296"/>
      <c r="J54" s="216"/>
      <c r="K54" s="216"/>
      <c r="L54" s="216"/>
      <c r="M54" s="217"/>
      <c r="N54" s="218"/>
      <c r="O54" s="219"/>
      <c r="P54" s="219"/>
      <c r="Q54" s="220"/>
      <c r="R54" s="218"/>
      <c r="S54" s="219"/>
      <c r="T54" s="219"/>
      <c r="U54" s="220"/>
      <c r="V54" s="218"/>
      <c r="W54" s="219"/>
      <c r="X54" s="219"/>
      <c r="Y54" s="220"/>
      <c r="Z54" s="219"/>
      <c r="AA54" s="219"/>
      <c r="AB54" s="219"/>
      <c r="AC54" s="220"/>
      <c r="AD54" s="218">
        <v>-0.2</v>
      </c>
      <c r="AE54" s="219"/>
      <c r="AF54" s="219"/>
      <c r="AG54" s="220"/>
      <c r="AI54" s="218">
        <v>-7.8</v>
      </c>
      <c r="AJ54" s="219"/>
      <c r="AK54" s="219"/>
      <c r="AL54" s="220"/>
    </row>
    <row r="55" spans="1:38" s="11" customFormat="1" ht="19.5" customHeight="1">
      <c r="A55" s="623" t="s">
        <v>332</v>
      </c>
      <c r="B55" s="218"/>
      <c r="C55" s="219"/>
      <c r="D55" s="219"/>
      <c r="E55" s="296"/>
      <c r="F55" s="218"/>
      <c r="G55" s="219"/>
      <c r="H55" s="219"/>
      <c r="I55" s="296"/>
      <c r="J55" s="216"/>
      <c r="K55" s="216"/>
      <c r="L55" s="216"/>
      <c r="M55" s="217"/>
      <c r="N55" s="218"/>
      <c r="O55" s="219"/>
      <c r="P55" s="219"/>
      <c r="Q55" s="220"/>
      <c r="R55" s="218"/>
      <c r="S55" s="219"/>
      <c r="T55" s="219"/>
      <c r="U55" s="220"/>
      <c r="V55" s="218"/>
      <c r="W55" s="219"/>
      <c r="X55" s="219"/>
      <c r="Y55" s="220"/>
      <c r="Z55" s="219"/>
      <c r="AA55" s="219"/>
      <c r="AB55" s="219"/>
      <c r="AC55" s="220"/>
      <c r="AD55" s="218">
        <v>-3.1</v>
      </c>
      <c r="AE55" s="219"/>
      <c r="AF55" s="219"/>
      <c r="AG55" s="220"/>
      <c r="AI55" s="218">
        <v>-54.5</v>
      </c>
      <c r="AJ55" s="219"/>
      <c r="AK55" s="219"/>
      <c r="AL55" s="220"/>
    </row>
    <row r="56" spans="1:38" s="11" customFormat="1" ht="19.5" customHeight="1">
      <c r="A56" s="41" t="s">
        <v>159</v>
      </c>
      <c r="B56" s="218">
        <v>0</v>
      </c>
      <c r="C56" s="219">
        <v>0</v>
      </c>
      <c r="D56" s="219">
        <v>0</v>
      </c>
      <c r="E56" s="296">
        <v>0</v>
      </c>
      <c r="F56" s="218">
        <v>0</v>
      </c>
      <c r="G56" s="219">
        <v>0</v>
      </c>
      <c r="H56" s="219">
        <v>0</v>
      </c>
      <c r="I56" s="296">
        <v>0</v>
      </c>
      <c r="J56" s="216">
        <v>0</v>
      </c>
      <c r="K56" s="216">
        <v>-102.9</v>
      </c>
      <c r="L56" s="216">
        <v>-102.9</v>
      </c>
      <c r="M56" s="217">
        <v>-102.9</v>
      </c>
      <c r="N56" s="218">
        <v>0</v>
      </c>
      <c r="O56" s="219">
        <v>0</v>
      </c>
      <c r="P56" s="219">
        <v>0</v>
      </c>
      <c r="Q56" s="220">
        <v>0</v>
      </c>
      <c r="R56" s="218">
        <v>0</v>
      </c>
      <c r="S56" s="219">
        <v>0</v>
      </c>
      <c r="T56" s="219">
        <v>0</v>
      </c>
      <c r="U56" s="220">
        <v>0</v>
      </c>
      <c r="V56" s="218">
        <v>0</v>
      </c>
      <c r="W56" s="219">
        <v>0</v>
      </c>
      <c r="X56" s="219">
        <v>-204.7</v>
      </c>
      <c r="Y56" s="220">
        <v>-204.7</v>
      </c>
      <c r="Z56" s="219">
        <v>0</v>
      </c>
      <c r="AA56" s="219">
        <v>0</v>
      </c>
      <c r="AB56" s="219">
        <v>0</v>
      </c>
      <c r="AC56" s="220">
        <v>0</v>
      </c>
      <c r="AD56" s="218">
        <v>0</v>
      </c>
      <c r="AE56" s="219"/>
      <c r="AF56" s="219"/>
      <c r="AG56" s="220"/>
      <c r="AI56" s="218">
        <v>0</v>
      </c>
      <c r="AJ56" s="219"/>
      <c r="AK56" s="219"/>
      <c r="AL56" s="220"/>
    </row>
    <row r="57" spans="1:38" s="10" customFormat="1" ht="19.5" customHeight="1">
      <c r="A57" s="351" t="s">
        <v>233</v>
      </c>
      <c r="B57" s="352"/>
      <c r="C57" s="353"/>
      <c r="D57" s="353"/>
      <c r="E57" s="354"/>
      <c r="F57" s="352"/>
      <c r="G57" s="353"/>
      <c r="H57" s="353"/>
      <c r="I57" s="354"/>
      <c r="J57" s="355"/>
      <c r="K57" s="355"/>
      <c r="L57" s="355"/>
      <c r="M57" s="217"/>
      <c r="N57" s="352"/>
      <c r="O57" s="353"/>
      <c r="P57" s="353"/>
      <c r="Q57" s="220"/>
      <c r="R57" s="352"/>
      <c r="S57" s="353">
        <v>-323.60000000000002</v>
      </c>
      <c r="T57" s="353">
        <v>-323.60000000000002</v>
      </c>
      <c r="U57" s="220">
        <v>-323.60000000000002</v>
      </c>
      <c r="V57" s="352">
        <v>0</v>
      </c>
      <c r="W57" s="353">
        <v>0</v>
      </c>
      <c r="X57" s="353">
        <v>0</v>
      </c>
      <c r="Y57" s="220">
        <v>0</v>
      </c>
      <c r="Z57" s="353">
        <v>0</v>
      </c>
      <c r="AA57" s="353">
        <v>0</v>
      </c>
      <c r="AB57" s="353">
        <v>0</v>
      </c>
      <c r="AC57" s="220">
        <v>0</v>
      </c>
      <c r="AD57" s="352">
        <v>0</v>
      </c>
      <c r="AE57" s="353"/>
      <c r="AF57" s="353"/>
      <c r="AG57" s="220"/>
      <c r="AI57" s="352">
        <v>0</v>
      </c>
      <c r="AJ57" s="353"/>
      <c r="AK57" s="353"/>
      <c r="AL57" s="220"/>
    </row>
    <row r="58" spans="1:38" s="11" customFormat="1" ht="19.5" customHeight="1">
      <c r="A58" s="41" t="s">
        <v>209</v>
      </c>
      <c r="B58" s="218">
        <v>-8.4000000000000005E-2</v>
      </c>
      <c r="C58" s="219">
        <v>-0.23899999999999999</v>
      </c>
      <c r="D58" s="219">
        <v>-0.315</v>
      </c>
      <c r="E58" s="296">
        <v>-0.40600000000000003</v>
      </c>
      <c r="F58" s="218">
        <v>-7.8E-2</v>
      </c>
      <c r="G58" s="219">
        <v>-0.16800000000000001</v>
      </c>
      <c r="H58" s="219">
        <v>-0.25600000000000001</v>
      </c>
      <c r="I58" s="296">
        <v>-0.33</v>
      </c>
      <c r="J58" s="216">
        <v>-6.2E-2</v>
      </c>
      <c r="K58" s="216">
        <v>-0.3</v>
      </c>
      <c r="L58" s="216">
        <v>-0.7</v>
      </c>
      <c r="M58" s="217">
        <v>-0.9</v>
      </c>
      <c r="N58" s="218">
        <v>-2.5</v>
      </c>
      <c r="O58" s="219">
        <v>-3.5</v>
      </c>
      <c r="P58" s="219">
        <v>-4.5</v>
      </c>
      <c r="Q58" s="220">
        <v>-5.6</v>
      </c>
      <c r="R58" s="218">
        <v>-2.1</v>
      </c>
      <c r="S58" s="219">
        <v>-2.7</v>
      </c>
      <c r="T58" s="219">
        <v>-4.4000000000000004</v>
      </c>
      <c r="U58" s="220">
        <v>-6</v>
      </c>
      <c r="V58" s="218">
        <f>-0.3-1.4</f>
        <v>-1.7</v>
      </c>
      <c r="W58" s="219">
        <v>-2.9</v>
      </c>
      <c r="X58" s="219">
        <v>-4.3</v>
      </c>
      <c r="Y58" s="220">
        <v>-5.2</v>
      </c>
      <c r="Z58" s="219">
        <v>-1.6</v>
      </c>
      <c r="AA58" s="219">
        <v>-3.4</v>
      </c>
      <c r="AB58" s="219">
        <v>-4.8</v>
      </c>
      <c r="AC58" s="220">
        <v>-8.4</v>
      </c>
      <c r="AD58" s="218">
        <v>-0.6</v>
      </c>
      <c r="AE58" s="219"/>
      <c r="AF58" s="219"/>
      <c r="AG58" s="220"/>
      <c r="AI58" s="218">
        <v>-0.6</v>
      </c>
      <c r="AJ58" s="219"/>
      <c r="AK58" s="219"/>
      <c r="AL58" s="220"/>
    </row>
    <row r="59" spans="1:38" s="11" customFormat="1" ht="19.5" customHeight="1" thickBot="1">
      <c r="A59" s="41" t="s">
        <v>160</v>
      </c>
      <c r="B59" s="298">
        <v>0</v>
      </c>
      <c r="C59" s="299">
        <v>0</v>
      </c>
      <c r="D59" s="299">
        <v>0</v>
      </c>
      <c r="E59" s="219">
        <v>0</v>
      </c>
      <c r="F59" s="218">
        <v>0</v>
      </c>
      <c r="G59" s="219">
        <v>0</v>
      </c>
      <c r="H59" s="219">
        <v>0</v>
      </c>
      <c r="I59" s="296">
        <v>0</v>
      </c>
      <c r="J59" s="216">
        <v>0</v>
      </c>
      <c r="K59" s="216">
        <v>-3.8</v>
      </c>
      <c r="L59" s="216">
        <v>-3.9</v>
      </c>
      <c r="M59" s="217">
        <v>-3.9</v>
      </c>
      <c r="N59" s="218">
        <v>0</v>
      </c>
      <c r="O59" s="219">
        <v>0</v>
      </c>
      <c r="P59" s="219">
        <v>0</v>
      </c>
      <c r="Q59" s="220">
        <v>0</v>
      </c>
      <c r="R59" s="218">
        <v>0</v>
      </c>
      <c r="S59" s="219">
        <v>0</v>
      </c>
      <c r="T59" s="219">
        <v>0</v>
      </c>
      <c r="U59" s="220">
        <v>0</v>
      </c>
      <c r="V59" s="218">
        <v>0</v>
      </c>
      <c r="W59" s="219">
        <v>0</v>
      </c>
      <c r="X59" s="219">
        <v>0</v>
      </c>
      <c r="Y59" s="220">
        <v>0</v>
      </c>
      <c r="Z59" s="219">
        <v>0</v>
      </c>
      <c r="AA59" s="219">
        <v>0</v>
      </c>
      <c r="AB59" s="219">
        <v>0</v>
      </c>
      <c r="AC59" s="220">
        <v>0</v>
      </c>
      <c r="AD59" s="218">
        <v>0</v>
      </c>
      <c r="AE59" s="219"/>
      <c r="AF59" s="219"/>
      <c r="AG59" s="220"/>
      <c r="AI59" s="218">
        <v>0</v>
      </c>
      <c r="AJ59" s="219"/>
      <c r="AK59" s="219"/>
      <c r="AL59" s="220"/>
    </row>
    <row r="60" spans="1:38" s="11" customFormat="1" ht="20.100000000000001" customHeight="1" thickBot="1">
      <c r="A60" s="42" t="s">
        <v>161</v>
      </c>
      <c r="B60" s="223">
        <f t="shared" ref="B60:AG60" si="17">SUM(B48:B59)</f>
        <v>-52.972000000000001</v>
      </c>
      <c r="C60" s="221">
        <f t="shared" si="17"/>
        <v>-260.08099999999996</v>
      </c>
      <c r="D60" s="221">
        <f t="shared" si="17"/>
        <v>-525.96400000000006</v>
      </c>
      <c r="E60" s="297">
        <f t="shared" si="17"/>
        <v>-653.34699999999998</v>
      </c>
      <c r="F60" s="223">
        <f t="shared" si="17"/>
        <v>-66.737000000000009</v>
      </c>
      <c r="G60" s="221">
        <f t="shared" si="17"/>
        <v>-278.43799999999999</v>
      </c>
      <c r="H60" s="221">
        <f t="shared" si="17"/>
        <v>-464.322</v>
      </c>
      <c r="I60" s="297">
        <f t="shared" si="17"/>
        <v>-596.46400000000006</v>
      </c>
      <c r="J60" s="223">
        <f t="shared" si="17"/>
        <v>-46.550999999999995</v>
      </c>
      <c r="K60" s="221">
        <f t="shared" si="17"/>
        <v>-478.30000000000007</v>
      </c>
      <c r="L60" s="221">
        <f t="shared" si="17"/>
        <v>-1064.0000000000002</v>
      </c>
      <c r="M60" s="222">
        <f t="shared" si="17"/>
        <v>-1542.9000000000003</v>
      </c>
      <c r="N60" s="223">
        <f t="shared" si="17"/>
        <v>-467.4</v>
      </c>
      <c r="O60" s="221">
        <f t="shared" si="17"/>
        <v>-1310</v>
      </c>
      <c r="P60" s="221">
        <f t="shared" si="17"/>
        <v>-2210.8000000000006</v>
      </c>
      <c r="Q60" s="224">
        <f t="shared" si="17"/>
        <v>-2386.7000000000007</v>
      </c>
      <c r="R60" s="223">
        <f t="shared" si="17"/>
        <v>-371.90000000000055</v>
      </c>
      <c r="S60" s="221">
        <f t="shared" si="17"/>
        <v>-1403.6000000000001</v>
      </c>
      <c r="T60" s="221">
        <f t="shared" si="17"/>
        <v>-1737.1000000000004</v>
      </c>
      <c r="U60" s="224">
        <f t="shared" si="17"/>
        <v>-2070.8000000000002</v>
      </c>
      <c r="V60" s="223">
        <f t="shared" si="17"/>
        <v>-348.2</v>
      </c>
      <c r="W60" s="221">
        <f t="shared" si="17"/>
        <v>-1122.3000000000002</v>
      </c>
      <c r="X60" s="221">
        <f t="shared" si="17"/>
        <v>-1676</v>
      </c>
      <c r="Y60" s="224">
        <f t="shared" si="17"/>
        <v>-1527.7000000000003</v>
      </c>
      <c r="Z60" s="223">
        <f t="shared" si="17"/>
        <v>-689.6</v>
      </c>
      <c r="AA60" s="221">
        <f t="shared" si="17"/>
        <v>-868.19999999999993</v>
      </c>
      <c r="AB60" s="221">
        <f t="shared" si="17"/>
        <v>-790.09999999999991</v>
      </c>
      <c r="AC60" s="224">
        <f t="shared" si="17"/>
        <v>-1074.3000000000002</v>
      </c>
      <c r="AD60" s="223">
        <f t="shared" si="17"/>
        <v>-695.40000000000009</v>
      </c>
      <c r="AE60" s="221">
        <f t="shared" si="17"/>
        <v>0</v>
      </c>
      <c r="AF60" s="221">
        <f t="shared" si="17"/>
        <v>0</v>
      </c>
      <c r="AG60" s="224">
        <f t="shared" si="17"/>
        <v>0</v>
      </c>
      <c r="AI60" s="223">
        <f t="shared" ref="AI60:AL60" si="18">SUM(AI48:AI59)</f>
        <v>-754.4</v>
      </c>
      <c r="AJ60" s="221">
        <f t="shared" si="18"/>
        <v>0</v>
      </c>
      <c r="AK60" s="221">
        <f t="shared" si="18"/>
        <v>0</v>
      </c>
      <c r="AL60" s="224">
        <f t="shared" si="18"/>
        <v>0</v>
      </c>
    </row>
    <row r="61" spans="1:38" s="11" customFormat="1" ht="20.100000000000001" customHeight="1" thickBot="1">
      <c r="A61" s="42" t="s">
        <v>165</v>
      </c>
      <c r="B61" s="223">
        <f>B31+B47+B60</f>
        <v>147.59399999999997</v>
      </c>
      <c r="C61" s="221">
        <f t="shared" ref="C61:AG61" si="19">C60+C47+C31</f>
        <v>33.256000000000029</v>
      </c>
      <c r="D61" s="221">
        <f t="shared" si="19"/>
        <v>-51.083999999999946</v>
      </c>
      <c r="E61" s="297">
        <f t="shared" si="19"/>
        <v>-5.4109999999999445</v>
      </c>
      <c r="F61" s="223">
        <f t="shared" si="19"/>
        <v>53.822999999999979</v>
      </c>
      <c r="G61" s="221">
        <f t="shared" si="19"/>
        <v>-5.0790000000000077</v>
      </c>
      <c r="H61" s="221">
        <f t="shared" si="19"/>
        <v>-55.118000000000166</v>
      </c>
      <c r="I61" s="297">
        <f t="shared" si="19"/>
        <v>72.357999999999834</v>
      </c>
      <c r="J61" s="221">
        <f t="shared" si="19"/>
        <v>85.956000000000017</v>
      </c>
      <c r="K61" s="221">
        <f t="shared" si="19"/>
        <v>1565.4</v>
      </c>
      <c r="L61" s="221">
        <f t="shared" si="19"/>
        <v>1300.0999999999999</v>
      </c>
      <c r="M61" s="222">
        <f t="shared" si="19"/>
        <v>1403.7999999999975</v>
      </c>
      <c r="N61" s="223">
        <f t="shared" si="19"/>
        <v>-257.89999999999981</v>
      </c>
      <c r="O61" s="221">
        <f t="shared" si="19"/>
        <v>-353.30000000000041</v>
      </c>
      <c r="P61" s="221">
        <f t="shared" si="19"/>
        <v>-677.30000000000109</v>
      </c>
      <c r="Q61" s="224">
        <f t="shared" si="19"/>
        <v>-225.60000000000127</v>
      </c>
      <c r="R61" s="223">
        <f t="shared" si="19"/>
        <v>49.999999999999602</v>
      </c>
      <c r="S61" s="221">
        <f t="shared" si="19"/>
        <v>-568.70000000000005</v>
      </c>
      <c r="T61" s="221">
        <f t="shared" si="19"/>
        <v>-411.39999999999918</v>
      </c>
      <c r="U61" s="224">
        <f t="shared" si="19"/>
        <v>-189.49999999999955</v>
      </c>
      <c r="V61" s="223">
        <f t="shared" si="19"/>
        <v>244.3000000000003</v>
      </c>
      <c r="W61" s="221">
        <f t="shared" si="19"/>
        <v>29.599999999999909</v>
      </c>
      <c r="X61" s="221">
        <f t="shared" si="19"/>
        <v>-245.50000000000045</v>
      </c>
      <c r="Y61" s="224">
        <f t="shared" si="19"/>
        <v>-159.59999999999945</v>
      </c>
      <c r="Z61" s="223">
        <f t="shared" si="19"/>
        <v>-374.99999999999989</v>
      </c>
      <c r="AA61" s="221">
        <f t="shared" si="19"/>
        <v>-285.70000000000005</v>
      </c>
      <c r="AB61" s="221">
        <f t="shared" si="19"/>
        <v>-11.199999999999818</v>
      </c>
      <c r="AC61" s="224">
        <f t="shared" si="19"/>
        <v>5.2999999999997272</v>
      </c>
      <c r="AD61" s="223">
        <f t="shared" si="19"/>
        <v>-420.69999999999993</v>
      </c>
      <c r="AE61" s="221">
        <f t="shared" si="19"/>
        <v>0</v>
      </c>
      <c r="AF61" s="221">
        <f t="shared" si="19"/>
        <v>0</v>
      </c>
      <c r="AG61" s="224">
        <f t="shared" si="19"/>
        <v>0</v>
      </c>
      <c r="AI61" s="223">
        <f t="shared" ref="AI61:AL61" si="20">AI60+AI47+AI31</f>
        <v>-420.69999999999993</v>
      </c>
      <c r="AJ61" s="221">
        <f t="shared" si="20"/>
        <v>0</v>
      </c>
      <c r="AK61" s="221">
        <f t="shared" si="20"/>
        <v>0</v>
      </c>
      <c r="AL61" s="224">
        <f t="shared" si="20"/>
        <v>0</v>
      </c>
    </row>
    <row r="62" spans="1:38" s="12" customFormat="1" ht="20.100000000000001" customHeight="1">
      <c r="A62" s="43" t="s">
        <v>166</v>
      </c>
      <c r="B62" s="227">
        <v>277.53399999999999</v>
      </c>
      <c r="C62" s="225">
        <v>277.53399999999999</v>
      </c>
      <c r="D62" s="225">
        <v>277.53399999999999</v>
      </c>
      <c r="E62" s="300">
        <v>277.53399999999999</v>
      </c>
      <c r="F62" s="227">
        <v>270.35399999999998</v>
      </c>
      <c r="G62" s="225">
        <v>270.35399999999998</v>
      </c>
      <c r="H62" s="225">
        <v>270.35399999999998</v>
      </c>
      <c r="I62" s="300">
        <v>270.35399999999998</v>
      </c>
      <c r="J62" s="225">
        <v>342.25100000000003</v>
      </c>
      <c r="K62" s="225">
        <v>342.2</v>
      </c>
      <c r="L62" s="225">
        <v>342.2</v>
      </c>
      <c r="M62" s="226">
        <v>342.2</v>
      </c>
      <c r="N62" s="227">
        <v>1747.9</v>
      </c>
      <c r="O62" s="225">
        <v>1747.9</v>
      </c>
      <c r="P62" s="225">
        <v>1747.9</v>
      </c>
      <c r="Q62" s="228">
        <v>1747.9</v>
      </c>
      <c r="R62" s="227">
        <f>Q64</f>
        <v>1523.6999999999989</v>
      </c>
      <c r="S62" s="225">
        <v>1523.7</v>
      </c>
      <c r="T62" s="225">
        <f>S62</f>
        <v>1523.7</v>
      </c>
      <c r="U62" s="228">
        <v>1523.6999999999989</v>
      </c>
      <c r="V62" s="227">
        <f>U64</f>
        <v>1336.6999999999994</v>
      </c>
      <c r="W62" s="225">
        <f>U64</f>
        <v>1336.6999999999994</v>
      </c>
      <c r="X62" s="225">
        <f>U64</f>
        <v>1336.6999999999994</v>
      </c>
      <c r="Y62" s="228">
        <f>U64</f>
        <v>1336.6999999999994</v>
      </c>
      <c r="Z62" s="227">
        <f>Y64</f>
        <v>1172</v>
      </c>
      <c r="AA62" s="225">
        <f>Y64</f>
        <v>1172</v>
      </c>
      <c r="AB62" s="225">
        <f>Y64</f>
        <v>1172</v>
      </c>
      <c r="AC62" s="228">
        <f>AB62</f>
        <v>1172</v>
      </c>
      <c r="AD62" s="227">
        <f>AC64</f>
        <v>1178.6999999999998</v>
      </c>
      <c r="AE62" s="225">
        <v>757.00000000000011</v>
      </c>
      <c r="AF62" s="225">
        <v>757.00000000000011</v>
      </c>
      <c r="AG62" s="228">
        <v>757.00000000000011</v>
      </c>
      <c r="AI62" s="227">
        <v>1178.7</v>
      </c>
      <c r="AJ62" s="225">
        <v>757.00000000000011</v>
      </c>
      <c r="AK62" s="225">
        <v>757.00000000000011</v>
      </c>
      <c r="AL62" s="228">
        <v>757.00000000000011</v>
      </c>
    </row>
    <row r="63" spans="1:38" s="12" customFormat="1" ht="20.100000000000001" customHeight="1" thickBot="1">
      <c r="A63" s="41" t="s">
        <v>167</v>
      </c>
      <c r="B63" s="218">
        <v>-2.5009999999999999</v>
      </c>
      <c r="C63" s="219">
        <v>-1.2710000000000001</v>
      </c>
      <c r="D63" s="219">
        <v>-1.339</v>
      </c>
      <c r="E63" s="296">
        <v>-1.7690000000000001</v>
      </c>
      <c r="F63" s="218">
        <v>0.161</v>
      </c>
      <c r="G63" s="219">
        <v>0.52800000000000002</v>
      </c>
      <c r="H63" s="219">
        <v>0.16</v>
      </c>
      <c r="I63" s="296">
        <v>-0.46100000000000002</v>
      </c>
      <c r="J63" s="216">
        <v>-1.7000000000000001E-2</v>
      </c>
      <c r="K63" s="216">
        <v>-0.7</v>
      </c>
      <c r="L63" s="216">
        <v>0.9</v>
      </c>
      <c r="M63" s="229">
        <v>1.9</v>
      </c>
      <c r="N63" s="218">
        <v>1.6</v>
      </c>
      <c r="O63" s="219">
        <v>2</v>
      </c>
      <c r="P63" s="219">
        <v>1.4</v>
      </c>
      <c r="Q63" s="220">
        <v>1.4</v>
      </c>
      <c r="R63" s="218">
        <v>-3.7</v>
      </c>
      <c r="S63" s="219">
        <v>0.4</v>
      </c>
      <c r="T63" s="219">
        <v>-2.1</v>
      </c>
      <c r="U63" s="220">
        <v>2.5</v>
      </c>
      <c r="V63" s="218">
        <v>-3.7</v>
      </c>
      <c r="W63" s="219">
        <v>-3.7</v>
      </c>
      <c r="X63" s="219">
        <v>-2.8</v>
      </c>
      <c r="Y63" s="220">
        <v>-5.0999999999999996</v>
      </c>
      <c r="Z63" s="219">
        <v>0.5</v>
      </c>
      <c r="AA63" s="219">
        <v>1.5</v>
      </c>
      <c r="AB63" s="219">
        <v>2.2999999999999998</v>
      </c>
      <c r="AC63" s="220">
        <v>1.4</v>
      </c>
      <c r="AD63" s="219">
        <v>-1</v>
      </c>
      <c r="AE63" s="219"/>
      <c r="AF63" s="219"/>
      <c r="AG63" s="220"/>
      <c r="AI63" s="298">
        <v>-1</v>
      </c>
      <c r="AJ63" s="219"/>
      <c r="AK63" s="219"/>
      <c r="AL63" s="220"/>
    </row>
    <row r="64" spans="1:38" s="11" customFormat="1" ht="20.100000000000001" customHeight="1" thickBot="1">
      <c r="A64" s="42" t="s">
        <v>168</v>
      </c>
      <c r="B64" s="223">
        <f>B61+B62+B63</f>
        <v>422.62699999999995</v>
      </c>
      <c r="C64" s="221">
        <f t="shared" ref="C64:Q64" si="21">C62+C61+C63</f>
        <v>309.51900000000001</v>
      </c>
      <c r="D64" s="221">
        <f t="shared" si="21"/>
        <v>225.11100000000005</v>
      </c>
      <c r="E64" s="297">
        <f t="shared" si="21"/>
        <v>270.35400000000004</v>
      </c>
      <c r="F64" s="223">
        <f t="shared" si="21"/>
        <v>324.33799999999997</v>
      </c>
      <c r="G64" s="221">
        <f t="shared" si="21"/>
        <v>265.803</v>
      </c>
      <c r="H64" s="221">
        <f t="shared" si="21"/>
        <v>215.39599999999982</v>
      </c>
      <c r="I64" s="297">
        <f t="shared" si="21"/>
        <v>342.25099999999981</v>
      </c>
      <c r="J64" s="221">
        <f t="shared" si="21"/>
        <v>428.19000000000005</v>
      </c>
      <c r="K64" s="221">
        <f t="shared" si="21"/>
        <v>1906.9</v>
      </c>
      <c r="L64" s="221">
        <f t="shared" si="21"/>
        <v>1643.2</v>
      </c>
      <c r="M64" s="222">
        <f t="shared" si="21"/>
        <v>1747.8999999999976</v>
      </c>
      <c r="N64" s="223">
        <f t="shared" si="21"/>
        <v>1491.6000000000001</v>
      </c>
      <c r="O64" s="221">
        <f t="shared" si="21"/>
        <v>1396.5999999999997</v>
      </c>
      <c r="P64" s="221">
        <f t="shared" si="21"/>
        <v>1071.9999999999991</v>
      </c>
      <c r="Q64" s="224">
        <f t="shared" si="21"/>
        <v>1523.6999999999989</v>
      </c>
      <c r="R64" s="223">
        <f t="shared" ref="R64:U64" si="22">R62+R61+R63</f>
        <v>1569.9999999999984</v>
      </c>
      <c r="S64" s="221">
        <f t="shared" si="22"/>
        <v>955.4</v>
      </c>
      <c r="T64" s="221">
        <f t="shared" si="22"/>
        <v>1110.200000000001</v>
      </c>
      <c r="U64" s="224">
        <f t="shared" si="22"/>
        <v>1336.6999999999994</v>
      </c>
      <c r="V64" s="223">
        <f t="shared" ref="V64:Y64" si="23">V62+V61+V63</f>
        <v>1577.2999999999995</v>
      </c>
      <c r="W64" s="221">
        <f t="shared" si="23"/>
        <v>1362.5999999999992</v>
      </c>
      <c r="X64" s="221">
        <f t="shared" si="23"/>
        <v>1088.399999999999</v>
      </c>
      <c r="Y64" s="224">
        <f t="shared" si="23"/>
        <v>1172</v>
      </c>
      <c r="Z64" s="223">
        <f t="shared" ref="Z64:AG64" si="24">Z62+Z61+Z63</f>
        <v>797.50000000000011</v>
      </c>
      <c r="AA64" s="221">
        <f t="shared" si="24"/>
        <v>887.8</v>
      </c>
      <c r="AB64" s="221">
        <f t="shared" si="24"/>
        <v>1163.1000000000001</v>
      </c>
      <c r="AC64" s="224">
        <f t="shared" si="24"/>
        <v>1178.6999999999998</v>
      </c>
      <c r="AD64" s="223">
        <f>AD62+AD61+AD63</f>
        <v>756.99999999999989</v>
      </c>
      <c r="AE64" s="221">
        <f t="shared" si="24"/>
        <v>757.00000000000011</v>
      </c>
      <c r="AF64" s="221">
        <f t="shared" si="24"/>
        <v>757.00000000000011</v>
      </c>
      <c r="AG64" s="224">
        <f t="shared" si="24"/>
        <v>757.00000000000011</v>
      </c>
      <c r="AI64" s="223">
        <f>AI62+AI61+AI63</f>
        <v>757.00000000000011</v>
      </c>
      <c r="AJ64" s="221">
        <f t="shared" ref="AJ64:AL64" si="25">AJ62+AJ61+AJ63</f>
        <v>757.00000000000011</v>
      </c>
      <c r="AK64" s="221">
        <f t="shared" si="25"/>
        <v>757.00000000000011</v>
      </c>
      <c r="AL64" s="224">
        <f t="shared" si="25"/>
        <v>757.00000000000011</v>
      </c>
    </row>
    <row r="65" spans="1:13" s="11" customFormat="1" ht="15.75" customHeight="1">
      <c r="M65" s="34"/>
    </row>
    <row r="66" spans="1:13" s="11" customFormat="1" ht="20.100000000000001" customHeight="1">
      <c r="A66" s="11" t="s">
        <v>276</v>
      </c>
      <c r="M66" s="34"/>
    </row>
    <row r="67" spans="1:13" s="11" customFormat="1" ht="20.100000000000001" customHeight="1">
      <c r="A67" s="11" t="s">
        <v>204</v>
      </c>
      <c r="M67" s="34"/>
    </row>
    <row r="68" spans="1:13" s="11" customFormat="1" ht="20.100000000000001" customHeight="1">
      <c r="A68" s="11" t="s">
        <v>333</v>
      </c>
      <c r="M68" s="34"/>
    </row>
    <row r="69" spans="1:13" s="11" customFormat="1" ht="20.100000000000001" customHeight="1">
      <c r="A69" s="11" t="s">
        <v>219</v>
      </c>
      <c r="M69" s="34"/>
    </row>
    <row r="70" spans="1:13" s="11" customFormat="1" ht="20.25" customHeight="1">
      <c r="A70" s="11" t="s">
        <v>334</v>
      </c>
      <c r="M70" s="34"/>
    </row>
    <row r="71" spans="1:13" s="11" customFormat="1" ht="20.25" customHeight="1">
      <c r="A71" s="11" t="s">
        <v>335</v>
      </c>
      <c r="M71" s="34"/>
    </row>
    <row r="72" spans="1:13" s="11" customFormat="1">
      <c r="M72" s="34"/>
    </row>
    <row r="73" spans="1:13" s="11" customFormat="1">
      <c r="M73" s="34"/>
    </row>
    <row r="74" spans="1:13" s="11" customFormat="1">
      <c r="M74" s="34"/>
    </row>
    <row r="75" spans="1:13" s="11" customFormat="1">
      <c r="M75" s="34"/>
    </row>
    <row r="76" spans="1:13" s="11" customFormat="1">
      <c r="M76" s="34"/>
    </row>
    <row r="77" spans="1:13" s="11" customFormat="1">
      <c r="M77" s="34"/>
    </row>
    <row r="78" spans="1:13" s="11" customFormat="1">
      <c r="M78" s="34"/>
    </row>
    <row r="79" spans="1:13" s="11" customFormat="1">
      <c r="M79" s="34"/>
    </row>
    <row r="80" spans="1:13" s="11" customFormat="1">
      <c r="M80" s="34"/>
    </row>
    <row r="81" spans="13:13" s="11" customFormat="1">
      <c r="M81" s="34"/>
    </row>
    <row r="82" spans="13:13" s="11" customFormat="1">
      <c r="M82" s="34"/>
    </row>
    <row r="83" spans="13:13" s="11" customFormat="1">
      <c r="M83" s="34"/>
    </row>
    <row r="84" spans="13:13" s="11" customFormat="1">
      <c r="M84" s="34"/>
    </row>
    <row r="85" spans="13:13" s="11" customFormat="1">
      <c r="M85" s="34"/>
    </row>
    <row r="86" spans="13:13" s="11" customFormat="1">
      <c r="M86" s="34"/>
    </row>
    <row r="87" spans="13:13" s="11" customFormat="1">
      <c r="M87" s="34"/>
    </row>
    <row r="88" spans="13:13" s="11" customFormat="1">
      <c r="M88" s="34"/>
    </row>
    <row r="89" spans="13:13" s="11" customFormat="1">
      <c r="M89" s="34"/>
    </row>
    <row r="90" spans="13:13" s="11" customFormat="1">
      <c r="M90" s="34"/>
    </row>
    <row r="91" spans="13:13" s="11" customFormat="1">
      <c r="M91" s="34"/>
    </row>
    <row r="92" spans="13:13" s="11" customFormat="1">
      <c r="M92" s="34"/>
    </row>
    <row r="93" spans="13:13" s="11" customFormat="1">
      <c r="M93" s="34"/>
    </row>
    <row r="94" spans="13:13" s="11" customFormat="1">
      <c r="M94" s="34"/>
    </row>
    <row r="95" spans="13:13" s="11" customFormat="1">
      <c r="M95" s="34"/>
    </row>
    <row r="96" spans="13:13" s="11" customFormat="1">
      <c r="M96" s="34"/>
    </row>
    <row r="97" spans="13:13" s="11" customFormat="1">
      <c r="M97" s="34"/>
    </row>
    <row r="98" spans="13:13" s="11" customFormat="1">
      <c r="M98" s="34"/>
    </row>
    <row r="99" spans="13:13" s="11" customFormat="1">
      <c r="M99" s="34"/>
    </row>
    <row r="100" spans="13:13" s="11" customFormat="1">
      <c r="M100" s="34"/>
    </row>
    <row r="101" spans="13:13" s="11" customFormat="1">
      <c r="M101" s="34"/>
    </row>
    <row r="102" spans="13:13" s="11" customFormat="1">
      <c r="M102" s="34"/>
    </row>
    <row r="103" spans="13:13" s="11" customFormat="1">
      <c r="M103" s="34"/>
    </row>
    <row r="104" spans="13:13" s="11" customFormat="1"/>
    <row r="105" spans="13:13" s="11" customFormat="1"/>
    <row r="106" spans="13:13" s="11" customFormat="1"/>
    <row r="107" spans="13:13" s="11" customFormat="1"/>
    <row r="108" spans="13:13" s="11" customFormat="1"/>
    <row r="109" spans="13:13" s="11" customFormat="1"/>
    <row r="110" spans="13:13" s="11" customFormat="1"/>
    <row r="111" spans="13:13" s="11" customFormat="1"/>
    <row r="112" spans="13:13"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sheetData>
  <mergeCells count="9">
    <mergeCell ref="AI2:AL2"/>
    <mergeCell ref="AD2:AG2"/>
    <mergeCell ref="Z2:AC2"/>
    <mergeCell ref="V2:Y2"/>
    <mergeCell ref="B2:E2"/>
    <mergeCell ref="F2:I2"/>
    <mergeCell ref="J2:M2"/>
    <mergeCell ref="N2:Q2"/>
    <mergeCell ref="R2:U2"/>
  </mergeCells>
  <pageMargins left="0.70866141732283472" right="0.70866141732283472" top="0.74803149606299213" bottom="0.74803149606299213" header="0.31496062992125984" footer="0.31496062992125984"/>
  <pageSetup paperSize="9" scale="3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X56"/>
  <sheetViews>
    <sheetView showGridLines="0" zoomScale="115" zoomScaleNormal="115" zoomScaleSheetLayoutView="100" workbookViewId="0">
      <pane xSplit="1" ySplit="4" topLeftCell="AA16" activePane="bottomRight" state="frozen"/>
      <selection pane="topRight" activeCell="B1" sqref="B1"/>
      <selection pane="bottomLeft" activeCell="A5" sqref="A5"/>
      <selection pane="bottomRight" activeCell="AL34" sqref="AL34"/>
    </sheetView>
  </sheetViews>
  <sheetFormatPr defaultColWidth="9" defaultRowHeight="28.5" customHeight="1"/>
  <cols>
    <col min="1" max="1" width="40.625" style="1" customWidth="1"/>
    <col min="2" max="13" width="10.625" style="2" customWidth="1"/>
    <col min="14" max="14" width="9" style="2"/>
    <col min="15" max="16" width="10.625" style="2" customWidth="1"/>
    <col min="17" max="18" width="9" style="2"/>
    <col min="19" max="19" width="9" style="4"/>
    <col min="20" max="21" width="10.625" style="2" customWidth="1"/>
    <col min="22" max="24" width="9" style="2"/>
    <col min="25" max="26" width="10.625" style="2" customWidth="1"/>
    <col min="27" max="29" width="9" style="2"/>
    <col min="30" max="31" width="10.625" style="2" customWidth="1"/>
    <col min="32" max="33" width="9" style="2"/>
    <col min="34" max="34" width="9.875" style="2" bestFit="1" customWidth="1"/>
    <col min="35" max="36" width="10.625" style="2" customWidth="1"/>
    <col min="37" max="16384" width="9" style="2"/>
  </cols>
  <sheetData>
    <row r="1" spans="1:492" s="25" customFormat="1" ht="27" customHeight="1">
      <c r="A1" s="5" t="s">
        <v>24</v>
      </c>
      <c r="B1" s="5"/>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c r="NL1" s="24"/>
      <c r="NM1" s="24"/>
      <c r="NN1" s="24"/>
      <c r="NO1" s="24"/>
      <c r="NP1" s="24"/>
      <c r="NQ1" s="24"/>
      <c r="NR1" s="24"/>
      <c r="NS1" s="24"/>
      <c r="NT1" s="24"/>
      <c r="NU1" s="24"/>
      <c r="NV1" s="24"/>
      <c r="NW1" s="24"/>
      <c r="NX1" s="24"/>
      <c r="NY1" s="24"/>
      <c r="NZ1" s="24"/>
      <c r="OA1" s="24"/>
      <c r="OB1" s="24"/>
      <c r="OC1" s="24"/>
      <c r="OD1" s="24"/>
      <c r="OE1" s="24"/>
      <c r="OF1" s="24"/>
      <c r="OG1" s="24"/>
      <c r="OH1" s="24"/>
      <c r="OI1" s="24"/>
      <c r="OJ1" s="24"/>
      <c r="OK1" s="24"/>
      <c r="OL1" s="24"/>
      <c r="OM1" s="24"/>
      <c r="ON1" s="24"/>
      <c r="OO1" s="24"/>
      <c r="OP1" s="24"/>
      <c r="OQ1" s="24"/>
      <c r="OR1" s="24"/>
      <c r="OS1" s="24"/>
      <c r="OT1" s="24"/>
      <c r="OU1" s="24"/>
      <c r="OV1" s="24"/>
      <c r="OW1" s="24"/>
      <c r="OX1" s="24"/>
      <c r="OY1" s="24"/>
      <c r="OZ1" s="24"/>
      <c r="PA1" s="24"/>
      <c r="PB1" s="24"/>
      <c r="PC1" s="24"/>
      <c r="PD1" s="24"/>
      <c r="PE1" s="24"/>
      <c r="PF1" s="24"/>
      <c r="PG1" s="24"/>
      <c r="PH1" s="24"/>
      <c r="PI1" s="24"/>
      <c r="PJ1" s="24"/>
      <c r="PK1" s="24"/>
      <c r="PL1" s="24"/>
      <c r="PM1" s="24"/>
      <c r="PN1" s="24"/>
      <c r="PO1" s="24"/>
      <c r="PP1" s="24"/>
      <c r="PQ1" s="24"/>
      <c r="PR1" s="24"/>
      <c r="PS1" s="24"/>
      <c r="PT1" s="24"/>
      <c r="PU1" s="24"/>
      <c r="PV1" s="24"/>
      <c r="PW1" s="24"/>
      <c r="PX1" s="24"/>
      <c r="PY1" s="24"/>
      <c r="PZ1" s="24"/>
      <c r="QA1" s="24"/>
      <c r="QB1" s="24"/>
      <c r="QC1" s="24"/>
      <c r="QD1" s="24"/>
      <c r="QE1" s="24"/>
      <c r="QF1" s="24"/>
      <c r="QG1" s="24"/>
      <c r="QH1" s="24"/>
      <c r="QI1" s="24"/>
      <c r="QJ1" s="24"/>
      <c r="QK1" s="24"/>
      <c r="QL1" s="24"/>
      <c r="QM1" s="24"/>
      <c r="QN1" s="24"/>
      <c r="QO1" s="24"/>
      <c r="QP1" s="24"/>
      <c r="QQ1" s="24"/>
      <c r="QR1" s="24"/>
      <c r="QS1" s="24"/>
      <c r="QT1" s="24"/>
      <c r="QU1" s="24"/>
      <c r="QV1" s="24"/>
      <c r="QW1" s="24"/>
      <c r="QX1" s="24"/>
      <c r="QY1" s="24"/>
      <c r="QZ1" s="24"/>
      <c r="RA1" s="24"/>
      <c r="RB1" s="24"/>
      <c r="RC1" s="24"/>
      <c r="RD1" s="24"/>
      <c r="RE1" s="24"/>
      <c r="RF1" s="24"/>
      <c r="RG1" s="24"/>
      <c r="RH1" s="24"/>
      <c r="RI1" s="24"/>
      <c r="RJ1" s="24"/>
      <c r="RK1" s="24"/>
      <c r="RL1" s="24"/>
      <c r="RM1" s="24"/>
      <c r="RN1" s="24"/>
      <c r="RO1" s="24"/>
      <c r="RP1" s="24"/>
      <c r="RQ1" s="24"/>
      <c r="RR1" s="24"/>
      <c r="RS1" s="24"/>
      <c r="RT1" s="24"/>
      <c r="RU1" s="24"/>
      <c r="RV1" s="24"/>
      <c r="RW1" s="24"/>
      <c r="RX1" s="24"/>
    </row>
    <row r="2" spans="1:492" ht="81" customHeight="1" thickBot="1">
      <c r="A2" s="662" t="s">
        <v>215</v>
      </c>
      <c r="B2" s="662"/>
      <c r="C2" s="662"/>
      <c r="D2" s="662"/>
      <c r="E2" s="662"/>
      <c r="F2" s="662"/>
      <c r="G2" s="662"/>
      <c r="H2" s="662"/>
      <c r="I2" s="662"/>
      <c r="J2" s="662"/>
      <c r="K2" s="662"/>
      <c r="L2" s="662"/>
      <c r="M2" s="662"/>
      <c r="N2" s="662"/>
      <c r="T2" s="183"/>
      <c r="U2" s="183"/>
      <c r="V2" s="183"/>
      <c r="W2" s="183"/>
      <c r="X2" s="183"/>
      <c r="Y2" s="183"/>
      <c r="Z2" s="183"/>
      <c r="AA2" s="183"/>
      <c r="AB2" s="183"/>
      <c r="AC2" s="183"/>
      <c r="AD2" s="183"/>
      <c r="AE2" s="183"/>
      <c r="AF2" s="183"/>
      <c r="AG2" s="183"/>
      <c r="AH2" s="183"/>
      <c r="AI2" s="183"/>
      <c r="AJ2" s="183"/>
      <c r="AL2" s="409"/>
      <c r="AM2" s="409"/>
    </row>
    <row r="3" spans="1:492" ht="20.100000000000001" customHeight="1" thickBot="1">
      <c r="A3" s="663" t="s">
        <v>29</v>
      </c>
      <c r="B3" s="665">
        <v>2012</v>
      </c>
      <c r="C3" s="666"/>
      <c r="D3" s="666"/>
      <c r="E3" s="666"/>
      <c r="F3" s="667">
        <v>2012</v>
      </c>
      <c r="G3" s="665">
        <v>2013</v>
      </c>
      <c r="H3" s="666"/>
      <c r="I3" s="666"/>
      <c r="J3" s="666"/>
      <c r="K3" s="667">
        <v>2013</v>
      </c>
      <c r="L3" s="665">
        <v>2014</v>
      </c>
      <c r="M3" s="666"/>
      <c r="N3" s="666"/>
      <c r="O3" s="666"/>
      <c r="P3" s="667">
        <v>2014</v>
      </c>
      <c r="Q3" s="665">
        <v>2015</v>
      </c>
      <c r="R3" s="666"/>
      <c r="S3" s="666"/>
      <c r="T3" s="666"/>
      <c r="U3" s="669">
        <v>2015</v>
      </c>
      <c r="V3" s="665">
        <v>2016</v>
      </c>
      <c r="W3" s="666"/>
      <c r="X3" s="666"/>
      <c r="Y3" s="666"/>
      <c r="Z3" s="669">
        <v>2016</v>
      </c>
      <c r="AA3" s="665">
        <v>2017</v>
      </c>
      <c r="AB3" s="666"/>
      <c r="AC3" s="666"/>
      <c r="AD3" s="666"/>
      <c r="AE3" s="669">
        <v>2017</v>
      </c>
      <c r="AF3" s="665">
        <v>2018</v>
      </c>
      <c r="AG3" s="666"/>
      <c r="AH3" s="666"/>
      <c r="AI3" s="666"/>
      <c r="AJ3" s="669">
        <v>2018</v>
      </c>
      <c r="AK3" s="665">
        <v>2019</v>
      </c>
      <c r="AL3" s="666">
        <v>0</v>
      </c>
      <c r="AM3" s="666">
        <v>0</v>
      </c>
      <c r="AN3" s="666">
        <v>0</v>
      </c>
      <c r="AO3" s="669">
        <v>2019</v>
      </c>
    </row>
    <row r="4" spans="1:492" ht="20.100000000000001" customHeight="1" thickBot="1">
      <c r="A4" s="664"/>
      <c r="B4" s="176" t="s">
        <v>6</v>
      </c>
      <c r="C4" s="177" t="s">
        <v>7</v>
      </c>
      <c r="D4" s="177" t="s">
        <v>8</v>
      </c>
      <c r="E4" s="177" t="s">
        <v>9</v>
      </c>
      <c r="F4" s="668"/>
      <c r="G4" s="176" t="s">
        <v>6</v>
      </c>
      <c r="H4" s="177" t="s">
        <v>7</v>
      </c>
      <c r="I4" s="177" t="s">
        <v>8</v>
      </c>
      <c r="J4" s="177" t="s">
        <v>9</v>
      </c>
      <c r="K4" s="668"/>
      <c r="L4" s="176" t="s">
        <v>6</v>
      </c>
      <c r="M4" s="177" t="s">
        <v>7</v>
      </c>
      <c r="N4" s="178" t="s">
        <v>8</v>
      </c>
      <c r="O4" s="178" t="s">
        <v>9</v>
      </c>
      <c r="P4" s="668"/>
      <c r="Q4" s="179" t="s">
        <v>6</v>
      </c>
      <c r="R4" s="180" t="s">
        <v>7</v>
      </c>
      <c r="S4" s="180" t="s">
        <v>8</v>
      </c>
      <c r="T4" s="180" t="s">
        <v>9</v>
      </c>
      <c r="U4" s="670"/>
      <c r="V4" s="270" t="s">
        <v>6</v>
      </c>
      <c r="W4" s="301" t="s">
        <v>7</v>
      </c>
      <c r="X4" s="308" t="s">
        <v>8</v>
      </c>
      <c r="Y4" s="180" t="s">
        <v>9</v>
      </c>
      <c r="Z4" s="670"/>
      <c r="AA4" s="270" t="s">
        <v>6</v>
      </c>
      <c r="AB4" s="308" t="s">
        <v>7</v>
      </c>
      <c r="AC4" s="308" t="s">
        <v>8</v>
      </c>
      <c r="AD4" s="329" t="s">
        <v>9</v>
      </c>
      <c r="AE4" s="670"/>
      <c r="AF4" s="270" t="s">
        <v>6</v>
      </c>
      <c r="AG4" s="308" t="s">
        <v>272</v>
      </c>
      <c r="AH4" s="308" t="s">
        <v>8</v>
      </c>
      <c r="AI4" s="329" t="s">
        <v>9</v>
      </c>
      <c r="AJ4" s="670"/>
      <c r="AK4" s="270" t="s">
        <v>6</v>
      </c>
      <c r="AL4" s="308" t="s">
        <v>7</v>
      </c>
      <c r="AM4" s="308" t="s">
        <v>8</v>
      </c>
      <c r="AN4" s="329" t="s">
        <v>9</v>
      </c>
      <c r="AO4" s="670">
        <v>0</v>
      </c>
    </row>
    <row r="5" spans="1:492" ht="20.100000000000001" customHeight="1" thickBot="1">
      <c r="A5" s="45" t="s">
        <v>211</v>
      </c>
      <c r="B5" s="46" t="s">
        <v>27</v>
      </c>
      <c r="C5" s="47" t="s">
        <v>27</v>
      </c>
      <c r="D5" s="47" t="s">
        <v>27</v>
      </c>
      <c r="E5" s="47" t="s">
        <v>27</v>
      </c>
      <c r="F5" s="48" t="s">
        <v>27</v>
      </c>
      <c r="G5" s="49">
        <f t="shared" ref="G5:N5" si="0">G7+G24</f>
        <v>16348336</v>
      </c>
      <c r="H5" s="50">
        <f t="shared" si="0"/>
        <v>16434266</v>
      </c>
      <c r="I5" s="50">
        <f t="shared" si="0"/>
        <v>16627551</v>
      </c>
      <c r="J5" s="50">
        <f t="shared" si="0"/>
        <v>16447334</v>
      </c>
      <c r="K5" s="48">
        <f t="shared" si="0"/>
        <v>16447334</v>
      </c>
      <c r="L5" s="49">
        <f t="shared" si="0"/>
        <v>16333003</v>
      </c>
      <c r="M5" s="50">
        <f t="shared" si="0"/>
        <v>16250497</v>
      </c>
      <c r="N5" s="50">
        <f t="shared" si="0"/>
        <v>16449992</v>
      </c>
      <c r="O5" s="50">
        <f>O7+O24</f>
        <v>16482031</v>
      </c>
      <c r="P5" s="48">
        <f>P7+P24</f>
        <v>16482031</v>
      </c>
      <c r="Q5" s="49">
        <f t="shared" ref="Q5:V5" si="1">Q7+Q24</f>
        <v>16429469</v>
      </c>
      <c r="R5" s="50">
        <f t="shared" si="1"/>
        <v>16349090</v>
      </c>
      <c r="S5" s="50">
        <f t="shared" si="1"/>
        <v>16395514</v>
      </c>
      <c r="T5" s="50">
        <f t="shared" si="1"/>
        <v>16469696</v>
      </c>
      <c r="U5" s="309">
        <f t="shared" si="1"/>
        <v>16469696</v>
      </c>
      <c r="V5" s="49">
        <f t="shared" si="1"/>
        <v>16531833</v>
      </c>
      <c r="W5" s="50">
        <f t="shared" ref="W5" si="2">W7+W24</f>
        <v>16711541</v>
      </c>
      <c r="X5" s="50">
        <f>X7+X24</f>
        <v>16545653</v>
      </c>
      <c r="Y5" s="50">
        <f t="shared" ref="Y5:AO5" si="3">Y7+Y24</f>
        <v>16524936</v>
      </c>
      <c r="Z5" s="309">
        <f t="shared" si="3"/>
        <v>16524936</v>
      </c>
      <c r="AA5" s="49">
        <f t="shared" si="3"/>
        <v>16216128</v>
      </c>
      <c r="AB5" s="50">
        <f t="shared" si="3"/>
        <v>16273840</v>
      </c>
      <c r="AC5" s="50">
        <f t="shared" si="3"/>
        <v>16410325</v>
      </c>
      <c r="AD5" s="50">
        <f t="shared" si="3"/>
        <v>16522597</v>
      </c>
      <c r="AE5" s="309">
        <f t="shared" si="3"/>
        <v>16522597</v>
      </c>
      <c r="AF5" s="50">
        <f t="shared" si="3"/>
        <v>16579337</v>
      </c>
      <c r="AG5" s="50">
        <f t="shared" si="3"/>
        <v>16698622</v>
      </c>
      <c r="AH5" s="50">
        <f t="shared" si="3"/>
        <v>16851153</v>
      </c>
      <c r="AI5" s="50">
        <f t="shared" si="3"/>
        <v>16906133</v>
      </c>
      <c r="AJ5" s="309">
        <f t="shared" si="3"/>
        <v>16906133</v>
      </c>
      <c r="AK5" s="50">
        <f t="shared" si="3"/>
        <v>16973770</v>
      </c>
      <c r="AL5" s="50">
        <f t="shared" si="3"/>
        <v>0</v>
      </c>
      <c r="AM5" s="50">
        <f t="shared" si="3"/>
        <v>0</v>
      </c>
      <c r="AN5" s="50">
        <f t="shared" si="3"/>
        <v>0</v>
      </c>
      <c r="AO5" s="309">
        <f t="shared" si="3"/>
        <v>0</v>
      </c>
    </row>
    <row r="6" spans="1:492" ht="20.100000000000001" customHeight="1">
      <c r="A6" s="108" t="s">
        <v>30</v>
      </c>
      <c r="B6" s="51"/>
      <c r="C6" s="52"/>
      <c r="D6" s="52"/>
      <c r="E6" s="52"/>
      <c r="F6" s="53"/>
      <c r="G6" s="54"/>
      <c r="H6" s="52"/>
      <c r="I6" s="52"/>
      <c r="J6" s="52"/>
      <c r="K6" s="53"/>
      <c r="L6" s="139"/>
      <c r="M6" s="52"/>
      <c r="N6" s="52"/>
      <c r="O6" s="52"/>
      <c r="P6" s="55"/>
      <c r="Q6" s="139"/>
      <c r="R6" s="52"/>
      <c r="S6" s="52"/>
      <c r="T6" s="52"/>
      <c r="U6" s="55"/>
      <c r="V6" s="271"/>
      <c r="W6" s="302"/>
      <c r="X6" s="302"/>
      <c r="Y6" s="52"/>
      <c r="Z6" s="55"/>
      <c r="AA6" s="271"/>
      <c r="AB6" s="302"/>
      <c r="AC6" s="302"/>
      <c r="AD6" s="52"/>
      <c r="AE6" s="55"/>
      <c r="AF6" s="302"/>
      <c r="AG6" s="302"/>
      <c r="AH6" s="302"/>
      <c r="AI6" s="52"/>
      <c r="AJ6" s="55"/>
      <c r="AK6" s="302"/>
      <c r="AL6" s="302"/>
      <c r="AM6" s="302"/>
      <c r="AN6" s="52"/>
      <c r="AO6" s="55"/>
    </row>
    <row r="7" spans="1:492" ht="20.100000000000001" customHeight="1">
      <c r="A7" s="140" t="s">
        <v>212</v>
      </c>
      <c r="B7" s="57">
        <f>B8+B10+B11</f>
        <v>11532547</v>
      </c>
      <c r="C7" s="58">
        <f t="shared" ref="C7:M7" si="4">C8+C10+C11</f>
        <v>11516833</v>
      </c>
      <c r="D7" s="58">
        <f t="shared" si="4"/>
        <v>11605099</v>
      </c>
      <c r="E7" s="58">
        <f t="shared" si="4"/>
        <v>11735100</v>
      </c>
      <c r="F7" s="59">
        <f>SUM(F8,F10:F11)</f>
        <v>11735100</v>
      </c>
      <c r="G7" s="57">
        <f t="shared" si="4"/>
        <v>11799951</v>
      </c>
      <c r="H7" s="58">
        <f t="shared" si="4"/>
        <v>11868947</v>
      </c>
      <c r="I7" s="58">
        <f t="shared" si="4"/>
        <v>11908422</v>
      </c>
      <c r="J7" s="58">
        <f t="shared" si="4"/>
        <v>11978807</v>
      </c>
      <c r="K7" s="59">
        <f>SUM(K8,K10:K11)</f>
        <v>11978807</v>
      </c>
      <c r="L7" s="57">
        <f t="shared" si="4"/>
        <v>11982678</v>
      </c>
      <c r="M7" s="58">
        <f t="shared" si="4"/>
        <v>12023369</v>
      </c>
      <c r="N7" s="58">
        <f>N8+N10+N11</f>
        <v>12230798</v>
      </c>
      <c r="O7" s="58">
        <f>O8+O10+O11</f>
        <v>12347828</v>
      </c>
      <c r="P7" s="60">
        <f>P8+P10+P11</f>
        <v>12347828</v>
      </c>
      <c r="Q7" s="57">
        <f t="shared" ref="Q7" si="5">Q8+Q10+Q11</f>
        <v>12394712</v>
      </c>
      <c r="R7" s="58">
        <f>R8+R10+R11</f>
        <v>12377021</v>
      </c>
      <c r="S7" s="58">
        <f t="shared" ref="S7:V7" si="6">S8+S10+S11</f>
        <v>12418707</v>
      </c>
      <c r="T7" s="58">
        <f t="shared" si="6"/>
        <v>12614703</v>
      </c>
      <c r="U7" s="60">
        <f t="shared" si="6"/>
        <v>12614703</v>
      </c>
      <c r="V7" s="57">
        <f t="shared" si="6"/>
        <v>12744166</v>
      </c>
      <c r="W7" s="58">
        <f t="shared" ref="W7:AO7" si="7">W8+W10+W11</f>
        <v>12880725</v>
      </c>
      <c r="X7" s="58">
        <f t="shared" si="7"/>
        <v>13017749</v>
      </c>
      <c r="Y7" s="58">
        <f t="shared" si="7"/>
        <v>13254598</v>
      </c>
      <c r="Z7" s="60">
        <f t="shared" si="7"/>
        <v>13254598</v>
      </c>
      <c r="AA7" s="57">
        <f t="shared" si="7"/>
        <v>13337038</v>
      </c>
      <c r="AB7" s="58">
        <f t="shared" si="7"/>
        <v>13419539</v>
      </c>
      <c r="AC7" s="58">
        <f t="shared" si="7"/>
        <v>13530164</v>
      </c>
      <c r="AD7" s="58">
        <v>13685044</v>
      </c>
      <c r="AE7" s="60">
        <f t="shared" si="7"/>
        <v>13685044</v>
      </c>
      <c r="AF7" s="58">
        <f t="shared" si="7"/>
        <v>13796153</v>
      </c>
      <c r="AG7" s="58">
        <f t="shared" si="7"/>
        <v>13929804</v>
      </c>
      <c r="AH7" s="58">
        <f t="shared" si="7"/>
        <v>14057045</v>
      </c>
      <c r="AI7" s="58">
        <f t="shared" si="7"/>
        <v>14259264</v>
      </c>
      <c r="AJ7" s="60">
        <f t="shared" si="7"/>
        <v>14259264</v>
      </c>
      <c r="AK7" s="58">
        <f t="shared" si="7"/>
        <v>14330995</v>
      </c>
      <c r="AL7" s="58">
        <f t="shared" si="7"/>
        <v>0</v>
      </c>
      <c r="AM7" s="58">
        <f t="shared" si="7"/>
        <v>0</v>
      </c>
      <c r="AN7" s="58">
        <f t="shared" si="7"/>
        <v>0</v>
      </c>
      <c r="AO7" s="60">
        <f t="shared" si="7"/>
        <v>0</v>
      </c>
    </row>
    <row r="8" spans="1:492" ht="20.100000000000001" customHeight="1">
      <c r="A8" s="61" t="s">
        <v>32</v>
      </c>
      <c r="B8" s="62">
        <v>3885022</v>
      </c>
      <c r="C8" s="63">
        <v>3868733</v>
      </c>
      <c r="D8" s="63">
        <v>3921673</v>
      </c>
      <c r="E8" s="63">
        <v>3994875</v>
      </c>
      <c r="F8" s="64">
        <f>E8</f>
        <v>3994875</v>
      </c>
      <c r="G8" s="62">
        <v>4047592</v>
      </c>
      <c r="H8" s="63">
        <v>4127560</v>
      </c>
      <c r="I8" s="63">
        <v>4160343</v>
      </c>
      <c r="J8" s="63">
        <v>4212323</v>
      </c>
      <c r="K8" s="64">
        <f>J8</f>
        <v>4212323</v>
      </c>
      <c r="L8" s="62">
        <v>4236986</v>
      </c>
      <c r="M8" s="63">
        <v>4255544</v>
      </c>
      <c r="N8" s="65">
        <v>4344773</v>
      </c>
      <c r="O8" s="63">
        <v>4391702</v>
      </c>
      <c r="P8" s="66">
        <v>4391702</v>
      </c>
      <c r="Q8" s="62">
        <v>4405464</v>
      </c>
      <c r="R8" s="63">
        <v>4374517</v>
      </c>
      <c r="S8" s="63">
        <v>4396361</v>
      </c>
      <c r="T8" s="63">
        <v>4503320</v>
      </c>
      <c r="U8" s="66">
        <f t="shared" ref="U8:U12" si="8">T8</f>
        <v>4503320</v>
      </c>
      <c r="V8" s="62">
        <v>4560267</v>
      </c>
      <c r="W8" s="63">
        <v>4632246</v>
      </c>
      <c r="X8" s="63">
        <v>4679114</v>
      </c>
      <c r="Y8" s="63">
        <v>4766429</v>
      </c>
      <c r="Z8" s="66">
        <f t="shared" ref="Z8:Z12" si="9">Y8</f>
        <v>4766429</v>
      </c>
      <c r="AA8" s="62">
        <v>4785947</v>
      </c>
      <c r="AB8" s="63">
        <v>4835534</v>
      </c>
      <c r="AC8" s="63">
        <v>4882505</v>
      </c>
      <c r="AD8" s="63">
        <v>4942640</v>
      </c>
      <c r="AE8" s="66">
        <f>AD8</f>
        <v>4942640</v>
      </c>
      <c r="AF8" s="63">
        <v>4984391</v>
      </c>
      <c r="AG8" s="63">
        <v>5027520</v>
      </c>
      <c r="AH8" s="507">
        <v>5038210</v>
      </c>
      <c r="AI8" s="507">
        <v>5098917</v>
      </c>
      <c r="AJ8" s="66">
        <v>5098917</v>
      </c>
      <c r="AK8" s="63">
        <v>5077221</v>
      </c>
      <c r="AL8" s="63"/>
      <c r="AM8" s="507"/>
      <c r="AN8" s="507"/>
      <c r="AO8" s="66"/>
    </row>
    <row r="9" spans="1:492" ht="20.100000000000001" customHeight="1">
      <c r="A9" s="67" t="s">
        <v>10</v>
      </c>
      <c r="B9" s="68">
        <v>394001</v>
      </c>
      <c r="C9" s="69">
        <v>416027</v>
      </c>
      <c r="D9" s="69">
        <v>470578</v>
      </c>
      <c r="E9" s="69">
        <v>510617</v>
      </c>
      <c r="F9" s="70">
        <f t="shared" ref="F9:F11" si="10">E9</f>
        <v>510617</v>
      </c>
      <c r="G9" s="68">
        <v>559997</v>
      </c>
      <c r="H9" s="69">
        <v>633475</v>
      </c>
      <c r="I9" s="69">
        <v>680316</v>
      </c>
      <c r="J9" s="69">
        <v>719935</v>
      </c>
      <c r="K9" s="70">
        <f>J9</f>
        <v>719935</v>
      </c>
      <c r="L9" s="68">
        <v>749319</v>
      </c>
      <c r="M9" s="69">
        <v>771481</v>
      </c>
      <c r="N9" s="71">
        <v>806064</v>
      </c>
      <c r="O9" s="69">
        <v>844809</v>
      </c>
      <c r="P9" s="72">
        <v>844809</v>
      </c>
      <c r="Q9" s="68">
        <v>872628</v>
      </c>
      <c r="R9" s="69">
        <v>886305</v>
      </c>
      <c r="S9" s="69">
        <v>901271</v>
      </c>
      <c r="T9" s="69">
        <v>936307</v>
      </c>
      <c r="U9" s="72">
        <f t="shared" si="8"/>
        <v>936307</v>
      </c>
      <c r="V9" s="68">
        <v>957952</v>
      </c>
      <c r="W9" s="69">
        <v>972771</v>
      </c>
      <c r="X9" s="69">
        <v>982068</v>
      </c>
      <c r="Y9" s="69">
        <v>1021720</v>
      </c>
      <c r="Z9" s="72">
        <f t="shared" si="9"/>
        <v>1021720</v>
      </c>
      <c r="AA9" s="68">
        <v>1031294</v>
      </c>
      <c r="AB9" s="69">
        <v>1058982</v>
      </c>
      <c r="AC9" s="69">
        <v>1072513</v>
      </c>
      <c r="AD9" s="69">
        <v>1099582</v>
      </c>
      <c r="AE9" s="72">
        <f t="shared" ref="AE9:AE12" si="11">AD9</f>
        <v>1099582</v>
      </c>
      <c r="AF9" s="69">
        <v>1114833</v>
      </c>
      <c r="AG9" s="69">
        <v>1127285</v>
      </c>
      <c r="AH9" s="73">
        <v>1141820</v>
      </c>
      <c r="AI9" s="73">
        <v>1160353</v>
      </c>
      <c r="AJ9" s="72">
        <v>1160353</v>
      </c>
      <c r="AK9" s="69">
        <v>1167983</v>
      </c>
      <c r="AL9" s="69"/>
      <c r="AM9" s="73"/>
      <c r="AN9" s="73"/>
      <c r="AO9" s="72"/>
    </row>
    <row r="10" spans="1:492" ht="20.100000000000001" customHeight="1">
      <c r="A10" s="61" t="s">
        <v>33</v>
      </c>
      <c r="B10" s="62">
        <v>6985015</v>
      </c>
      <c r="C10" s="63">
        <v>6978192</v>
      </c>
      <c r="D10" s="63">
        <v>6976594</v>
      </c>
      <c r="E10" s="63">
        <v>6979590</v>
      </c>
      <c r="F10" s="64">
        <f t="shared" si="10"/>
        <v>6979590</v>
      </c>
      <c r="G10" s="62">
        <v>6941638</v>
      </c>
      <c r="H10" s="63">
        <v>6891314</v>
      </c>
      <c r="I10" s="63">
        <v>6834719</v>
      </c>
      <c r="J10" s="63">
        <v>6778675</v>
      </c>
      <c r="K10" s="64">
        <f t="shared" ref="K10:K11" si="12">J10</f>
        <v>6778675</v>
      </c>
      <c r="L10" s="62">
        <v>6713629</v>
      </c>
      <c r="M10" s="63">
        <v>6644687</v>
      </c>
      <c r="N10" s="65">
        <v>6617382</v>
      </c>
      <c r="O10" s="63">
        <v>6587915</v>
      </c>
      <c r="P10" s="66">
        <v>6587915</v>
      </c>
      <c r="Q10" s="62">
        <v>6552365</v>
      </c>
      <c r="R10" s="63">
        <v>6519311</v>
      </c>
      <c r="S10" s="63">
        <v>6505016</v>
      </c>
      <c r="T10" s="63">
        <v>6516643</v>
      </c>
      <c r="U10" s="66">
        <f t="shared" si="8"/>
        <v>6516643</v>
      </c>
      <c r="V10" s="62">
        <v>6536366</v>
      </c>
      <c r="W10" s="63">
        <v>6559223</v>
      </c>
      <c r="X10" s="63">
        <v>6616579</v>
      </c>
      <c r="Y10" s="63">
        <v>6730427</v>
      </c>
      <c r="Z10" s="66">
        <f t="shared" si="9"/>
        <v>6730427</v>
      </c>
      <c r="AA10" s="62">
        <v>6785002</v>
      </c>
      <c r="AB10" s="63">
        <v>6810999</v>
      </c>
      <c r="AC10" s="63">
        <v>6864787</v>
      </c>
      <c r="AD10" s="63">
        <v>6932676</v>
      </c>
      <c r="AE10" s="66">
        <f t="shared" si="11"/>
        <v>6932676</v>
      </c>
      <c r="AF10" s="63">
        <v>6997850</v>
      </c>
      <c r="AG10" s="63">
        <v>7098239</v>
      </c>
      <c r="AH10" s="507">
        <v>7209240</v>
      </c>
      <c r="AI10" s="507">
        <v>7345213</v>
      </c>
      <c r="AJ10" s="66">
        <v>7345213</v>
      </c>
      <c r="AK10" s="63">
        <v>7452479</v>
      </c>
      <c r="AL10" s="63"/>
      <c r="AM10" s="507"/>
      <c r="AN10" s="507"/>
      <c r="AO10" s="66"/>
    </row>
    <row r="11" spans="1:492" ht="20.100000000000001" customHeight="1">
      <c r="A11" s="61" t="s">
        <v>11</v>
      </c>
      <c r="B11" s="62">
        <v>662510</v>
      </c>
      <c r="C11" s="63">
        <v>669908</v>
      </c>
      <c r="D11" s="63">
        <v>706832</v>
      </c>
      <c r="E11" s="63">
        <v>760635</v>
      </c>
      <c r="F11" s="64">
        <f t="shared" si="10"/>
        <v>760635</v>
      </c>
      <c r="G11" s="62">
        <v>810721</v>
      </c>
      <c r="H11" s="63">
        <v>850073</v>
      </c>
      <c r="I11" s="63">
        <v>913360</v>
      </c>
      <c r="J11" s="63">
        <v>987809</v>
      </c>
      <c r="K11" s="64">
        <f t="shared" si="12"/>
        <v>987809</v>
      </c>
      <c r="L11" s="74">
        <v>1032063</v>
      </c>
      <c r="M11" s="75">
        <v>1123138</v>
      </c>
      <c r="N11" s="65">
        <v>1268643</v>
      </c>
      <c r="O11" s="1">
        <v>1368211</v>
      </c>
      <c r="P11" s="66">
        <v>1368211</v>
      </c>
      <c r="Q11" s="74">
        <v>1436883</v>
      </c>
      <c r="R11" s="75">
        <v>1483193</v>
      </c>
      <c r="S11" s="75">
        <v>1517330</v>
      </c>
      <c r="T11" s="63">
        <v>1594740</v>
      </c>
      <c r="U11" s="66">
        <f t="shared" si="8"/>
        <v>1594740</v>
      </c>
      <c r="V11" s="74">
        <v>1647533</v>
      </c>
      <c r="W11" s="75">
        <v>1689256</v>
      </c>
      <c r="X11" s="75">
        <v>1722056</v>
      </c>
      <c r="Y11" s="63">
        <v>1757742</v>
      </c>
      <c r="Z11" s="66">
        <f t="shared" si="9"/>
        <v>1757742</v>
      </c>
      <c r="AA11" s="74">
        <v>1766089</v>
      </c>
      <c r="AB11" s="75">
        <v>1773006</v>
      </c>
      <c r="AC11" s="75">
        <v>1782872</v>
      </c>
      <c r="AD11" s="63">
        <v>1809728</v>
      </c>
      <c r="AE11" s="66">
        <f t="shared" si="11"/>
        <v>1809728</v>
      </c>
      <c r="AF11" s="75">
        <v>1813912</v>
      </c>
      <c r="AG11" s="75">
        <v>1804045</v>
      </c>
      <c r="AH11" s="508">
        <v>1809595</v>
      </c>
      <c r="AI11" s="508">
        <v>1815134</v>
      </c>
      <c r="AJ11" s="66">
        <v>1815134</v>
      </c>
      <c r="AK11" s="75">
        <v>1801295</v>
      </c>
      <c r="AL11" s="75"/>
      <c r="AM11" s="508"/>
      <c r="AN11" s="508"/>
      <c r="AO11" s="66"/>
    </row>
    <row r="12" spans="1:492" ht="20.100000000000001" customHeight="1" thickBot="1">
      <c r="A12" s="102" t="s">
        <v>34</v>
      </c>
      <c r="B12" s="76">
        <v>6282300</v>
      </c>
      <c r="C12" s="77">
        <v>6264412</v>
      </c>
      <c r="D12" s="77">
        <v>6281184</v>
      </c>
      <c r="E12" s="77">
        <v>6313423</v>
      </c>
      <c r="F12" s="78">
        <f>E12</f>
        <v>6313423</v>
      </c>
      <c r="G12" s="76">
        <v>6318321</v>
      </c>
      <c r="H12" s="77">
        <v>6306877</v>
      </c>
      <c r="I12" s="77">
        <v>6285607</v>
      </c>
      <c r="J12" s="77">
        <v>6287658</v>
      </c>
      <c r="K12" s="78">
        <f>J12</f>
        <v>6287658</v>
      </c>
      <c r="L12" s="76">
        <v>6260662</v>
      </c>
      <c r="M12" s="77">
        <v>6221111</v>
      </c>
      <c r="N12" s="79">
        <v>6184775</v>
      </c>
      <c r="O12" s="77">
        <v>6137531</v>
      </c>
      <c r="P12" s="80">
        <v>6137531</v>
      </c>
      <c r="Q12" s="76">
        <v>6068839</v>
      </c>
      <c r="R12" s="77">
        <v>5990051</v>
      </c>
      <c r="S12" s="77">
        <v>5937768</v>
      </c>
      <c r="T12" s="77">
        <v>5916103</v>
      </c>
      <c r="U12" s="80">
        <f t="shared" si="8"/>
        <v>5916103</v>
      </c>
      <c r="V12" s="76">
        <v>5893225</v>
      </c>
      <c r="W12" s="77">
        <v>5862310</v>
      </c>
      <c r="X12" s="77">
        <v>5860884</v>
      </c>
      <c r="Y12" s="77">
        <v>5882804</v>
      </c>
      <c r="Z12" s="80">
        <f t="shared" si="9"/>
        <v>5882804</v>
      </c>
      <c r="AA12" s="76">
        <v>5847401</v>
      </c>
      <c r="AB12" s="77">
        <v>5819386</v>
      </c>
      <c r="AC12" s="77">
        <v>5791841</v>
      </c>
      <c r="AD12" s="77">
        <v>5776598</v>
      </c>
      <c r="AE12" s="80">
        <f t="shared" si="11"/>
        <v>5776598</v>
      </c>
      <c r="AF12" s="77">
        <v>5743832</v>
      </c>
      <c r="AG12" s="77">
        <v>5724492</v>
      </c>
      <c r="AH12" s="509">
        <v>5712151</v>
      </c>
      <c r="AI12" s="509">
        <v>5706147</v>
      </c>
      <c r="AJ12" s="80">
        <v>5706147</v>
      </c>
      <c r="AK12" s="77">
        <v>5672790</v>
      </c>
      <c r="AL12" s="77">
        <v>0</v>
      </c>
      <c r="AM12" s="509">
        <v>0</v>
      </c>
      <c r="AN12" s="509">
        <v>0</v>
      </c>
      <c r="AO12" s="80">
        <v>0</v>
      </c>
    </row>
    <row r="13" spans="1:492" ht="20.100000000000001" customHeight="1">
      <c r="A13" s="81" t="s">
        <v>253</v>
      </c>
      <c r="B13" s="82"/>
      <c r="C13" s="83"/>
      <c r="D13" s="83"/>
      <c r="E13" s="83"/>
      <c r="F13" s="84"/>
      <c r="G13" s="82"/>
      <c r="H13" s="83"/>
      <c r="I13" s="83"/>
      <c r="J13" s="83"/>
      <c r="K13" s="84"/>
      <c r="L13" s="82"/>
      <c r="M13" s="83"/>
      <c r="N13" s="85"/>
      <c r="O13" s="83"/>
      <c r="P13" s="86"/>
      <c r="Q13" s="82"/>
      <c r="R13" s="83"/>
      <c r="S13" s="83"/>
      <c r="T13" s="83"/>
      <c r="U13" s="86"/>
      <c r="V13" s="82"/>
      <c r="W13" s="83"/>
      <c r="X13" s="83"/>
      <c r="Y13" s="83"/>
      <c r="Z13" s="86"/>
      <c r="AA13" s="82">
        <v>80.3</v>
      </c>
      <c r="AB13" s="83">
        <v>81.2</v>
      </c>
      <c r="AC13" s="83">
        <v>80.5</v>
      </c>
      <c r="AD13" s="83">
        <v>81.900000000000006</v>
      </c>
      <c r="AE13" s="86"/>
      <c r="AF13" s="83">
        <v>81.900000000000006</v>
      </c>
      <c r="AG13" s="392">
        <v>82.9</v>
      </c>
      <c r="AH13" s="392">
        <v>84</v>
      </c>
      <c r="AI13" s="392">
        <v>84</v>
      </c>
      <c r="AJ13" s="86">
        <v>83.2</v>
      </c>
      <c r="AK13" s="83">
        <v>82.9</v>
      </c>
      <c r="AL13" s="392"/>
      <c r="AM13" s="392"/>
      <c r="AN13" s="392"/>
      <c r="AO13" s="86"/>
    </row>
    <row r="14" spans="1:492" ht="20.100000000000001" customHeight="1">
      <c r="A14" s="387" t="s">
        <v>254</v>
      </c>
      <c r="B14" s="384">
        <v>92.5</v>
      </c>
      <c r="C14" s="385">
        <v>94.4</v>
      </c>
      <c r="D14" s="385">
        <v>93.8</v>
      </c>
      <c r="E14" s="385">
        <v>93.8</v>
      </c>
      <c r="F14" s="386">
        <v>93.6</v>
      </c>
      <c r="G14" s="384">
        <v>89.1</v>
      </c>
      <c r="H14" s="385">
        <v>90.3</v>
      </c>
      <c r="I14" s="385">
        <v>87.6</v>
      </c>
      <c r="J14" s="385">
        <v>87.1</v>
      </c>
      <c r="K14" s="386">
        <v>88.5</v>
      </c>
      <c r="L14" s="384">
        <v>84.8</v>
      </c>
      <c r="M14" s="385">
        <v>85.3</v>
      </c>
      <c r="N14" s="85">
        <v>86.5</v>
      </c>
      <c r="O14" s="385">
        <v>87.2</v>
      </c>
      <c r="P14" s="386">
        <v>85.9</v>
      </c>
      <c r="Q14" s="384">
        <v>85.8</v>
      </c>
      <c r="R14" s="385">
        <v>87</v>
      </c>
      <c r="S14" s="385">
        <v>88.1</v>
      </c>
      <c r="T14" s="385">
        <v>88.3</v>
      </c>
      <c r="U14" s="386">
        <v>87.3</v>
      </c>
      <c r="V14" s="384">
        <v>87</v>
      </c>
      <c r="W14" s="385">
        <v>88.4</v>
      </c>
      <c r="X14" s="385">
        <v>88.6</v>
      </c>
      <c r="Y14" s="385">
        <v>90.7</v>
      </c>
      <c r="Z14" s="386">
        <v>88.7</v>
      </c>
      <c r="AA14" s="384">
        <v>89.1</v>
      </c>
      <c r="AB14" s="385">
        <v>89.6</v>
      </c>
      <c r="AC14" s="385">
        <v>88.4</v>
      </c>
      <c r="AD14" s="385">
        <v>89</v>
      </c>
      <c r="AE14" s="386">
        <v>89</v>
      </c>
      <c r="AF14" s="384">
        <v>88.7</v>
      </c>
      <c r="AG14" s="393">
        <v>89.6</v>
      </c>
      <c r="AH14" s="393">
        <v>90.1</v>
      </c>
      <c r="AI14" s="393">
        <v>90.5</v>
      </c>
      <c r="AJ14" s="386">
        <v>89.7</v>
      </c>
      <c r="AK14" s="384"/>
      <c r="AL14" s="393"/>
      <c r="AM14" s="393"/>
      <c r="AN14" s="393"/>
      <c r="AO14" s="386"/>
    </row>
    <row r="15" spans="1:492" ht="20.100000000000001" customHeight="1">
      <c r="A15" s="87" t="s">
        <v>35</v>
      </c>
      <c r="B15" s="88" t="s">
        <v>27</v>
      </c>
      <c r="C15" s="89" t="s">
        <v>27</v>
      </c>
      <c r="D15" s="89" t="s">
        <v>27</v>
      </c>
      <c r="E15" s="90">
        <v>8.4252884188563901E-2</v>
      </c>
      <c r="F15" s="91">
        <f>E15</f>
        <v>8.4252884188563901E-2</v>
      </c>
      <c r="G15" s="92">
        <v>8.6500864834109098E-2</v>
      </c>
      <c r="H15" s="90">
        <v>8.7995678097648605E-2</v>
      </c>
      <c r="I15" s="90">
        <v>8.95665783401738E-2</v>
      </c>
      <c r="J15" s="90">
        <v>9.1612274770678806E-2</v>
      </c>
      <c r="K15" s="91">
        <f>J15</f>
        <v>9.1612274770678806E-2</v>
      </c>
      <c r="L15" s="92">
        <v>9.0641340484564806E-2</v>
      </c>
      <c r="M15" s="90">
        <v>8.7627794752018207E-2</v>
      </c>
      <c r="N15" s="93">
        <f>8.8%</f>
        <v>8.8000000000000009E-2</v>
      </c>
      <c r="O15" s="90">
        <v>9.0976359886998898E-2</v>
      </c>
      <c r="P15" s="94">
        <v>9.0999999999999998E-2</v>
      </c>
      <c r="Q15" s="92">
        <v>9.5000000000000001E-2</v>
      </c>
      <c r="R15" s="90">
        <v>0.10100000000000001</v>
      </c>
      <c r="S15" s="90">
        <v>0.10199999999999999</v>
      </c>
      <c r="T15" s="90">
        <v>0.1</v>
      </c>
      <c r="U15" s="94">
        <v>0.1</v>
      </c>
      <c r="V15" s="92">
        <v>9.8000000000000004E-2</v>
      </c>
      <c r="W15" s="90">
        <v>0.09</v>
      </c>
      <c r="X15" s="90">
        <v>8.5000000000000006E-2</v>
      </c>
      <c r="Y15" s="90">
        <v>8.3000000000000004E-2</v>
      </c>
      <c r="Z15" s="94">
        <v>8.3000000000000004E-2</v>
      </c>
      <c r="AA15" s="92">
        <v>8.5000000000000006E-2</v>
      </c>
      <c r="AB15" s="90">
        <v>8.5999999999999993E-2</v>
      </c>
      <c r="AC15" s="90">
        <v>8.7999999999999995E-2</v>
      </c>
      <c r="AD15" s="90">
        <v>8.7999999999999995E-2</v>
      </c>
      <c r="AE15" s="94">
        <v>8.7999999999999995E-2</v>
      </c>
      <c r="AF15" s="90">
        <v>8.5000000000000006E-2</v>
      </c>
      <c r="AG15" s="90">
        <v>8.3000000000000004E-2</v>
      </c>
      <c r="AH15" s="510">
        <v>7.9000000000000001E-2</v>
      </c>
      <c r="AI15" s="510">
        <v>7.5999999999999998E-2</v>
      </c>
      <c r="AJ15" s="94">
        <v>7.5999999999999998E-2</v>
      </c>
      <c r="AK15" s="90">
        <v>7.1999999999999995E-2</v>
      </c>
      <c r="AL15" s="90"/>
      <c r="AM15" s="510"/>
      <c r="AN15" s="510"/>
      <c r="AO15" s="94"/>
    </row>
    <row r="16" spans="1:492" ht="20.100000000000001" customHeight="1" thickBot="1">
      <c r="A16" s="87" t="s">
        <v>36</v>
      </c>
      <c r="B16" s="95">
        <f t="shared" ref="B16:M16" si="13">B7/B12</f>
        <v>1.8357205163713926</v>
      </c>
      <c r="C16" s="96">
        <f t="shared" si="13"/>
        <v>1.838453952262399</v>
      </c>
      <c r="D16" s="96">
        <f t="shared" si="13"/>
        <v>1.8475973638091163</v>
      </c>
      <c r="E16" s="96">
        <f t="shared" si="13"/>
        <v>1.858753959619053</v>
      </c>
      <c r="F16" s="97">
        <f t="shared" si="13"/>
        <v>1.858753959619053</v>
      </c>
      <c r="G16" s="95">
        <f t="shared" si="13"/>
        <v>1.8675770034475931</v>
      </c>
      <c r="H16" s="96">
        <f t="shared" si="13"/>
        <v>1.8819055770391591</v>
      </c>
      <c r="I16" s="96">
        <f t="shared" si="13"/>
        <v>1.8945540184106324</v>
      </c>
      <c r="J16" s="96">
        <f t="shared" si="13"/>
        <v>1.9051301772456453</v>
      </c>
      <c r="K16" s="97">
        <f t="shared" si="13"/>
        <v>1.9051301772456453</v>
      </c>
      <c r="L16" s="95">
        <f t="shared" si="13"/>
        <v>1.9139634115369908</v>
      </c>
      <c r="M16" s="96">
        <f t="shared" si="13"/>
        <v>1.9326723152825918</v>
      </c>
      <c r="N16" s="98">
        <v>1.98</v>
      </c>
      <c r="O16" s="96">
        <v>2.0099999999999998</v>
      </c>
      <c r="P16" s="97">
        <v>2.0099999999999998</v>
      </c>
      <c r="Q16" s="95">
        <f t="shared" ref="Q16" si="14">Q7/Q12</f>
        <v>2.0423530760990696</v>
      </c>
      <c r="R16" s="96">
        <v>2.0699999999999998</v>
      </c>
      <c r="S16" s="96">
        <v>2.09</v>
      </c>
      <c r="T16" s="96">
        <v>2.13</v>
      </c>
      <c r="U16" s="97">
        <v>2.13</v>
      </c>
      <c r="V16" s="95">
        <v>2.16</v>
      </c>
      <c r="W16" s="96">
        <v>2.2000000000000002</v>
      </c>
      <c r="X16" s="96">
        <v>2.2200000000000002</v>
      </c>
      <c r="Y16" s="96">
        <v>2.25</v>
      </c>
      <c r="Z16" s="97">
        <v>2.25</v>
      </c>
      <c r="AA16" s="95">
        <v>2.2799999999999998</v>
      </c>
      <c r="AB16" s="96">
        <v>2.31</v>
      </c>
      <c r="AC16" s="96">
        <v>2.34</v>
      </c>
      <c r="AD16" s="96">
        <v>2.37</v>
      </c>
      <c r="AE16" s="97">
        <v>2.37</v>
      </c>
      <c r="AF16" s="96">
        <v>2.4</v>
      </c>
      <c r="AG16" s="96">
        <v>2.4300000000000002</v>
      </c>
      <c r="AH16" s="511">
        <v>2.46</v>
      </c>
      <c r="AI16" s="511">
        <v>2.5</v>
      </c>
      <c r="AJ16" s="97">
        <v>2.5</v>
      </c>
      <c r="AK16" s="96">
        <v>2.5299999999999998</v>
      </c>
      <c r="AL16" s="96"/>
      <c r="AM16" s="511"/>
      <c r="AN16" s="511"/>
      <c r="AO16" s="97"/>
    </row>
    <row r="17" spans="1:41" ht="20.100000000000001" customHeight="1">
      <c r="A17" s="99" t="s">
        <v>37</v>
      </c>
      <c r="B17" s="100">
        <f>B18+B20+B21</f>
        <v>11497022</v>
      </c>
      <c r="C17" s="101">
        <f t="shared" ref="C17:M17" si="15">C18+C20+C21</f>
        <v>11521707</v>
      </c>
      <c r="D17" s="101">
        <f t="shared" si="15"/>
        <v>11558288</v>
      </c>
      <c r="E17" s="101">
        <f t="shared" si="15"/>
        <v>11659474</v>
      </c>
      <c r="F17" s="59">
        <f t="shared" si="15"/>
        <v>11559122.75</v>
      </c>
      <c r="G17" s="100">
        <f t="shared" si="15"/>
        <v>11772318</v>
      </c>
      <c r="H17" s="101">
        <f t="shared" si="15"/>
        <v>11846507</v>
      </c>
      <c r="I17" s="101">
        <f t="shared" si="15"/>
        <v>11884574</v>
      </c>
      <c r="J17" s="101">
        <f t="shared" si="15"/>
        <v>11924710</v>
      </c>
      <c r="K17" s="59">
        <f t="shared" si="15"/>
        <v>11857027.25</v>
      </c>
      <c r="L17" s="100">
        <f t="shared" si="15"/>
        <v>11986199</v>
      </c>
      <c r="M17" s="101">
        <f t="shared" si="15"/>
        <v>11981389</v>
      </c>
      <c r="N17" s="101">
        <f>N18+N20+N21</f>
        <v>12125363.166666668</v>
      </c>
      <c r="O17" s="101">
        <f>O18+O20+O21</f>
        <v>12272311</v>
      </c>
      <c r="P17" s="60">
        <f>P18+P20+P21</f>
        <v>12091316</v>
      </c>
      <c r="Q17" s="100">
        <f t="shared" ref="Q17" si="16">Q18+Q20+Q21</f>
        <v>12376603</v>
      </c>
      <c r="R17" s="101">
        <f>R18+R20+R21</f>
        <v>12391326</v>
      </c>
      <c r="S17" s="101">
        <f t="shared" ref="S17:V17" si="17">S18+S20+S21</f>
        <v>12378586</v>
      </c>
      <c r="T17" s="101">
        <f t="shared" si="17"/>
        <v>12496080</v>
      </c>
      <c r="U17" s="60">
        <f t="shared" si="17"/>
        <v>12410649</v>
      </c>
      <c r="V17" s="100">
        <f t="shared" si="17"/>
        <v>12675864</v>
      </c>
      <c r="W17" s="101">
        <f t="shared" ref="W17:AO17" si="18">W18+W20+W21</f>
        <v>12809438</v>
      </c>
      <c r="X17" s="101">
        <f t="shared" si="18"/>
        <v>12940680</v>
      </c>
      <c r="Y17" s="101">
        <f t="shared" si="18"/>
        <v>13119033</v>
      </c>
      <c r="Z17" s="60">
        <f t="shared" si="18"/>
        <v>12886254</v>
      </c>
      <c r="AA17" s="100">
        <f t="shared" si="18"/>
        <v>13313971</v>
      </c>
      <c r="AB17" s="101">
        <f t="shared" si="18"/>
        <v>13379081</v>
      </c>
      <c r="AC17" s="101">
        <f t="shared" si="18"/>
        <v>13467835</v>
      </c>
      <c r="AD17" s="101">
        <f t="shared" si="18"/>
        <v>13596202</v>
      </c>
      <c r="AE17" s="60">
        <f t="shared" si="18"/>
        <v>13439272</v>
      </c>
      <c r="AF17" s="101">
        <f t="shared" si="18"/>
        <v>13741811</v>
      </c>
      <c r="AG17" s="101">
        <f>AG18+AG20+AG21</f>
        <v>13858205</v>
      </c>
      <c r="AH17" s="101">
        <f>AH18+AH20+AH21</f>
        <v>13995952</v>
      </c>
      <c r="AI17" s="101">
        <f t="shared" si="18"/>
        <v>14159632</v>
      </c>
      <c r="AJ17" s="60">
        <f t="shared" si="18"/>
        <v>13938900</v>
      </c>
      <c r="AK17" s="101">
        <f t="shared" si="18"/>
        <v>14283823</v>
      </c>
      <c r="AL17" s="101">
        <f>AL18+AL20+AL21</f>
        <v>0</v>
      </c>
      <c r="AM17" s="101">
        <f>AM18+AM20+AM21</f>
        <v>0</v>
      </c>
      <c r="AN17" s="101">
        <f t="shared" si="18"/>
        <v>0</v>
      </c>
      <c r="AO17" s="60">
        <f t="shared" si="18"/>
        <v>0</v>
      </c>
    </row>
    <row r="18" spans="1:41" ht="20.100000000000001" customHeight="1">
      <c r="A18" s="61" t="s">
        <v>32</v>
      </c>
      <c r="B18" s="62">
        <v>3858338</v>
      </c>
      <c r="C18" s="63">
        <v>3879834</v>
      </c>
      <c r="D18" s="63">
        <v>3894623</v>
      </c>
      <c r="E18" s="63">
        <v>3955082</v>
      </c>
      <c r="F18" s="64">
        <f>AVERAGE(B18:E18)</f>
        <v>3896969.25</v>
      </c>
      <c r="G18" s="62">
        <v>4018307</v>
      </c>
      <c r="H18" s="63">
        <v>4098051</v>
      </c>
      <c r="I18" s="63">
        <v>4144131</v>
      </c>
      <c r="J18" s="63">
        <v>4175145</v>
      </c>
      <c r="K18" s="64">
        <f>AVERAGE(G18:J18)</f>
        <v>4108908.5</v>
      </c>
      <c r="L18" s="62">
        <v>4227450</v>
      </c>
      <c r="M18" s="63">
        <v>4243880</v>
      </c>
      <c r="N18" s="65">
        <v>4301558.166666667</v>
      </c>
      <c r="O18" s="63">
        <v>4361890</v>
      </c>
      <c r="P18" s="66">
        <v>4283695</v>
      </c>
      <c r="Q18" s="62">
        <v>4403541</v>
      </c>
      <c r="R18" s="63">
        <v>4397999</v>
      </c>
      <c r="S18" s="63">
        <v>4376405</v>
      </c>
      <c r="T18" s="63">
        <v>4441918</v>
      </c>
      <c r="U18" s="66">
        <v>4404966</v>
      </c>
      <c r="V18" s="62">
        <v>4532806</v>
      </c>
      <c r="W18" s="63">
        <v>4595313</v>
      </c>
      <c r="X18" s="63">
        <v>4654591</v>
      </c>
      <c r="Y18" s="63">
        <v>4712813</v>
      </c>
      <c r="Z18" s="66">
        <v>4623881</v>
      </c>
      <c r="AA18" s="62">
        <v>4781680</v>
      </c>
      <c r="AB18" s="63">
        <v>4817543</v>
      </c>
      <c r="AC18" s="63">
        <v>4856979</v>
      </c>
      <c r="AD18" s="63">
        <v>4905839</v>
      </c>
      <c r="AE18" s="66">
        <v>4840510</v>
      </c>
      <c r="AF18" s="63">
        <v>4963830</v>
      </c>
      <c r="AG18" s="63">
        <v>5013604</v>
      </c>
      <c r="AH18" s="507">
        <v>5029344</v>
      </c>
      <c r="AI18" s="507">
        <v>5070219</v>
      </c>
      <c r="AJ18" s="66">
        <v>5019249</v>
      </c>
      <c r="AK18" s="63">
        <v>5090723</v>
      </c>
      <c r="AL18" s="63"/>
      <c r="AM18" s="507"/>
      <c r="AN18" s="507"/>
      <c r="AO18" s="66"/>
    </row>
    <row r="19" spans="1:41" ht="20.100000000000001" customHeight="1">
      <c r="A19" s="67" t="s">
        <v>10</v>
      </c>
      <c r="B19" s="68">
        <v>358652</v>
      </c>
      <c r="C19" s="69">
        <v>406943</v>
      </c>
      <c r="D19" s="73">
        <v>443743.5</v>
      </c>
      <c r="E19" s="69">
        <v>494506</v>
      </c>
      <c r="F19" s="70">
        <f>AVERAGE(B19:E19)</f>
        <v>425961.125</v>
      </c>
      <c r="G19" s="68">
        <v>535271</v>
      </c>
      <c r="H19" s="69">
        <v>600411</v>
      </c>
      <c r="I19" s="69">
        <v>658475</v>
      </c>
      <c r="J19" s="69">
        <v>697978</v>
      </c>
      <c r="K19" s="70">
        <f t="shared" ref="K19:K21" si="19">AVERAGE(G19:J19)</f>
        <v>623033.75</v>
      </c>
      <c r="L19" s="141">
        <v>736315</v>
      </c>
      <c r="M19" s="69">
        <v>759922</v>
      </c>
      <c r="N19" s="71">
        <v>787736.16666666663</v>
      </c>
      <c r="O19" s="69">
        <v>822568</v>
      </c>
      <c r="P19" s="72">
        <v>776635</v>
      </c>
      <c r="Q19" s="141">
        <v>860827</v>
      </c>
      <c r="R19" s="69">
        <v>881296</v>
      </c>
      <c r="S19" s="69">
        <v>893001</v>
      </c>
      <c r="T19" s="69">
        <v>915940</v>
      </c>
      <c r="U19" s="72">
        <v>887766</v>
      </c>
      <c r="V19" s="272">
        <v>948366</v>
      </c>
      <c r="W19" s="303">
        <v>964197</v>
      </c>
      <c r="X19" s="303">
        <v>977142</v>
      </c>
      <c r="Y19" s="69">
        <v>995820</v>
      </c>
      <c r="Z19" s="72">
        <v>971381</v>
      </c>
      <c r="AA19" s="272">
        <v>1029294</v>
      </c>
      <c r="AB19" s="303">
        <v>1051692</v>
      </c>
      <c r="AC19" s="303">
        <v>1064544</v>
      </c>
      <c r="AD19" s="303">
        <v>1082951</v>
      </c>
      <c r="AE19" s="72">
        <v>1057120</v>
      </c>
      <c r="AF19" s="303">
        <v>1108316</v>
      </c>
      <c r="AG19" s="303">
        <v>1121333</v>
      </c>
      <c r="AH19" s="512">
        <v>1134327</v>
      </c>
      <c r="AI19" s="512">
        <v>1149795</v>
      </c>
      <c r="AJ19" s="72">
        <v>1128443</v>
      </c>
      <c r="AK19" s="303">
        <v>1164591</v>
      </c>
      <c r="AL19" s="303"/>
      <c r="AM19" s="512"/>
      <c r="AN19" s="512"/>
      <c r="AO19" s="72"/>
    </row>
    <row r="20" spans="1:41" ht="20.100000000000001" customHeight="1">
      <c r="A20" s="61" t="s">
        <v>33</v>
      </c>
      <c r="B20" s="62">
        <v>6986951</v>
      </c>
      <c r="C20" s="63">
        <v>6977393</v>
      </c>
      <c r="D20" s="63">
        <v>6978772</v>
      </c>
      <c r="E20" s="63">
        <v>6974525</v>
      </c>
      <c r="F20" s="64">
        <f t="shared" ref="F20:F21" si="20">AVERAGE(B20:E20)</f>
        <v>6979410.25</v>
      </c>
      <c r="G20" s="62">
        <v>6965606</v>
      </c>
      <c r="H20" s="63">
        <v>6917102</v>
      </c>
      <c r="I20" s="63">
        <v>6862047</v>
      </c>
      <c r="J20" s="63">
        <v>6801845</v>
      </c>
      <c r="K20" s="64">
        <f t="shared" si="19"/>
        <v>6886650</v>
      </c>
      <c r="L20" s="142">
        <v>6749396</v>
      </c>
      <c r="M20" s="63">
        <v>6670820</v>
      </c>
      <c r="N20" s="65">
        <v>6628199.166666667</v>
      </c>
      <c r="O20" s="63">
        <v>6597742</v>
      </c>
      <c r="P20" s="66">
        <v>6661539</v>
      </c>
      <c r="Q20" s="142">
        <v>6570344</v>
      </c>
      <c r="R20" s="63">
        <v>6532488</v>
      </c>
      <c r="S20" s="63">
        <v>6508391</v>
      </c>
      <c r="T20" s="63">
        <v>6502872</v>
      </c>
      <c r="U20" s="66">
        <v>6528524</v>
      </c>
      <c r="V20" s="273">
        <v>6523316</v>
      </c>
      <c r="W20" s="304">
        <v>6546774</v>
      </c>
      <c r="X20" s="304">
        <v>6579908</v>
      </c>
      <c r="Y20" s="63">
        <v>6667869</v>
      </c>
      <c r="Z20" s="66">
        <v>6579467</v>
      </c>
      <c r="AA20" s="273">
        <v>6769379</v>
      </c>
      <c r="AB20" s="304">
        <v>6790804</v>
      </c>
      <c r="AC20" s="304">
        <v>6836282</v>
      </c>
      <c r="AD20" s="304">
        <v>6894295</v>
      </c>
      <c r="AE20" s="66">
        <v>6822690</v>
      </c>
      <c r="AF20" s="304">
        <v>6963584</v>
      </c>
      <c r="AG20" s="304">
        <v>7036346</v>
      </c>
      <c r="AH20" s="513">
        <v>7161022</v>
      </c>
      <c r="AI20" s="513">
        <v>7276732</v>
      </c>
      <c r="AJ20" s="66">
        <v>7109421</v>
      </c>
      <c r="AK20" s="304">
        <v>7384746</v>
      </c>
      <c r="AL20" s="304"/>
      <c r="AM20" s="513"/>
      <c r="AN20" s="513"/>
      <c r="AO20" s="66"/>
    </row>
    <row r="21" spans="1:41" ht="20.100000000000001" customHeight="1">
      <c r="A21" s="61" t="s">
        <v>11</v>
      </c>
      <c r="B21" s="62">
        <v>651733</v>
      </c>
      <c r="C21" s="63">
        <v>664480</v>
      </c>
      <c r="D21" s="63">
        <v>684893</v>
      </c>
      <c r="E21" s="63">
        <v>729867</v>
      </c>
      <c r="F21" s="64">
        <f t="shared" si="20"/>
        <v>682743.25</v>
      </c>
      <c r="G21" s="62">
        <v>788405</v>
      </c>
      <c r="H21" s="63">
        <v>831354</v>
      </c>
      <c r="I21" s="63">
        <v>878396</v>
      </c>
      <c r="J21" s="63">
        <v>947720</v>
      </c>
      <c r="K21" s="64">
        <f t="shared" si="19"/>
        <v>861468.75</v>
      </c>
      <c r="L21" s="142">
        <v>1009353</v>
      </c>
      <c r="M21" s="63">
        <v>1066689</v>
      </c>
      <c r="N21" s="65">
        <v>1195605.8333333333</v>
      </c>
      <c r="O21" s="63">
        <v>1312679</v>
      </c>
      <c r="P21" s="66">
        <v>1146082</v>
      </c>
      <c r="Q21" s="142">
        <v>1402718</v>
      </c>
      <c r="R21" s="63">
        <v>1460839</v>
      </c>
      <c r="S21" s="63">
        <v>1493790</v>
      </c>
      <c r="T21" s="63">
        <v>1551290</v>
      </c>
      <c r="U21" s="66">
        <v>1477159</v>
      </c>
      <c r="V21" s="273">
        <v>1619742</v>
      </c>
      <c r="W21" s="304">
        <v>1667351</v>
      </c>
      <c r="X21" s="304">
        <v>1706181</v>
      </c>
      <c r="Y21" s="63">
        <v>1738351</v>
      </c>
      <c r="Z21" s="66">
        <v>1682906</v>
      </c>
      <c r="AA21" s="273">
        <v>1762912</v>
      </c>
      <c r="AB21" s="304">
        <v>1770734</v>
      </c>
      <c r="AC21" s="304">
        <v>1774574</v>
      </c>
      <c r="AD21" s="304">
        <v>1796068</v>
      </c>
      <c r="AE21" s="66">
        <v>1776072</v>
      </c>
      <c r="AF21" s="304">
        <v>1814397</v>
      </c>
      <c r="AG21" s="304">
        <v>1808255</v>
      </c>
      <c r="AH21" s="513">
        <v>1805586</v>
      </c>
      <c r="AI21" s="513">
        <v>1812681</v>
      </c>
      <c r="AJ21" s="66">
        <v>1810230</v>
      </c>
      <c r="AK21" s="304">
        <v>1808354</v>
      </c>
      <c r="AL21" s="304"/>
      <c r="AM21" s="513"/>
      <c r="AN21" s="513"/>
      <c r="AO21" s="66"/>
    </row>
    <row r="22" spans="1:41" ht="20.100000000000001" customHeight="1" thickBot="1">
      <c r="A22" s="102" t="s">
        <v>38</v>
      </c>
      <c r="B22" s="103">
        <v>6288609</v>
      </c>
      <c r="C22" s="104">
        <v>6272029</v>
      </c>
      <c r="D22" s="104">
        <v>6271838</v>
      </c>
      <c r="E22" s="104">
        <v>6291791</v>
      </c>
      <c r="F22" s="105">
        <f>AVERAGE(B22:E22)</f>
        <v>6281066.75</v>
      </c>
      <c r="G22" s="106">
        <v>6316275</v>
      </c>
      <c r="H22" s="104">
        <v>6317333</v>
      </c>
      <c r="I22" s="104">
        <v>6293472</v>
      </c>
      <c r="J22" s="104">
        <v>6279979</v>
      </c>
      <c r="K22" s="105">
        <f>AVERAGE(G22:J22)</f>
        <v>6301764.75</v>
      </c>
      <c r="L22" s="106">
        <v>6274951</v>
      </c>
      <c r="M22" s="104">
        <v>6242450</v>
      </c>
      <c r="N22" s="79">
        <v>6201335.333333333</v>
      </c>
      <c r="O22" s="104">
        <v>6159902.666666667</v>
      </c>
      <c r="P22" s="107">
        <v>6219660</v>
      </c>
      <c r="Q22" s="106">
        <v>6105250</v>
      </c>
      <c r="R22" s="104">
        <v>6031638</v>
      </c>
      <c r="S22" s="104">
        <v>5960463</v>
      </c>
      <c r="T22" s="104">
        <v>5922397</v>
      </c>
      <c r="U22" s="107">
        <v>6004937</v>
      </c>
      <c r="V22" s="106">
        <v>5902526</v>
      </c>
      <c r="W22" s="104">
        <v>5876458</v>
      </c>
      <c r="X22" s="104">
        <v>5858477</v>
      </c>
      <c r="Y22" s="104">
        <v>5868541</v>
      </c>
      <c r="Z22" s="107">
        <v>5876500</v>
      </c>
      <c r="AA22" s="106">
        <v>5872517</v>
      </c>
      <c r="AB22" s="104">
        <v>5828405</v>
      </c>
      <c r="AC22" s="104">
        <v>5803517</v>
      </c>
      <c r="AD22" s="104">
        <v>5781207</v>
      </c>
      <c r="AE22" s="107">
        <v>5821411</v>
      </c>
      <c r="AF22" s="104">
        <v>5760338</v>
      </c>
      <c r="AG22" s="104">
        <v>5732091</v>
      </c>
      <c r="AH22" s="514">
        <v>5717882</v>
      </c>
      <c r="AI22" s="514">
        <v>5708353</v>
      </c>
      <c r="AJ22" s="107">
        <v>5729666</v>
      </c>
      <c r="AK22" s="104">
        <v>5688071</v>
      </c>
      <c r="AL22" s="104"/>
      <c r="AM22" s="514"/>
      <c r="AN22" s="514"/>
      <c r="AO22" s="107"/>
    </row>
    <row r="23" spans="1:41" ht="20.100000000000001" customHeight="1">
      <c r="A23" s="108" t="s">
        <v>39</v>
      </c>
      <c r="B23" s="109"/>
      <c r="C23" s="110"/>
      <c r="D23" s="110"/>
      <c r="E23" s="110"/>
      <c r="F23" s="111"/>
      <c r="G23" s="112"/>
      <c r="H23" s="113"/>
      <c r="I23" s="113"/>
      <c r="J23" s="113"/>
      <c r="K23" s="111"/>
      <c r="L23" s="112"/>
      <c r="M23" s="114"/>
      <c r="N23" s="114"/>
      <c r="O23" s="113"/>
      <c r="P23" s="111"/>
      <c r="Q23" s="112"/>
      <c r="R23" s="114"/>
      <c r="S23" s="114"/>
      <c r="T23" s="113"/>
      <c r="U23" s="111"/>
      <c r="V23" s="112"/>
      <c r="W23" s="113"/>
      <c r="X23" s="113"/>
      <c r="Y23" s="113"/>
      <c r="Z23" s="111"/>
      <c r="AA23" s="112"/>
      <c r="AB23" s="113"/>
      <c r="AC23" s="113"/>
      <c r="AD23" s="113"/>
      <c r="AE23" s="111"/>
      <c r="AF23" s="113"/>
      <c r="AG23" s="113"/>
      <c r="AH23" s="113"/>
      <c r="AI23" s="113"/>
      <c r="AJ23" s="111"/>
      <c r="AK23" s="113"/>
      <c r="AL23" s="113"/>
      <c r="AM23" s="113"/>
      <c r="AN23" s="113"/>
      <c r="AO23" s="111"/>
    </row>
    <row r="24" spans="1:41" ht="20.100000000000001" customHeight="1">
      <c r="A24" s="56" t="s">
        <v>31</v>
      </c>
      <c r="B24" s="115" t="s">
        <v>27</v>
      </c>
      <c r="C24" s="116" t="s">
        <v>27</v>
      </c>
      <c r="D24" s="116" t="s">
        <v>27</v>
      </c>
      <c r="E24" s="116" t="s">
        <v>27</v>
      </c>
      <c r="F24" s="143" t="s">
        <v>27</v>
      </c>
      <c r="G24" s="57">
        <f>SUM(G25:G27)</f>
        <v>4548385</v>
      </c>
      <c r="H24" s="58">
        <f t="shared" ref="H24:M24" si="21">SUM(H25:H27)</f>
        <v>4565319</v>
      </c>
      <c r="I24" s="58">
        <f t="shared" si="21"/>
        <v>4719129</v>
      </c>
      <c r="J24" s="58">
        <f t="shared" si="21"/>
        <v>4468527</v>
      </c>
      <c r="K24" s="59">
        <f t="shared" si="21"/>
        <v>4468527</v>
      </c>
      <c r="L24" s="57">
        <f t="shared" si="21"/>
        <v>4350325</v>
      </c>
      <c r="M24" s="58">
        <f t="shared" si="21"/>
        <v>4227128</v>
      </c>
      <c r="N24" s="58">
        <f>SUM(N25:N27)</f>
        <v>4219194</v>
      </c>
      <c r="O24" s="58">
        <f>SUM(O25:O27)</f>
        <v>4134203</v>
      </c>
      <c r="P24" s="60">
        <f>SUM(P25:P27)</f>
        <v>4134203</v>
      </c>
      <c r="Q24" s="57">
        <f t="shared" ref="Q24:V24" si="22">SUM(Q25:Q27)</f>
        <v>4034757</v>
      </c>
      <c r="R24" s="58">
        <f t="shared" si="22"/>
        <v>3972069</v>
      </c>
      <c r="S24" s="58">
        <f t="shared" si="22"/>
        <v>3976807</v>
      </c>
      <c r="T24" s="58">
        <f t="shared" si="22"/>
        <v>3854993</v>
      </c>
      <c r="U24" s="60">
        <f t="shared" si="22"/>
        <v>3854993</v>
      </c>
      <c r="V24" s="57">
        <f t="shared" si="22"/>
        <v>3787667</v>
      </c>
      <c r="W24" s="58">
        <f t="shared" ref="W24:AJ24" si="23">SUM(W25:W27)</f>
        <v>3830816</v>
      </c>
      <c r="X24" s="58">
        <f t="shared" si="23"/>
        <v>3527904</v>
      </c>
      <c r="Y24" s="58">
        <f t="shared" si="23"/>
        <v>3270338</v>
      </c>
      <c r="Z24" s="60">
        <f t="shared" si="23"/>
        <v>3270338</v>
      </c>
      <c r="AA24" s="57">
        <f t="shared" si="23"/>
        <v>2879090</v>
      </c>
      <c r="AB24" s="58">
        <f t="shared" si="23"/>
        <v>2854301</v>
      </c>
      <c r="AC24" s="58">
        <f t="shared" si="23"/>
        <v>2880161</v>
      </c>
      <c r="AD24" s="58">
        <f t="shared" si="23"/>
        <v>2837553</v>
      </c>
      <c r="AE24" s="60">
        <f t="shared" si="23"/>
        <v>2837553</v>
      </c>
      <c r="AF24" s="58">
        <f t="shared" si="23"/>
        <v>2783184</v>
      </c>
      <c r="AG24" s="58">
        <f t="shared" si="23"/>
        <v>2768818</v>
      </c>
      <c r="AH24" s="58">
        <f t="shared" si="23"/>
        <v>2794108</v>
      </c>
      <c r="AI24" s="58">
        <f t="shared" si="23"/>
        <v>2646869</v>
      </c>
      <c r="AJ24" s="60">
        <f t="shared" si="23"/>
        <v>2646869</v>
      </c>
      <c r="AK24" s="58">
        <f>SUM(AK25:AK27)</f>
        <v>2642775</v>
      </c>
      <c r="AL24" s="58">
        <f t="shared" ref="AL24:AO24" si="24">SUM(AL25:AL27)</f>
        <v>0</v>
      </c>
      <c r="AM24" s="58">
        <f t="shared" si="24"/>
        <v>0</v>
      </c>
      <c r="AN24" s="58">
        <f t="shared" si="24"/>
        <v>0</v>
      </c>
      <c r="AO24" s="60">
        <f t="shared" si="24"/>
        <v>0</v>
      </c>
    </row>
    <row r="25" spans="1:41" ht="20.100000000000001" customHeight="1">
      <c r="A25" s="61" t="s">
        <v>40</v>
      </c>
      <c r="B25" s="88" t="s">
        <v>27</v>
      </c>
      <c r="C25" s="89" t="s">
        <v>27</v>
      </c>
      <c r="D25" s="89" t="s">
        <v>27</v>
      </c>
      <c r="E25" s="89" t="s">
        <v>27</v>
      </c>
      <c r="F25" s="144" t="s">
        <v>27</v>
      </c>
      <c r="G25" s="62">
        <v>85574</v>
      </c>
      <c r="H25" s="63">
        <v>81441</v>
      </c>
      <c r="I25" s="63">
        <v>84538</v>
      </c>
      <c r="J25" s="63">
        <v>77771</v>
      </c>
      <c r="K25" s="66">
        <f>J25</f>
        <v>77771</v>
      </c>
      <c r="L25" s="62">
        <v>81619</v>
      </c>
      <c r="M25" s="63">
        <v>66578</v>
      </c>
      <c r="N25" s="65">
        <v>98136</v>
      </c>
      <c r="O25" s="63">
        <v>122787</v>
      </c>
      <c r="P25" s="66">
        <v>122787</v>
      </c>
      <c r="Q25" s="62">
        <v>66163</v>
      </c>
      <c r="R25" s="63">
        <v>41517</v>
      </c>
      <c r="S25" s="63">
        <v>60471</v>
      </c>
      <c r="T25" s="63">
        <v>31972</v>
      </c>
      <c r="U25" s="66">
        <f>T25</f>
        <v>31972</v>
      </c>
      <c r="V25" s="62">
        <v>35754</v>
      </c>
      <c r="W25" s="63">
        <v>73544</v>
      </c>
      <c r="X25" s="63">
        <v>44913</v>
      </c>
      <c r="Y25" s="63">
        <v>79306</v>
      </c>
      <c r="Z25" s="66">
        <f>Y25</f>
        <v>79306</v>
      </c>
      <c r="AA25" s="62">
        <v>48224</v>
      </c>
      <c r="AB25" s="63">
        <v>57183</v>
      </c>
      <c r="AC25" s="63">
        <v>63627</v>
      </c>
      <c r="AD25" s="63">
        <v>79561</v>
      </c>
      <c r="AE25" s="66">
        <f>AD25</f>
        <v>79561</v>
      </c>
      <c r="AF25" s="63">
        <v>75159</v>
      </c>
      <c r="AG25" s="63">
        <v>59722</v>
      </c>
      <c r="AH25" s="507">
        <v>91261</v>
      </c>
      <c r="AI25" s="507">
        <v>95685</v>
      </c>
      <c r="AJ25" s="66">
        <v>95685</v>
      </c>
      <c r="AK25" s="63">
        <v>144586</v>
      </c>
      <c r="AL25" s="63"/>
      <c r="AM25" s="507"/>
      <c r="AN25" s="507"/>
      <c r="AO25" s="66"/>
    </row>
    <row r="26" spans="1:41" ht="20.100000000000001" customHeight="1">
      <c r="A26" s="61" t="s">
        <v>41</v>
      </c>
      <c r="B26" s="88" t="s">
        <v>27</v>
      </c>
      <c r="C26" s="89" t="s">
        <v>27</v>
      </c>
      <c r="D26" s="89" t="s">
        <v>27</v>
      </c>
      <c r="E26" s="89" t="s">
        <v>27</v>
      </c>
      <c r="F26" s="144" t="s">
        <v>27</v>
      </c>
      <c r="G26" s="62">
        <v>4385742</v>
      </c>
      <c r="H26" s="63">
        <v>4379630</v>
      </c>
      <c r="I26" s="63">
        <v>4475541</v>
      </c>
      <c r="J26" s="63">
        <v>4171810</v>
      </c>
      <c r="K26" s="66">
        <f>J26</f>
        <v>4171810</v>
      </c>
      <c r="L26" s="62">
        <v>4042605</v>
      </c>
      <c r="M26" s="63">
        <v>3923778</v>
      </c>
      <c r="N26" s="65">
        <v>3855669</v>
      </c>
      <c r="O26" s="63">
        <v>3792978</v>
      </c>
      <c r="P26" s="66">
        <v>3792978</v>
      </c>
      <c r="Q26" s="62">
        <v>3775976</v>
      </c>
      <c r="R26" s="63">
        <v>3737282</v>
      </c>
      <c r="S26" s="63">
        <v>3685092</v>
      </c>
      <c r="T26" s="63">
        <v>3591736</v>
      </c>
      <c r="U26" s="66">
        <f t="shared" ref="U26:U27" si="25">T26</f>
        <v>3591736</v>
      </c>
      <c r="V26" s="62">
        <v>3495733</v>
      </c>
      <c r="W26" s="63">
        <v>3473228</v>
      </c>
      <c r="X26" s="63">
        <v>3223224</v>
      </c>
      <c r="Y26" s="63">
        <v>2972443</v>
      </c>
      <c r="Z26" s="66">
        <f t="shared" ref="Z26:Z27" si="26">Y26</f>
        <v>2972443</v>
      </c>
      <c r="AA26" s="62">
        <v>2646477</v>
      </c>
      <c r="AB26" s="63">
        <v>2616592</v>
      </c>
      <c r="AC26" s="63">
        <v>2623950</v>
      </c>
      <c r="AD26" s="63">
        <v>2579613</v>
      </c>
      <c r="AE26" s="66">
        <f t="shared" ref="AE26:AE27" si="27">AD26</f>
        <v>2579613</v>
      </c>
      <c r="AF26" s="63">
        <v>2539402</v>
      </c>
      <c r="AG26" s="63">
        <v>2545749</v>
      </c>
      <c r="AH26" s="507">
        <v>2550355</v>
      </c>
      <c r="AI26" s="507">
        <v>2423774</v>
      </c>
      <c r="AJ26" s="66">
        <v>2423774</v>
      </c>
      <c r="AK26" s="63">
        <v>2387672</v>
      </c>
      <c r="AL26" s="63"/>
      <c r="AM26" s="507"/>
      <c r="AN26" s="507"/>
      <c r="AO26" s="66"/>
    </row>
    <row r="27" spans="1:41" ht="20.100000000000001" customHeight="1" thickBot="1">
      <c r="A27" s="128" t="s">
        <v>12</v>
      </c>
      <c r="B27" s="88" t="s">
        <v>27</v>
      </c>
      <c r="C27" s="89" t="s">
        <v>27</v>
      </c>
      <c r="D27" s="89" t="s">
        <v>27</v>
      </c>
      <c r="E27" s="89" t="s">
        <v>27</v>
      </c>
      <c r="F27" s="144" t="s">
        <v>27</v>
      </c>
      <c r="G27" s="62">
        <v>77069</v>
      </c>
      <c r="H27" s="63">
        <v>104248</v>
      </c>
      <c r="I27" s="63">
        <v>159050</v>
      </c>
      <c r="J27" s="63">
        <v>218946</v>
      </c>
      <c r="K27" s="66">
        <f>J27</f>
        <v>218946</v>
      </c>
      <c r="L27" s="62">
        <v>226101</v>
      </c>
      <c r="M27" s="63">
        <v>236772</v>
      </c>
      <c r="N27" s="65">
        <v>265389</v>
      </c>
      <c r="O27" s="63">
        <v>218438</v>
      </c>
      <c r="P27" s="66">
        <v>218438</v>
      </c>
      <c r="Q27" s="62">
        <v>192618</v>
      </c>
      <c r="R27" s="63">
        <v>193270</v>
      </c>
      <c r="S27" s="63">
        <v>231244</v>
      </c>
      <c r="T27" s="63">
        <v>231285</v>
      </c>
      <c r="U27" s="66">
        <f t="shared" si="25"/>
        <v>231285</v>
      </c>
      <c r="V27" s="62">
        <v>256180</v>
      </c>
      <c r="W27" s="63">
        <v>284044</v>
      </c>
      <c r="X27" s="63">
        <v>259767</v>
      </c>
      <c r="Y27" s="63">
        <v>218589</v>
      </c>
      <c r="Z27" s="66">
        <f t="shared" si="26"/>
        <v>218589</v>
      </c>
      <c r="AA27" s="62">
        <v>184389</v>
      </c>
      <c r="AB27" s="63">
        <v>180526</v>
      </c>
      <c r="AC27" s="63">
        <v>192584</v>
      </c>
      <c r="AD27" s="63">
        <v>178379</v>
      </c>
      <c r="AE27" s="66">
        <f t="shared" si="27"/>
        <v>178379</v>
      </c>
      <c r="AF27" s="63">
        <v>168623</v>
      </c>
      <c r="AG27" s="63">
        <v>163347</v>
      </c>
      <c r="AH27" s="507">
        <v>152492</v>
      </c>
      <c r="AI27" s="507">
        <v>127410</v>
      </c>
      <c r="AJ27" s="66">
        <v>127410</v>
      </c>
      <c r="AK27" s="63">
        <v>110517</v>
      </c>
      <c r="AL27" s="63"/>
      <c r="AM27" s="507"/>
      <c r="AN27" s="507"/>
      <c r="AO27" s="66"/>
    </row>
    <row r="28" spans="1:41" ht="20.100000000000001" customHeight="1" thickBot="1">
      <c r="A28" s="145" t="s">
        <v>42</v>
      </c>
      <c r="B28" s="119" t="s">
        <v>27</v>
      </c>
      <c r="C28" s="120" t="s">
        <v>27</v>
      </c>
      <c r="D28" s="120" t="s">
        <v>27</v>
      </c>
      <c r="E28" s="120" t="s">
        <v>27</v>
      </c>
      <c r="F28" s="146" t="s">
        <v>27</v>
      </c>
      <c r="G28" s="121">
        <v>18</v>
      </c>
      <c r="H28" s="122">
        <v>19.2</v>
      </c>
      <c r="I28" s="122">
        <v>18.2</v>
      </c>
      <c r="J28" s="122">
        <v>17.5</v>
      </c>
      <c r="K28" s="123">
        <v>18.2</v>
      </c>
      <c r="L28" s="121">
        <v>16.5</v>
      </c>
      <c r="M28" s="122">
        <v>17.899999999999999</v>
      </c>
      <c r="N28" s="124">
        <v>18.3</v>
      </c>
      <c r="O28" s="122">
        <v>18.2</v>
      </c>
      <c r="P28" s="123">
        <v>17.7</v>
      </c>
      <c r="Q28" s="121">
        <v>17.3</v>
      </c>
      <c r="R28" s="122">
        <v>18.3</v>
      </c>
      <c r="S28" s="122">
        <v>19</v>
      </c>
      <c r="T28" s="122">
        <v>18.5</v>
      </c>
      <c r="U28" s="123">
        <v>18.3</v>
      </c>
      <c r="V28" s="121">
        <v>17.7</v>
      </c>
      <c r="W28" s="122">
        <v>18.899999999999999</v>
      </c>
      <c r="X28" s="122">
        <v>18.7</v>
      </c>
      <c r="Y28" s="122">
        <v>19.2</v>
      </c>
      <c r="Z28" s="123">
        <v>18.600000000000001</v>
      </c>
      <c r="AA28" s="121">
        <v>18.7</v>
      </c>
      <c r="AB28" s="122">
        <v>20.5</v>
      </c>
      <c r="AC28" s="122">
        <v>20.2</v>
      </c>
      <c r="AD28" s="122">
        <v>20.100000000000001</v>
      </c>
      <c r="AE28" s="123">
        <v>19.899999999999999</v>
      </c>
      <c r="AF28" s="122">
        <v>20.100000000000001</v>
      </c>
      <c r="AG28" s="122">
        <v>20.399999999999999</v>
      </c>
      <c r="AH28" s="515">
        <v>20.8</v>
      </c>
      <c r="AI28" s="515">
        <v>20.3</v>
      </c>
      <c r="AJ28" s="123">
        <v>20.399999999999999</v>
      </c>
      <c r="AK28" s="122">
        <v>20.100000000000001</v>
      </c>
      <c r="AL28" s="122"/>
      <c r="AM28" s="515"/>
      <c r="AN28" s="515"/>
      <c r="AO28" s="123"/>
    </row>
    <row r="29" spans="1:41" ht="20.100000000000001" customHeight="1">
      <c r="A29" s="125" t="s">
        <v>213</v>
      </c>
      <c r="B29" s="126" t="s">
        <v>27</v>
      </c>
      <c r="C29" s="147" t="s">
        <v>27</v>
      </c>
      <c r="D29" s="147" t="s">
        <v>27</v>
      </c>
      <c r="E29" s="147" t="s">
        <v>27</v>
      </c>
      <c r="F29" s="148" t="s">
        <v>27</v>
      </c>
      <c r="G29" s="100">
        <f>SUM(G30:G32)</f>
        <v>4549031</v>
      </c>
      <c r="H29" s="101">
        <f t="shared" ref="H29:M29" si="28">SUM(H30:H32)</f>
        <v>4532090</v>
      </c>
      <c r="I29" s="101">
        <f t="shared" si="28"/>
        <v>4635182</v>
      </c>
      <c r="J29" s="101">
        <f t="shared" si="28"/>
        <v>4599374</v>
      </c>
      <c r="K29" s="127">
        <f t="shared" si="28"/>
        <v>4578919.25</v>
      </c>
      <c r="L29" s="100">
        <f t="shared" si="28"/>
        <v>4398038</v>
      </c>
      <c r="M29" s="101">
        <f t="shared" si="28"/>
        <v>4285747</v>
      </c>
      <c r="N29" s="101">
        <f>SUM(N30:N32)</f>
        <v>4212274</v>
      </c>
      <c r="O29" s="101">
        <f>SUM(O30:O32)</f>
        <v>4172129</v>
      </c>
      <c r="P29" s="127">
        <f>SUM(P30:P32)</f>
        <v>4267047</v>
      </c>
      <c r="Q29" s="100">
        <f t="shared" ref="Q29:V29" si="29">SUM(Q30:Q32)</f>
        <v>4068646</v>
      </c>
      <c r="R29" s="101">
        <f t="shared" si="29"/>
        <v>4006108</v>
      </c>
      <c r="S29" s="101">
        <f t="shared" si="29"/>
        <v>3970091</v>
      </c>
      <c r="T29" s="101">
        <f t="shared" si="29"/>
        <v>3917979</v>
      </c>
      <c r="U29" s="127">
        <f t="shared" si="29"/>
        <v>3990706</v>
      </c>
      <c r="V29" s="100">
        <f t="shared" si="29"/>
        <v>3801870</v>
      </c>
      <c r="W29" s="101">
        <f t="shared" ref="W29:AO29" si="30">SUM(W30:W32)</f>
        <v>3794613</v>
      </c>
      <c r="X29" s="101">
        <f t="shared" si="30"/>
        <v>3713417</v>
      </c>
      <c r="Y29" s="101">
        <f t="shared" si="30"/>
        <v>3341220</v>
      </c>
      <c r="Z29" s="127">
        <f t="shared" si="30"/>
        <v>3662780</v>
      </c>
      <c r="AA29" s="100">
        <f t="shared" si="30"/>
        <v>3050604</v>
      </c>
      <c r="AB29" s="101">
        <f t="shared" si="30"/>
        <v>2882155</v>
      </c>
      <c r="AC29" s="101">
        <f t="shared" si="30"/>
        <v>2863783</v>
      </c>
      <c r="AD29" s="101">
        <f t="shared" si="30"/>
        <v>2851766</v>
      </c>
      <c r="AE29" s="127">
        <f t="shared" si="30"/>
        <v>2912076</v>
      </c>
      <c r="AF29" s="101">
        <f t="shared" si="30"/>
        <v>2789695</v>
      </c>
      <c r="AG29" s="101">
        <f t="shared" si="30"/>
        <v>2771707</v>
      </c>
      <c r="AH29" s="101">
        <f>SUM(AH30:AH32)</f>
        <v>2774199</v>
      </c>
      <c r="AI29" s="101">
        <f t="shared" si="30"/>
        <v>2745638</v>
      </c>
      <c r="AJ29" s="127">
        <f t="shared" si="30"/>
        <v>2770309</v>
      </c>
      <c r="AK29" s="101">
        <f t="shared" si="30"/>
        <v>2613613</v>
      </c>
      <c r="AL29" s="101">
        <f t="shared" si="30"/>
        <v>0</v>
      </c>
      <c r="AM29" s="101">
        <f>SUM(AM30:AM32)</f>
        <v>0</v>
      </c>
      <c r="AN29" s="101">
        <f t="shared" si="30"/>
        <v>0</v>
      </c>
      <c r="AO29" s="127">
        <f t="shared" si="30"/>
        <v>0</v>
      </c>
    </row>
    <row r="30" spans="1:41" ht="20.100000000000001" customHeight="1">
      <c r="A30" s="61" t="s">
        <v>40</v>
      </c>
      <c r="B30" s="88" t="s">
        <v>27</v>
      </c>
      <c r="C30" s="89" t="s">
        <v>27</v>
      </c>
      <c r="D30" s="89" t="s">
        <v>27</v>
      </c>
      <c r="E30" s="89" t="s">
        <v>27</v>
      </c>
      <c r="F30" s="144" t="s">
        <v>27</v>
      </c>
      <c r="G30" s="62">
        <v>78707</v>
      </c>
      <c r="H30" s="63">
        <v>73828</v>
      </c>
      <c r="I30" s="63">
        <v>68740</v>
      </c>
      <c r="J30" s="63">
        <v>77953</v>
      </c>
      <c r="K30" s="66">
        <f>AVERAGE(G30:J30)</f>
        <v>74807</v>
      </c>
      <c r="L30" s="62">
        <v>77779</v>
      </c>
      <c r="M30" s="63">
        <v>79253</v>
      </c>
      <c r="N30" s="65">
        <v>69522</v>
      </c>
      <c r="O30" s="63">
        <v>129021</v>
      </c>
      <c r="P30" s="66">
        <v>88894</v>
      </c>
      <c r="Q30" s="62">
        <v>67972</v>
      </c>
      <c r="R30" s="63">
        <v>61165</v>
      </c>
      <c r="S30" s="63">
        <v>41313</v>
      </c>
      <c r="T30" s="63">
        <v>56743</v>
      </c>
      <c r="U30" s="66">
        <v>56798</v>
      </c>
      <c r="V30" s="62">
        <v>36255</v>
      </c>
      <c r="W30" s="63">
        <v>52114</v>
      </c>
      <c r="X30" s="63">
        <v>42971</v>
      </c>
      <c r="Y30" s="63">
        <v>54083</v>
      </c>
      <c r="Z30" s="66">
        <v>46356</v>
      </c>
      <c r="AA30" s="62">
        <v>48659</v>
      </c>
      <c r="AB30" s="63">
        <v>69132</v>
      </c>
      <c r="AC30" s="63">
        <v>54950</v>
      </c>
      <c r="AD30" s="63">
        <v>65088</v>
      </c>
      <c r="AE30" s="66">
        <v>59457</v>
      </c>
      <c r="AF30" s="63">
        <v>58222</v>
      </c>
      <c r="AG30" s="63">
        <v>69503</v>
      </c>
      <c r="AH30" s="507">
        <v>58358</v>
      </c>
      <c r="AI30" s="507">
        <v>95346</v>
      </c>
      <c r="AJ30" s="66">
        <v>70357</v>
      </c>
      <c r="AK30" s="63">
        <v>91940</v>
      </c>
      <c r="AL30" s="63"/>
      <c r="AM30" s="507"/>
      <c r="AN30" s="507"/>
      <c r="AO30" s="66"/>
    </row>
    <row r="31" spans="1:41" ht="20.100000000000001" customHeight="1">
      <c r="A31" s="61" t="s">
        <v>41</v>
      </c>
      <c r="B31" s="88" t="s">
        <v>27</v>
      </c>
      <c r="C31" s="89" t="s">
        <v>27</v>
      </c>
      <c r="D31" s="89" t="s">
        <v>27</v>
      </c>
      <c r="E31" s="89" t="s">
        <v>27</v>
      </c>
      <c r="F31" s="144" t="s">
        <v>27</v>
      </c>
      <c r="G31" s="62">
        <v>4397976</v>
      </c>
      <c r="H31" s="63">
        <v>4370181</v>
      </c>
      <c r="I31" s="63">
        <v>4431149</v>
      </c>
      <c r="J31" s="63">
        <v>4338987</v>
      </c>
      <c r="K31" s="66">
        <f t="shared" ref="K31:K32" si="31">AVERAGE(G31:J31)</f>
        <v>4384573.25</v>
      </c>
      <c r="L31" s="62">
        <v>4091609</v>
      </c>
      <c r="M31" s="63">
        <v>3975410</v>
      </c>
      <c r="N31" s="65">
        <v>3893375</v>
      </c>
      <c r="O31" s="63">
        <v>3798701</v>
      </c>
      <c r="P31" s="66">
        <v>3939774</v>
      </c>
      <c r="Q31" s="62">
        <v>3797423</v>
      </c>
      <c r="R31" s="63">
        <v>3755130</v>
      </c>
      <c r="S31" s="63">
        <v>3713656</v>
      </c>
      <c r="T31" s="63">
        <v>3630863</v>
      </c>
      <c r="U31" s="66">
        <v>3724268</v>
      </c>
      <c r="V31" s="62">
        <v>3529840</v>
      </c>
      <c r="W31" s="63">
        <v>3473104</v>
      </c>
      <c r="X31" s="63">
        <v>3386794</v>
      </c>
      <c r="Y31" s="63">
        <v>3058691</v>
      </c>
      <c r="Z31" s="66">
        <v>3362107</v>
      </c>
      <c r="AA31" s="62">
        <v>2800366</v>
      </c>
      <c r="AB31" s="63">
        <v>2631773</v>
      </c>
      <c r="AC31" s="63">
        <v>2620575</v>
      </c>
      <c r="AD31" s="63">
        <v>2601552</v>
      </c>
      <c r="AE31" s="66">
        <v>2663566</v>
      </c>
      <c r="AF31" s="63">
        <v>2558174</v>
      </c>
      <c r="AG31" s="63">
        <v>2536844</v>
      </c>
      <c r="AH31" s="507">
        <v>2555414</v>
      </c>
      <c r="AI31" s="507">
        <v>2511226</v>
      </c>
      <c r="AJ31" s="66">
        <v>2540414</v>
      </c>
      <c r="AK31" s="63">
        <v>2403135</v>
      </c>
      <c r="AL31" s="63"/>
      <c r="AM31" s="507"/>
      <c r="AN31" s="507"/>
      <c r="AO31" s="66"/>
    </row>
    <row r="32" spans="1:41" ht="20.100000000000001" customHeight="1" thickBot="1">
      <c r="A32" s="128" t="s">
        <v>12</v>
      </c>
      <c r="B32" s="117" t="s">
        <v>27</v>
      </c>
      <c r="C32" s="118" t="s">
        <v>27</v>
      </c>
      <c r="D32" s="118" t="s">
        <v>27</v>
      </c>
      <c r="E32" s="118" t="s">
        <v>27</v>
      </c>
      <c r="F32" s="149" t="s">
        <v>27</v>
      </c>
      <c r="G32" s="130">
        <v>72348</v>
      </c>
      <c r="H32" s="131">
        <v>88081</v>
      </c>
      <c r="I32" s="131">
        <v>135293</v>
      </c>
      <c r="J32" s="131">
        <v>182434</v>
      </c>
      <c r="K32" s="129">
        <f t="shared" si="31"/>
        <v>119539</v>
      </c>
      <c r="L32" s="130">
        <v>228650</v>
      </c>
      <c r="M32" s="131">
        <v>231084</v>
      </c>
      <c r="N32" s="132">
        <v>249377</v>
      </c>
      <c r="O32" s="131">
        <v>244407</v>
      </c>
      <c r="P32" s="129">
        <v>238379</v>
      </c>
      <c r="Q32" s="130">
        <v>203251</v>
      </c>
      <c r="R32" s="131">
        <v>189813</v>
      </c>
      <c r="S32" s="131">
        <v>215122</v>
      </c>
      <c r="T32" s="131">
        <v>230373</v>
      </c>
      <c r="U32" s="129">
        <v>209640</v>
      </c>
      <c r="V32" s="130">
        <v>235775</v>
      </c>
      <c r="W32" s="131">
        <v>269395</v>
      </c>
      <c r="X32" s="131">
        <v>283652</v>
      </c>
      <c r="Y32" s="131">
        <v>228446</v>
      </c>
      <c r="Z32" s="129">
        <v>254317</v>
      </c>
      <c r="AA32" s="130">
        <v>201579</v>
      </c>
      <c r="AB32" s="131">
        <v>181250</v>
      </c>
      <c r="AC32" s="131">
        <v>188258</v>
      </c>
      <c r="AD32" s="131">
        <v>185126</v>
      </c>
      <c r="AE32" s="129">
        <v>189053</v>
      </c>
      <c r="AF32" s="131">
        <v>173299</v>
      </c>
      <c r="AG32" s="131">
        <v>165360</v>
      </c>
      <c r="AH32" s="516">
        <v>160427</v>
      </c>
      <c r="AI32" s="516">
        <v>139066</v>
      </c>
      <c r="AJ32" s="129">
        <v>159538</v>
      </c>
      <c r="AK32" s="131">
        <v>118538</v>
      </c>
      <c r="AL32" s="131"/>
      <c r="AM32" s="516"/>
      <c r="AN32" s="516"/>
      <c r="AO32" s="129"/>
    </row>
    <row r="33" spans="1:36" ht="20.100000000000001" customHeight="1">
      <c r="T33" s="183"/>
      <c r="U33" s="183"/>
      <c r="V33" s="183"/>
      <c r="W33" s="183"/>
      <c r="X33" s="183"/>
      <c r="Y33" s="183"/>
      <c r="Z33" s="183"/>
      <c r="AA33" s="183"/>
      <c r="AB33" s="183"/>
      <c r="AC33" s="183"/>
      <c r="AD33" s="183"/>
      <c r="AE33" s="183"/>
      <c r="AF33" s="183"/>
      <c r="AG33" s="183"/>
      <c r="AH33" s="183"/>
      <c r="AI33" s="183"/>
      <c r="AJ33" s="183"/>
    </row>
    <row r="34" spans="1:36" ht="20.100000000000001" customHeight="1">
      <c r="A34" s="1" t="s">
        <v>43</v>
      </c>
      <c r="T34" s="184"/>
      <c r="U34" s="184"/>
      <c r="V34" s="184"/>
      <c r="W34" s="184"/>
      <c r="X34" s="184"/>
      <c r="Y34" s="184"/>
      <c r="Z34" s="184"/>
      <c r="AA34" s="184"/>
      <c r="AB34" s="184"/>
      <c r="AC34" s="184"/>
      <c r="AD34" s="184"/>
      <c r="AE34" s="184"/>
      <c r="AF34" s="184"/>
      <c r="AG34" s="184"/>
      <c r="AH34" s="184"/>
      <c r="AI34" s="184"/>
      <c r="AJ34" s="184"/>
    </row>
    <row r="35" spans="1:36" ht="20.100000000000001" customHeight="1">
      <c r="A35" s="1" t="s">
        <v>44</v>
      </c>
      <c r="T35" s="184"/>
      <c r="U35" s="184"/>
      <c r="V35" s="184"/>
      <c r="W35" s="184"/>
      <c r="X35" s="184"/>
      <c r="Y35" s="184"/>
      <c r="Z35" s="184"/>
      <c r="AA35" s="184"/>
      <c r="AB35" s="184"/>
      <c r="AC35" s="184"/>
      <c r="AD35" s="184"/>
      <c r="AE35" s="184"/>
      <c r="AF35" s="184"/>
      <c r="AG35" s="184"/>
      <c r="AH35" s="184"/>
      <c r="AI35" s="184"/>
      <c r="AJ35" s="184"/>
    </row>
    <row r="36" spans="1:36" ht="20.100000000000001" customHeight="1">
      <c r="A36" s="671" t="s">
        <v>45</v>
      </c>
      <c r="B36" s="672"/>
      <c r="C36" s="672"/>
      <c r="D36" s="672"/>
      <c r="E36" s="672"/>
      <c r="F36" s="672"/>
      <c r="G36" s="672"/>
      <c r="H36" s="672"/>
      <c r="I36" s="672"/>
      <c r="T36" s="184"/>
      <c r="U36" s="184"/>
      <c r="V36" s="184"/>
      <c r="W36" s="184"/>
      <c r="X36" s="184"/>
      <c r="Y36" s="184"/>
      <c r="Z36" s="184"/>
      <c r="AA36" s="184"/>
      <c r="AB36" s="184"/>
      <c r="AC36" s="184"/>
      <c r="AD36" s="184"/>
      <c r="AE36" s="184"/>
      <c r="AF36" s="184"/>
      <c r="AG36" s="184"/>
      <c r="AH36" s="184"/>
      <c r="AI36" s="184"/>
      <c r="AJ36" s="184"/>
    </row>
    <row r="37" spans="1:36" ht="42.75" customHeight="1">
      <c r="A37" s="671" t="s">
        <v>46</v>
      </c>
      <c r="B37" s="671"/>
      <c r="C37" s="671"/>
      <c r="D37" s="671"/>
      <c r="E37" s="671"/>
      <c r="F37" s="671"/>
      <c r="G37" s="671"/>
      <c r="H37" s="671"/>
      <c r="I37" s="671"/>
      <c r="J37" s="671"/>
      <c r="K37" s="671"/>
      <c r="L37" s="671"/>
      <c r="M37" s="671"/>
      <c r="T37" s="185"/>
      <c r="U37" s="183"/>
      <c r="V37" s="183"/>
      <c r="W37" s="183"/>
      <c r="X37" s="183"/>
      <c r="Y37" s="185"/>
      <c r="Z37" s="183"/>
      <c r="AA37" s="183"/>
      <c r="AB37" s="183"/>
      <c r="AC37" s="183"/>
      <c r="AD37" s="185"/>
      <c r="AE37" s="183"/>
      <c r="AF37" s="183"/>
      <c r="AG37" s="183"/>
      <c r="AH37" s="183"/>
      <c r="AI37" s="185"/>
      <c r="AJ37" s="183"/>
    </row>
    <row r="38" spans="1:36" ht="20.100000000000001" customHeight="1">
      <c r="A38" s="672" t="s">
        <v>47</v>
      </c>
      <c r="B38" s="672"/>
      <c r="C38" s="672"/>
      <c r="D38" s="672"/>
      <c r="E38" s="672"/>
      <c r="F38" s="672"/>
      <c r="G38" s="672"/>
      <c r="H38" s="672"/>
      <c r="I38" s="672"/>
      <c r="J38" s="672"/>
      <c r="K38" s="672"/>
      <c r="L38" s="672"/>
      <c r="M38" s="672"/>
      <c r="T38" s="184"/>
      <c r="U38" s="184"/>
      <c r="V38" s="184"/>
      <c r="W38" s="184"/>
      <c r="X38" s="184"/>
      <c r="Y38" s="184"/>
      <c r="Z38" s="184"/>
      <c r="AA38" s="184"/>
      <c r="AB38" s="184"/>
      <c r="AC38" s="184"/>
      <c r="AD38" s="184"/>
      <c r="AE38" s="184"/>
      <c r="AF38" s="184"/>
      <c r="AG38" s="184"/>
      <c r="AH38" s="184"/>
      <c r="AI38" s="184"/>
      <c r="AJ38" s="184"/>
    </row>
    <row r="39" spans="1:36" ht="20.100000000000001" customHeight="1">
      <c r="A39" s="1" t="s">
        <v>277</v>
      </c>
      <c r="T39" s="183"/>
      <c r="U39" s="183"/>
      <c r="V39" s="183"/>
      <c r="W39" s="183"/>
      <c r="X39" s="183"/>
      <c r="Y39" s="183"/>
      <c r="Z39" s="183"/>
      <c r="AA39" s="183"/>
      <c r="AB39" s="183"/>
      <c r="AC39" s="183"/>
      <c r="AD39" s="183"/>
      <c r="AE39" s="183"/>
      <c r="AF39" s="183"/>
      <c r="AG39" s="183"/>
      <c r="AH39" s="183"/>
      <c r="AI39" s="183"/>
      <c r="AJ39" s="183"/>
    </row>
    <row r="40" spans="1:36" ht="20.100000000000001" customHeight="1"/>
    <row r="41" spans="1:36" ht="20.100000000000001" customHeight="1"/>
    <row r="42" spans="1:36" ht="20.100000000000001" customHeight="1"/>
    <row r="43" spans="1:36" ht="20.100000000000001" customHeight="1"/>
    <row r="44" spans="1:36" ht="20.100000000000001" customHeight="1"/>
    <row r="45" spans="1:36" ht="20.100000000000001" customHeight="1"/>
    <row r="46" spans="1:36" ht="20.100000000000001" customHeight="1"/>
    <row r="47" spans="1:36" ht="20.100000000000001" customHeight="1"/>
    <row r="48" spans="1:36" ht="20.100000000000001" customHeight="1"/>
    <row r="49" spans="2:36" ht="20.100000000000001" customHeight="1"/>
    <row r="50" spans="2:36" ht="20.100000000000001" customHeight="1"/>
    <row r="51" spans="2:36" s="1" customFormat="1" ht="20.100000000000001" customHeight="1">
      <c r="B51" s="2"/>
      <c r="C51" s="2"/>
      <c r="D51" s="2"/>
      <c r="E51" s="2"/>
      <c r="F51" s="2"/>
      <c r="G51" s="2"/>
      <c r="H51" s="2"/>
      <c r="I51" s="2"/>
      <c r="J51" s="2"/>
      <c r="K51" s="2"/>
      <c r="L51" s="2"/>
      <c r="M51" s="2"/>
      <c r="N51" s="2"/>
      <c r="O51" s="2"/>
      <c r="P51" s="2"/>
      <c r="Q51" s="2"/>
      <c r="R51" s="2"/>
      <c r="S51" s="4"/>
      <c r="T51" s="2"/>
      <c r="U51" s="2"/>
      <c r="V51" s="2"/>
      <c r="W51" s="2"/>
      <c r="X51" s="2"/>
      <c r="Y51" s="2"/>
      <c r="Z51" s="2"/>
      <c r="AA51" s="2"/>
      <c r="AB51" s="2"/>
      <c r="AC51" s="2"/>
      <c r="AD51" s="2"/>
      <c r="AE51" s="2"/>
      <c r="AF51" s="2"/>
      <c r="AG51" s="2"/>
      <c r="AH51" s="2"/>
      <c r="AI51" s="2"/>
      <c r="AJ51" s="2"/>
    </row>
    <row r="52" spans="2:36" s="1" customFormat="1" ht="20.100000000000001" customHeight="1">
      <c r="B52" s="2"/>
      <c r="C52" s="2"/>
      <c r="D52" s="2"/>
      <c r="E52" s="2"/>
      <c r="F52" s="2"/>
      <c r="G52" s="2"/>
      <c r="H52" s="2"/>
      <c r="I52" s="2"/>
      <c r="J52" s="2"/>
      <c r="K52" s="2"/>
      <c r="L52" s="2"/>
      <c r="M52" s="2"/>
      <c r="N52" s="2"/>
      <c r="O52" s="2"/>
      <c r="P52" s="2"/>
      <c r="Q52" s="2"/>
      <c r="R52" s="2"/>
      <c r="S52" s="4"/>
      <c r="T52" s="2"/>
      <c r="U52" s="2"/>
      <c r="V52" s="2"/>
      <c r="W52" s="2"/>
      <c r="X52" s="2"/>
      <c r="Y52" s="2"/>
      <c r="Z52" s="2"/>
      <c r="AA52" s="2"/>
      <c r="AB52" s="2"/>
      <c r="AC52" s="2"/>
      <c r="AD52" s="2"/>
      <c r="AE52" s="2"/>
      <c r="AF52" s="2"/>
      <c r="AG52" s="2"/>
      <c r="AH52" s="2"/>
      <c r="AI52" s="2"/>
      <c r="AJ52" s="2"/>
    </row>
    <row r="53" spans="2:36" s="1" customFormat="1" ht="20.100000000000001" customHeight="1">
      <c r="B53" s="2"/>
      <c r="C53" s="2"/>
      <c r="D53" s="2"/>
      <c r="E53" s="2"/>
      <c r="F53" s="2"/>
      <c r="G53" s="2"/>
      <c r="H53" s="2"/>
      <c r="I53" s="2"/>
      <c r="J53" s="2"/>
      <c r="K53" s="2"/>
      <c r="L53" s="2"/>
      <c r="M53" s="2"/>
      <c r="N53" s="2"/>
      <c r="O53" s="2"/>
      <c r="P53" s="2"/>
      <c r="Q53" s="2"/>
      <c r="R53" s="2"/>
      <c r="S53" s="4"/>
      <c r="T53" s="2"/>
      <c r="U53" s="2"/>
      <c r="V53" s="2"/>
      <c r="W53" s="2"/>
      <c r="X53" s="2"/>
      <c r="Y53" s="2"/>
      <c r="Z53" s="2"/>
      <c r="AA53" s="2"/>
      <c r="AB53" s="2"/>
      <c r="AC53" s="2"/>
      <c r="AD53" s="2"/>
      <c r="AE53" s="2"/>
      <c r="AF53" s="2"/>
      <c r="AG53" s="2"/>
      <c r="AH53" s="2"/>
      <c r="AI53" s="2"/>
      <c r="AJ53" s="2"/>
    </row>
    <row r="54" spans="2:36" s="1" customFormat="1" ht="20.100000000000001" customHeight="1">
      <c r="B54" s="2"/>
      <c r="C54" s="2"/>
      <c r="D54" s="2"/>
      <c r="E54" s="2"/>
      <c r="F54" s="2"/>
      <c r="G54" s="2"/>
      <c r="H54" s="2"/>
      <c r="I54" s="2"/>
      <c r="J54" s="2"/>
      <c r="K54" s="2"/>
      <c r="L54" s="2"/>
      <c r="M54" s="2"/>
      <c r="N54" s="2"/>
      <c r="O54" s="2"/>
      <c r="P54" s="2"/>
      <c r="Q54" s="2"/>
      <c r="R54" s="2"/>
      <c r="S54" s="4"/>
      <c r="T54" s="2"/>
      <c r="U54" s="2"/>
      <c r="V54" s="2"/>
      <c r="W54" s="2"/>
      <c r="X54" s="2"/>
      <c r="Y54" s="2"/>
      <c r="Z54" s="2"/>
      <c r="AA54" s="2"/>
      <c r="AB54" s="2"/>
      <c r="AC54" s="2"/>
      <c r="AD54" s="2"/>
      <c r="AE54" s="2"/>
      <c r="AF54" s="2"/>
      <c r="AG54" s="2"/>
      <c r="AH54" s="2"/>
      <c r="AI54" s="2"/>
      <c r="AJ54" s="2"/>
    </row>
    <row r="55" spans="2:36" s="1" customFormat="1" ht="20.100000000000001" customHeight="1">
      <c r="B55" s="2"/>
      <c r="C55" s="2"/>
      <c r="D55" s="2"/>
      <c r="E55" s="2"/>
      <c r="F55" s="2"/>
      <c r="G55" s="2"/>
      <c r="H55" s="2"/>
      <c r="I55" s="2"/>
      <c r="J55" s="2"/>
      <c r="K55" s="2"/>
      <c r="L55" s="2"/>
      <c r="M55" s="2"/>
      <c r="N55" s="2"/>
      <c r="O55" s="2"/>
      <c r="P55" s="2"/>
      <c r="Q55" s="2"/>
      <c r="R55" s="2"/>
      <c r="S55" s="4"/>
      <c r="T55" s="2"/>
      <c r="U55" s="2"/>
      <c r="V55" s="2"/>
      <c r="W55" s="2"/>
      <c r="X55" s="2"/>
      <c r="Y55" s="2"/>
      <c r="Z55" s="2"/>
      <c r="AA55" s="2"/>
      <c r="AB55" s="2"/>
      <c r="AC55" s="2"/>
      <c r="AD55" s="2"/>
      <c r="AE55" s="2"/>
      <c r="AF55" s="2"/>
      <c r="AG55" s="2"/>
      <c r="AH55" s="2"/>
      <c r="AI55" s="2"/>
      <c r="AJ55" s="2"/>
    </row>
    <row r="56" spans="2:36" s="1" customFormat="1" ht="20.100000000000001" customHeight="1">
      <c r="B56" s="2"/>
      <c r="C56" s="2"/>
      <c r="D56" s="2"/>
      <c r="E56" s="2"/>
      <c r="F56" s="2"/>
      <c r="G56" s="2"/>
      <c r="H56" s="2"/>
      <c r="I56" s="2"/>
      <c r="J56" s="2"/>
      <c r="K56" s="2"/>
      <c r="L56" s="2"/>
      <c r="M56" s="2"/>
      <c r="N56" s="2"/>
      <c r="O56" s="2"/>
      <c r="P56" s="2"/>
      <c r="Q56" s="2"/>
      <c r="R56" s="2"/>
      <c r="S56" s="4"/>
      <c r="T56" s="2"/>
      <c r="U56" s="2"/>
      <c r="V56" s="2"/>
      <c r="W56" s="2"/>
      <c r="X56" s="2"/>
      <c r="Y56" s="2"/>
      <c r="Z56" s="2"/>
      <c r="AA56" s="2"/>
      <c r="AB56" s="2"/>
      <c r="AC56" s="2"/>
      <c r="AD56" s="2"/>
      <c r="AE56" s="2"/>
      <c r="AF56" s="2"/>
      <c r="AG56" s="2"/>
      <c r="AH56" s="2"/>
      <c r="AI56" s="2"/>
      <c r="AJ56" s="2"/>
    </row>
  </sheetData>
  <mergeCells count="21">
    <mergeCell ref="AK3:AN3"/>
    <mergeCell ref="AO3:AO4"/>
    <mergeCell ref="A37:M37"/>
    <mergeCell ref="A38:M38"/>
    <mergeCell ref="U3:U4"/>
    <mergeCell ref="Q3:T3"/>
    <mergeCell ref="P3:P4"/>
    <mergeCell ref="A36:I36"/>
    <mergeCell ref="AF3:AI3"/>
    <mergeCell ref="AJ3:AJ4"/>
    <mergeCell ref="AA3:AD3"/>
    <mergeCell ref="AE3:AE4"/>
    <mergeCell ref="Z3:Z4"/>
    <mergeCell ref="V3:Y3"/>
    <mergeCell ref="A2:N2"/>
    <mergeCell ref="A3:A4"/>
    <mergeCell ref="B3:E3"/>
    <mergeCell ref="F3:F4"/>
    <mergeCell ref="G3:J3"/>
    <mergeCell ref="K3:K4"/>
    <mergeCell ref="L3:O3"/>
  </mergeCells>
  <pageMargins left="0.7" right="0.7" top="0.75" bottom="0.75" header="0.3" footer="0.3"/>
  <pageSetup paperSize="9" scale="45" orientation="portrait" horizontalDpi="4294967294" r:id="rId1"/>
  <ignoredErrors>
    <ignoredError sqref="G24:J24 L24:P24 Q24:T24 V24:Y24 AA24:AD24 AF24:AI24 AJ24:AK24" formulaRange="1"/>
    <ignoredError sqref="K7 F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showGridLines="0" zoomScale="130" zoomScaleNormal="130" workbookViewId="0">
      <pane xSplit="2" ySplit="3" topLeftCell="C22" activePane="bottomRight" state="frozen"/>
      <selection pane="topRight" activeCell="C1" sqref="C1"/>
      <selection pane="bottomLeft" activeCell="A4" sqref="A4"/>
      <selection pane="bottomRight" activeCell="E42" sqref="E42"/>
    </sheetView>
  </sheetViews>
  <sheetFormatPr defaultRowHeight="14.25"/>
  <cols>
    <col min="1" max="1" width="1.625" style="15" customWidth="1"/>
    <col min="2" max="2" width="30.75" customWidth="1"/>
    <col min="3" max="5" width="12.625" customWidth="1"/>
    <col min="6" max="7" width="9" style="15"/>
  </cols>
  <sheetData>
    <row r="1" spans="2:5" s="15" customFormat="1" ht="36.75" customHeight="1" thickBot="1">
      <c r="B1" s="3" t="s">
        <v>24</v>
      </c>
    </row>
    <row r="2" spans="2:5" ht="20.25" customHeight="1" thickBot="1">
      <c r="B2" s="676" t="s">
        <v>25</v>
      </c>
      <c r="C2" s="678" t="s">
        <v>238</v>
      </c>
      <c r="D2" s="679"/>
      <c r="E2" s="680"/>
    </row>
    <row r="3" spans="2:5" ht="20.25" customHeight="1" thickBot="1">
      <c r="B3" s="677"/>
      <c r="C3" s="173">
        <v>2019</v>
      </c>
      <c r="D3" s="174">
        <v>2018</v>
      </c>
      <c r="E3" s="175" t="s">
        <v>214</v>
      </c>
    </row>
    <row r="4" spans="2:5" ht="25.5" customHeight="1">
      <c r="B4" s="133" t="s">
        <v>26</v>
      </c>
      <c r="C4" s="134">
        <v>0.2336</v>
      </c>
      <c r="D4" s="187">
        <v>0.2392</v>
      </c>
      <c r="E4" s="331">
        <v>-0.55999999999999939</v>
      </c>
    </row>
    <row r="5" spans="2:5" ht="25.5" customHeight="1">
      <c r="B5" s="135" t="s">
        <v>251</v>
      </c>
      <c r="C5" s="186">
        <v>0.112</v>
      </c>
      <c r="D5" s="187">
        <v>0.1187</v>
      </c>
      <c r="E5" s="332">
        <v>-0.66999999999999971</v>
      </c>
    </row>
    <row r="6" spans="2:5" ht="25.5" customHeight="1">
      <c r="B6" s="135" t="s">
        <v>210</v>
      </c>
      <c r="C6" s="186">
        <v>0.1216</v>
      </c>
      <c r="D6" s="187">
        <v>0.1205</v>
      </c>
      <c r="E6" s="332">
        <v>0.11000000000000038</v>
      </c>
    </row>
    <row r="7" spans="2:5" ht="18" customHeight="1">
      <c r="B7" s="348" t="s">
        <v>179</v>
      </c>
      <c r="C7" s="399">
        <v>3.3599999999999998E-2</v>
      </c>
      <c r="D7" s="400">
        <v>3.7999999999999999E-2</v>
      </c>
      <c r="E7" s="333">
        <v>-0.44000000000000011</v>
      </c>
    </row>
    <row r="8" spans="2:5" ht="18" customHeight="1">
      <c r="B8" s="348" t="s">
        <v>180</v>
      </c>
      <c r="C8" s="399">
        <v>1.6E-2</v>
      </c>
      <c r="D8" s="400">
        <v>1.4200000000000001E-2</v>
      </c>
      <c r="E8" s="333">
        <v>0.17999999999999994</v>
      </c>
    </row>
    <row r="9" spans="2:5" ht="18" customHeight="1">
      <c r="B9" s="348" t="s">
        <v>181</v>
      </c>
      <c r="C9" s="399">
        <v>1.12E-2</v>
      </c>
      <c r="D9" s="400">
        <v>1.2999999999999999E-2</v>
      </c>
      <c r="E9" s="333">
        <v>-0.17999999999999994</v>
      </c>
    </row>
    <row r="10" spans="2:5" ht="18" customHeight="1">
      <c r="B10" s="348" t="s">
        <v>244</v>
      </c>
      <c r="C10" s="399">
        <v>9.4999999999999998E-3</v>
      </c>
      <c r="D10" s="400">
        <v>9.1999999999999998E-3</v>
      </c>
      <c r="E10" s="333">
        <v>2.9999999999999992E-2</v>
      </c>
    </row>
    <row r="11" spans="2:5" ht="18" customHeight="1">
      <c r="B11" s="348" t="s">
        <v>13</v>
      </c>
      <c r="C11" s="399">
        <v>6.0000000000000001E-3</v>
      </c>
      <c r="D11" s="400">
        <v>6.6E-3</v>
      </c>
      <c r="E11" s="333">
        <v>-5.9999999999999984E-2</v>
      </c>
    </row>
    <row r="12" spans="2:5" ht="18" customHeight="1">
      <c r="B12" s="348" t="s">
        <v>14</v>
      </c>
      <c r="C12" s="399">
        <v>1.6000000000000001E-3</v>
      </c>
      <c r="D12" s="400">
        <v>1.6000000000000001E-3</v>
      </c>
      <c r="E12" s="333">
        <v>0</v>
      </c>
    </row>
    <row r="13" spans="2:5" ht="18" customHeight="1">
      <c r="B13" s="348" t="s">
        <v>16</v>
      </c>
      <c r="C13" s="399">
        <v>6.4999999999999997E-3</v>
      </c>
      <c r="D13" s="400">
        <v>7.0000000000000001E-3</v>
      </c>
      <c r="E13" s="333">
        <v>-5.0000000000000044E-2</v>
      </c>
    </row>
    <row r="14" spans="2:5" ht="18" customHeight="1">
      <c r="B14" s="348" t="s">
        <v>18</v>
      </c>
      <c r="C14" s="399">
        <v>6.0000000000000001E-3</v>
      </c>
      <c r="D14" s="400">
        <v>4.7999999999999996E-3</v>
      </c>
      <c r="E14" s="333">
        <v>0.12000000000000005</v>
      </c>
    </row>
    <row r="15" spans="2:5" ht="18" customHeight="1">
      <c r="B15" s="348" t="s">
        <v>17</v>
      </c>
      <c r="C15" s="399">
        <v>3.2000000000000002E-3</v>
      </c>
      <c r="D15" s="400">
        <v>3.0000000000000001E-3</v>
      </c>
      <c r="E15" s="333">
        <v>2.0000000000000011E-2</v>
      </c>
    </row>
    <row r="16" spans="2:5" ht="18" customHeight="1">
      <c r="B16" s="348" t="s">
        <v>183</v>
      </c>
      <c r="C16" s="399">
        <v>1.8E-3</v>
      </c>
      <c r="D16" s="400">
        <v>1.6999999999999999E-3</v>
      </c>
      <c r="E16" s="333">
        <v>1.0000000000000005E-2</v>
      </c>
    </row>
    <row r="17" spans="2:5" ht="18" customHeight="1">
      <c r="B17" s="348" t="s">
        <v>22</v>
      </c>
      <c r="C17" s="399">
        <v>1.1000000000000001E-3</v>
      </c>
      <c r="D17" s="400">
        <v>1.2999999999999999E-3</v>
      </c>
      <c r="E17" s="333">
        <v>-1.9999999999999987E-2</v>
      </c>
    </row>
    <row r="18" spans="2:5" ht="18" customHeight="1">
      <c r="B18" s="348" t="s">
        <v>15</v>
      </c>
      <c r="C18" s="399">
        <v>5.9999999999999995E-4</v>
      </c>
      <c r="D18" s="400">
        <v>5.0000000000000001E-4</v>
      </c>
      <c r="E18" s="333">
        <v>9.9999999999999933E-3</v>
      </c>
    </row>
    <row r="19" spans="2:5" ht="18" customHeight="1">
      <c r="B19" s="348" t="s">
        <v>279</v>
      </c>
      <c r="C19" s="399">
        <v>4.0000000000000002E-4</v>
      </c>
      <c r="D19" s="400">
        <v>5.0000000000000001E-4</v>
      </c>
      <c r="E19" s="333">
        <v>-9.9999999999999985E-3</v>
      </c>
    </row>
    <row r="20" spans="2:5" ht="18" customHeight="1">
      <c r="B20" s="348" t="s">
        <v>280</v>
      </c>
      <c r="C20" s="399">
        <v>8.0000000000000004E-4</v>
      </c>
      <c r="D20" s="400">
        <v>4.0000000000000002E-4</v>
      </c>
      <c r="E20" s="333">
        <v>0.04</v>
      </c>
    </row>
    <row r="21" spans="2:5" ht="18" customHeight="1">
      <c r="B21" s="348" t="s">
        <v>185</v>
      </c>
      <c r="C21" s="399">
        <v>4.0000000000000002E-4</v>
      </c>
      <c r="D21" s="400">
        <v>4.0000000000000002E-4</v>
      </c>
      <c r="E21" s="333">
        <v>0</v>
      </c>
    </row>
    <row r="22" spans="2:5" ht="18" customHeight="1">
      <c r="B22" s="348" t="s">
        <v>281</v>
      </c>
      <c r="C22" s="399">
        <v>2.9999999999999997E-4</v>
      </c>
      <c r="D22" s="400">
        <v>2.9999999999999997E-4</v>
      </c>
      <c r="E22" s="333">
        <v>0</v>
      </c>
    </row>
    <row r="23" spans="2:5" ht="18" customHeight="1">
      <c r="B23" s="348" t="s">
        <v>257</v>
      </c>
      <c r="C23" s="399">
        <v>5.0000000000000001E-4</v>
      </c>
      <c r="D23" s="400">
        <v>4.0000000000000002E-4</v>
      </c>
      <c r="E23" s="333">
        <v>9.9999999999999985E-3</v>
      </c>
    </row>
    <row r="24" spans="2:5" ht="18" customHeight="1">
      <c r="B24" s="348" t="s">
        <v>258</v>
      </c>
      <c r="C24" s="399" t="s">
        <v>259</v>
      </c>
      <c r="D24" s="400" t="s">
        <v>259</v>
      </c>
      <c r="E24" s="333" t="s">
        <v>259</v>
      </c>
    </row>
    <row r="25" spans="2:5" ht="18" customHeight="1">
      <c r="B25" s="348" t="s">
        <v>282</v>
      </c>
      <c r="C25" s="399" t="s">
        <v>259</v>
      </c>
      <c r="D25" s="400" t="s">
        <v>259</v>
      </c>
      <c r="E25" s="333" t="s">
        <v>259</v>
      </c>
    </row>
    <row r="26" spans="2:5" ht="18" customHeight="1">
      <c r="B26" s="348" t="s">
        <v>283</v>
      </c>
      <c r="C26" s="399" t="s">
        <v>259</v>
      </c>
      <c r="D26" s="400" t="s">
        <v>259</v>
      </c>
      <c r="E26" s="333" t="s">
        <v>259</v>
      </c>
    </row>
    <row r="27" spans="2:5" ht="18" customHeight="1">
      <c r="B27" s="348" t="s">
        <v>284</v>
      </c>
      <c r="C27" s="399">
        <v>2.0000000000000001E-4</v>
      </c>
      <c r="D27" s="400" t="s">
        <v>259</v>
      </c>
      <c r="E27" s="333" t="s">
        <v>259</v>
      </c>
    </row>
    <row r="28" spans="2:5" ht="18" customHeight="1">
      <c r="B28" s="348" t="s">
        <v>285</v>
      </c>
      <c r="C28" s="399">
        <v>2.9999999999999997E-4</v>
      </c>
      <c r="D28" s="400" t="s">
        <v>259</v>
      </c>
      <c r="E28" s="333" t="s">
        <v>259</v>
      </c>
    </row>
    <row r="29" spans="2:5" ht="17.25">
      <c r="B29" s="349" t="s">
        <v>261</v>
      </c>
      <c r="C29" s="373">
        <v>0</v>
      </c>
      <c r="D29" s="374">
        <v>0</v>
      </c>
      <c r="E29" s="333">
        <v>0</v>
      </c>
    </row>
    <row r="30" spans="2:5" ht="18" customHeight="1">
      <c r="B30" s="348" t="s">
        <v>220</v>
      </c>
      <c r="C30" s="373">
        <v>9.4000000000000004E-3</v>
      </c>
      <c r="D30" s="374">
        <v>8.2000000000000007E-3</v>
      </c>
      <c r="E30" s="333">
        <v>0.11999999999999997</v>
      </c>
    </row>
    <row r="31" spans="2:5" ht="18" customHeight="1">
      <c r="B31" s="348" t="s">
        <v>221</v>
      </c>
      <c r="C31" s="373">
        <v>6.6E-3</v>
      </c>
      <c r="D31" s="374">
        <v>7.7000000000000002E-3</v>
      </c>
      <c r="E31" s="333">
        <v>-0.11000000000000003</v>
      </c>
    </row>
    <row r="32" spans="2:5" ht="18" customHeight="1">
      <c r="B32" s="348" t="s">
        <v>222</v>
      </c>
      <c r="C32" s="373">
        <v>8.0000000000000004E-4</v>
      </c>
      <c r="D32" s="400">
        <v>8.0000000000000004E-4</v>
      </c>
      <c r="E32" s="333">
        <v>0</v>
      </c>
    </row>
    <row r="33" spans="2:5" ht="18" customHeight="1">
      <c r="B33" s="348" t="s">
        <v>223</v>
      </c>
      <c r="C33" s="373">
        <v>6.9999999999999999E-4</v>
      </c>
      <c r="D33" s="374">
        <v>6.9999999999999999E-4</v>
      </c>
      <c r="E33" s="333">
        <v>0</v>
      </c>
    </row>
    <row r="34" spans="2:5" ht="18" customHeight="1">
      <c r="B34" s="348" t="s">
        <v>224</v>
      </c>
      <c r="C34" s="373">
        <v>4.0000000000000002E-4</v>
      </c>
      <c r="D34" s="374">
        <v>1E-4</v>
      </c>
      <c r="E34" s="333">
        <v>3.0000000000000002E-2</v>
      </c>
    </row>
    <row r="35" spans="2:5" ht="18" customHeight="1">
      <c r="B35" s="349" t="s">
        <v>260</v>
      </c>
      <c r="C35" s="373">
        <v>0</v>
      </c>
      <c r="D35" s="374">
        <v>0</v>
      </c>
      <c r="E35" s="333">
        <v>0</v>
      </c>
    </row>
    <row r="36" spans="2:5" ht="18" customHeight="1">
      <c r="B36" s="348" t="s">
        <v>263</v>
      </c>
      <c r="C36" s="399">
        <v>8.9999999999999998E-4</v>
      </c>
      <c r="D36" s="400">
        <v>6.9999999999999999E-4</v>
      </c>
      <c r="E36" s="333">
        <v>1.9999999999999997E-2</v>
      </c>
    </row>
    <row r="37" spans="2:5" ht="18" customHeight="1">
      <c r="B37" s="348" t="s">
        <v>262</v>
      </c>
      <c r="C37" s="399">
        <v>2.3E-3</v>
      </c>
      <c r="D37" s="400">
        <v>1.1999999999999999E-3</v>
      </c>
      <c r="E37" s="333">
        <v>0.11</v>
      </c>
    </row>
    <row r="38" spans="2:5" ht="18" customHeight="1">
      <c r="B38" s="348" t="s">
        <v>264</v>
      </c>
      <c r="C38" s="399">
        <v>5.0000000000000001E-4</v>
      </c>
      <c r="D38" s="400">
        <v>6.9999999999999999E-4</v>
      </c>
      <c r="E38" s="333">
        <v>-1.9999999999999997E-2</v>
      </c>
    </row>
    <row r="39" spans="2:5" ht="18" customHeight="1">
      <c r="B39" s="348" t="s">
        <v>265</v>
      </c>
      <c r="C39" s="399" t="s">
        <v>259</v>
      </c>
      <c r="D39" s="400" t="s">
        <v>259</v>
      </c>
      <c r="E39" s="333" t="s">
        <v>259</v>
      </c>
    </row>
    <row r="40" spans="2:5" ht="18" customHeight="1" thickBot="1">
      <c r="B40" s="348" t="s">
        <v>266</v>
      </c>
      <c r="C40" s="399" t="s">
        <v>259</v>
      </c>
      <c r="D40" s="400" t="s">
        <v>259</v>
      </c>
      <c r="E40" s="333" t="s">
        <v>259</v>
      </c>
    </row>
    <row r="41" spans="2:5" s="334" customFormat="1" ht="16.5" thickBot="1">
      <c r="B41" s="478" t="s">
        <v>286</v>
      </c>
      <c r="C41" s="383">
        <v>0.28000000000000003</v>
      </c>
      <c r="D41" s="337">
        <v>0.27</v>
      </c>
      <c r="E41" s="338" t="s">
        <v>337</v>
      </c>
    </row>
    <row r="42" spans="2:5" s="334" customFormat="1" ht="15.75" thickBot="1">
      <c r="B42" s="395"/>
      <c r="C42" s="396"/>
      <c r="D42" s="394"/>
      <c r="E42" s="397"/>
    </row>
    <row r="43" spans="2:5" s="334" customFormat="1" ht="18" customHeight="1" thickBot="1">
      <c r="B43" s="673" t="s">
        <v>247</v>
      </c>
      <c r="C43" s="674"/>
      <c r="D43" s="674"/>
      <c r="E43" s="674"/>
    </row>
    <row r="44" spans="2:5" s="334" customFormat="1" ht="18" customHeight="1">
      <c r="B44" s="372" t="s">
        <v>245</v>
      </c>
      <c r="C44" s="373">
        <v>8.8000000000000005E-3</v>
      </c>
      <c r="D44" s="374">
        <v>9.4999999999999998E-3</v>
      </c>
      <c r="E44" s="333">
        <v>-6.9999999999999923E-2</v>
      </c>
    </row>
    <row r="45" spans="2:5" s="334" customFormat="1" ht="18" customHeight="1">
      <c r="B45" s="372" t="s">
        <v>246</v>
      </c>
      <c r="C45" s="373">
        <v>3.5000000000000001E-3</v>
      </c>
      <c r="D45" s="374">
        <v>2.8E-3</v>
      </c>
      <c r="E45" s="333">
        <v>7.0000000000000007E-2</v>
      </c>
    </row>
    <row r="46" spans="2:5" s="334" customFormat="1" ht="18" customHeight="1">
      <c r="B46" s="518" t="s">
        <v>317</v>
      </c>
      <c r="C46" s="373">
        <v>1.1000000000000001E-3</v>
      </c>
      <c r="D46" s="374">
        <v>8.9999999999999998E-4</v>
      </c>
      <c r="E46" s="333">
        <v>2.0000000000000011E-2</v>
      </c>
    </row>
    <row r="47" spans="2:5" s="334" customFormat="1" ht="18" customHeight="1">
      <c r="B47" s="372" t="s">
        <v>20</v>
      </c>
      <c r="C47" s="373">
        <v>1.6999999999999999E-3</v>
      </c>
      <c r="D47" s="374">
        <v>1.1000000000000001E-3</v>
      </c>
      <c r="E47" s="333">
        <v>5.9999999999999984E-2</v>
      </c>
    </row>
    <row r="48" spans="2:5" s="334" customFormat="1" ht="18" customHeight="1">
      <c r="B48" s="372" t="s">
        <v>182</v>
      </c>
      <c r="C48" s="373">
        <v>1.9E-3</v>
      </c>
      <c r="D48" s="374">
        <v>1E-3</v>
      </c>
      <c r="E48" s="333">
        <v>0.09</v>
      </c>
    </row>
    <row r="49" spans="2:5" s="334" customFormat="1" ht="18" customHeight="1">
      <c r="B49" s="372" t="s">
        <v>184</v>
      </c>
      <c r="C49" s="373">
        <v>1.1000000000000001E-3</v>
      </c>
      <c r="D49" s="374">
        <v>8.0000000000000004E-4</v>
      </c>
      <c r="E49" s="333">
        <v>3.0000000000000002E-2</v>
      </c>
    </row>
    <row r="50" spans="2:5" s="334" customFormat="1" ht="17.45" customHeight="1">
      <c r="B50" s="372" t="s">
        <v>21</v>
      </c>
      <c r="C50" s="373">
        <v>2.0000000000000001E-4</v>
      </c>
      <c r="D50" s="374">
        <v>2.0000000000000001E-4</v>
      </c>
      <c r="E50" s="333">
        <v>0</v>
      </c>
    </row>
    <row r="51" spans="2:5" s="334" customFormat="1" ht="17.45" customHeight="1" thickBot="1">
      <c r="B51" s="401" t="s">
        <v>267</v>
      </c>
      <c r="C51" s="376" t="s">
        <v>259</v>
      </c>
      <c r="D51" s="377" t="s">
        <v>259</v>
      </c>
      <c r="E51" s="336" t="s">
        <v>259</v>
      </c>
    </row>
    <row r="52" spans="2:5" s="15" customFormat="1"/>
    <row r="53" spans="2:5" s="15" customFormat="1" ht="165.95" customHeight="1">
      <c r="B53" s="683" t="s">
        <v>315</v>
      </c>
      <c r="C53" s="683"/>
      <c r="D53" s="683"/>
      <c r="E53" s="683"/>
    </row>
    <row r="54" spans="2:5" s="15" customFormat="1" ht="30.95" customHeight="1" thickBot="1">
      <c r="B54" s="517"/>
      <c r="C54" s="496"/>
      <c r="D54" s="496"/>
      <c r="E54" s="496"/>
    </row>
    <row r="55" spans="2:5" ht="15.75" customHeight="1" thickBot="1">
      <c r="B55" s="681" t="s">
        <v>28</v>
      </c>
      <c r="C55" s="678" t="s">
        <v>238</v>
      </c>
      <c r="D55" s="679"/>
      <c r="E55" s="680"/>
    </row>
    <row r="56" spans="2:5" ht="20.25" customHeight="1" thickBot="1">
      <c r="B56" s="682"/>
      <c r="C56" s="173">
        <v>2019</v>
      </c>
      <c r="D56" s="174">
        <v>2018</v>
      </c>
      <c r="E56" s="175" t="s">
        <v>214</v>
      </c>
    </row>
    <row r="57" spans="2:5" ht="20.25" customHeight="1">
      <c r="B57" s="398" t="s">
        <v>23</v>
      </c>
      <c r="C57" s="405">
        <v>1</v>
      </c>
      <c r="D57" s="406">
        <v>1</v>
      </c>
      <c r="E57" s="335">
        <v>0</v>
      </c>
    </row>
    <row r="58" spans="2:5" ht="18" customHeight="1">
      <c r="B58" s="398" t="s">
        <v>179</v>
      </c>
      <c r="C58" s="405">
        <v>1</v>
      </c>
      <c r="D58" s="406">
        <v>1</v>
      </c>
      <c r="E58" s="335">
        <v>0</v>
      </c>
    </row>
    <row r="59" spans="2:5" ht="18" customHeight="1">
      <c r="B59" s="398" t="s">
        <v>226</v>
      </c>
      <c r="C59" s="405">
        <v>0.98699999999999999</v>
      </c>
      <c r="D59" s="406">
        <v>0.97899999999999998</v>
      </c>
      <c r="E59" s="335">
        <v>0.80000000000000071</v>
      </c>
    </row>
    <row r="60" spans="2:5" ht="18" customHeight="1">
      <c r="B60" s="398" t="s">
        <v>225</v>
      </c>
      <c r="C60" s="405">
        <v>0.98499999999999999</v>
      </c>
      <c r="D60" s="406">
        <v>0.98</v>
      </c>
      <c r="E60" s="335">
        <v>0.50000000000000044</v>
      </c>
    </row>
    <row r="61" spans="2:5" ht="18" customHeight="1">
      <c r="B61" s="398" t="s">
        <v>244</v>
      </c>
      <c r="C61" s="405">
        <v>0.97799999999999998</v>
      </c>
      <c r="D61" s="406">
        <v>0.97099999999999997</v>
      </c>
      <c r="E61" s="335">
        <v>0.70000000000000062</v>
      </c>
    </row>
    <row r="62" spans="2:5" ht="18" customHeight="1">
      <c r="B62" s="398" t="s">
        <v>180</v>
      </c>
      <c r="C62" s="405">
        <v>0.95599999999999996</v>
      </c>
      <c r="D62" s="406">
        <v>0.95799999999999996</v>
      </c>
      <c r="E62" s="335">
        <v>-0.20000000000000018</v>
      </c>
    </row>
    <row r="63" spans="2:5" ht="18" customHeight="1">
      <c r="B63" s="398" t="s">
        <v>181</v>
      </c>
      <c r="C63" s="405">
        <v>0.64300000000000002</v>
      </c>
      <c r="D63" s="406">
        <v>0.622</v>
      </c>
      <c r="E63" s="335">
        <v>2.1000000000000019</v>
      </c>
    </row>
    <row r="64" spans="2:5" ht="18" customHeight="1">
      <c r="B64" s="398" t="s">
        <v>227</v>
      </c>
      <c r="C64" s="405">
        <v>0.625</v>
      </c>
      <c r="D64" s="406">
        <v>0.58799999999999997</v>
      </c>
      <c r="E64" s="335">
        <v>3.7000000000000033</v>
      </c>
    </row>
    <row r="65" spans="2:5" ht="18" customHeight="1">
      <c r="B65" s="398" t="s">
        <v>185</v>
      </c>
      <c r="C65" s="405">
        <v>0.58799999999999997</v>
      </c>
      <c r="D65" s="406">
        <v>0.6</v>
      </c>
      <c r="E65" s="335">
        <v>-1.2000000000000011</v>
      </c>
    </row>
    <row r="66" spans="2:5" ht="18" customHeight="1">
      <c r="B66" s="398" t="s">
        <v>263</v>
      </c>
      <c r="C66" s="405">
        <v>0.58799999999999997</v>
      </c>
      <c r="D66" s="406">
        <v>0.56899999999999995</v>
      </c>
      <c r="E66" s="335">
        <v>1.9000000000000017</v>
      </c>
    </row>
    <row r="67" spans="2:5" ht="18" customHeight="1">
      <c r="B67" s="398" t="s">
        <v>13</v>
      </c>
      <c r="C67" s="405">
        <v>0.57599999999999996</v>
      </c>
      <c r="D67" s="406">
        <v>0.55900000000000005</v>
      </c>
      <c r="E67" s="335">
        <v>1.6999999999999904</v>
      </c>
    </row>
    <row r="68" spans="2:5" ht="18" customHeight="1">
      <c r="B68" s="398" t="s">
        <v>228</v>
      </c>
      <c r="C68" s="405">
        <v>0.58199999999999996</v>
      </c>
      <c r="D68" s="406">
        <v>0.48799999999999999</v>
      </c>
      <c r="E68" s="335">
        <v>9.3999999999999968</v>
      </c>
    </row>
    <row r="69" spans="2:5" ht="18" customHeight="1">
      <c r="B69" s="398" t="s">
        <v>17</v>
      </c>
      <c r="C69" s="405">
        <v>0.56499999999999995</v>
      </c>
      <c r="D69" s="406">
        <v>0.55200000000000005</v>
      </c>
      <c r="E69" s="335">
        <v>1.2999999999999901</v>
      </c>
    </row>
    <row r="70" spans="2:5" ht="18" customHeight="1">
      <c r="B70" s="398" t="s">
        <v>16</v>
      </c>
      <c r="C70" s="405">
        <v>0.56399999999999995</v>
      </c>
      <c r="D70" s="406">
        <v>0.54600000000000004</v>
      </c>
      <c r="E70" s="335">
        <v>1.7999999999999905</v>
      </c>
    </row>
    <row r="71" spans="2:5" ht="18" customHeight="1">
      <c r="B71" s="398" t="s">
        <v>18</v>
      </c>
      <c r="C71" s="405">
        <v>0.53600000000000003</v>
      </c>
      <c r="D71" s="406">
        <v>0.53300000000000003</v>
      </c>
      <c r="E71" s="335">
        <v>0.30000000000000027</v>
      </c>
    </row>
    <row r="72" spans="2:5" ht="18" customHeight="1">
      <c r="B72" s="398" t="s">
        <v>22</v>
      </c>
      <c r="C72" s="405">
        <v>0.495</v>
      </c>
      <c r="D72" s="406">
        <v>0.497</v>
      </c>
      <c r="E72" s="335">
        <v>-0.20000000000000018</v>
      </c>
    </row>
    <row r="73" spans="2:5" ht="18" customHeight="1">
      <c r="B73" s="398" t="s">
        <v>183</v>
      </c>
      <c r="C73" s="405">
        <v>0.50800000000000001</v>
      </c>
      <c r="D73" s="406">
        <v>0.48799999999999999</v>
      </c>
      <c r="E73" s="335">
        <v>2.0000000000000018</v>
      </c>
    </row>
    <row r="74" spans="2:5" ht="18" customHeight="1">
      <c r="B74" s="398" t="s">
        <v>279</v>
      </c>
      <c r="C74" s="405">
        <v>0.48199999999999998</v>
      </c>
      <c r="D74" s="406">
        <v>0.48399999999999999</v>
      </c>
      <c r="E74" s="335">
        <v>-0.20000000000000018</v>
      </c>
    </row>
    <row r="75" spans="2:5" ht="18" customHeight="1">
      <c r="B75" s="398" t="s">
        <v>14</v>
      </c>
      <c r="C75" s="405">
        <v>0.48199999999999998</v>
      </c>
      <c r="D75" s="406">
        <v>0.46200000000000002</v>
      </c>
      <c r="E75" s="335">
        <v>1.9999999999999962</v>
      </c>
    </row>
    <row r="76" spans="2:5" ht="18" customHeight="1">
      <c r="B76" s="398" t="s">
        <v>229</v>
      </c>
      <c r="C76" s="405">
        <v>0.48499999999999999</v>
      </c>
      <c r="D76" s="406">
        <v>0.39400000000000002</v>
      </c>
      <c r="E76" s="335">
        <v>9.0999999999999979</v>
      </c>
    </row>
    <row r="77" spans="2:5" ht="18" customHeight="1">
      <c r="B77" s="398" t="s">
        <v>15</v>
      </c>
      <c r="C77" s="405">
        <v>0.38200000000000001</v>
      </c>
      <c r="D77" s="406">
        <v>0.36</v>
      </c>
      <c r="E77" s="335">
        <v>2.200000000000002</v>
      </c>
    </row>
    <row r="78" spans="2:5" ht="18" customHeight="1">
      <c r="B78" s="398" t="s">
        <v>230</v>
      </c>
      <c r="C78" s="405">
        <v>0.36499999999999999</v>
      </c>
      <c r="D78" s="406">
        <v>0.26400000000000001</v>
      </c>
      <c r="E78" s="335">
        <v>10.099999999999998</v>
      </c>
    </row>
    <row r="79" spans="2:5" ht="18" customHeight="1">
      <c r="B79" s="398" t="s">
        <v>256</v>
      </c>
      <c r="C79" s="405">
        <v>0.311</v>
      </c>
      <c r="D79" s="406">
        <v>0.307</v>
      </c>
      <c r="E79" s="335">
        <v>0.40000000000000036</v>
      </c>
    </row>
    <row r="80" spans="2:5" ht="18" customHeight="1">
      <c r="B80" s="398" t="s">
        <v>257</v>
      </c>
      <c r="C80" s="405">
        <v>0.19600000000000001</v>
      </c>
      <c r="D80" s="406">
        <v>0.184</v>
      </c>
      <c r="E80" s="335">
        <v>1.2000000000000011</v>
      </c>
    </row>
    <row r="81" spans="1:7" ht="18" customHeight="1">
      <c r="B81" s="398" t="s">
        <v>262</v>
      </c>
      <c r="C81" s="405">
        <v>0.13900000000000001</v>
      </c>
      <c r="D81" s="406">
        <v>0.157</v>
      </c>
      <c r="E81" s="335">
        <v>-1.7999999999999989</v>
      </c>
    </row>
    <row r="82" spans="1:7" ht="18" customHeight="1">
      <c r="B82" s="398" t="s">
        <v>264</v>
      </c>
      <c r="C82" s="405">
        <v>0.14199999999999999</v>
      </c>
      <c r="D82" s="406">
        <v>0.16200000000000001</v>
      </c>
      <c r="E82" s="335">
        <v>-2.0000000000000018</v>
      </c>
    </row>
    <row r="83" spans="1:7" ht="18" customHeight="1">
      <c r="B83" s="398" t="s">
        <v>258</v>
      </c>
      <c r="C83" s="405" t="s">
        <v>259</v>
      </c>
      <c r="D83" s="406" t="s">
        <v>259</v>
      </c>
      <c r="E83" s="335" t="s">
        <v>259</v>
      </c>
    </row>
    <row r="84" spans="1:7" ht="18" customHeight="1">
      <c r="B84" s="398" t="s">
        <v>268</v>
      </c>
      <c r="C84" s="405" t="s">
        <v>259</v>
      </c>
      <c r="D84" s="406" t="s">
        <v>259</v>
      </c>
      <c r="E84" s="335" t="s">
        <v>259</v>
      </c>
    </row>
    <row r="85" spans="1:7" ht="18" customHeight="1">
      <c r="B85" s="398" t="s">
        <v>269</v>
      </c>
      <c r="C85" s="405" t="s">
        <v>259</v>
      </c>
      <c r="D85" s="406" t="s">
        <v>259</v>
      </c>
      <c r="E85" s="335" t="s">
        <v>259</v>
      </c>
    </row>
    <row r="86" spans="1:7" ht="18" customHeight="1">
      <c r="B86" s="398" t="s">
        <v>287</v>
      </c>
      <c r="C86" s="497" t="s">
        <v>259</v>
      </c>
      <c r="D86" s="406" t="s">
        <v>259</v>
      </c>
      <c r="E86" s="335" t="s">
        <v>259</v>
      </c>
    </row>
    <row r="87" spans="1:7" ht="18" customHeight="1">
      <c r="B87" s="398" t="s">
        <v>288</v>
      </c>
      <c r="C87" s="405" t="s">
        <v>259</v>
      </c>
      <c r="D87" s="406" t="s">
        <v>259</v>
      </c>
      <c r="E87" s="335" t="s">
        <v>259</v>
      </c>
    </row>
    <row r="88" spans="1:7" ht="18" customHeight="1">
      <c r="B88" s="398" t="s">
        <v>289</v>
      </c>
      <c r="C88" s="405">
        <v>0.30099999999999999</v>
      </c>
      <c r="D88" s="406" t="s">
        <v>259</v>
      </c>
      <c r="E88" s="335" t="s">
        <v>259</v>
      </c>
    </row>
    <row r="89" spans="1:7" ht="18" customHeight="1" thickBot="1">
      <c r="B89" s="398" t="s">
        <v>290</v>
      </c>
      <c r="C89" s="407">
        <v>0.27100000000000002</v>
      </c>
      <c r="D89" s="408" t="s">
        <v>259</v>
      </c>
      <c r="E89" s="336" t="s">
        <v>259</v>
      </c>
    </row>
    <row r="90" spans="1:7" ht="18" customHeight="1" thickBot="1">
      <c r="B90" s="402"/>
      <c r="C90" s="403"/>
      <c r="D90" s="375"/>
      <c r="E90" s="404"/>
    </row>
    <row r="91" spans="1:7" ht="18" customHeight="1" thickBot="1">
      <c r="B91" s="673" t="s">
        <v>247</v>
      </c>
      <c r="C91" s="674"/>
      <c r="D91" s="674"/>
      <c r="E91" s="674"/>
    </row>
    <row r="92" spans="1:7" ht="18" customHeight="1">
      <c r="B92" s="398" t="s">
        <v>245</v>
      </c>
      <c r="C92" s="405">
        <v>0.98099999999999998</v>
      </c>
      <c r="D92" s="406">
        <v>0.97299999999999998</v>
      </c>
      <c r="E92" s="335">
        <v>0.80000000000000071</v>
      </c>
    </row>
    <row r="93" spans="1:7" ht="18" customHeight="1">
      <c r="B93" s="398" t="s">
        <v>246</v>
      </c>
      <c r="C93" s="405">
        <v>0.83599999999999997</v>
      </c>
      <c r="D93" s="406">
        <v>0.755</v>
      </c>
      <c r="E93" s="335">
        <v>8.0999999999999961</v>
      </c>
    </row>
    <row r="94" spans="1:7" ht="18" customHeight="1">
      <c r="B94" s="398" t="s">
        <v>20</v>
      </c>
      <c r="C94" s="405">
        <v>0.51100000000000001</v>
      </c>
      <c r="D94" s="406">
        <v>0.47899999999999998</v>
      </c>
      <c r="E94" s="335">
        <v>3.2000000000000028</v>
      </c>
    </row>
    <row r="95" spans="1:7" ht="18" customHeight="1">
      <c r="B95" s="398" t="s">
        <v>182</v>
      </c>
      <c r="C95" s="405">
        <v>0.46400000000000002</v>
      </c>
      <c r="D95" s="406">
        <v>0.45200000000000001</v>
      </c>
      <c r="E95" s="335">
        <v>1.2000000000000011</v>
      </c>
    </row>
    <row r="96" spans="1:7" ht="18" customHeight="1">
      <c r="A96"/>
      <c r="B96" s="398" t="s">
        <v>21</v>
      </c>
      <c r="C96" s="405">
        <v>0.45100000000000001</v>
      </c>
      <c r="D96" s="406">
        <v>0.42799999999999999</v>
      </c>
      <c r="E96" s="335">
        <v>2.300000000000002</v>
      </c>
      <c r="F96"/>
      <c r="G96"/>
    </row>
    <row r="97" spans="1:7" ht="18" customHeight="1">
      <c r="A97"/>
      <c r="B97" s="398" t="s">
        <v>184</v>
      </c>
      <c r="C97" s="405">
        <v>0.44600000000000001</v>
      </c>
      <c r="D97" s="406">
        <v>0.42599999999999999</v>
      </c>
      <c r="E97" s="335">
        <v>2.0000000000000018</v>
      </c>
      <c r="F97"/>
      <c r="G97"/>
    </row>
    <row r="98" spans="1:7" ht="18" customHeight="1">
      <c r="A98"/>
      <c r="B98" s="398" t="s">
        <v>19</v>
      </c>
      <c r="C98" s="405">
        <v>0.42099999999999999</v>
      </c>
      <c r="D98" s="406">
        <v>0.40400000000000003</v>
      </c>
      <c r="E98" s="335">
        <v>1.699999999999996</v>
      </c>
      <c r="F98"/>
      <c r="G98"/>
    </row>
    <row r="99" spans="1:7" s="15" customFormat="1" ht="18" customHeight="1" thickBot="1">
      <c r="B99" s="401" t="s">
        <v>270</v>
      </c>
      <c r="C99" s="407" t="s">
        <v>259</v>
      </c>
      <c r="D99" s="408" t="s">
        <v>259</v>
      </c>
      <c r="E99" s="336" t="s">
        <v>259</v>
      </c>
    </row>
    <row r="100" spans="1:7" s="15" customFormat="1" ht="9.9499999999999993" customHeight="1">
      <c r="B100" s="379"/>
      <c r="C100" s="382"/>
      <c r="D100" s="375"/>
      <c r="E100" s="378"/>
    </row>
    <row r="101" spans="1:7" s="15" customFormat="1" ht="143.44999999999999" customHeight="1">
      <c r="B101" s="684" t="s">
        <v>316</v>
      </c>
      <c r="C101" s="684"/>
      <c r="D101" s="684"/>
      <c r="E101" s="684"/>
    </row>
    <row r="102" spans="1:7" s="15" customFormat="1" ht="10.5" customHeight="1">
      <c r="B102" s="685"/>
      <c r="C102" s="685"/>
      <c r="D102" s="685"/>
      <c r="E102" s="685"/>
    </row>
    <row r="103" spans="1:7" s="15" customFormat="1" ht="14.25" customHeight="1">
      <c r="B103" s="675"/>
      <c r="C103" s="675"/>
      <c r="D103" s="675"/>
      <c r="E103" s="675"/>
    </row>
    <row r="104" spans="1:7" s="15" customFormat="1">
      <c r="B104" s="137"/>
      <c r="C104" s="138"/>
      <c r="D104" s="138"/>
      <c r="E104" s="138"/>
    </row>
    <row r="105" spans="1:7" s="136" customFormat="1" ht="28.5" customHeight="1">
      <c r="B105" s="675"/>
      <c r="C105" s="675"/>
      <c r="D105" s="675"/>
      <c r="E105" s="675"/>
    </row>
    <row r="106" spans="1:7" s="15" customFormat="1">
      <c r="B106" s="675"/>
      <c r="C106" s="675"/>
      <c r="D106" s="675"/>
      <c r="E106" s="675"/>
    </row>
    <row r="107" spans="1:7" s="15" customFormat="1" ht="14.25" customHeight="1">
      <c r="B107" s="137"/>
    </row>
    <row r="108" spans="1:7" s="15" customFormat="1" ht="14.25" customHeight="1">
      <c r="B108" s="410"/>
    </row>
  </sheetData>
  <mergeCells count="12">
    <mergeCell ref="B43:E43"/>
    <mergeCell ref="B105:E105"/>
    <mergeCell ref="B106:E106"/>
    <mergeCell ref="B2:B3"/>
    <mergeCell ref="C2:E2"/>
    <mergeCell ref="B55:B56"/>
    <mergeCell ref="C55:E55"/>
    <mergeCell ref="B53:E53"/>
    <mergeCell ref="B101:E101"/>
    <mergeCell ref="B103:E103"/>
    <mergeCell ref="B102:E102"/>
    <mergeCell ref="B91:E91"/>
  </mergeCells>
  <pageMargins left="0.7" right="0.7" top="0.75" bottom="0.75" header="0.3" footer="0.3"/>
  <pageSetup paperSize="9" scale="56"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7</vt:i4>
      </vt:variant>
    </vt:vector>
  </HeadingPairs>
  <TitlesOfParts>
    <vt:vector size="13" baseType="lpstr">
      <vt:lpstr>Consolidated income statement</vt:lpstr>
      <vt:lpstr>Segments</vt:lpstr>
      <vt:lpstr>Consolidated balance sheet</vt:lpstr>
      <vt:lpstr>Consolidated CF</vt:lpstr>
      <vt:lpstr>KPI_B2B&amp;B2C segment</vt:lpstr>
      <vt:lpstr>KPI - TV segment</vt:lpstr>
      <vt:lpstr>'KPI - TV segment'!_Toc377043859</vt:lpstr>
      <vt:lpstr>'KPI - TV segment'!_Toc377043860</vt:lpstr>
      <vt:lpstr>'Consolidated balance sheet'!Obszar_wydruku</vt:lpstr>
      <vt:lpstr>'Consolidated CF'!Obszar_wydruku</vt:lpstr>
      <vt:lpstr>'Consolidated income statement'!Obszar_wydruku</vt:lpstr>
      <vt:lpstr>'KPI - TV segment'!Obszar_wydruku</vt:lpstr>
      <vt:lpstr>'Consolidated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2015-11-10T13:35:13Z</cp:lastPrinted>
  <dcterms:created xsi:type="dcterms:W3CDTF">2008-08-25T12:12:22Z</dcterms:created>
  <dcterms:modified xsi:type="dcterms:W3CDTF">2019-05-13T20:06:29Z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