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showInkAnnotation="0" defaultThemeVersion="124226"/>
  <mc:AlternateContent xmlns:mc="http://schemas.openxmlformats.org/markup-compatibility/2006">
    <mc:Choice Requires="x15">
      <x15ac:absPath xmlns:x15ac="http://schemas.microsoft.com/office/spreadsheetml/2010/11/ac" url="C:\Users\kszczepula\OneDrive - Grupa Polsat Plus\Shared Documents - [PROJ] MD&amp;A\2025 2Q\"/>
    </mc:Choice>
  </mc:AlternateContent>
  <bookViews>
    <workbookView xWindow="-132" yWindow="-132" windowWidth="29076" windowHeight="15876" activeTab="3"/>
  </bookViews>
  <sheets>
    <sheet name="P&amp;L" sheetId="16" r:id="rId1"/>
    <sheet name="Balance sheet" sheetId="3" r:id="rId2"/>
    <sheet name="Cash Flow" sheetId="4" r:id="rId3"/>
    <sheet name="Segments" sheetId="17" r:id="rId4"/>
    <sheet name="Ratios" sheetId="7" r:id="rId5"/>
    <sheet name="new KPI_segment B2C&amp;B2B" sheetId="9" r:id="rId6"/>
    <sheet name="KPI TV &amp; online" sheetId="13" r:id="rId7"/>
    <sheet name="KPI_segment Green Energy" sheetId="15" r:id="rId8"/>
    <sheet name="STARE KPI--&gt;" sheetId="8" r:id="rId9"/>
    <sheet name="KPI_segment B2C&amp;B2B" sheetId="5" r:id="rId10"/>
  </sheets>
  <definedNames>
    <definedName name="_xlnm.Print_Area" localSheetId="1">'Balance sheet'!$A$1:$R$86</definedName>
    <definedName name="_xlnm.Print_Area" localSheetId="2">'Cash Flow'!$A$2:$R$85</definedName>
    <definedName name="_xlnm.Print_Area" localSheetId="9">'KPI_segment B2C&amp;B2B'!$A$1:$T$38</definedName>
    <definedName name="_xlnm.Print_Area" localSheetId="5">'new KPI_segment B2C&amp;B2B'!$A$1:$B$31</definedName>
    <definedName name="_xlnm.Print_Area" localSheetId="0">'P&amp;L'!$A$4:$T$52</definedName>
    <definedName name="OLE_LINK3" localSheetId="2">'Cash Flow'!$A$22</definedName>
    <definedName name="Z_0581D693_F741_454A_848A_FCD54BC91A66_.wvu.Cols" localSheetId="1" hidden="1">'Balance sheet'!$C:$AD</definedName>
    <definedName name="Z_0581D693_F741_454A_848A_FCD54BC91A66_.wvu.Cols" localSheetId="2" hidden="1">'Cash Flow'!$C:$AH</definedName>
    <definedName name="Z_0581D693_F741_454A_848A_FCD54BC91A66_.wvu.Cols" localSheetId="6" hidden="1">'KPI TV &amp; online'!$D:$AF</definedName>
    <definedName name="Z_0581D693_F741_454A_848A_FCD54BC91A66_.wvu.Cols" localSheetId="9" hidden="1">'KPI_segment B2C&amp;B2B'!$C:$AF</definedName>
    <definedName name="Z_0581D693_F741_454A_848A_FCD54BC91A66_.wvu.Cols" localSheetId="7" hidden="1">'KPI_segment Green Energy'!#REF!,'KPI_segment Green Energy'!#REF!</definedName>
    <definedName name="Z_0581D693_F741_454A_848A_FCD54BC91A66_.wvu.Cols" localSheetId="5" hidden="1">'new KPI_segment B2C&amp;B2B'!#REF!</definedName>
    <definedName name="Z_0581D693_F741_454A_848A_FCD54BC91A66_.wvu.Cols" localSheetId="0" hidden="1">'P&amp;L'!$C:$AF</definedName>
    <definedName name="Z_0581D693_F741_454A_848A_FCD54BC91A66_.wvu.Cols" localSheetId="3" hidden="1">Segments!$C:$AL,Segments!$AR:$AV</definedName>
    <definedName name="Z_0581D693_F741_454A_848A_FCD54BC91A66_.wvu.PrintArea" localSheetId="1" hidden="1">'Balance sheet'!$A$1:$R$86</definedName>
    <definedName name="Z_0581D693_F741_454A_848A_FCD54BC91A66_.wvu.PrintArea" localSheetId="2" hidden="1">'Cash Flow'!$A$2:$R$85</definedName>
    <definedName name="Z_0581D693_F741_454A_848A_FCD54BC91A66_.wvu.PrintArea" localSheetId="9" hidden="1">'KPI_segment B2C&amp;B2B'!$A$1:$T$38</definedName>
    <definedName name="Z_0581D693_F741_454A_848A_FCD54BC91A66_.wvu.PrintArea" localSheetId="5" hidden="1">'new KPI_segment B2C&amp;B2B'!$A$1:$B$31</definedName>
    <definedName name="Z_0581D693_F741_454A_848A_FCD54BC91A66_.wvu.PrintArea" localSheetId="0" hidden="1">'P&amp;L'!$A$4:$T$52</definedName>
    <definedName name="Z_0581D693_F741_454A_848A_FCD54BC91A66_.wvu.Rows" localSheetId="9" hidden="1">'KPI_segment B2C&amp;B2B'!$14:$14</definedName>
    <definedName name="Z_0581D693_F741_454A_848A_FCD54BC91A66_.wvu.Rows" localSheetId="5" hidden="1">'new KPI_segment B2C&amp;B2B'!#REF!</definedName>
    <definedName name="Z_634BFE77_A2AA_4FA6_8ED5_F02244B9F10C_.wvu.Cols" localSheetId="1" hidden="1">'Balance sheet'!$C:$AD</definedName>
    <definedName name="Z_634BFE77_A2AA_4FA6_8ED5_F02244B9F10C_.wvu.Cols" localSheetId="2" hidden="1">'Cash Flow'!$C:$AH</definedName>
    <definedName name="Z_634BFE77_A2AA_4FA6_8ED5_F02244B9F10C_.wvu.Cols" localSheetId="6" hidden="1">'KPI TV &amp; online'!$D:$AF</definedName>
    <definedName name="Z_634BFE77_A2AA_4FA6_8ED5_F02244B9F10C_.wvu.Cols" localSheetId="9" hidden="1">'KPI_segment B2C&amp;B2B'!$C:$AF</definedName>
    <definedName name="Z_634BFE77_A2AA_4FA6_8ED5_F02244B9F10C_.wvu.Cols" localSheetId="7" hidden="1">'KPI_segment Green Energy'!#REF!,'KPI_segment Green Energy'!#REF!</definedName>
    <definedName name="Z_634BFE77_A2AA_4FA6_8ED5_F02244B9F10C_.wvu.Cols" localSheetId="5" hidden="1">'new KPI_segment B2C&amp;B2B'!#REF!</definedName>
    <definedName name="Z_634BFE77_A2AA_4FA6_8ED5_F02244B9F10C_.wvu.Cols" localSheetId="0" hidden="1">'P&amp;L'!$C:$AF</definedName>
    <definedName name="Z_634BFE77_A2AA_4FA6_8ED5_F02244B9F10C_.wvu.Cols" localSheetId="3" hidden="1">Segments!$C:$AL,Segments!$AR:$AV</definedName>
    <definedName name="Z_634BFE77_A2AA_4FA6_8ED5_F02244B9F10C_.wvu.PrintArea" localSheetId="1" hidden="1">'Balance sheet'!$A$1:$R$86</definedName>
    <definedName name="Z_634BFE77_A2AA_4FA6_8ED5_F02244B9F10C_.wvu.PrintArea" localSheetId="2" hidden="1">'Cash Flow'!$A$2:$R$85</definedName>
    <definedName name="Z_634BFE77_A2AA_4FA6_8ED5_F02244B9F10C_.wvu.PrintArea" localSheetId="9" hidden="1">'KPI_segment B2C&amp;B2B'!$A$1:$T$38</definedName>
    <definedName name="Z_634BFE77_A2AA_4FA6_8ED5_F02244B9F10C_.wvu.PrintArea" localSheetId="5" hidden="1">'new KPI_segment B2C&amp;B2B'!$A$1:$B$31</definedName>
    <definedName name="Z_634BFE77_A2AA_4FA6_8ED5_F02244B9F10C_.wvu.PrintArea" localSheetId="0" hidden="1">'P&amp;L'!$A$4:$T$52</definedName>
    <definedName name="Z_634BFE77_A2AA_4FA6_8ED5_F02244B9F10C_.wvu.Rows" localSheetId="9" hidden="1">'KPI_segment B2C&amp;B2B'!$14:$14</definedName>
    <definedName name="Z_634BFE77_A2AA_4FA6_8ED5_F02244B9F10C_.wvu.Rows" localSheetId="5" hidden="1">'new KPI_segment B2C&amp;B2B'!#REF!</definedName>
    <definedName name="Z_B87BD74C_18F3_4393_BF03_31B25889E08F_.wvu.Cols" localSheetId="2" hidden="1">'Cash Flow'!$C:$AH</definedName>
    <definedName name="Z_B87BD74C_18F3_4393_BF03_31B25889E08F_.wvu.Cols" localSheetId="6" hidden="1">'KPI TV &amp; online'!$D:$AF</definedName>
    <definedName name="Z_B87BD74C_18F3_4393_BF03_31B25889E08F_.wvu.Cols" localSheetId="9" hidden="1">'KPI_segment B2C&amp;B2B'!$C:$AF</definedName>
    <definedName name="Z_B87BD74C_18F3_4393_BF03_31B25889E08F_.wvu.Cols" localSheetId="7" hidden="1">'KPI_segment Green Energy'!#REF!,'KPI_segment Green Energy'!#REF!</definedName>
    <definedName name="Z_B87BD74C_18F3_4393_BF03_31B25889E08F_.wvu.Cols" localSheetId="5" hidden="1">'new KPI_segment B2C&amp;B2B'!#REF!</definedName>
    <definedName name="Z_B87BD74C_18F3_4393_BF03_31B25889E08F_.wvu.Cols" localSheetId="0" hidden="1">'P&amp;L'!$C:$AF</definedName>
    <definedName name="Z_B87BD74C_18F3_4393_BF03_31B25889E08F_.wvu.Cols" localSheetId="3" hidden="1">Segments!$C:$AL,Segments!$AR:$AV</definedName>
    <definedName name="Z_B87BD74C_18F3_4393_BF03_31B25889E08F_.wvu.PrintArea" localSheetId="1" hidden="1">'Balance sheet'!$A$1:$R$86</definedName>
    <definedName name="Z_B87BD74C_18F3_4393_BF03_31B25889E08F_.wvu.PrintArea" localSheetId="2" hidden="1">'Cash Flow'!$A$2:$R$85</definedName>
    <definedName name="Z_B87BD74C_18F3_4393_BF03_31B25889E08F_.wvu.PrintArea" localSheetId="9" hidden="1">'KPI_segment B2C&amp;B2B'!$A$1:$T$38</definedName>
    <definedName name="Z_B87BD74C_18F3_4393_BF03_31B25889E08F_.wvu.PrintArea" localSheetId="5" hidden="1">'new KPI_segment B2C&amp;B2B'!$A$1:$B$31</definedName>
    <definedName name="Z_B87BD74C_18F3_4393_BF03_31B25889E08F_.wvu.PrintArea" localSheetId="0" hidden="1">'P&amp;L'!$A$4:$T$52</definedName>
    <definedName name="Z_B87BD74C_18F3_4393_BF03_31B25889E08F_.wvu.Rows" localSheetId="9" hidden="1">'KPI_segment B2C&amp;B2B'!$14:$14</definedName>
    <definedName name="Z_B87BD74C_18F3_4393_BF03_31B25889E08F_.wvu.Rows" localSheetId="5" hidden="1">'new KPI_segment B2C&amp;B2B'!#REF!</definedName>
    <definedName name="Z_ED9E521F_BC9B_4E88_8A9F_5288A046401B_.wvu.Cols" localSheetId="6" hidden="1">'KPI TV &amp; online'!$D:$AF</definedName>
    <definedName name="Z_ED9E521F_BC9B_4E88_8A9F_5288A046401B_.wvu.Cols" localSheetId="7" hidden="1">'KPI_segment Green Energy'!#REF!,'KPI_segment Green Energy'!#REF!</definedName>
    <definedName name="Z_ED9E521F_BC9B_4E88_8A9F_5288A046401B_.wvu.Cols" localSheetId="3" hidden="1">Segments!$C:$AL,Segments!$AR:$AV</definedName>
    <definedName name="Z_ED9E521F_BC9B_4E88_8A9F_5288A046401B_.wvu.PrintArea" localSheetId="1" hidden="1">'Balance sheet'!$A$1:$R$86</definedName>
    <definedName name="Z_ED9E521F_BC9B_4E88_8A9F_5288A046401B_.wvu.PrintArea" localSheetId="2" hidden="1">'Cash Flow'!$A$2:$R$85</definedName>
    <definedName name="Z_ED9E521F_BC9B_4E88_8A9F_5288A046401B_.wvu.PrintArea" localSheetId="9" hidden="1">'KPI_segment B2C&amp;B2B'!$A$1:$T$38</definedName>
    <definedName name="Z_ED9E521F_BC9B_4E88_8A9F_5288A046401B_.wvu.PrintArea" localSheetId="5" hidden="1">'new KPI_segment B2C&amp;B2B'!$A$1:$B$31</definedName>
    <definedName name="Z_ED9E521F_BC9B_4E88_8A9F_5288A046401B_.wvu.PrintArea" localSheetId="0" hidden="1">'P&amp;L'!$A$4:$T$52</definedName>
    <definedName name="Z_ED9E521F_BC9B_4E88_8A9F_5288A046401B_.wvu.Rows" localSheetId="9" hidden="1">'KPI_segment B2C&amp;B2B'!$14:$14</definedName>
    <definedName name="Z_ED9E521F_BC9B_4E88_8A9F_5288A046401B_.wvu.Rows" localSheetId="5" hidden="1">'new KPI_segment B2C&amp;B2B'!#REF!</definedName>
  </definedNames>
  <calcPr calcId="162913"/>
  <customWorkbookViews>
    <customWorkbookView name="Agata Wiktorow-Sobczuk - Widok osobisty" guid="{ED9E521F-BC9B-4E88-8A9F-5288A046401B}" mergeInterval="0" personalView="1" maximized="1" xWindow="1912" yWindow="2" windowWidth="1936" windowHeight="1056" tabRatio="597" activeSheetId="1"/>
    <customWorkbookView name="Grzegorz Para - Widok osobisty" guid="{634BFE77-A2AA-4FA6-8ED5-F02244B9F10C}" mergeInterval="0" personalView="1" maximized="1" xWindow="-8" yWindow="-8" windowWidth="1936" windowHeight="1056" activeSheetId="1"/>
    <customWorkbookView name="Anna Kuchnio - Widok osobisty" guid="{0581D693-F741-454A-848A-FCD54BC91A66}" mergeInterval="0" personalView="1" xWindow="-2295" yWindow="-56" windowWidth="1251" windowHeight="1134" activeSheetId="4"/>
    <customWorkbookView name="egieniusz - Widok osobisty" guid="{B87BD74C-18F3-4393-BF03-31B25889E08F}" mergeInterval="0" personalView="1" maximized="1" xWindow="-8" yWindow="-8" windowWidth="1936" windowHeight="1056" activeSheetId="6"/>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B12" i="17" l="1"/>
  <c r="CB23" i="17"/>
  <c r="X4" i="15" l="1"/>
  <c r="CE17" i="17" l="1"/>
  <c r="CB17" i="17"/>
  <c r="CG17" i="16" l="1"/>
  <c r="CF17" i="16"/>
  <c r="CG16" i="16"/>
  <c r="CF16" i="16"/>
  <c r="CB1" i="16" l="1"/>
  <c r="BZ36" i="16"/>
  <c r="CE28" i="16" l="1"/>
  <c r="BZ28" i="16"/>
  <c r="BU28" i="16"/>
  <c r="BQ13" i="13" l="1"/>
  <c r="CB35" i="17" l="1"/>
  <c r="CB5" i="17" l="1"/>
  <c r="CB40" i="17" s="1"/>
  <c r="CB11" i="17"/>
  <c r="CB15" i="17"/>
  <c r="CB14" i="17"/>
  <c r="CB13" i="17"/>
  <c r="CB29" i="17"/>
  <c r="BH60" i="4"/>
  <c r="BH75" i="4"/>
  <c r="BH6" i="4" l="1"/>
  <c r="BH38" i="4" s="1"/>
  <c r="BH41" i="4" s="1"/>
  <c r="BH76" i="4" s="1"/>
  <c r="BD77" i="3" l="1"/>
  <c r="BD64" i="3"/>
  <c r="BD55" i="3"/>
  <c r="BD53" i="3"/>
  <c r="BD38" i="3"/>
  <c r="BD24" i="3"/>
  <c r="BD41" i="3" l="1"/>
  <c r="CE8" i="7"/>
  <c r="BD80" i="3"/>
  <c r="BD81" i="3" l="1"/>
  <c r="CE9" i="7"/>
  <c r="CB11" i="16"/>
  <c r="CB5" i="16"/>
  <c r="CB25" i="16" l="1"/>
  <c r="CB31" i="16" s="1"/>
  <c r="CB37" i="16" l="1"/>
  <c r="CB38" i="16" s="1"/>
  <c r="CE4" i="7" s="1"/>
  <c r="CB33" i="16"/>
  <c r="CB44" i="16" l="1"/>
  <c r="CB45" i="16" s="1"/>
  <c r="CE5" i="7"/>
  <c r="CE6" i="7"/>
  <c r="CE7" i="7"/>
  <c r="S4" i="15"/>
  <c r="AF16" i="9" l="1"/>
  <c r="AF6" i="9"/>
  <c r="BP22" i="17" l="1"/>
  <c r="BP21" i="17"/>
  <c r="BP20" i="17"/>
  <c r="BP19" i="17"/>
  <c r="BP18" i="17"/>
  <c r="BO17" i="17"/>
  <c r="BN17" i="17"/>
  <c r="BM17" i="17"/>
  <c r="BL17" i="17"/>
  <c r="CA12" i="17"/>
  <c r="CE12" i="17" s="1"/>
  <c r="BY12" i="17"/>
  <c r="BX12" i="17"/>
  <c r="BW12" i="17"/>
  <c r="BV13" i="17"/>
  <c r="BV12" i="17"/>
  <c r="BT12" i="17"/>
  <c r="BS12" i="17"/>
  <c r="CA15" i="17"/>
  <c r="CA14" i="17"/>
  <c r="CA13" i="17"/>
  <c r="BW13" i="17"/>
  <c r="BX13" i="17"/>
  <c r="BY13" i="17"/>
  <c r="BZ13" i="17" s="1"/>
  <c r="BW14" i="17"/>
  <c r="BW11" i="17" s="1"/>
  <c r="BX14" i="17"/>
  <c r="BY14" i="17"/>
  <c r="BW15" i="17"/>
  <c r="BX15" i="17"/>
  <c r="BZ15" i="17" s="1"/>
  <c r="BY15" i="17"/>
  <c r="BV15" i="17"/>
  <c r="BV14" i="17"/>
  <c r="BQ13" i="17"/>
  <c r="BR13" i="17"/>
  <c r="BQ14" i="17"/>
  <c r="BR14" i="17"/>
  <c r="BQ15" i="17"/>
  <c r="BR15" i="17"/>
  <c r="BU15" i="17" s="1"/>
  <c r="BQ16" i="17"/>
  <c r="BR16" i="17"/>
  <c r="BZ16" i="17"/>
  <c r="BT11" i="17"/>
  <c r="BR12" i="17"/>
  <c r="BQ12" i="17"/>
  <c r="CA17" i="17"/>
  <c r="BY17" i="17"/>
  <c r="BX17" i="17"/>
  <c r="BW17" i="17"/>
  <c r="BV17" i="17"/>
  <c r="BT17" i="17"/>
  <c r="BS17" i="17"/>
  <c r="BR17" i="17"/>
  <c r="BQ17" i="17"/>
  <c r="CE20" i="17"/>
  <c r="BZ20" i="17"/>
  <c r="CE19" i="17"/>
  <c r="BZ19" i="17"/>
  <c r="CE18" i="17"/>
  <c r="BZ18" i="17"/>
  <c r="AV40" i="17"/>
  <c r="AU40" i="17"/>
  <c r="AT40" i="17"/>
  <c r="AS40" i="17"/>
  <c r="AR40" i="17"/>
  <c r="CE39" i="17"/>
  <c r="BZ39" i="17"/>
  <c r="BU39" i="17"/>
  <c r="CE38" i="17"/>
  <c r="BZ38" i="17"/>
  <c r="BR38" i="17"/>
  <c r="BU38" i="17" s="1"/>
  <c r="BN38" i="17"/>
  <c r="CE37" i="17"/>
  <c r="BZ37" i="17"/>
  <c r="BR37" i="17"/>
  <c r="BU37" i="17" s="1"/>
  <c r="BM37" i="17"/>
  <c r="BN37" i="17" s="1"/>
  <c r="BJ37" i="17"/>
  <c r="BK37" i="17" s="1"/>
  <c r="BF37" i="17"/>
  <c r="BA37" i="17"/>
  <c r="AQ37" i="17"/>
  <c r="CE36" i="17"/>
  <c r="BZ36" i="17"/>
  <c r="BZ35" i="17" s="1"/>
  <c r="BR36" i="17"/>
  <c r="BM36" i="17"/>
  <c r="BN36" i="17" s="1"/>
  <c r="BJ36" i="17"/>
  <c r="BK36" i="17" s="1"/>
  <c r="BF36" i="17"/>
  <c r="BA36" i="17"/>
  <c r="AQ36" i="17"/>
  <c r="CA35" i="17"/>
  <c r="BY35" i="17"/>
  <c r="BX35" i="17"/>
  <c r="BW35" i="17"/>
  <c r="BV35" i="17"/>
  <c r="BT35" i="17"/>
  <c r="BQ35" i="17"/>
  <c r="BL35" i="17"/>
  <c r="BI35" i="17"/>
  <c r="BH35" i="17"/>
  <c r="BG35" i="17"/>
  <c r="BE35" i="17"/>
  <c r="BD35" i="17"/>
  <c r="BC35" i="17"/>
  <c r="BB35" i="17"/>
  <c r="AZ35" i="17"/>
  <c r="AY35" i="17"/>
  <c r="AX35" i="17"/>
  <c r="AW35" i="17"/>
  <c r="AP35" i="17"/>
  <c r="AO35" i="17"/>
  <c r="AN35" i="17"/>
  <c r="AM35" i="17"/>
  <c r="CE34" i="17"/>
  <c r="BZ34" i="17"/>
  <c r="BU34" i="17"/>
  <c r="BN34" i="17"/>
  <c r="CE33" i="17"/>
  <c r="BZ33" i="17"/>
  <c r="BU33" i="17"/>
  <c r="CE32" i="17"/>
  <c r="BZ32" i="17"/>
  <c r="BU32" i="17"/>
  <c r="BN32" i="17"/>
  <c r="CE31" i="17"/>
  <c r="BZ31" i="17"/>
  <c r="BU31" i="17"/>
  <c r="BM31" i="17"/>
  <c r="BN31" i="17" s="1"/>
  <c r="BO31" i="17" s="1"/>
  <c r="BJ31" i="17"/>
  <c r="BK31" i="17" s="1"/>
  <c r="BF31" i="17"/>
  <c r="BA31" i="17"/>
  <c r="AQ31" i="17"/>
  <c r="CE30" i="17"/>
  <c r="BZ30" i="17"/>
  <c r="BU30" i="17"/>
  <c r="BM30" i="17"/>
  <c r="BJ30" i="17"/>
  <c r="BF30" i="17"/>
  <c r="BF29" i="17" s="1"/>
  <c r="BA30" i="17"/>
  <c r="BA29" i="17" s="1"/>
  <c r="AQ30" i="17"/>
  <c r="AQ29" i="17" s="1"/>
  <c r="CA29" i="17"/>
  <c r="BY29" i="17"/>
  <c r="BX29" i="17"/>
  <c r="BW29" i="17"/>
  <c r="BV29" i="17"/>
  <c r="BT29" i="17"/>
  <c r="BS29" i="17"/>
  <c r="BR29" i="17"/>
  <c r="BQ29" i="17"/>
  <c r="BL29" i="17"/>
  <c r="BI29" i="17"/>
  <c r="BH29" i="17"/>
  <c r="BG29" i="17"/>
  <c r="BE29" i="17"/>
  <c r="BD29" i="17"/>
  <c r="BC29" i="17"/>
  <c r="BB29" i="17"/>
  <c r="AZ29" i="17"/>
  <c r="AY29" i="17"/>
  <c r="AX29" i="17"/>
  <c r="AW29" i="17"/>
  <c r="AV29" i="17"/>
  <c r="AU29" i="17"/>
  <c r="AT29" i="17"/>
  <c r="AS29" i="17"/>
  <c r="AR29" i="17"/>
  <c r="AP29" i="17"/>
  <c r="AO29" i="17"/>
  <c r="AN29" i="17"/>
  <c r="AM29" i="17"/>
  <c r="CE28" i="17"/>
  <c r="BZ28" i="17"/>
  <c r="BU28" i="17"/>
  <c r="BN28" i="17"/>
  <c r="CE27" i="17"/>
  <c r="BZ27" i="17"/>
  <c r="BU27" i="17"/>
  <c r="CE26" i="17"/>
  <c r="BZ26" i="17"/>
  <c r="BU26" i="17"/>
  <c r="BN26" i="17"/>
  <c r="BO26" i="17" s="1"/>
  <c r="BP26" i="17" s="1"/>
  <c r="CE25" i="17"/>
  <c r="BZ25" i="17"/>
  <c r="BU25" i="17"/>
  <c r="BM25" i="17"/>
  <c r="BN25" i="17" s="1"/>
  <c r="BJ25" i="17"/>
  <c r="BK25" i="17" s="1"/>
  <c r="BF25" i="17"/>
  <c r="BA25" i="17"/>
  <c r="AQ25" i="17"/>
  <c r="CE24" i="17"/>
  <c r="BZ24" i="17"/>
  <c r="BU24" i="17"/>
  <c r="BM24" i="17"/>
  <c r="BJ24" i="17"/>
  <c r="BJ23" i="17" s="1"/>
  <c r="BF24" i="17"/>
  <c r="BF23" i="17" s="1"/>
  <c r="BA24" i="17"/>
  <c r="BA23" i="17" s="1"/>
  <c r="AQ24" i="17"/>
  <c r="CA23" i="17"/>
  <c r="BY23" i="17"/>
  <c r="BX23" i="17"/>
  <c r="BW23" i="17"/>
  <c r="BV23" i="17"/>
  <c r="BT23" i="17"/>
  <c r="BS23" i="17"/>
  <c r="BR23" i="17"/>
  <c r="BQ23" i="17"/>
  <c r="BL23" i="17"/>
  <c r="BI23" i="17"/>
  <c r="BH23" i="17"/>
  <c r="BG23" i="17"/>
  <c r="BE23" i="17"/>
  <c r="BD23" i="17"/>
  <c r="BC23" i="17"/>
  <c r="BB23" i="17"/>
  <c r="BB11" i="17" s="1"/>
  <c r="AZ23" i="17"/>
  <c r="AY23" i="17"/>
  <c r="AX23" i="17"/>
  <c r="AW23" i="17"/>
  <c r="AP23" i="17"/>
  <c r="AO23" i="17"/>
  <c r="AN23" i="17"/>
  <c r="AM23" i="17"/>
  <c r="CE22" i="17"/>
  <c r="BZ22" i="17"/>
  <c r="BU22" i="17"/>
  <c r="CE21" i="17"/>
  <c r="BZ21" i="17"/>
  <c r="BU21" i="17"/>
  <c r="CE16" i="17"/>
  <c r="BN16" i="17"/>
  <c r="CE15" i="17"/>
  <c r="CE14" i="17"/>
  <c r="BN14" i="17"/>
  <c r="CE13" i="17"/>
  <c r="BM13" i="17"/>
  <c r="BJ13" i="17"/>
  <c r="BJ11" i="17" s="1"/>
  <c r="BF13" i="17"/>
  <c r="BU12" i="17"/>
  <c r="BM12" i="17"/>
  <c r="BN12" i="17" s="1"/>
  <c r="BO12" i="17" s="1"/>
  <c r="BJ12" i="17"/>
  <c r="BK12" i="17" s="1"/>
  <c r="BF12" i="17"/>
  <c r="BS11" i="17"/>
  <c r="BL11" i="17"/>
  <c r="BI11" i="17"/>
  <c r="BH11" i="17"/>
  <c r="BG11" i="17"/>
  <c r="BE11" i="17"/>
  <c r="BD11" i="17"/>
  <c r="BC11" i="17"/>
  <c r="CE10" i="17"/>
  <c r="BZ10" i="17"/>
  <c r="BR10" i="17"/>
  <c r="BU10" i="17" s="1"/>
  <c r="BM10" i="17"/>
  <c r="BJ10" i="17"/>
  <c r="BK10" i="17" s="1"/>
  <c r="BF10" i="17"/>
  <c r="BA10" i="17"/>
  <c r="AQ10" i="17"/>
  <c r="CE9" i="17"/>
  <c r="BX9" i="17"/>
  <c r="BU9" i="17"/>
  <c r="CE8" i="17"/>
  <c r="BX8" i="17"/>
  <c r="BZ8" i="17" s="1"/>
  <c r="BR8" i="17"/>
  <c r="BU8" i="17" s="1"/>
  <c r="BN8" i="17"/>
  <c r="CE7" i="17"/>
  <c r="BX7" i="17"/>
  <c r="BZ7" i="17" s="1"/>
  <c r="BR7" i="17"/>
  <c r="BU7" i="17" s="1"/>
  <c r="BM7" i="17"/>
  <c r="BN7" i="17" s="1"/>
  <c r="BJ7" i="17"/>
  <c r="BK7" i="17" s="1"/>
  <c r="BF7" i="17"/>
  <c r="BA7" i="17"/>
  <c r="AQ7" i="17"/>
  <c r="CE6" i="17"/>
  <c r="BX6" i="17"/>
  <c r="BZ6" i="17" s="1"/>
  <c r="BR6" i="17"/>
  <c r="BU6" i="17" s="1"/>
  <c r="BM6" i="17"/>
  <c r="BJ6" i="17"/>
  <c r="BF6" i="17"/>
  <c r="BA6" i="17"/>
  <c r="AQ6" i="17"/>
  <c r="CA5" i="17"/>
  <c r="BY5" i="17"/>
  <c r="BW5" i="17"/>
  <c r="BV5" i="17"/>
  <c r="BT5" i="17"/>
  <c r="BS5" i="17"/>
  <c r="BQ5" i="17"/>
  <c r="BL5" i="17"/>
  <c r="BI5" i="17"/>
  <c r="BH5" i="17"/>
  <c r="BG5" i="17"/>
  <c r="BE5" i="17"/>
  <c r="BD5" i="17"/>
  <c r="BC5" i="17"/>
  <c r="BB5" i="17"/>
  <c r="BB40" i="17" s="1"/>
  <c r="AZ5" i="17"/>
  <c r="AY5" i="17"/>
  <c r="AX5" i="17"/>
  <c r="AW5" i="17"/>
  <c r="AP5" i="17"/>
  <c r="AO5" i="17"/>
  <c r="AN5" i="17"/>
  <c r="AM5" i="17"/>
  <c r="BZ14" i="17" l="1"/>
  <c r="BY11" i="17"/>
  <c r="BJ5" i="17"/>
  <c r="BJ29" i="17"/>
  <c r="CA40" i="17"/>
  <c r="BF35" i="17"/>
  <c r="BZ17" i="17"/>
  <c r="BP17" i="17"/>
  <c r="CA11" i="17"/>
  <c r="BZ12" i="17"/>
  <c r="BZ11" i="17" s="1"/>
  <c r="BV11" i="17"/>
  <c r="BX11" i="17"/>
  <c r="CE35" i="17"/>
  <c r="BR11" i="17"/>
  <c r="BU16" i="17"/>
  <c r="BU23" i="17"/>
  <c r="BY40" i="17"/>
  <c r="AQ5" i="17"/>
  <c r="BK35" i="17"/>
  <c r="BL40" i="17"/>
  <c r="BU13" i="17"/>
  <c r="CE23" i="17"/>
  <c r="AN40" i="17"/>
  <c r="BC40" i="17"/>
  <c r="AQ23" i="17"/>
  <c r="AO40" i="17"/>
  <c r="BT40" i="17"/>
  <c r="BK6" i="17"/>
  <c r="BK5" i="17" s="1"/>
  <c r="BK40" i="17" s="1"/>
  <c r="BE40" i="17"/>
  <c r="BI40" i="17"/>
  <c r="BN35" i="17"/>
  <c r="AM40" i="17"/>
  <c r="BU14" i="17"/>
  <c r="BR35" i="17"/>
  <c r="BO25" i="17"/>
  <c r="BP25" i="17" s="1"/>
  <c r="BO37" i="17"/>
  <c r="BP37" i="17" s="1"/>
  <c r="BD40" i="17"/>
  <c r="BU19" i="17"/>
  <c r="BO32" i="17"/>
  <c r="BP32" i="17" s="1"/>
  <c r="AP40" i="17"/>
  <c r="BP8" i="17"/>
  <c r="BO28" i="17"/>
  <c r="BP28" i="17" s="1"/>
  <c r="BO34" i="17"/>
  <c r="BP34" i="17" s="1"/>
  <c r="BA35" i="17"/>
  <c r="BQ40" i="17"/>
  <c r="BO8" i="17"/>
  <c r="BA5" i="17"/>
  <c r="BQ11" i="17"/>
  <c r="BU29" i="17"/>
  <c r="AX40" i="17"/>
  <c r="BG40" i="17"/>
  <c r="BV40" i="17"/>
  <c r="BU20" i="17"/>
  <c r="BX5" i="17"/>
  <c r="BX40" i="17" s="1"/>
  <c r="BR5" i="17"/>
  <c r="BZ29" i="17"/>
  <c r="AY40" i="17"/>
  <c r="BH40" i="17"/>
  <c r="BW40" i="17"/>
  <c r="CE5" i="17"/>
  <c r="BO7" i="17"/>
  <c r="BP7" i="17" s="1"/>
  <c r="CE29" i="17"/>
  <c r="AZ40" i="17"/>
  <c r="BF11" i="17"/>
  <c r="BZ23" i="17"/>
  <c r="BJ35" i="17"/>
  <c r="BJ40" i="17" s="1"/>
  <c r="BO38" i="17"/>
  <c r="BP38" i="17" s="1"/>
  <c r="BU18" i="17"/>
  <c r="CE11" i="17"/>
  <c r="BF5" i="17"/>
  <c r="BF40" i="17" s="1"/>
  <c r="BU5" i="17"/>
  <c r="BP31" i="17"/>
  <c r="BN6" i="17"/>
  <c r="BZ9" i="17"/>
  <c r="BZ5" i="17" s="1"/>
  <c r="BZ40" i="17" s="1"/>
  <c r="BN10" i="17"/>
  <c r="BO10" i="17" s="1"/>
  <c r="BP12" i="17"/>
  <c r="BK13" i="17"/>
  <c r="BK11" i="17" s="1"/>
  <c r="BO16" i="17"/>
  <c r="BP16" i="17" s="1"/>
  <c r="BK24" i="17"/>
  <c r="BK23" i="17" s="1"/>
  <c r="AQ35" i="17"/>
  <c r="AQ40" i="17" s="1"/>
  <c r="BO36" i="17"/>
  <c r="BK30" i="17"/>
  <c r="BK29" i="17" s="1"/>
  <c r="BM35" i="17"/>
  <c r="BM5" i="17"/>
  <c r="BM11" i="17"/>
  <c r="BN13" i="17"/>
  <c r="BO13" i="17" s="1"/>
  <c r="BN24" i="17"/>
  <c r="AW40" i="17"/>
  <c r="BO14" i="17"/>
  <c r="BP14" i="17" s="1"/>
  <c r="BN30" i="17"/>
  <c r="BS36" i="17"/>
  <c r="BS35" i="17" s="1"/>
  <c r="BS40" i="17" s="1"/>
  <c r="BM23" i="17"/>
  <c r="BM29" i="17"/>
  <c r="CE43" i="16"/>
  <c r="CE42" i="16"/>
  <c r="CE41" i="16"/>
  <c r="CE40" i="16"/>
  <c r="CE39" i="16"/>
  <c r="BZ43" i="16"/>
  <c r="BZ42" i="16"/>
  <c r="BZ41" i="16"/>
  <c r="BZ40" i="16"/>
  <c r="BZ39" i="16"/>
  <c r="BU40" i="16"/>
  <c r="BU41" i="16"/>
  <c r="BU42" i="16"/>
  <c r="BU43" i="16"/>
  <c r="BU39" i="16"/>
  <c r="BP40" i="16"/>
  <c r="BP39" i="16"/>
  <c r="BK39" i="16"/>
  <c r="BF39" i="16"/>
  <c r="BU36" i="16"/>
  <c r="CE35" i="16"/>
  <c r="BZ35" i="16"/>
  <c r="BU35" i="16"/>
  <c r="BO35" i="16"/>
  <c r="BP35" i="16" s="1"/>
  <c r="BK35" i="16"/>
  <c r="BF35" i="16"/>
  <c r="BA35" i="16"/>
  <c r="AQ35" i="16"/>
  <c r="AK35" i="16"/>
  <c r="AF35" i="16"/>
  <c r="AA35" i="16"/>
  <c r="CE34" i="16"/>
  <c r="BZ34" i="16"/>
  <c r="BU34" i="16"/>
  <c r="BO34" i="16"/>
  <c r="BP34" i="16" s="1"/>
  <c r="BK34" i="16"/>
  <c r="BF34" i="16"/>
  <c r="BA34" i="16"/>
  <c r="AQ34" i="16"/>
  <c r="AK34" i="16"/>
  <c r="AF34" i="16"/>
  <c r="AA34" i="16"/>
  <c r="CE32" i="16"/>
  <c r="BZ32" i="16"/>
  <c r="BU32" i="16"/>
  <c r="BO32" i="16"/>
  <c r="BP32" i="16" s="1"/>
  <c r="BK32" i="16"/>
  <c r="BF32" i="16"/>
  <c r="BA32" i="16"/>
  <c r="AV32" i="16"/>
  <c r="AQ32" i="16"/>
  <c r="AK32" i="16"/>
  <c r="AF32" i="16"/>
  <c r="AA32" i="16"/>
  <c r="Q32" i="16"/>
  <c r="L32" i="16"/>
  <c r="G32" i="16"/>
  <c r="CE30" i="16"/>
  <c r="BZ30" i="16"/>
  <c r="BU30" i="16"/>
  <c r="BO30" i="16"/>
  <c r="BP30" i="16" s="1"/>
  <c r="BK30" i="16"/>
  <c r="BF30" i="16"/>
  <c r="BA30" i="16"/>
  <c r="AV30" i="16"/>
  <c r="AQ30" i="16"/>
  <c r="AK30" i="16"/>
  <c r="AF30" i="16"/>
  <c r="CE29" i="16"/>
  <c r="BZ29" i="16"/>
  <c r="BU29" i="16"/>
  <c r="BP29" i="16"/>
  <c r="BK29" i="16"/>
  <c r="BF29" i="16"/>
  <c r="BA29" i="16"/>
  <c r="AV29" i="16"/>
  <c r="AQ29" i="16"/>
  <c r="AK29" i="16"/>
  <c r="AF29" i="16"/>
  <c r="AA29" i="16"/>
  <c r="Q29" i="16"/>
  <c r="L29" i="16"/>
  <c r="G29" i="16"/>
  <c r="BU27" i="16"/>
  <c r="BO27" i="16"/>
  <c r="BP27" i="16" s="1"/>
  <c r="BK27" i="16"/>
  <c r="BF27" i="16"/>
  <c r="BA27" i="16"/>
  <c r="AV27" i="16"/>
  <c r="AQ27" i="16"/>
  <c r="AK27" i="16"/>
  <c r="AF27" i="16"/>
  <c r="AA27" i="16"/>
  <c r="Q27" i="16"/>
  <c r="L27" i="16"/>
  <c r="G27" i="16"/>
  <c r="BU26" i="16"/>
  <c r="BO26" i="16"/>
  <c r="BP26" i="16" s="1"/>
  <c r="BK26" i="16"/>
  <c r="BF26" i="16"/>
  <c r="BA26" i="16"/>
  <c r="AV26" i="16"/>
  <c r="AQ26" i="16"/>
  <c r="AK26" i="16"/>
  <c r="AF26" i="16"/>
  <c r="AA26" i="16"/>
  <c r="Q26" i="16"/>
  <c r="L26" i="16"/>
  <c r="G26" i="16"/>
  <c r="CE24" i="16"/>
  <c r="BZ24" i="16"/>
  <c r="BU24" i="16"/>
  <c r="BO24" i="16"/>
  <c r="BP24" i="16" s="1"/>
  <c r="BK24" i="16"/>
  <c r="BF24" i="16"/>
  <c r="BA24" i="16"/>
  <c r="AV24" i="16"/>
  <c r="AQ24" i="16"/>
  <c r="AK24" i="16"/>
  <c r="AF24" i="16"/>
  <c r="AA24" i="16"/>
  <c r="Q24" i="16"/>
  <c r="L24" i="16"/>
  <c r="G24" i="16"/>
  <c r="CE23" i="16"/>
  <c r="BZ23" i="16"/>
  <c r="BU23" i="16"/>
  <c r="BO23" i="16"/>
  <c r="BP23" i="16" s="1"/>
  <c r="BK23" i="16"/>
  <c r="CE22" i="16"/>
  <c r="BZ22" i="16"/>
  <c r="BU22" i="16"/>
  <c r="CE21" i="16"/>
  <c r="BZ21" i="16"/>
  <c r="BU21" i="16"/>
  <c r="BO21" i="16"/>
  <c r="BP21" i="16" s="1"/>
  <c r="BK21" i="16"/>
  <c r="BF21" i="16"/>
  <c r="BA21" i="16"/>
  <c r="AV21" i="16"/>
  <c r="AQ21" i="16"/>
  <c r="AK21" i="16"/>
  <c r="AF21" i="16"/>
  <c r="AA21" i="16"/>
  <c r="Q21" i="16"/>
  <c r="L21" i="16"/>
  <c r="G21" i="16"/>
  <c r="CE20" i="16"/>
  <c r="BZ20" i="16"/>
  <c r="BU20" i="16"/>
  <c r="BO20" i="16"/>
  <c r="BP20" i="16" s="1"/>
  <c r="BK20" i="16"/>
  <c r="BF20" i="16"/>
  <c r="BA20" i="16"/>
  <c r="AV20" i="16"/>
  <c r="AQ20" i="16"/>
  <c r="AK20" i="16"/>
  <c r="AF20" i="16"/>
  <c r="AA20" i="16"/>
  <c r="Q20" i="16"/>
  <c r="L20" i="16"/>
  <c r="G20" i="16"/>
  <c r="CE19" i="16"/>
  <c r="BZ19" i="16"/>
  <c r="BU19" i="16"/>
  <c r="BO19" i="16"/>
  <c r="BP19" i="16" s="1"/>
  <c r="BK19" i="16"/>
  <c r="BF19" i="16"/>
  <c r="BA19" i="16"/>
  <c r="AV19" i="16"/>
  <c r="AQ19" i="16"/>
  <c r="AK19" i="16"/>
  <c r="AF19" i="16"/>
  <c r="AA19" i="16"/>
  <c r="Q19" i="16"/>
  <c r="L19" i="16"/>
  <c r="G19" i="16"/>
  <c r="CE18" i="16"/>
  <c r="BZ18" i="16"/>
  <c r="BU18" i="16"/>
  <c r="CE17" i="16"/>
  <c r="BZ17" i="16"/>
  <c r="BU17" i="16"/>
  <c r="CE16" i="16"/>
  <c r="BZ16" i="16"/>
  <c r="BU16" i="16"/>
  <c r="BO16" i="16"/>
  <c r="BP16" i="16" s="1"/>
  <c r="BK16" i="16"/>
  <c r="BF16" i="16"/>
  <c r="BA16" i="16"/>
  <c r="AV16" i="16"/>
  <c r="AQ16" i="16"/>
  <c r="AK16" i="16"/>
  <c r="AF16" i="16"/>
  <c r="AA16" i="16"/>
  <c r="Q16" i="16"/>
  <c r="L16" i="16"/>
  <c r="G16" i="16"/>
  <c r="CE15" i="16"/>
  <c r="BZ15" i="16"/>
  <c r="BU15" i="16"/>
  <c r="BO15" i="16"/>
  <c r="BP15" i="16" s="1"/>
  <c r="BK15" i="16"/>
  <c r="BF15" i="16"/>
  <c r="BA15" i="16"/>
  <c r="AV15" i="16"/>
  <c r="AQ15" i="16"/>
  <c r="AK15" i="16"/>
  <c r="AF15" i="16"/>
  <c r="AA15" i="16"/>
  <c r="Q15" i="16"/>
  <c r="L15" i="16"/>
  <c r="G15" i="16"/>
  <c r="CE14" i="16"/>
  <c r="BZ14" i="16"/>
  <c r="BU14" i="16"/>
  <c r="BO14" i="16"/>
  <c r="BP14" i="16" s="1"/>
  <c r="BK14" i="16"/>
  <c r="BF14" i="16"/>
  <c r="BA14" i="16"/>
  <c r="AV14" i="16"/>
  <c r="AQ14" i="16"/>
  <c r="AK14" i="16"/>
  <c r="AF14" i="16"/>
  <c r="AA14" i="16"/>
  <c r="Q14" i="16"/>
  <c r="L14" i="16"/>
  <c r="G14" i="16"/>
  <c r="CE13" i="16"/>
  <c r="BZ13" i="16"/>
  <c r="BU13" i="16"/>
  <c r="BO13" i="16"/>
  <c r="BP13" i="16" s="1"/>
  <c r="BK13" i="16"/>
  <c r="BF13" i="16"/>
  <c r="BA13" i="16"/>
  <c r="AV13" i="16"/>
  <c r="AQ13" i="16"/>
  <c r="AK13" i="16"/>
  <c r="AF13" i="16"/>
  <c r="AA13" i="16"/>
  <c r="Q13" i="16"/>
  <c r="L13" i="16"/>
  <c r="G13" i="16"/>
  <c r="CE12" i="16"/>
  <c r="BZ12" i="16"/>
  <c r="BU12" i="16"/>
  <c r="BM12" i="16"/>
  <c r="BK12" i="16"/>
  <c r="BF12" i="16"/>
  <c r="BA12" i="16"/>
  <c r="AV12" i="16"/>
  <c r="AQ12" i="16"/>
  <c r="AK12" i="16"/>
  <c r="AF12" i="16"/>
  <c r="AA12" i="16"/>
  <c r="Q12" i="16"/>
  <c r="L12" i="16"/>
  <c r="G12" i="16"/>
  <c r="CA11" i="16"/>
  <c r="BY11" i="16"/>
  <c r="BX11" i="16"/>
  <c r="BW11" i="16"/>
  <c r="BV11" i="16"/>
  <c r="BT11" i="16"/>
  <c r="BS11" i="16"/>
  <c r="BR11" i="16"/>
  <c r="BQ11" i="16"/>
  <c r="BN11" i="16"/>
  <c r="BL11" i="16"/>
  <c r="BJ11" i="16"/>
  <c r="BI11" i="16"/>
  <c r="BH11" i="16"/>
  <c r="BG11" i="16"/>
  <c r="BE11" i="16"/>
  <c r="BD11" i="16"/>
  <c r="BC11" i="16"/>
  <c r="BB11" i="16"/>
  <c r="AZ11" i="16"/>
  <c r="AY11" i="16"/>
  <c r="AX11" i="16"/>
  <c r="AW11" i="16"/>
  <c r="AU11" i="16"/>
  <c r="AT11" i="16"/>
  <c r="AS11" i="16"/>
  <c r="AR11" i="16"/>
  <c r="AP11" i="16"/>
  <c r="AO11" i="16"/>
  <c r="AN11" i="16"/>
  <c r="AM11" i="16"/>
  <c r="AJ11" i="16"/>
  <c r="AI11" i="16"/>
  <c r="AH11" i="16"/>
  <c r="AG11" i="16"/>
  <c r="AE11" i="16"/>
  <c r="AD11" i="16"/>
  <c r="AC11" i="16"/>
  <c r="AB11" i="16"/>
  <c r="Z11" i="16"/>
  <c r="Y11" i="16"/>
  <c r="X11" i="16"/>
  <c r="W11" i="16"/>
  <c r="V11" i="16"/>
  <c r="U11" i="16"/>
  <c r="T11" i="16"/>
  <c r="S11" i="16"/>
  <c r="R11" i="16"/>
  <c r="P11" i="16"/>
  <c r="O11" i="16"/>
  <c r="N11" i="16"/>
  <c r="M11" i="16"/>
  <c r="K11" i="16"/>
  <c r="J11" i="16"/>
  <c r="I11" i="16"/>
  <c r="H11" i="16"/>
  <c r="F11" i="16"/>
  <c r="E11" i="16"/>
  <c r="D11" i="16"/>
  <c r="C11" i="16"/>
  <c r="CE10" i="16"/>
  <c r="BZ10" i="16"/>
  <c r="BU10" i="16"/>
  <c r="BO10" i="16"/>
  <c r="BP10" i="16" s="1"/>
  <c r="BK10" i="16"/>
  <c r="BF10" i="16"/>
  <c r="BA10" i="16"/>
  <c r="AV10" i="16"/>
  <c r="AQ10" i="16"/>
  <c r="AH10" i="16"/>
  <c r="AK10" i="16" s="1"/>
  <c r="AF10" i="16"/>
  <c r="AA10" i="16"/>
  <c r="Q10" i="16"/>
  <c r="L10" i="16"/>
  <c r="G10" i="16"/>
  <c r="CE9" i="16"/>
  <c r="BZ9" i="16"/>
  <c r="BU9" i="16"/>
  <c r="CE8" i="16"/>
  <c r="BZ8" i="16"/>
  <c r="BU8" i="16"/>
  <c r="BO8" i="16"/>
  <c r="BK8" i="16"/>
  <c r="BF8" i="16"/>
  <c r="BA8" i="16"/>
  <c r="AV8" i="16"/>
  <c r="AQ8" i="16"/>
  <c r="AK8" i="16"/>
  <c r="AF8" i="16"/>
  <c r="AA8" i="16"/>
  <c r="Q8" i="16"/>
  <c r="L8" i="16"/>
  <c r="G8" i="16"/>
  <c r="CE7" i="16"/>
  <c r="BZ7" i="16"/>
  <c r="BU7" i="16"/>
  <c r="BO7" i="16"/>
  <c r="BP7" i="16" s="1"/>
  <c r="BK7" i="16"/>
  <c r="BF7" i="16"/>
  <c r="BA7" i="16"/>
  <c r="AV7" i="16"/>
  <c r="AQ7" i="16"/>
  <c r="AK7" i="16"/>
  <c r="AF7" i="16"/>
  <c r="AA7" i="16"/>
  <c r="Q7" i="16"/>
  <c r="L7" i="16"/>
  <c r="G7" i="16"/>
  <c r="CE6" i="16"/>
  <c r="BZ6" i="16"/>
  <c r="BU6" i="16"/>
  <c r="BO6" i="16"/>
  <c r="BP6" i="16" s="1"/>
  <c r="BK6" i="16"/>
  <c r="BF6" i="16"/>
  <c r="BA6" i="16"/>
  <c r="AV6" i="16"/>
  <c r="AQ6" i="16"/>
  <c r="AK6" i="16"/>
  <c r="AF6" i="16"/>
  <c r="AA6" i="16"/>
  <c r="Q6" i="16"/>
  <c r="L6" i="16"/>
  <c r="G6" i="16"/>
  <c r="CA5" i="16"/>
  <c r="BY5" i="16"/>
  <c r="BX5" i="16"/>
  <c r="BW5" i="16"/>
  <c r="BV5" i="16"/>
  <c r="BT5" i="16"/>
  <c r="BS5" i="16"/>
  <c r="BR5" i="16"/>
  <c r="BQ5" i="16"/>
  <c r="BN5" i="16"/>
  <c r="BM5" i="16"/>
  <c r="BL5" i="16"/>
  <c r="BJ5" i="16"/>
  <c r="BI5" i="16"/>
  <c r="BI25" i="16" s="1"/>
  <c r="BH5" i="16"/>
  <c r="BG5" i="16"/>
  <c r="BE5" i="16"/>
  <c r="BD5" i="16"/>
  <c r="BC5" i="16"/>
  <c r="BB5" i="16"/>
  <c r="BB25" i="16" s="1"/>
  <c r="BB31" i="16" s="1"/>
  <c r="BB33" i="16" s="1"/>
  <c r="BB36" i="16" s="1"/>
  <c r="AZ5" i="16"/>
  <c r="AY5" i="16"/>
  <c r="AX5" i="16"/>
  <c r="AW5" i="16"/>
  <c r="AU5" i="16"/>
  <c r="AT5" i="16"/>
  <c r="AS5" i="16"/>
  <c r="AR5" i="16"/>
  <c r="AP5" i="16"/>
  <c r="AO5" i="16"/>
  <c r="AN5" i="16"/>
  <c r="AM5" i="16"/>
  <c r="AJ5" i="16"/>
  <c r="AI5" i="16"/>
  <c r="AG5" i="16"/>
  <c r="AE5" i="16"/>
  <c r="AD5" i="16"/>
  <c r="AC5" i="16"/>
  <c r="AB5" i="16"/>
  <c r="Z5" i="16"/>
  <c r="Z25" i="16" s="1"/>
  <c r="Y5" i="16"/>
  <c r="X5" i="16"/>
  <c r="W5" i="16"/>
  <c r="V5" i="16"/>
  <c r="U5" i="16"/>
  <c r="T5" i="16"/>
  <c r="S5" i="16"/>
  <c r="R5" i="16"/>
  <c r="R25" i="16" s="1"/>
  <c r="R37" i="16" s="1"/>
  <c r="R38" i="16" s="1"/>
  <c r="P5" i="16"/>
  <c r="O5" i="16"/>
  <c r="N5" i="16"/>
  <c r="M5" i="16"/>
  <c r="K5" i="16"/>
  <c r="J5" i="16"/>
  <c r="I5" i="16"/>
  <c r="H5" i="16"/>
  <c r="H25" i="16" s="1"/>
  <c r="F5" i="16"/>
  <c r="E5" i="16"/>
  <c r="D5" i="16"/>
  <c r="C5" i="16"/>
  <c r="AY25" i="16" l="1"/>
  <c r="AY37" i="16" s="1"/>
  <c r="AY38" i="16" s="1"/>
  <c r="BR25" i="16"/>
  <c r="BR31" i="16" s="1"/>
  <c r="BR33" i="16" s="1"/>
  <c r="AG25" i="16"/>
  <c r="BU11" i="17"/>
  <c r="T25" i="16"/>
  <c r="J25" i="16"/>
  <c r="AD25" i="16"/>
  <c r="AD31" i="16" s="1"/>
  <c r="AD33" i="16" s="1"/>
  <c r="AD36" i="16" s="1"/>
  <c r="BV25" i="16"/>
  <c r="BV37" i="16" s="1"/>
  <c r="BV44" i="16" s="1"/>
  <c r="CE40" i="17"/>
  <c r="O25" i="16"/>
  <c r="O37" i="16" s="1"/>
  <c r="O38" i="16" s="1"/>
  <c r="AK11" i="16"/>
  <c r="BR40" i="17"/>
  <c r="BO11" i="17"/>
  <c r="BA40" i="17"/>
  <c r="BU17" i="17"/>
  <c r="BP13" i="17"/>
  <c r="BO35" i="17"/>
  <c r="BN11" i="17"/>
  <c r="BP11" i="17"/>
  <c r="BM40" i="17"/>
  <c r="BN5" i="17"/>
  <c r="BN40" i="17" s="1"/>
  <c r="BO6" i="17"/>
  <c r="BO5" i="17" s="1"/>
  <c r="BP10" i="17"/>
  <c r="BN23" i="17"/>
  <c r="BO24" i="17"/>
  <c r="BU36" i="17"/>
  <c r="BU35" i="17" s="1"/>
  <c r="BU40" i="17" s="1"/>
  <c r="BO30" i="17"/>
  <c r="BO29" i="17" s="1"/>
  <c r="BN29" i="17"/>
  <c r="BP36" i="17"/>
  <c r="BP35" i="17" s="1"/>
  <c r="U25" i="16"/>
  <c r="U31" i="16" s="1"/>
  <c r="U33" i="16" s="1"/>
  <c r="U36" i="16" s="1"/>
  <c r="AM25" i="16"/>
  <c r="AM37" i="16" s="1"/>
  <c r="AM38" i="16" s="1"/>
  <c r="E25" i="16"/>
  <c r="E31" i="16" s="1"/>
  <c r="E33" i="16" s="1"/>
  <c r="E34" i="16" s="1"/>
  <c r="AO25" i="16"/>
  <c r="AO37" i="16" s="1"/>
  <c r="AO38" i="16" s="1"/>
  <c r="BG25" i="16"/>
  <c r="BG37" i="16" s="1"/>
  <c r="BG38" i="16" s="1"/>
  <c r="K25" i="16"/>
  <c r="K37" i="16" s="1"/>
  <c r="K38" i="16" s="1"/>
  <c r="AW25" i="16"/>
  <c r="AW37" i="16" s="1"/>
  <c r="AW38" i="16" s="1"/>
  <c r="BN25" i="16"/>
  <c r="BN37" i="16" s="1"/>
  <c r="M25" i="16"/>
  <c r="M31" i="16" s="1"/>
  <c r="M33" i="16" s="1"/>
  <c r="M34" i="16" s="1"/>
  <c r="BU5" i="16"/>
  <c r="BO5" i="16"/>
  <c r="BJ25" i="16"/>
  <c r="BJ37" i="16" s="1"/>
  <c r="AI25" i="16"/>
  <c r="AI37" i="16" s="1"/>
  <c r="AI38" i="16" s="1"/>
  <c r="AT25" i="16"/>
  <c r="AT31" i="16" s="1"/>
  <c r="AT33" i="16" s="1"/>
  <c r="BD25" i="16"/>
  <c r="BD37" i="16" s="1"/>
  <c r="BD38" i="16" s="1"/>
  <c r="N25" i="16"/>
  <c r="N37" i="16" s="1"/>
  <c r="N38" i="16" s="1"/>
  <c r="BZ11" i="16"/>
  <c r="F25" i="16"/>
  <c r="F37" i="16" s="1"/>
  <c r="F38" i="16" s="1"/>
  <c r="P25" i="16"/>
  <c r="P31" i="16" s="1"/>
  <c r="P33" i="16" s="1"/>
  <c r="Y25" i="16"/>
  <c r="Y37" i="16" s="1"/>
  <c r="Y38" i="16" s="1"/>
  <c r="AJ25" i="16"/>
  <c r="AJ37" i="16" s="1"/>
  <c r="AJ38" i="16" s="1"/>
  <c r="AU25" i="16"/>
  <c r="AU37" i="16" s="1"/>
  <c r="AU38" i="16" s="1"/>
  <c r="BE25" i="16"/>
  <c r="BE37" i="16" s="1"/>
  <c r="BQ25" i="16"/>
  <c r="BQ37" i="16" s="1"/>
  <c r="BQ44" i="16" s="1"/>
  <c r="AQ11" i="16"/>
  <c r="I25" i="16"/>
  <c r="I37" i="16" s="1"/>
  <c r="I38" i="16" s="1"/>
  <c r="S25" i="16"/>
  <c r="S31" i="16" s="1"/>
  <c r="S33" i="16" s="1"/>
  <c r="AB25" i="16"/>
  <c r="AB37" i="16" s="1"/>
  <c r="AB38" i="16" s="1"/>
  <c r="AN25" i="16"/>
  <c r="AN31" i="16" s="1"/>
  <c r="AN33" i="16" s="1"/>
  <c r="AN36" i="16" s="1"/>
  <c r="AX25" i="16"/>
  <c r="AX31" i="16" s="1"/>
  <c r="AX33" i="16" s="1"/>
  <c r="BH25" i="16"/>
  <c r="BH37" i="16" s="1"/>
  <c r="BS25" i="16"/>
  <c r="BS37" i="16" s="1"/>
  <c r="BS44" i="16" s="1"/>
  <c r="AC25" i="16"/>
  <c r="AC31" i="16" s="1"/>
  <c r="AC33" i="16" s="1"/>
  <c r="AC36" i="16" s="1"/>
  <c r="CE11" i="16"/>
  <c r="C25" i="16"/>
  <c r="C31" i="16" s="1"/>
  <c r="C33" i="16" s="1"/>
  <c r="V25" i="16"/>
  <c r="V37" i="16" s="1"/>
  <c r="V38" i="16" s="1"/>
  <c r="AE25" i="16"/>
  <c r="AE37" i="16" s="1"/>
  <c r="AE38" i="16" s="1"/>
  <c r="AP25" i="16"/>
  <c r="AP37" i="16" s="1"/>
  <c r="AP38" i="16" s="1"/>
  <c r="BK11" i="16"/>
  <c r="BT25" i="16"/>
  <c r="BT37" i="16" s="1"/>
  <c r="BT44" i="16" s="1"/>
  <c r="W25" i="16"/>
  <c r="W37" i="16" s="1"/>
  <c r="W38" i="16" s="1"/>
  <c r="AR25" i="16"/>
  <c r="AR37" i="16" s="1"/>
  <c r="AR38" i="16" s="1"/>
  <c r="BL25" i="16"/>
  <c r="BL37" i="16" s="1"/>
  <c r="L5" i="16"/>
  <c r="BF5" i="16"/>
  <c r="X25" i="16"/>
  <c r="X31" i="16" s="1"/>
  <c r="X33" i="16" s="1"/>
  <c r="X36" i="16" s="1"/>
  <c r="AH5" i="16"/>
  <c r="AH25" i="16" s="1"/>
  <c r="AH37" i="16" s="1"/>
  <c r="AH38" i="16" s="1"/>
  <c r="AS25" i="16"/>
  <c r="AS37" i="16" s="1"/>
  <c r="AS38" i="16" s="1"/>
  <c r="BC25" i="16"/>
  <c r="BC37" i="16" s="1"/>
  <c r="BW25" i="16"/>
  <c r="AA5" i="16"/>
  <c r="CE5" i="16"/>
  <c r="BX25" i="16"/>
  <c r="BX31" i="16" s="1"/>
  <c r="BX33" i="16" s="1"/>
  <c r="G11" i="16"/>
  <c r="BY25" i="16"/>
  <c r="BZ5" i="16"/>
  <c r="BF11" i="16"/>
  <c r="G5" i="16"/>
  <c r="BA5" i="16"/>
  <c r="L11" i="16"/>
  <c r="Q5" i="16"/>
  <c r="BK5" i="16"/>
  <c r="Q11" i="16"/>
  <c r="AF5" i="16"/>
  <c r="AQ5" i="16"/>
  <c r="AV11" i="16"/>
  <c r="H37" i="16"/>
  <c r="H38" i="16" s="1"/>
  <c r="H31" i="16"/>
  <c r="H33" i="16" s="1"/>
  <c r="AG37" i="16"/>
  <c r="AG38" i="16" s="1"/>
  <c r="AG31" i="16"/>
  <c r="AG33" i="16" s="1"/>
  <c r="AG36" i="16" s="1"/>
  <c r="T37" i="16"/>
  <c r="T38" i="16" s="1"/>
  <c r="T31" i="16"/>
  <c r="T33" i="16" s="1"/>
  <c r="AA11" i="16"/>
  <c r="BO12" i="16"/>
  <c r="BO11" i="16" s="1"/>
  <c r="BM11" i="16"/>
  <c r="BM25" i="16" s="1"/>
  <c r="BU11" i="16"/>
  <c r="AF11" i="16"/>
  <c r="O31" i="16"/>
  <c r="O33" i="16" s="1"/>
  <c r="Z37" i="16"/>
  <c r="Z38" i="16" s="1"/>
  <c r="Z31" i="16"/>
  <c r="Z33" i="16" s="1"/>
  <c r="Z36" i="16" s="1"/>
  <c r="D25" i="16"/>
  <c r="AZ25" i="16"/>
  <c r="CA25" i="16"/>
  <c r="CA31" i="16" s="1"/>
  <c r="AV5" i="16"/>
  <c r="AD37" i="16"/>
  <c r="AD38" i="16" s="1"/>
  <c r="J37" i="16"/>
  <c r="J38" i="16" s="1"/>
  <c r="J31" i="16"/>
  <c r="J33" i="16" s="1"/>
  <c r="BI37" i="16"/>
  <c r="BI31" i="16"/>
  <c r="BI33" i="16" s="1"/>
  <c r="BI36" i="16" s="1"/>
  <c r="BA11" i="16"/>
  <c r="R31" i="16"/>
  <c r="R33" i="16" s="1"/>
  <c r="AY31" i="16"/>
  <c r="AY33" i="16" s="1"/>
  <c r="AK5" i="16"/>
  <c r="BP8" i="16"/>
  <c r="BP5" i="16" s="1"/>
  <c r="BR37" i="16"/>
  <c r="BR44" i="16" s="1"/>
  <c r="BB37" i="16"/>
  <c r="BB38" i="16" s="1"/>
  <c r="BP13" i="13"/>
  <c r="E36" i="16" l="1"/>
  <c r="AM31" i="16"/>
  <c r="AM33" i="16" s="1"/>
  <c r="AM36" i="16" s="1"/>
  <c r="S37" i="16"/>
  <c r="S38" i="16" s="1"/>
  <c r="AX37" i="16"/>
  <c r="AX38" i="16" s="1"/>
  <c r="BY31" i="16"/>
  <c r="BY33" i="16" s="1"/>
  <c r="K31" i="16"/>
  <c r="K33" i="16" s="1"/>
  <c r="AK25" i="16"/>
  <c r="BX37" i="16"/>
  <c r="BX44" i="16" s="1"/>
  <c r="BD31" i="16"/>
  <c r="BD33" i="16" s="1"/>
  <c r="BD36" i="16" s="1"/>
  <c r="AU31" i="16"/>
  <c r="AU33" i="16" s="1"/>
  <c r="W31" i="16"/>
  <c r="W33" i="16" s="1"/>
  <c r="W36" i="16" s="1"/>
  <c r="I31" i="16"/>
  <c r="I33" i="16" s="1"/>
  <c r="I36" i="16" s="1"/>
  <c r="P37" i="16"/>
  <c r="P38" i="16" s="1"/>
  <c r="E37" i="16"/>
  <c r="E38" i="16" s="1"/>
  <c r="BV31" i="16"/>
  <c r="BV33" i="16" s="1"/>
  <c r="BY5" i="7" s="1"/>
  <c r="F31" i="16"/>
  <c r="F33" i="16" s="1"/>
  <c r="F36" i="16" s="1"/>
  <c r="BU25" i="16"/>
  <c r="BO25" i="16"/>
  <c r="BO37" i="16" s="1"/>
  <c r="BV38" i="16"/>
  <c r="BY4" i="7" s="1"/>
  <c r="CA5" i="7"/>
  <c r="BC31" i="16"/>
  <c r="BC33" i="16" s="1"/>
  <c r="BC36" i="16" s="1"/>
  <c r="BZ25" i="16"/>
  <c r="AI31" i="16"/>
  <c r="AI33" i="16" s="1"/>
  <c r="AI36" i="16" s="1"/>
  <c r="BY37" i="16"/>
  <c r="BY44" i="16" s="1"/>
  <c r="BY45" i="16" s="1"/>
  <c r="BG31" i="16"/>
  <c r="BG33" i="16" s="1"/>
  <c r="BG36" i="16" s="1"/>
  <c r="AN37" i="16"/>
  <c r="AN38" i="16" s="1"/>
  <c r="AB31" i="16"/>
  <c r="AB33" i="16" s="1"/>
  <c r="AB36" i="16" s="1"/>
  <c r="AS31" i="16"/>
  <c r="AS33" i="16" s="1"/>
  <c r="BT31" i="16"/>
  <c r="BT33" i="16" s="1"/>
  <c r="G25" i="16"/>
  <c r="G37" i="16" s="1"/>
  <c r="G38" i="16" s="1"/>
  <c r="BW37" i="16"/>
  <c r="BW38" i="16" s="1"/>
  <c r="BZ4" i="7" s="1"/>
  <c r="M36" i="16"/>
  <c r="U37" i="16"/>
  <c r="U38" i="16" s="1"/>
  <c r="AQ25" i="16"/>
  <c r="AQ37" i="16" s="1"/>
  <c r="AQ38" i="16" s="1"/>
  <c r="BU44" i="16"/>
  <c r="U34" i="16"/>
  <c r="AC37" i="16"/>
  <c r="AC38" i="16" s="1"/>
  <c r="C37" i="16"/>
  <c r="C38" i="16" s="1"/>
  <c r="AO31" i="16"/>
  <c r="AO33" i="16" s="1"/>
  <c r="BP12" i="16"/>
  <c r="BP11" i="16" s="1"/>
  <c r="BP25" i="16" s="1"/>
  <c r="BO40" i="17"/>
  <c r="BP6" i="17"/>
  <c r="BP5" i="17" s="1"/>
  <c r="BP40" i="17"/>
  <c r="BO23" i="17"/>
  <c r="BP24" i="17"/>
  <c r="BP23" i="17" s="1"/>
  <c r="BP30" i="17"/>
  <c r="BP29" i="17" s="1"/>
  <c r="BN31" i="16"/>
  <c r="BN33" i="16" s="1"/>
  <c r="BN36" i="16" s="1"/>
  <c r="BJ31" i="16"/>
  <c r="BJ33" i="16" s="1"/>
  <c r="BJ36" i="16" s="1"/>
  <c r="AW31" i="16"/>
  <c r="AW33" i="16" s="1"/>
  <c r="AW36" i="16" s="1"/>
  <c r="BF25" i="16"/>
  <c r="BF37" i="16" s="1"/>
  <c r="BF38" i="16" s="1"/>
  <c r="AJ31" i="16"/>
  <c r="AJ33" i="16" s="1"/>
  <c r="AJ36" i="16" s="1"/>
  <c r="AF25" i="16"/>
  <c r="AF31" i="16" s="1"/>
  <c r="AF33" i="16" s="1"/>
  <c r="AF36" i="16" s="1"/>
  <c r="Y31" i="16"/>
  <c r="Y33" i="16" s="1"/>
  <c r="Y36" i="16" s="1"/>
  <c r="X37" i="16"/>
  <c r="X38" i="16" s="1"/>
  <c r="M37" i="16"/>
  <c r="M38" i="16" s="1"/>
  <c r="BS31" i="16"/>
  <c r="BS33" i="16" s="1"/>
  <c r="AH31" i="16"/>
  <c r="AH33" i="16" s="1"/>
  <c r="AH36" i="16" s="1"/>
  <c r="CE25" i="16"/>
  <c r="BE31" i="16"/>
  <c r="BE33" i="16" s="1"/>
  <c r="BE36" i="16" s="1"/>
  <c r="BW31" i="16"/>
  <c r="N31" i="16"/>
  <c r="N33" i="16" s="1"/>
  <c r="N36" i="16" s="1"/>
  <c r="BH31" i="16"/>
  <c r="BH33" i="16" s="1"/>
  <c r="BH36" i="16" s="1"/>
  <c r="BQ31" i="16"/>
  <c r="BQ33" i="16" s="1"/>
  <c r="BL31" i="16"/>
  <c r="BL33" i="16" s="1"/>
  <c r="BL36" i="16" s="1"/>
  <c r="AT37" i="16"/>
  <c r="AT38" i="16" s="1"/>
  <c r="V31" i="16"/>
  <c r="V33" i="16" s="1"/>
  <c r="V34" i="16" s="1"/>
  <c r="BA25" i="16"/>
  <c r="BA31" i="16" s="1"/>
  <c r="BA33" i="16" s="1"/>
  <c r="BA36" i="16" s="1"/>
  <c r="AA25" i="16"/>
  <c r="AA37" i="16" s="1"/>
  <c r="AA38" i="16" s="1"/>
  <c r="L25" i="16"/>
  <c r="L31" i="16" s="1"/>
  <c r="L33" i="16" s="1"/>
  <c r="AR31" i="16"/>
  <c r="AR33" i="16" s="1"/>
  <c r="AP31" i="16"/>
  <c r="AP33" i="16" s="1"/>
  <c r="BK25" i="16"/>
  <c r="BK37" i="16" s="1"/>
  <c r="BK38" i="16" s="1"/>
  <c r="AE31" i="16"/>
  <c r="AE33" i="16" s="1"/>
  <c r="AE36" i="16" s="1"/>
  <c r="Q25" i="16"/>
  <c r="AV25" i="16"/>
  <c r="AV31" i="16" s="1"/>
  <c r="AV33" i="16" s="1"/>
  <c r="BT38" i="16"/>
  <c r="BN38" i="16"/>
  <c r="BU37" i="16"/>
  <c r="BU38" i="16" s="1"/>
  <c r="BU31" i="16"/>
  <c r="BU33" i="16" s="1"/>
  <c r="BM37" i="16"/>
  <c r="BM31" i="16"/>
  <c r="BM33" i="16" s="1"/>
  <c r="BM36" i="16" s="1"/>
  <c r="J36" i="16"/>
  <c r="J34" i="16"/>
  <c r="CA37" i="16"/>
  <c r="CA44" i="16" s="1"/>
  <c r="CA45" i="16" s="1"/>
  <c r="D37" i="16"/>
  <c r="D38" i="16" s="1"/>
  <c r="D31" i="16"/>
  <c r="D33" i="16" s="1"/>
  <c r="BX38" i="16"/>
  <c r="CA4" i="7" s="1"/>
  <c r="BE38" i="16"/>
  <c r="BR38" i="16"/>
  <c r="BI38" i="16"/>
  <c r="S34" i="16"/>
  <c r="S36" i="16"/>
  <c r="BH38" i="16"/>
  <c r="K36" i="16"/>
  <c r="K34" i="16"/>
  <c r="BL38" i="16"/>
  <c r="BJ38" i="16"/>
  <c r="F34" i="16"/>
  <c r="C36" i="16"/>
  <c r="C34" i="16"/>
  <c r="AK31" i="16"/>
  <c r="AK33" i="16" s="1"/>
  <c r="AK36" i="16" s="1"/>
  <c r="AK37" i="16"/>
  <c r="AK38" i="16" s="1"/>
  <c r="P34" i="16"/>
  <c r="P36" i="16"/>
  <c r="BS38" i="16"/>
  <c r="BC38" i="16"/>
  <c r="T36" i="16"/>
  <c r="T34" i="16"/>
  <c r="H34" i="16"/>
  <c r="H36" i="16"/>
  <c r="AZ37" i="16"/>
  <c r="AZ38" i="16" s="1"/>
  <c r="AZ31" i="16"/>
  <c r="AZ33" i="16" s="1"/>
  <c r="R36" i="16"/>
  <c r="R34" i="16"/>
  <c r="BQ38" i="16"/>
  <c r="O34" i="16"/>
  <c r="O36" i="16"/>
  <c r="N34" i="16" l="1"/>
  <c r="BZ31" i="16"/>
  <c r="BZ33" i="16" s="1"/>
  <c r="CB5" i="7"/>
  <c r="CE37" i="16"/>
  <c r="CE38" i="16" s="1"/>
  <c r="CE31" i="16"/>
  <c r="CE33" i="16" s="1"/>
  <c r="I34" i="16"/>
  <c r="AQ31" i="16"/>
  <c r="AQ33" i="16" s="1"/>
  <c r="AQ36" i="16" s="1"/>
  <c r="BO31" i="16"/>
  <c r="BO33" i="16" s="1"/>
  <c r="AF37" i="16"/>
  <c r="AF38" i="16" s="1"/>
  <c r="G31" i="16"/>
  <c r="G33" i="16" s="1"/>
  <c r="G34" i="16" s="1"/>
  <c r="BZ37" i="16"/>
  <c r="BZ38" i="16" s="1"/>
  <c r="CC4" i="7" s="1"/>
  <c r="AA31" i="16"/>
  <c r="AA33" i="16" s="1"/>
  <c r="AA36" i="16" s="1"/>
  <c r="BF31" i="16"/>
  <c r="BF33" i="16" s="1"/>
  <c r="BF36" i="16" s="1"/>
  <c r="BY38" i="16"/>
  <c r="CB4" i="7" s="1"/>
  <c r="BP31" i="16"/>
  <c r="BP33" i="16" s="1"/>
  <c r="BP37" i="16"/>
  <c r="BP38" i="16" s="1"/>
  <c r="BW33" i="16"/>
  <c r="BW44" i="16"/>
  <c r="BA37" i="16"/>
  <c r="BA38" i="16" s="1"/>
  <c r="BO36" i="16"/>
  <c r="V36" i="16"/>
  <c r="AV37" i="16"/>
  <c r="AV38" i="16" s="1"/>
  <c r="L34" i="16"/>
  <c r="L36" i="16"/>
  <c r="L37" i="16"/>
  <c r="L38" i="16" s="1"/>
  <c r="BK31" i="16"/>
  <c r="BK33" i="16" s="1"/>
  <c r="BK36" i="16" s="1"/>
  <c r="Q37" i="16"/>
  <c r="Q38" i="16" s="1"/>
  <c r="Q31" i="16"/>
  <c r="Q33" i="16" s="1"/>
  <c r="BO38" i="16"/>
  <c r="CA33" i="16"/>
  <c r="CA38" i="16"/>
  <c r="CD4" i="7" s="1"/>
  <c r="BX45" i="16"/>
  <c r="BV45" i="16"/>
  <c r="D34" i="16"/>
  <c r="D36" i="16"/>
  <c r="BM38" i="16"/>
  <c r="CC5" i="7" l="1"/>
  <c r="G36" i="16"/>
  <c r="BZ5" i="7"/>
  <c r="CD5" i="7"/>
  <c r="BZ44" i="16"/>
  <c r="BZ45" i="16" s="1"/>
  <c r="BW45" i="16"/>
  <c r="Q36" i="16"/>
  <c r="Q34" i="16"/>
  <c r="CE44" i="16" l="1"/>
  <c r="CE45" i="16" s="1"/>
  <c r="R4" i="15" l="1"/>
  <c r="BG75" i="4" l="1"/>
  <c r="BG60" i="4"/>
  <c r="BG6" i="4"/>
  <c r="BG38" i="4" s="1"/>
  <c r="BG41" i="4" s="1"/>
  <c r="BG76" i="4" l="1"/>
  <c r="BC77" i="3"/>
  <c r="BC64" i="3"/>
  <c r="BC53" i="3"/>
  <c r="BC55" i="3" s="1"/>
  <c r="CD7" i="7" s="1"/>
  <c r="BC38" i="3"/>
  <c r="CD8" i="7" s="1"/>
  <c r="BC24" i="3"/>
  <c r="BC80" i="3" l="1"/>
  <c r="BC41" i="3"/>
  <c r="CD6" i="7" s="1"/>
  <c r="BP28" i="13"/>
  <c r="BP19" i="13"/>
  <c r="BC81" i="3" l="1"/>
  <c r="CD9" i="7"/>
  <c r="V7" i="15"/>
  <c r="V6" i="15"/>
  <c r="V5" i="15"/>
  <c r="V4" i="15" l="1"/>
  <c r="AE16" i="9"/>
  <c r="AE6" i="9"/>
  <c r="BJ12" i="13" l="1"/>
  <c r="BE12" i="13"/>
  <c r="AZ12" i="13"/>
  <c r="BJ11" i="13"/>
  <c r="BE11" i="13"/>
  <c r="AZ11" i="13"/>
  <c r="BB38" i="3" l="1"/>
  <c r="BF6" i="4" l="1"/>
  <c r="BE6" i="4" l="1"/>
  <c r="BF75" i="4"/>
  <c r="BF60" i="4"/>
  <c r="BF38" i="4" l="1"/>
  <c r="P4" i="15"/>
  <c r="BF41" i="4" l="1"/>
  <c r="AD16" i="9"/>
  <c r="AD6" i="9"/>
  <c r="BF76" i="4" l="1"/>
  <c r="BB77" i="3"/>
  <c r="BB64" i="3"/>
  <c r="BB80" i="3" l="1"/>
  <c r="BB53" i="3"/>
  <c r="BB55" i="3" l="1"/>
  <c r="CB8" i="7"/>
  <c r="CC8" i="7"/>
  <c r="BB24" i="3"/>
  <c r="BB41" i="3" s="1"/>
  <c r="CB6" i="7" l="1"/>
  <c r="CC6" i="7"/>
  <c r="CB7" i="7"/>
  <c r="CC7" i="7"/>
  <c r="BB81" i="3"/>
  <c r="CB9" i="7"/>
  <c r="CC9" i="7"/>
  <c r="BE75" i="4" l="1"/>
  <c r="BE60" i="4"/>
  <c r="BE38" i="4"/>
  <c r="BE41" i="4" s="1"/>
  <c r="BE76" i="4" l="1"/>
  <c r="BA38" i="3" l="1"/>
  <c r="BA24" i="3"/>
  <c r="BA41" i="3" l="1"/>
  <c r="CA6" i="7" s="1"/>
  <c r="BA77" i="3"/>
  <c r="BA64" i="3"/>
  <c r="BA53" i="3"/>
  <c r="CA8" i="7" l="1"/>
  <c r="BA55" i="3"/>
  <c r="CA7" i="7" s="1"/>
  <c r="BA80" i="3"/>
  <c r="CA9" i="7" s="1"/>
  <c r="O4" i="15"/>
  <c r="N4" i="15"/>
  <c r="BA81" i="3" l="1"/>
  <c r="AC16" i="9" l="1"/>
  <c r="BD6" i="4" l="1"/>
  <c r="AZ77" i="3" l="1"/>
  <c r="AZ64" i="3"/>
  <c r="AZ53" i="3"/>
  <c r="AZ55" i="3" s="1"/>
  <c r="BZ7" i="7" s="1"/>
  <c r="AZ38" i="3"/>
  <c r="BZ8" i="7" s="1"/>
  <c r="AZ24" i="3"/>
  <c r="AZ80" i="3" l="1"/>
  <c r="AZ81" i="3" s="1"/>
  <c r="AZ41" i="3"/>
  <c r="BZ6" i="7" s="1"/>
  <c r="BZ9" i="7" l="1"/>
  <c r="BD75" i="4"/>
  <c r="BD60" i="4"/>
  <c r="BD38" i="4" l="1"/>
  <c r="BD41" i="4" l="1"/>
  <c r="BD76" i="4" l="1"/>
  <c r="AB16" i="9" l="1"/>
  <c r="AB6" i="9"/>
  <c r="BC75" i="4" l="1"/>
  <c r="BC60" i="4"/>
  <c r="BC6" i="4"/>
  <c r="BC38" i="4" l="1"/>
  <c r="BC41" i="4" l="1"/>
  <c r="BC76" i="4" l="1"/>
  <c r="AY77" i="3" l="1"/>
  <c r="AY64" i="3"/>
  <c r="AY53" i="3"/>
  <c r="AY38" i="3"/>
  <c r="AY24" i="3"/>
  <c r="BY8" i="7" l="1"/>
  <c r="AY55" i="3"/>
  <c r="BY7" i="7" s="1"/>
  <c r="AY80" i="3"/>
  <c r="AY41" i="3"/>
  <c r="BY6" i="7" s="1"/>
  <c r="AY81" i="3" l="1"/>
  <c r="BY9" i="7"/>
  <c r="BO34" i="13"/>
  <c r="BO33" i="13"/>
  <c r="BO32" i="13"/>
  <c r="BO31" i="13"/>
  <c r="BO30" i="13"/>
  <c r="BK28" i="13"/>
  <c r="BO25" i="13"/>
  <c r="BO24" i="13"/>
  <c r="BO23" i="13"/>
  <c r="BO22" i="13"/>
  <c r="BO21" i="13"/>
  <c r="BK19" i="13"/>
  <c r="BN13" i="13"/>
  <c r="BM13" i="13"/>
  <c r="BL13" i="13"/>
  <c r="BK13" i="13"/>
  <c r="BO12" i="13"/>
  <c r="BO11" i="13"/>
  <c r="BO13" i="13" l="1"/>
  <c r="M4" i="15"/>
  <c r="Q7" i="15" l="1"/>
  <c r="Q6" i="15"/>
  <c r="Q5" i="15"/>
  <c r="AA16" i="9"/>
  <c r="AA6" i="9"/>
  <c r="Q4" i="15" l="1"/>
  <c r="BB60" i="4" l="1"/>
  <c r="BB6" i="4" l="1"/>
  <c r="AX38" i="3" l="1"/>
  <c r="AX24" i="3" l="1"/>
  <c r="AQ24" i="3" l="1"/>
  <c r="AR24" i="3"/>
  <c r="AS24" i="3"/>
  <c r="AT24" i="3"/>
  <c r="AW24" i="3"/>
  <c r="AW38" i="3"/>
  <c r="AR38" i="3"/>
  <c r="AT38" i="3"/>
  <c r="AS38" i="3"/>
  <c r="AS41" i="3" l="1"/>
  <c r="AT41" i="3"/>
  <c r="G7" i="15" l="1"/>
  <c r="L7" i="15"/>
  <c r="L6" i="15"/>
  <c r="G6" i="15"/>
  <c r="L5" i="15"/>
  <c r="K4" i="15"/>
  <c r="J4" i="15"/>
  <c r="H4" i="15"/>
  <c r="C4" i="15"/>
  <c r="I4" i="15" l="1"/>
  <c r="D4" i="15"/>
  <c r="L4" i="15"/>
  <c r="E4" i="15" l="1"/>
  <c r="F4" i="15" l="1"/>
  <c r="G5" i="15"/>
  <c r="G4" i="15" s="1"/>
  <c r="BA6" i="4" l="1"/>
  <c r="BA38" i="4" s="1"/>
  <c r="AW77" i="3" l="1"/>
  <c r="AW64" i="3" l="1"/>
  <c r="AW80" i="3" l="1"/>
  <c r="AW53" i="3"/>
  <c r="AW55" i="3" l="1"/>
  <c r="AV6" i="4" l="1"/>
  <c r="AZ60" i="4" l="1"/>
  <c r="BJ34" i="13" l="1"/>
  <c r="BE34" i="13"/>
  <c r="AZ34" i="13"/>
  <c r="AU34" i="13"/>
  <c r="BJ33" i="13"/>
  <c r="BE33" i="13"/>
  <c r="AZ33" i="13"/>
  <c r="AU33" i="13"/>
  <c r="BJ32" i="13"/>
  <c r="BE32" i="13"/>
  <c r="AZ32" i="13"/>
  <c r="AU32" i="13"/>
  <c r="BJ31" i="13"/>
  <c r="BE31" i="13"/>
  <c r="AZ31" i="13"/>
  <c r="AU31" i="13"/>
  <c r="BJ30" i="13"/>
  <c r="BE30" i="13"/>
  <c r="AZ30" i="13"/>
  <c r="AU30" i="13"/>
  <c r="BF28" i="13"/>
  <c r="BA28" i="13"/>
  <c r="AV28" i="13"/>
  <c r="BJ25" i="13"/>
  <c r="BE25" i="13"/>
  <c r="AZ25" i="13"/>
  <c r="AU25" i="13"/>
  <c r="BJ24" i="13"/>
  <c r="BE24" i="13"/>
  <c r="AZ24" i="13"/>
  <c r="AU24" i="13"/>
  <c r="BJ23" i="13"/>
  <c r="BE23" i="13"/>
  <c r="AZ23" i="13"/>
  <c r="AU23" i="13"/>
  <c r="BJ22" i="13"/>
  <c r="BE22" i="13"/>
  <c r="AZ22" i="13"/>
  <c r="AU22" i="13"/>
  <c r="BJ21" i="13"/>
  <c r="BE21" i="13"/>
  <c r="AZ21" i="13"/>
  <c r="AU21" i="13"/>
  <c r="BF19" i="13"/>
  <c r="BA19" i="13"/>
  <c r="AV19" i="13"/>
  <c r="BI13" i="13"/>
  <c r="BH13" i="13"/>
  <c r="BG13" i="13"/>
  <c r="BF13" i="13"/>
  <c r="BD13" i="13"/>
  <c r="BC13" i="13"/>
  <c r="BB13" i="13"/>
  <c r="BA13" i="13"/>
  <c r="AY13" i="13"/>
  <c r="AX13" i="13"/>
  <c r="AW13" i="13"/>
  <c r="AV13" i="13"/>
  <c r="AT13" i="13"/>
  <c r="AS13" i="13"/>
  <c r="AR13" i="13"/>
  <c r="AQ13" i="13"/>
  <c r="AP13" i="13"/>
  <c r="AO13" i="13"/>
  <c r="AN13" i="13"/>
  <c r="AM13" i="13"/>
  <c r="AL13" i="13"/>
  <c r="AK13" i="13"/>
  <c r="AJ13" i="13"/>
  <c r="AI13" i="13"/>
  <c r="AH13" i="13"/>
  <c r="AG13" i="13"/>
  <c r="AU11" i="13"/>
  <c r="AU13" i="13" s="1"/>
  <c r="AZ13" i="13" l="1"/>
  <c r="BE13" i="13"/>
  <c r="BJ13" i="13"/>
  <c r="AY60" i="4" l="1"/>
  <c r="AY6" i="4" l="1"/>
  <c r="BB38" i="4" l="1"/>
  <c r="AZ6" i="4"/>
  <c r="AZ38" i="4" s="1"/>
  <c r="AY3" i="4"/>
  <c r="BC3" i="4" s="1"/>
  <c r="BG3" i="4" s="1"/>
  <c r="BB75" i="4"/>
  <c r="BA75" i="4"/>
  <c r="AZ75" i="4"/>
  <c r="AY75" i="4"/>
  <c r="BA60" i="4"/>
  <c r="BB41" i="4" l="1"/>
  <c r="BA41" i="4"/>
  <c r="AZ41" i="4"/>
  <c r="BB76" i="4"/>
  <c r="BB80" i="4" l="1"/>
  <c r="BC77" i="4" s="1"/>
  <c r="BC80" i="4" s="1"/>
  <c r="BA76" i="4"/>
  <c r="AZ76" i="4"/>
  <c r="AU64" i="3"/>
  <c r="BD77" i="4" l="1"/>
  <c r="BE77" i="4"/>
  <c r="BE80" i="4" s="1"/>
  <c r="BF77" i="4"/>
  <c r="BD80" i="4"/>
  <c r="AX77" i="3"/>
  <c r="AV77" i="3"/>
  <c r="AX64" i="3"/>
  <c r="AV64" i="3"/>
  <c r="AX53" i="3"/>
  <c r="AV53" i="3"/>
  <c r="AV38" i="3"/>
  <c r="AV24" i="3"/>
  <c r="BF80" i="4" l="1"/>
  <c r="AX80" i="3"/>
  <c r="AX55" i="3"/>
  <c r="AW41" i="3"/>
  <c r="AV55" i="3"/>
  <c r="AV80" i="3"/>
  <c r="AX41" i="3"/>
  <c r="AV41" i="3"/>
  <c r="BG77" i="4" l="1"/>
  <c r="BG80" i="4" s="1"/>
  <c r="BH77" i="4"/>
  <c r="BH80" i="4" s="1"/>
  <c r="AX81" i="3"/>
  <c r="AW81" i="3"/>
  <c r="AY5" i="4"/>
  <c r="AV81" i="3"/>
  <c r="AY38" i="4" l="1"/>
  <c r="AY41" i="4" l="1"/>
  <c r="AU38" i="3"/>
  <c r="AU53" i="3"/>
  <c r="AU24" i="3"/>
  <c r="AU77" i="3"/>
  <c r="AY76" i="4" l="1"/>
  <c r="AU55" i="3"/>
  <c r="AU41" i="3"/>
  <c r="AU80" i="3"/>
  <c r="AU81" i="3" l="1"/>
  <c r="Z16" i="9"/>
  <c r="Y16" i="9"/>
  <c r="X16" i="9"/>
  <c r="Z6" i="9"/>
  <c r="Y6" i="9"/>
  <c r="X6" i="9"/>
  <c r="W16" i="9" l="1"/>
  <c r="W6" i="9"/>
  <c r="K28" i="3" l="1"/>
  <c r="J28" i="3"/>
  <c r="I28" i="3"/>
  <c r="H28" i="3"/>
  <c r="G28" i="3"/>
  <c r="F28" i="3"/>
  <c r="E28" i="3"/>
  <c r="D28" i="3"/>
  <c r="C28" i="3"/>
  <c r="AP77" i="3" l="1"/>
  <c r="V6" i="9" l="1"/>
  <c r="AS53" i="3" l="1"/>
  <c r="AR77" i="3" l="1"/>
  <c r="AR53" i="3" l="1"/>
  <c r="AQ53" i="3" l="1"/>
  <c r="AX75" i="4" l="1"/>
  <c r="AW75" i="4"/>
  <c r="AV75" i="4"/>
  <c r="AU75" i="4"/>
  <c r="AX60" i="4"/>
  <c r="AW60" i="4"/>
  <c r="AV60" i="4"/>
  <c r="AU60" i="4"/>
  <c r="AX6" i="4"/>
  <c r="AW6" i="4"/>
  <c r="AU6" i="4"/>
  <c r="AT77" i="3"/>
  <c r="AS77" i="3"/>
  <c r="AQ77" i="3"/>
  <c r="AT64" i="3"/>
  <c r="AS64" i="3"/>
  <c r="AR64" i="3"/>
  <c r="AQ64" i="3"/>
  <c r="AT53" i="3"/>
  <c r="AS55" i="3"/>
  <c r="AR55" i="3"/>
  <c r="AQ55" i="3"/>
  <c r="AQ38" i="3"/>
  <c r="AT55" i="3" l="1"/>
  <c r="AR80" i="3"/>
  <c r="AR41" i="3"/>
  <c r="AQ41" i="3"/>
  <c r="AQ80" i="3"/>
  <c r="AS80" i="3"/>
  <c r="AT80" i="3"/>
  <c r="AT81" i="3" l="1"/>
  <c r="AS81" i="3"/>
  <c r="AR81" i="3"/>
  <c r="AQ81" i="3"/>
  <c r="V16" i="9"/>
  <c r="T16" i="9"/>
  <c r="T6" i="9"/>
  <c r="S16" i="9" l="1"/>
  <c r="S6" i="9"/>
  <c r="AU5" i="4" l="1"/>
  <c r="AV5" i="4"/>
  <c r="AV38" i="4" s="1"/>
  <c r="AT6" i="4"/>
  <c r="AP24" i="3" l="1"/>
  <c r="AP53" i="3" l="1"/>
  <c r="R16" i="9"/>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V4" i="9" s="1"/>
  <c r="Z4" i="9" s="1"/>
  <c r="AD4" i="9" s="1"/>
  <c r="AH4" i="9" s="1"/>
  <c r="I4" i="9"/>
  <c r="M4" i="9" s="1"/>
  <c r="Q4" i="9" s="1"/>
  <c r="U4" i="9" s="1"/>
  <c r="Y4" i="9" s="1"/>
  <c r="AC4" i="9" s="1"/>
  <c r="AG4" i="9" s="1"/>
  <c r="H4" i="9"/>
  <c r="L4" i="9" s="1"/>
  <c r="P4" i="9" s="1"/>
  <c r="T4" i="9" s="1"/>
  <c r="X4" i="9" s="1"/>
  <c r="AB4" i="9" s="1"/>
  <c r="AF4" i="9" s="1"/>
  <c r="G4" i="9"/>
  <c r="K4" i="9" s="1"/>
  <c r="O4" i="9" s="1"/>
  <c r="S4" i="9" s="1"/>
  <c r="W4" i="9" s="1"/>
  <c r="AA4" i="9" s="1"/>
  <c r="AE4" i="9" s="1"/>
  <c r="AP55" i="3" l="1"/>
  <c r="AZ25" i="5" l="1"/>
  <c r="AZ17" i="5"/>
  <c r="AZ16" i="5"/>
  <c r="AZ15" i="5"/>
  <c r="AZ12" i="5"/>
  <c r="AZ27" i="5"/>
  <c r="AZ26" i="5"/>
  <c r="AZ8" i="5"/>
  <c r="AZ11" i="5"/>
  <c r="AZ10" i="5"/>
  <c r="AZ9" i="5"/>
  <c r="AZ7" i="5" l="1"/>
  <c r="AZ24" i="5"/>
  <c r="AZ29" i="5"/>
  <c r="AN38" i="3" l="1"/>
  <c r="AM38" i="3" l="1"/>
  <c r="AM53" i="3" l="1"/>
  <c r="AV7" i="5" l="1"/>
  <c r="AY29" i="5" l="1"/>
  <c r="AX29" i="5"/>
  <c r="AW29" i="5"/>
  <c r="AV29" i="5"/>
  <c r="AY24" i="5"/>
  <c r="AX24" i="5"/>
  <c r="AV24" i="5"/>
  <c r="AY17" i="5"/>
  <c r="AX17" i="5"/>
  <c r="AW17" i="5"/>
  <c r="AV17" i="5"/>
  <c r="AY7" i="5"/>
  <c r="AX7" i="5"/>
  <c r="AW7" i="5"/>
  <c r="AS75" i="4"/>
  <c r="AS60" i="4"/>
  <c r="AT75" i="4"/>
  <c r="AR75" i="4"/>
  <c r="AQ75" i="4"/>
  <c r="AT60" i="4"/>
  <c r="AR60" i="4"/>
  <c r="AQ60" i="4"/>
  <c r="AS6" i="4"/>
  <c r="AR6" i="4"/>
  <c r="AQ6" i="4"/>
  <c r="AO77" i="3"/>
  <c r="AN77" i="3"/>
  <c r="AM77" i="3"/>
  <c r="AP64" i="3"/>
  <c r="AO64" i="3"/>
  <c r="AN64" i="3"/>
  <c r="AM64" i="3"/>
  <c r="AO53" i="3"/>
  <c r="AO55" i="3" s="1"/>
  <c r="AN53" i="3"/>
  <c r="AN55" i="3" s="1"/>
  <c r="AM55" i="3"/>
  <c r="AP38" i="3"/>
  <c r="AO38" i="3"/>
  <c r="AO24" i="3"/>
  <c r="AN24" i="3"/>
  <c r="AM24" i="3"/>
  <c r="AM41" i="3" l="1"/>
  <c r="AN41" i="3"/>
  <c r="AN80" i="3"/>
  <c r="AM80" i="3"/>
  <c r="AO80" i="3"/>
  <c r="AO81" i="3" s="1"/>
  <c r="AP80" i="3"/>
  <c r="AO41" i="3"/>
  <c r="AP41" i="3"/>
  <c r="AX5" i="5"/>
  <c r="AY5" i="5"/>
  <c r="AV5" i="5"/>
  <c r="AP81" i="3" l="1"/>
  <c r="AN81" i="3"/>
  <c r="AM81" i="3"/>
  <c r="AQ5" i="4" l="1"/>
  <c r="AQ38" i="4" l="1"/>
  <c r="AQ41" i="4" s="1"/>
  <c r="AR5" i="4"/>
  <c r="AT5" i="4" l="1"/>
  <c r="AT38" i="4" s="1"/>
  <c r="AS5" i="4"/>
  <c r="AS38" i="4" s="1"/>
  <c r="AS41" i="4" s="1"/>
  <c r="AQ76" i="4"/>
  <c r="AR38" i="4"/>
  <c r="AR41" i="4" l="1"/>
  <c r="AT41" i="4"/>
  <c r="AS76" i="4"/>
  <c r="AL77" i="3"/>
  <c r="AR76" i="4" l="1"/>
  <c r="AT76" i="4"/>
  <c r="AL38" i="3"/>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AU5" i="5" l="1"/>
  <c r="V5" i="5"/>
  <c r="AA5" i="5"/>
  <c r="AF5" i="5"/>
  <c r="L5" i="5"/>
  <c r="AN66" i="4"/>
  <c r="AN6" i="4" l="1"/>
  <c r="AN38" i="4" s="1"/>
  <c r="AN41" i="4" s="1"/>
  <c r="AO6" i="4"/>
  <c r="AO38" i="4" s="1"/>
  <c r="AP6" i="4"/>
  <c r="AP38" i="4" s="1"/>
  <c r="AP41" i="4" s="1"/>
  <c r="AN60" i="4"/>
  <c r="AP60" i="4"/>
  <c r="AN75" i="4"/>
  <c r="AP75" i="4"/>
  <c r="AM75" i="4"/>
  <c r="AM60" i="4"/>
  <c r="AM6" i="4"/>
  <c r="AK77" i="3"/>
  <c r="AJ77" i="3"/>
  <c r="AI77" i="3"/>
  <c r="AL64" i="3"/>
  <c r="AK64" i="3"/>
  <c r="AJ64" i="3"/>
  <c r="AI64" i="3"/>
  <c r="AL53" i="3"/>
  <c r="AK53" i="3"/>
  <c r="AK55" i="3" s="1"/>
  <c r="AJ53" i="3"/>
  <c r="AJ55" i="3" s="1"/>
  <c r="AI53" i="3"/>
  <c r="AI55" i="3" s="1"/>
  <c r="AK38" i="3"/>
  <c r="AJ38" i="3"/>
  <c r="AI38" i="3"/>
  <c r="AL24" i="3"/>
  <c r="AK24" i="3"/>
  <c r="AJ24" i="3"/>
  <c r="AI24" i="3"/>
  <c r="AL55" i="3" l="1"/>
  <c r="AL41" i="3"/>
  <c r="AK41" i="3"/>
  <c r="AK80" i="3"/>
  <c r="AK81" i="3" s="1"/>
  <c r="AJ80" i="3"/>
  <c r="AJ81" i="3" s="1"/>
  <c r="AP76" i="4"/>
  <c r="AO80" i="4"/>
  <c r="AN76" i="4"/>
  <c r="AN80" i="4" s="1"/>
  <c r="AI41" i="3"/>
  <c r="AJ41" i="3"/>
  <c r="AL80" i="3"/>
  <c r="AI80" i="3"/>
  <c r="AI81" i="3" s="1"/>
  <c r="AL75" i="4"/>
  <c r="AL81" i="3" l="1"/>
  <c r="AP80" i="4"/>
  <c r="AM5" i="4"/>
  <c r="AM38" i="4" s="1"/>
  <c r="AM41" i="4" s="1"/>
  <c r="AQ77" i="4" l="1"/>
  <c r="AQ80" i="4" s="1"/>
  <c r="AT77" i="4"/>
  <c r="AT80" i="4" s="1"/>
  <c r="AS77" i="4"/>
  <c r="AS80" i="4" s="1"/>
  <c r="AR77" i="4"/>
  <c r="AR80" i="4" s="1"/>
  <c r="AM76" i="4"/>
  <c r="AV77" i="4" l="1"/>
  <c r="AW77" i="4"/>
  <c r="AX77" i="4"/>
  <c r="AU77" i="4"/>
  <c r="AG52" i="4"/>
  <c r="AJ75" i="4" l="1"/>
  <c r="AJ60" i="4"/>
  <c r="AJ6" i="4"/>
  <c r="AJ38" i="4" s="1"/>
  <c r="AJ41" i="4" s="1"/>
  <c r="AF75" i="4"/>
  <c r="AF60" i="4"/>
  <c r="AF6" i="4"/>
  <c r="AF38" i="4" s="1"/>
  <c r="AF41" i="4" s="1"/>
  <c r="AJ76" i="4" l="1"/>
  <c r="AF76" i="4"/>
  <c r="AK75" i="4" l="1"/>
  <c r="AI75" i="4"/>
  <c r="AL60" i="4"/>
  <c r="AK60" i="4"/>
  <c r="AI60" i="4"/>
  <c r="AL6" i="4"/>
  <c r="AL38" i="4" s="1"/>
  <c r="AL41" i="4" s="1"/>
  <c r="AK6" i="4"/>
  <c r="AK38" i="4" s="1"/>
  <c r="AK41" i="4" s="1"/>
  <c r="AI6" i="4"/>
  <c r="AI38" i="4" s="1"/>
  <c r="AI41" i="4" s="1"/>
  <c r="AL76" i="4" l="1"/>
  <c r="AK76" i="4"/>
  <c r="AI76" i="4"/>
  <c r="AI80" i="4" s="1"/>
  <c r="AE24" i="3" l="1"/>
  <c r="AC24" i="3"/>
  <c r="Z24" i="3"/>
  <c r="AA24" i="3"/>
  <c r="AE64" i="3" l="1"/>
  <c r="AE53" i="3"/>
  <c r="AD53" i="3"/>
  <c r="AE38" i="3"/>
  <c r="AC38" i="3"/>
  <c r="AD38" i="3"/>
  <c r="AD24" i="3"/>
  <c r="AE60" i="4" l="1"/>
  <c r="AG75" i="4"/>
  <c r="AE6" i="4"/>
  <c r="AG60" i="4"/>
  <c r="AH60" i="4"/>
  <c r="AE75" i="4"/>
  <c r="AH75" i="4"/>
  <c r="AG6" i="4"/>
  <c r="AG38" i="4" s="1"/>
  <c r="AG41" i="4" s="1"/>
  <c r="AH6" i="4"/>
  <c r="AH38" i="4" s="1"/>
  <c r="AH41" i="4" s="1"/>
  <c r="AD6" i="4"/>
  <c r="AH76" i="4" l="1"/>
  <c r="AG76" i="4"/>
  <c r="AE38" i="4"/>
  <c r="AE41" i="4" l="1"/>
  <c r="AE76" i="4" l="1"/>
  <c r="AE80" i="4" l="1"/>
  <c r="AH77" i="3" l="1"/>
  <c r="AG77" i="3"/>
  <c r="AF77" i="3"/>
  <c r="AE77" i="3"/>
  <c r="AH64" i="3"/>
  <c r="AG64" i="3"/>
  <c r="AF64" i="3"/>
  <c r="AH53" i="3"/>
  <c r="AH55" i="3" s="1"/>
  <c r="AG53" i="3"/>
  <c r="AG55" i="3" s="1"/>
  <c r="AF53" i="3"/>
  <c r="AF55" i="3" s="1"/>
  <c r="AE55" i="3"/>
  <c r="AH38" i="3"/>
  <c r="AG38" i="3"/>
  <c r="AF38" i="3"/>
  <c r="AH24" i="3"/>
  <c r="AG24" i="3"/>
  <c r="AF24" i="3"/>
  <c r="AE80" i="3" l="1"/>
  <c r="AE81" i="3" s="1"/>
  <c r="AF80" i="3"/>
  <c r="AF81" i="3" s="1"/>
  <c r="AG80" i="3"/>
  <c r="AG81" i="3" s="1"/>
  <c r="AH80" i="3"/>
  <c r="AH81" i="3" s="1"/>
  <c r="AE41" i="3"/>
  <c r="AF41" i="3"/>
  <c r="AG41" i="3"/>
  <c r="AH41" i="3"/>
  <c r="AD77" i="3" l="1"/>
  <c r="AD52" i="4" l="1"/>
  <c r="AC52" i="4" l="1"/>
  <c r="AC41" i="4" l="1"/>
  <c r="AC60" i="4"/>
  <c r="AC75" i="4"/>
  <c r="AC77" i="3"/>
  <c r="AC76" i="4" l="1"/>
  <c r="AB52" i="4" l="1"/>
  <c r="AB77" i="3"/>
  <c r="AB38" i="3"/>
  <c r="AB24" i="3"/>
  <c r="AA38" i="3" l="1"/>
  <c r="AD75" i="4" l="1"/>
  <c r="AB75" i="4"/>
  <c r="AA75" i="4"/>
  <c r="AD60" i="4"/>
  <c r="AB60" i="4"/>
  <c r="AA60" i="4"/>
  <c r="AB6" i="4"/>
  <c r="AA6" i="4"/>
  <c r="AA38" i="4" s="1"/>
  <c r="AA41" i="4" s="1"/>
  <c r="AA77" i="3"/>
  <c r="AD64" i="3"/>
  <c r="AC64" i="3"/>
  <c r="AB64" i="3"/>
  <c r="AA64" i="3"/>
  <c r="AD55" i="3"/>
  <c r="AC53" i="3"/>
  <c r="AB53" i="3"/>
  <c r="AB55" i="3" s="1"/>
  <c r="AA53" i="3"/>
  <c r="AA55" i="3" s="1"/>
  <c r="AB41" i="3"/>
  <c r="AC55" i="3" l="1"/>
  <c r="AC41" i="3"/>
  <c r="AA76" i="4"/>
  <c r="AA41" i="3"/>
  <c r="AD80" i="3"/>
  <c r="AD81" i="3" s="1"/>
  <c r="AD41" i="3"/>
  <c r="AA80" i="3"/>
  <c r="AA81" i="3" s="1"/>
  <c r="AB80" i="3"/>
  <c r="AB81" i="3" s="1"/>
  <c r="AC80" i="3"/>
  <c r="AC81" i="3" l="1"/>
  <c r="AB38" i="4" l="1"/>
  <c r="AB41" i="4" s="1"/>
  <c r="AB76" i="4" l="1"/>
  <c r="Z6" i="4" l="1"/>
  <c r="Z38" i="4" s="1"/>
  <c r="Z41" i="4" s="1"/>
  <c r="Z75" i="4"/>
  <c r="Z60" i="4"/>
  <c r="Z38" i="3"/>
  <c r="Z77" i="3"/>
  <c r="Z64" i="3"/>
  <c r="Z53" i="3"/>
  <c r="Z55" i="3" s="1"/>
  <c r="Z76" i="4" l="1"/>
  <c r="Z80" i="3"/>
  <c r="Z81" i="3" s="1"/>
  <c r="Z41" i="3"/>
  <c r="Y75" i="4"/>
  <c r="Y60" i="4"/>
  <c r="Y6" i="4"/>
  <c r="Y38" i="4" s="1"/>
  <c r="Y41" i="4" s="1"/>
  <c r="Y77" i="3"/>
  <c r="Y64" i="3"/>
  <c r="Y53" i="3"/>
  <c r="Y55" i="3" s="1"/>
  <c r="Y38" i="3"/>
  <c r="Y24" i="3"/>
  <c r="Y41" i="3" l="1"/>
  <c r="Y76" i="4"/>
  <c r="Y80" i="3"/>
  <c r="Y81" i="3" s="1"/>
  <c r="X75" i="4" l="1"/>
  <c r="X60" i="4"/>
  <c r="X6" i="4"/>
  <c r="X77" i="3"/>
  <c r="X64" i="3"/>
  <c r="X53" i="3"/>
  <c r="X55" i="3" s="1"/>
  <c r="X38" i="3"/>
  <c r="X24" i="3"/>
  <c r="X41" i="3" l="1"/>
  <c r="X80" i="3"/>
  <c r="X81" i="3" s="1"/>
  <c r="W72" i="4" l="1"/>
  <c r="W75" i="4" l="1"/>
  <c r="W60" i="4"/>
  <c r="W6" i="4"/>
  <c r="W77" i="3"/>
  <c r="W64" i="3"/>
  <c r="W53" i="3"/>
  <c r="W55" i="3" s="1"/>
  <c r="W38" i="3"/>
  <c r="W24" i="3"/>
  <c r="W80" i="3" l="1"/>
  <c r="W81" i="3" s="1"/>
  <c r="W41" i="3"/>
  <c r="X38" i="4" l="1"/>
  <c r="X41" i="4" s="1"/>
  <c r="X76" i="4" s="1"/>
  <c r="W38" i="4"/>
  <c r="W41" i="4" s="1"/>
  <c r="W76" i="4" s="1"/>
  <c r="R5" i="4" l="1"/>
  <c r="L5" i="4"/>
  <c r="V5" i="4"/>
  <c r="T5" i="4"/>
  <c r="U5" i="4" s="1"/>
  <c r="S5" i="4"/>
  <c r="Q5" i="4"/>
  <c r="V75" i="4" l="1"/>
  <c r="V60" i="4"/>
  <c r="V6" i="4"/>
  <c r="V77" i="3"/>
  <c r="V64" i="3"/>
  <c r="V53" i="3"/>
  <c r="V55" i="3" s="1"/>
  <c r="V38" i="3"/>
  <c r="V24" i="3"/>
  <c r="V38" i="4" l="1"/>
  <c r="V41" i="4" s="1"/>
  <c r="V76" i="4" s="1"/>
  <c r="V80" i="3"/>
  <c r="V81" i="3" s="1"/>
  <c r="V41" i="3"/>
  <c r="U75" i="4" l="1"/>
  <c r="U60" i="4"/>
  <c r="U6" i="4"/>
  <c r="U77" i="3"/>
  <c r="U64" i="3"/>
  <c r="U53" i="3"/>
  <c r="U55" i="3" s="1"/>
  <c r="U38" i="3"/>
  <c r="U24" i="3"/>
  <c r="U80" i="3" l="1"/>
  <c r="U81" i="3" s="1"/>
  <c r="U41" i="3"/>
  <c r="U38" i="4"/>
  <c r="U41" i="4" s="1"/>
  <c r="U76" i="4" s="1"/>
  <c r="T75" i="4" l="1"/>
  <c r="T60" i="4"/>
  <c r="T6" i="4"/>
  <c r="T77" i="3"/>
  <c r="T64" i="3"/>
  <c r="T53" i="3"/>
  <c r="T55" i="3" s="1"/>
  <c r="T38" i="3"/>
  <c r="T24" i="3"/>
  <c r="T80" i="3" l="1"/>
  <c r="T81" i="3" s="1"/>
  <c r="T41" i="3"/>
  <c r="C6" i="3"/>
  <c r="S75" i="4" l="1"/>
  <c r="S60" i="4"/>
  <c r="S6" i="4"/>
  <c r="S77" i="3"/>
  <c r="S64" i="3"/>
  <c r="S53" i="3"/>
  <c r="S55" i="3" s="1"/>
  <c r="S38" i="3"/>
  <c r="S24" i="3"/>
  <c r="S80" i="3" l="1"/>
  <c r="S81" i="3" s="1"/>
  <c r="S41" i="3"/>
  <c r="R75" i="4" l="1"/>
  <c r="R60" i="4"/>
  <c r="R6" i="4"/>
  <c r="R77" i="3"/>
  <c r="R64" i="3"/>
  <c r="R53" i="3"/>
  <c r="R55" i="3" s="1"/>
  <c r="R38" i="3"/>
  <c r="R24" i="3"/>
  <c r="T38" i="4" l="1"/>
  <c r="T41" i="4" s="1"/>
  <c r="T76" i="4" s="1"/>
  <c r="S38" i="4"/>
  <c r="S41" i="4" s="1"/>
  <c r="S76" i="4" s="1"/>
  <c r="R80" i="3"/>
  <c r="R81" i="3" s="1"/>
  <c r="R41" i="3"/>
  <c r="R38" i="4" l="1"/>
  <c r="R41" i="4" s="1"/>
  <c r="R76" i="4" s="1"/>
  <c r="R80" i="4" s="1"/>
  <c r="V77" i="4" l="1"/>
  <c r="V80" i="4" s="1"/>
  <c r="Y77" i="4" s="1"/>
  <c r="Z77" i="4" s="1"/>
  <c r="U77" i="4"/>
  <c r="U80" i="4" s="1"/>
  <c r="T77" i="4"/>
  <c r="T80" i="4" s="1"/>
  <c r="S77" i="4"/>
  <c r="S80" i="4" s="1"/>
  <c r="H37" i="4"/>
  <c r="I37" i="4"/>
  <c r="Z80" i="4" l="1"/>
  <c r="Y80" i="4"/>
  <c r="W77" i="4"/>
  <c r="W80" i="4" s="1"/>
  <c r="X77" i="4"/>
  <c r="X80" i="4" s="1"/>
  <c r="AA77" i="4" l="1"/>
  <c r="AA80" i="4" s="1"/>
  <c r="AC77" i="4"/>
  <c r="AD77" i="4" s="1"/>
  <c r="AB77" i="4"/>
  <c r="AC80" i="4" l="1"/>
  <c r="AB80" i="4"/>
  <c r="C75" i="4"/>
  <c r="J75" i="4"/>
  <c r="K75" i="4"/>
  <c r="L75" i="4"/>
  <c r="M75" i="4"/>
  <c r="N75" i="4"/>
  <c r="O75" i="4"/>
  <c r="P75" i="4"/>
  <c r="Q75" i="4"/>
  <c r="K76" i="3"/>
  <c r="J76" i="3"/>
  <c r="I76" i="3"/>
  <c r="H76" i="3"/>
  <c r="G76" i="3"/>
  <c r="F76" i="3"/>
  <c r="E76" i="3"/>
  <c r="D76" i="3"/>
  <c r="K75" i="3"/>
  <c r="J75" i="3"/>
  <c r="I75" i="3"/>
  <c r="H75" i="3"/>
  <c r="G75" i="3"/>
  <c r="F75" i="3"/>
  <c r="E75" i="3"/>
  <c r="D75" i="3"/>
  <c r="K74" i="3"/>
  <c r="J74" i="3"/>
  <c r="I74" i="3"/>
  <c r="H74" i="3"/>
  <c r="G74" i="3"/>
  <c r="F74" i="3"/>
  <c r="E74" i="3"/>
  <c r="D74" i="3"/>
  <c r="K70" i="3"/>
  <c r="J70" i="3"/>
  <c r="I70" i="3"/>
  <c r="H70" i="3"/>
  <c r="G70" i="3"/>
  <c r="F70" i="3"/>
  <c r="E70" i="3"/>
  <c r="D70" i="3"/>
  <c r="K67" i="3"/>
  <c r="J67" i="3"/>
  <c r="I67" i="3"/>
  <c r="H67" i="3"/>
  <c r="G67" i="3"/>
  <c r="F67" i="3"/>
  <c r="E67" i="3"/>
  <c r="D67" i="3"/>
  <c r="K66" i="3"/>
  <c r="J66" i="3"/>
  <c r="I66" i="3"/>
  <c r="H66" i="3"/>
  <c r="G66" i="3"/>
  <c r="F66" i="3"/>
  <c r="E66" i="3"/>
  <c r="D66" i="3"/>
  <c r="K65" i="3"/>
  <c r="J65" i="3"/>
  <c r="I65" i="3"/>
  <c r="H65" i="3"/>
  <c r="G65" i="3"/>
  <c r="F65" i="3"/>
  <c r="E65" i="3"/>
  <c r="D65" i="3"/>
  <c r="K62" i="3"/>
  <c r="J62" i="3"/>
  <c r="I62" i="3"/>
  <c r="H62" i="3"/>
  <c r="G62" i="3"/>
  <c r="F62" i="3"/>
  <c r="E62" i="3"/>
  <c r="D62" i="3"/>
  <c r="K61" i="3"/>
  <c r="J61" i="3"/>
  <c r="I61" i="3"/>
  <c r="H61" i="3"/>
  <c r="G61" i="3"/>
  <c r="F61" i="3"/>
  <c r="E61" i="3"/>
  <c r="D61" i="3"/>
  <c r="K60" i="3"/>
  <c r="J60" i="3"/>
  <c r="I60" i="3"/>
  <c r="H60" i="3"/>
  <c r="G60" i="3"/>
  <c r="F60" i="3"/>
  <c r="E60" i="3"/>
  <c r="D60" i="3"/>
  <c r="K58" i="3"/>
  <c r="J58" i="3"/>
  <c r="I58" i="3"/>
  <c r="H58" i="3"/>
  <c r="G58" i="3"/>
  <c r="F58" i="3"/>
  <c r="E58" i="3"/>
  <c r="D58" i="3"/>
  <c r="K57" i="3"/>
  <c r="J57" i="3"/>
  <c r="I57" i="3"/>
  <c r="H57" i="3"/>
  <c r="G57" i="3"/>
  <c r="F57" i="3"/>
  <c r="E57" i="3"/>
  <c r="D57" i="3"/>
  <c r="K56" i="3"/>
  <c r="J56" i="3"/>
  <c r="I56" i="3"/>
  <c r="H56" i="3"/>
  <c r="G56" i="3"/>
  <c r="F56" i="3"/>
  <c r="E56" i="3"/>
  <c r="D56" i="3"/>
  <c r="K51" i="3"/>
  <c r="J51" i="3"/>
  <c r="I51" i="3"/>
  <c r="H51" i="3"/>
  <c r="G51" i="3"/>
  <c r="F51" i="3"/>
  <c r="E51" i="3"/>
  <c r="D51" i="3"/>
  <c r="J50" i="3"/>
  <c r="I50" i="3"/>
  <c r="H50" i="3"/>
  <c r="G50" i="3"/>
  <c r="F50" i="3"/>
  <c r="E50" i="3"/>
  <c r="D50" i="3"/>
  <c r="K46" i="3"/>
  <c r="J46" i="3"/>
  <c r="I46" i="3"/>
  <c r="H46" i="3"/>
  <c r="G46" i="3"/>
  <c r="F46" i="3"/>
  <c r="E46" i="3"/>
  <c r="D46" i="3"/>
  <c r="K43" i="3"/>
  <c r="J43" i="3"/>
  <c r="I43" i="3"/>
  <c r="H43" i="3"/>
  <c r="G43" i="3"/>
  <c r="F43" i="3"/>
  <c r="E43" i="3"/>
  <c r="D43" i="3"/>
  <c r="K36" i="3"/>
  <c r="J36" i="3"/>
  <c r="I36" i="3"/>
  <c r="H36" i="3"/>
  <c r="G36" i="3"/>
  <c r="F36" i="3"/>
  <c r="E36" i="3"/>
  <c r="D36" i="3"/>
  <c r="K32" i="3"/>
  <c r="J32" i="3"/>
  <c r="I32" i="3"/>
  <c r="H32" i="3"/>
  <c r="G32" i="3"/>
  <c r="F32" i="3"/>
  <c r="E32" i="3"/>
  <c r="D32" i="3"/>
  <c r="K31" i="3"/>
  <c r="J31" i="3"/>
  <c r="I31" i="3"/>
  <c r="H31" i="3"/>
  <c r="G31" i="3"/>
  <c r="F31" i="3"/>
  <c r="E31" i="3"/>
  <c r="D31" i="3"/>
  <c r="K30" i="3"/>
  <c r="J30" i="3"/>
  <c r="I30" i="3"/>
  <c r="H30" i="3"/>
  <c r="G30" i="3"/>
  <c r="F30" i="3"/>
  <c r="E30" i="3"/>
  <c r="D30" i="3"/>
  <c r="K27" i="3"/>
  <c r="J27" i="3"/>
  <c r="I27" i="3"/>
  <c r="H27" i="3"/>
  <c r="G27" i="3"/>
  <c r="F27" i="3"/>
  <c r="E27" i="3"/>
  <c r="D27" i="3"/>
  <c r="K25" i="3"/>
  <c r="J25" i="3"/>
  <c r="I25" i="3"/>
  <c r="H25" i="3"/>
  <c r="G25" i="3"/>
  <c r="F25" i="3"/>
  <c r="E25" i="3"/>
  <c r="D25" i="3"/>
  <c r="K23" i="3"/>
  <c r="J23" i="3"/>
  <c r="I23" i="3"/>
  <c r="H23" i="3"/>
  <c r="G23" i="3"/>
  <c r="F23" i="3"/>
  <c r="E23" i="3"/>
  <c r="D23" i="3"/>
  <c r="K19" i="3"/>
  <c r="J19" i="3"/>
  <c r="I19" i="3"/>
  <c r="H19" i="3"/>
  <c r="G19" i="3"/>
  <c r="F19" i="3"/>
  <c r="E19" i="3"/>
  <c r="D19"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7" i="3"/>
  <c r="I35" i="3"/>
  <c r="I34" i="3"/>
  <c r="I29" i="3"/>
  <c r="H63" i="3"/>
  <c r="H59" i="3"/>
  <c r="H29" i="3"/>
  <c r="G37" i="3"/>
  <c r="G35" i="3"/>
  <c r="G34" i="3"/>
  <c r="G29" i="3"/>
  <c r="F34" i="3"/>
  <c r="F29" i="3"/>
  <c r="E63" i="3"/>
  <c r="E59" i="3"/>
  <c r="E37" i="3"/>
  <c r="E29" i="3"/>
  <c r="D63" i="3"/>
  <c r="D59" i="3"/>
  <c r="D37" i="3"/>
  <c r="D35" i="3"/>
  <c r="D34" i="3"/>
  <c r="D29" i="3"/>
  <c r="C76" i="3"/>
  <c r="C75" i="3"/>
  <c r="C74" i="3"/>
  <c r="C70" i="3"/>
  <c r="C67" i="3"/>
  <c r="C66" i="3"/>
  <c r="C65" i="3"/>
  <c r="M63" i="3"/>
  <c r="L63" i="3"/>
  <c r="C63" i="3"/>
  <c r="C62" i="3"/>
  <c r="C60" i="3"/>
  <c r="C59" i="3"/>
  <c r="C58" i="3"/>
  <c r="C57" i="3"/>
  <c r="C56" i="3"/>
  <c r="C51" i="3"/>
  <c r="C48" i="3"/>
  <c r="C47" i="3"/>
  <c r="C45" i="3"/>
  <c r="C44" i="3"/>
  <c r="C43" i="3"/>
  <c r="C36" i="3"/>
  <c r="C32" i="3"/>
  <c r="C30" i="3"/>
  <c r="C29" i="3"/>
  <c r="C27" i="3"/>
  <c r="C25" i="3"/>
  <c r="C23" i="3"/>
  <c r="C19" i="3"/>
  <c r="C14" i="3"/>
  <c r="C13" i="3"/>
  <c r="C11" i="3"/>
  <c r="C10" i="3"/>
  <c r="C9" i="3"/>
  <c r="C8" i="3"/>
  <c r="C7" i="3"/>
  <c r="P38" i="3"/>
  <c r="Q38" i="3"/>
  <c r="M34" i="3"/>
  <c r="M38" i="3" s="1"/>
  <c r="L34" i="3"/>
  <c r="L38" i="3" s="1"/>
  <c r="H38" i="3" l="1"/>
  <c r="C38" i="3"/>
  <c r="C64" i="3"/>
  <c r="K38" i="3"/>
  <c r="J38" i="3"/>
  <c r="I38" i="3"/>
  <c r="G38" i="3"/>
  <c r="F38" i="3"/>
  <c r="E38" i="3"/>
  <c r="D38" i="3"/>
  <c r="Q60" i="4" l="1"/>
  <c r="Q6" i="4"/>
  <c r="Q77" i="3"/>
  <c r="Q64" i="3"/>
  <c r="Q53" i="3"/>
  <c r="Q55" i="3" s="1"/>
  <c r="Q24" i="3"/>
  <c r="Q80" i="3" l="1"/>
  <c r="Q81" i="3" s="1"/>
  <c r="Q41" i="3"/>
  <c r="P60" i="4" l="1"/>
  <c r="P6" i="4"/>
  <c r="P38" i="4" s="1"/>
  <c r="P41" i="4" s="1"/>
  <c r="P64" i="3"/>
  <c r="P77" i="3"/>
  <c r="P53" i="3"/>
  <c r="P55" i="3" s="1"/>
  <c r="P24" i="3"/>
  <c r="O77" i="3"/>
  <c r="N77" i="3"/>
  <c r="O64" i="3"/>
  <c r="N64" i="3"/>
  <c r="O24" i="3"/>
  <c r="N24" i="3"/>
  <c r="O60" i="4"/>
  <c r="O6" i="4"/>
  <c r="O38" i="4" s="1"/>
  <c r="O41" i="4" s="1"/>
  <c r="O53" i="3"/>
  <c r="O55" i="3" s="1"/>
  <c r="P80" i="3" l="1"/>
  <c r="P76" i="4"/>
  <c r="P80" i="4" s="1"/>
  <c r="P41" i="3"/>
  <c r="O76" i="4"/>
  <c r="O80" i="4" s="1"/>
  <c r="O80" i="3"/>
  <c r="N60" i="4"/>
  <c r="N6" i="4"/>
  <c r="N53" i="3"/>
  <c r="N55" i="3" s="1"/>
  <c r="P81" i="3" l="1"/>
  <c r="Q38" i="4"/>
  <c r="Q41" i="4" s="1"/>
  <c r="Q76" i="4" s="1"/>
  <c r="Q80" i="4" s="1"/>
  <c r="O81" i="3"/>
  <c r="N80" i="3"/>
  <c r="M60" i="4"/>
  <c r="M6" i="4"/>
  <c r="M77" i="3"/>
  <c r="M64" i="3"/>
  <c r="M53" i="3"/>
  <c r="M55" i="3" s="1"/>
  <c r="M24" i="3"/>
  <c r="N81" i="3" l="1"/>
  <c r="M38" i="4"/>
  <c r="M41" i="4" s="1"/>
  <c r="M76" i="4" s="1"/>
  <c r="M80" i="4" s="1"/>
  <c r="M80" i="3"/>
  <c r="M41" i="3"/>
  <c r="M81" i="3" l="1"/>
  <c r="N38" i="4" l="1"/>
  <c r="E6" i="4"/>
  <c r="D6" i="4"/>
  <c r="C6" i="4"/>
  <c r="I66" i="4"/>
  <c r="I75" i="4" s="1"/>
  <c r="H66" i="4"/>
  <c r="H75" i="4" s="1"/>
  <c r="G66" i="4"/>
  <c r="G75" i="4" s="1"/>
  <c r="F66" i="4"/>
  <c r="F75" i="4" s="1"/>
  <c r="E66" i="4"/>
  <c r="E75" i="4" s="1"/>
  <c r="D66" i="4"/>
  <c r="D75" i="4" s="1"/>
  <c r="N41" i="4" l="1"/>
  <c r="J54" i="3"/>
  <c r="K54" i="3"/>
  <c r="I54" i="3"/>
  <c r="C60" i="4"/>
  <c r="D60" i="4"/>
  <c r="E60" i="4"/>
  <c r="F60" i="4"/>
  <c r="G60" i="4"/>
  <c r="H60" i="4"/>
  <c r="I60" i="4"/>
  <c r="J60" i="4"/>
  <c r="K60" i="4"/>
  <c r="L60" i="4"/>
  <c r="O29" i="3" l="1"/>
  <c r="O38" i="3" s="1"/>
  <c r="N29" i="3"/>
  <c r="N35" i="3"/>
  <c r="N76" i="4"/>
  <c r="L6" i="4"/>
  <c r="L77" i="3"/>
  <c r="L64" i="3"/>
  <c r="L53" i="3"/>
  <c r="L55" i="3" s="1"/>
  <c r="L24" i="3"/>
  <c r="N38" i="3" l="1"/>
  <c r="I53" i="3"/>
  <c r="I55" i="3" s="1"/>
  <c r="E77" i="3"/>
  <c r="D64" i="3"/>
  <c r="J77" i="3"/>
  <c r="H53" i="3"/>
  <c r="H55" i="3" s="1"/>
  <c r="I64" i="3"/>
  <c r="J53" i="3"/>
  <c r="J55" i="3" s="1"/>
  <c r="D77" i="3"/>
  <c r="F77" i="3"/>
  <c r="J64" i="3"/>
  <c r="G53" i="3"/>
  <c r="G55" i="3" s="1"/>
  <c r="E53" i="3"/>
  <c r="E55" i="3" s="1"/>
  <c r="K77" i="3"/>
  <c r="F64" i="3"/>
  <c r="C53" i="3"/>
  <c r="C55" i="3" s="1"/>
  <c r="E64" i="3"/>
  <c r="H77" i="3"/>
  <c r="G77" i="3"/>
  <c r="K64" i="3"/>
  <c r="H64" i="3"/>
  <c r="C77" i="3"/>
  <c r="F53" i="3"/>
  <c r="F55" i="3" s="1"/>
  <c r="K24" i="3"/>
  <c r="I77" i="3"/>
  <c r="G64" i="3"/>
  <c r="D53" i="3"/>
  <c r="D55" i="3" s="1"/>
  <c r="K53" i="3"/>
  <c r="K55" i="3" s="1"/>
  <c r="N80" i="4"/>
  <c r="G24" i="3"/>
  <c r="F24" i="3"/>
  <c r="H24" i="3"/>
  <c r="C24" i="3"/>
  <c r="I24" i="3"/>
  <c r="J24" i="3"/>
  <c r="E24" i="3"/>
  <c r="D24" i="3"/>
  <c r="L41" i="3"/>
  <c r="L80" i="3"/>
  <c r="E80" i="3" l="1"/>
  <c r="E81" i="3" s="1"/>
  <c r="I80" i="3"/>
  <c r="I81" i="3" s="1"/>
  <c r="C80" i="3"/>
  <c r="C81" i="3" s="1"/>
  <c r="K80" i="3"/>
  <c r="K81" i="3" s="1"/>
  <c r="J80" i="3"/>
  <c r="J81" i="3" s="1"/>
  <c r="G41" i="3"/>
  <c r="F80" i="3"/>
  <c r="F81" i="3" s="1"/>
  <c r="D80" i="3"/>
  <c r="D81" i="3" s="1"/>
  <c r="H80" i="3"/>
  <c r="H81" i="3" s="1"/>
  <c r="J41" i="3"/>
  <c r="O41" i="3"/>
  <c r="G80" i="3"/>
  <c r="G81" i="3" s="1"/>
  <c r="H41" i="3"/>
  <c r="N41" i="3"/>
  <c r="E41" i="3"/>
  <c r="D41" i="3"/>
  <c r="L81" i="3"/>
  <c r="C41" i="3"/>
  <c r="F41" i="3"/>
  <c r="K41" i="3"/>
  <c r="I41" i="3"/>
  <c r="L38" i="4" l="1"/>
  <c r="L41" i="4" s="1"/>
  <c r="L76" i="4" s="1"/>
  <c r="L80" i="4" s="1"/>
  <c r="D38" i="4" l="1"/>
  <c r="D41" i="4" s="1"/>
  <c r="D76" i="4" l="1"/>
  <c r="D80" i="4" s="1"/>
  <c r="F6" i="4" l="1"/>
  <c r="F38" i="4" s="1"/>
  <c r="F41" i="4" s="1"/>
  <c r="F76" i="4" s="1"/>
  <c r="F80" i="4" s="1"/>
  <c r="K6" i="4"/>
  <c r="K38" i="4" s="1"/>
  <c r="K41" i="4" s="1"/>
  <c r="K76" i="4" s="1"/>
  <c r="K80" i="4" s="1"/>
  <c r="C38" i="4"/>
  <c r="C41" i="4" s="1"/>
  <c r="C76" i="4" s="1"/>
  <c r="C80" i="4" s="1"/>
  <c r="G6" i="4"/>
  <c r="G38" i="4" s="1"/>
  <c r="G41" i="4" s="1"/>
  <c r="G76" i="4" s="1"/>
  <c r="G80" i="4" s="1"/>
  <c r="H6" i="4"/>
  <c r="H38" i="4" s="1"/>
  <c r="H41" i="4" s="1"/>
  <c r="H76" i="4" s="1"/>
  <c r="H80" i="4" s="1"/>
  <c r="E38" i="4"/>
  <c r="E41" i="4" s="1"/>
  <c r="E76" i="4" s="1"/>
  <c r="E80" i="4" s="1"/>
  <c r="J6" i="4"/>
  <c r="J38" i="4" s="1"/>
  <c r="J41" i="4" s="1"/>
  <c r="J76" i="4" s="1"/>
  <c r="J80" i="4" s="1"/>
  <c r="I6" i="4"/>
  <c r="I38" i="4" s="1"/>
  <c r="I41" i="4" s="1"/>
  <c r="I76" i="4" s="1"/>
  <c r="I80" i="4" s="1"/>
  <c r="AD38" i="4" l="1"/>
  <c r="AD41" i="4" l="1"/>
  <c r="AD76" i="4" l="1"/>
  <c r="AD80" i="4" l="1"/>
  <c r="AL77" i="4" l="1"/>
  <c r="AH77" i="4"/>
  <c r="AK77" i="4"/>
  <c r="AK80" i="4" s="1"/>
  <c r="AJ77" i="4"/>
  <c r="AJ80" i="4" s="1"/>
  <c r="AG77" i="4"/>
  <c r="AG80" i="4" s="1"/>
  <c r="AF77" i="4"/>
  <c r="AF80" i="4" s="1"/>
  <c r="AH80" i="4" l="1"/>
  <c r="AL80" i="4"/>
  <c r="AM77" i="4" s="1"/>
  <c r="AM80" i="4" s="1"/>
  <c r="AW24" i="5" l="1"/>
  <c r="AW5" i="5" s="1"/>
  <c r="AZ5" i="5" l="1"/>
  <c r="AU38" i="4"/>
  <c r="AU41" i="4" s="1"/>
  <c r="AU76" i="4" l="1"/>
  <c r="AU80" i="4" s="1"/>
  <c r="U16" i="9"/>
  <c r="U6" i="9" l="1"/>
  <c r="AW5" i="4" l="1"/>
  <c r="AW38" i="4" s="1"/>
  <c r="AV41" i="4"/>
  <c r="AW41" i="4" l="1"/>
  <c r="AV76" i="4"/>
  <c r="AW76" i="4" l="1"/>
  <c r="AW80" i="4" s="1"/>
  <c r="AV80" i="4"/>
  <c r="AX5" i="4" l="1"/>
  <c r="AX38" i="4" l="1"/>
  <c r="AX41" i="4" l="1"/>
  <c r="AX76" i="4" l="1"/>
  <c r="AX80" i="4" l="1"/>
  <c r="BA77" i="4" s="1"/>
  <c r="BA80" i="4" s="1"/>
  <c r="AY77" i="4" l="1"/>
  <c r="AY80" i="4" s="1"/>
  <c r="AZ77" i="4"/>
  <c r="AZ80" i="4" s="1"/>
  <c r="AC6" i="9" l="1"/>
</calcChain>
</file>

<file path=xl/sharedStrings.xml><?xml version="1.0" encoding="utf-8"?>
<sst xmlns="http://schemas.openxmlformats.org/spreadsheetml/2006/main" count="1763" uniqueCount="821">
  <si>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</si>
  <si>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</si>
  <si>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</si>
  <si>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</si>
  <si>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</si>
  <si>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</si>
  <si>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</si>
  <si>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</si>
  <si>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t>2022 (dane wg MSSF 16)</t>
  </si>
  <si>
    <t>2023 (dane wg MSSF 16)</t>
  </si>
  <si>
    <t>2024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</si>
  <si>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</si>
  <si>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</si>
  <si>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</si>
  <si>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</si>
  <si>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</si>
  <si>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</si>
  <si>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2022 (IFRS 16 basis)</t>
  </si>
  <si>
    <t>2023 (IFRS 16 basis)</t>
  </si>
  <si>
    <t>2024 (IFRS 16 basis)</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</si>
  <si>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</si>
  <si>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</si>
  <si>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</si>
  <si>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</si>
  <si>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</si>
  <si>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</si>
  <si>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</si>
  <si>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</si>
  <si>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</si>
  <si>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YTD2021</t>
  </si>
  <si>
    <t>YTD2022</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</si>
  <si>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</si>
  <si>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</si>
  <si>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</si>
  <si>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</si>
  <si>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</si>
  <si>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</si>
  <si>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</si>
  <si>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</si>
  <si>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Przychody ze sprzedaży energii</t>
  </si>
  <si>
    <t>Energy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</si>
  <si>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</si>
  <si>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</si>
  <si>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</si>
  <si>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</si>
  <si>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</si>
  <si>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</si>
  <si>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</si>
  <si>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</si>
  <si>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</si>
  <si>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</si>
  <si>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</si>
  <si>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</si>
  <si>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Koszt własny sprzedanej energii</t>
  </si>
  <si>
    <t>Cost of energy sold</t>
  </si>
  <si>
    <t>w tym amortyzacja</t>
  </si>
  <si>
    <t>of which amortisation</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</si>
  <si>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</si>
  <si>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</si>
  <si>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</si>
  <si>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</si>
  <si>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</si>
  <si>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</si>
  <si>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Zysk ze sprzedaży jednostki zależnej i stowarzyszonej</t>
  </si>
  <si>
    <t>Gain on disposal of a subsidiary and an associate</t>
  </si>
  <si>
    <t>Pozostałe przychody / (koszty) operacyjne, netto</t>
  </si>
  <si>
    <t>Other operating income / (cost), net</t>
  </si>
  <si>
    <t>Zysk z działalności operacyjnej</t>
  </si>
  <si>
    <t>Profit from operating activities</t>
  </si>
  <si>
    <r>
      <t>Zyski/(straty)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</si>
  <si>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</si>
  <si>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</si>
  <si>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</si>
  <si>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</si>
  <si>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</si>
  <si>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</si>
  <si>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</si>
  <si>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</si>
  <si>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</si>
  <si>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</si>
  <si>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</si>
  <si>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</si>
  <si>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</si>
  <si>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</si>
  <si>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</si>
  <si>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</si>
  <si>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</si>
  <si>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</si>
  <si>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</si>
  <si>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</si>
  <si>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</si>
  <si>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</si>
  <si>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t>Koszty związane z COVID (w tym darowizny)</t>
  </si>
  <si>
    <t>Costs related to COVID (including donations)</t>
  </si>
  <si>
    <t>Koszty wsparcia Ukrainy</t>
  </si>
  <si>
    <t>Costs of support for Ukraine</t>
  </si>
  <si>
    <t>EBITDA skorygowana</t>
  </si>
  <si>
    <t>marża EBITDA skorygowana</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</si>
  <si>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</si>
  <si>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</si>
  <si>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</si>
  <si>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</si>
  <si>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</si>
  <si>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</si>
  <si>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</si>
  <si>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</si>
  <si>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</si>
  <si>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</si>
  <si>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</si>
  <si>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</si>
  <si>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</si>
  <si>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</si>
  <si>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</si>
  <si>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</si>
  <si>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</si>
  <si>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</si>
  <si>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</si>
  <si>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</si>
  <si>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</si>
  <si>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</si>
  <si>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</si>
  <si>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</si>
  <si>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</si>
  <si>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r>
      <t>Zestawy odbiorcze</t>
    </r>
    <r>
      <rPr>
        <vertAlign val="superscript"/>
        <sz val="10"/>
        <color indexed="8"/>
        <rFont val="Calibri"/>
        <family val="2"/>
        <charset val="238"/>
      </rPr>
      <t>7)</t>
    </r>
  </si>
  <si>
    <r>
      <t>Reception equipment</t>
    </r>
    <r>
      <rPr>
        <vertAlign val="superscript"/>
        <sz val="10"/>
        <color theme="1"/>
        <rFont val="Calibri"/>
        <family val="2"/>
        <charset val="238"/>
        <scheme val="minor"/>
      </rPr>
      <t>7)</t>
    </r>
  </si>
  <si>
    <t>7)</t>
  </si>
  <si>
    <t>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</si>
  <si>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</si>
  <si>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</si>
  <si>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</si>
  <si>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</si>
  <si>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</si>
  <si>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</si>
  <si>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</si>
  <si>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</si>
  <si>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</si>
  <si>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</si>
  <si>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</si>
  <si>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</si>
  <si>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</si>
  <si>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</si>
  <si>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</si>
  <si>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</si>
  <si>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</si>
  <si>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</si>
  <si>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</si>
  <si>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 xml:space="preserve">3) </t>
    </r>
  </si>
  <si>
    <r>
      <t xml:space="preserve">Non-current trade receivables </t>
    </r>
    <r>
      <rPr>
        <vertAlign val="superscript"/>
        <sz val="10"/>
        <color theme="1"/>
        <rFont val="Calibri"/>
        <family val="2"/>
        <charset val="238"/>
        <scheme val="minor"/>
      </rPr>
      <t>3)</t>
    </r>
  </si>
  <si>
    <r>
      <t xml:space="preserve">Udzielone pożyczki długoterminowe </t>
    </r>
    <r>
      <rPr>
        <vertAlign val="superscript"/>
        <sz val="10"/>
        <color indexed="8"/>
        <rFont val="Calibri"/>
        <family val="2"/>
        <charset val="238"/>
      </rPr>
      <t>5)</t>
    </r>
  </si>
  <si>
    <r>
      <t xml:space="preserve">Non-current loans granted </t>
    </r>
    <r>
      <rPr>
        <vertAlign val="superscript"/>
        <sz val="10"/>
        <color theme="1"/>
        <rFont val="Calibri"/>
        <family val="2"/>
        <charset val="238"/>
        <scheme val="minor"/>
      </rPr>
      <t>5)</t>
    </r>
  </si>
  <si>
    <r>
      <t xml:space="preserve">Inne aktywa długoterminowe, w tym: </t>
    </r>
    <r>
      <rPr>
        <vertAlign val="superscript"/>
        <sz val="10"/>
        <color indexed="8"/>
        <rFont val="Calibri"/>
        <family val="2"/>
        <charset val="238"/>
      </rPr>
      <t>3) 5)</t>
    </r>
  </si>
  <si>
    <r>
      <t xml:space="preserve">Other non-current assets </t>
    </r>
    <r>
      <rPr>
        <vertAlign val="superscript"/>
        <sz val="10"/>
        <color theme="1"/>
        <rFont val="Calibri"/>
        <family val="2"/>
        <charset val="238"/>
        <scheme val="minor"/>
      </rPr>
      <t>3) 5)</t>
    </r>
    <r>
      <rPr>
        <sz val="10"/>
        <color theme="1"/>
        <rFont val="Calibri"/>
        <family val="2"/>
        <charset val="238"/>
        <scheme val="minor"/>
      </rPr>
      <t>, includes:</t>
    </r>
  </si>
  <si>
    <t>udziały w jednostkach stowarzyszonych i wspólnych przedsięwzięciach wycenianych metodą praw własności</t>
  </si>
  <si>
    <t>shares in associates accounted for using the equity method</t>
  </si>
  <si>
    <t>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</si>
  <si>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</si>
  <si>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</si>
  <si>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</si>
  <si>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</si>
  <si>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</si>
  <si>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</si>
  <si>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</si>
  <si>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</si>
  <si>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</si>
  <si>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</si>
  <si>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</si>
  <si>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r>
      <t xml:space="preserve">Należności z tytułu dostaw i usług oraz pozostałe należności </t>
    </r>
    <r>
      <rPr>
        <vertAlign val="superscript"/>
        <sz val="10"/>
        <color indexed="8"/>
        <rFont val="Calibri"/>
        <family val="2"/>
        <charset val="238"/>
      </rPr>
      <t>6)</t>
    </r>
  </si>
  <si>
    <t>Trade and other receivables</t>
  </si>
  <si>
    <r>
      <t xml:space="preserve">Pożyczki udzielone </t>
    </r>
    <r>
      <rPr>
        <vertAlign val="superscript"/>
        <sz val="10"/>
        <color indexed="8"/>
        <rFont val="Calibri"/>
        <family val="2"/>
        <charset val="238"/>
      </rPr>
      <t>6)</t>
    </r>
  </si>
  <si>
    <r>
      <t xml:space="preserve">Current loans granted </t>
    </r>
    <r>
      <rPr>
        <vertAlign val="superscript"/>
        <sz val="10"/>
        <color theme="1"/>
        <rFont val="Calibri"/>
        <family val="2"/>
        <charset val="238"/>
        <scheme val="minor"/>
      </rPr>
      <t>6)</t>
    </r>
  </si>
  <si>
    <t>Należności z tytułu podatku dochodowego</t>
  </si>
  <si>
    <t>Income tax receivable</t>
  </si>
  <si>
    <t>Krótkoterminowe prowizje dla dystrybutorów rozliczane w czasie</t>
  </si>
  <si>
    <t>Current deferred distribution fees</t>
  </si>
  <si>
    <t>Pozostałe aktywa obrotowe, w tym</t>
  </si>
  <si>
    <t>Other current assets, includes:</t>
  </si>
  <si>
    <t>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</si>
  <si>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</si>
  <si>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</si>
  <si>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</si>
  <si>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</si>
  <si>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</si>
  <si>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</si>
  <si>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</si>
  <si>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</si>
  <si>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 w tym:</t>
  </si>
  <si>
    <t>Assets held for sale</t>
  </si>
  <si>
    <t>środki pieniężne i ich ekwiwalenty</t>
  </si>
  <si>
    <t xml:space="preserve">includes cash and cash equivalents </t>
  </si>
  <si>
    <t>AKTYWA RAZEM</t>
  </si>
  <si>
    <t>TOTAL ASSETS</t>
  </si>
  <si>
    <t>PASYWA</t>
  </si>
  <si>
    <t>EQUITY AND LIABILITIES</t>
  </si>
  <si>
    <t>Kapitał zakładowy</t>
  </si>
  <si>
    <t>Share capital</t>
  </si>
  <si>
    <t>Kapitał zapasowy</t>
  </si>
  <si>
    <t>Reserve capital</t>
  </si>
  <si>
    <t>-</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</si>
  <si>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</si>
  <si>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</si>
  <si>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</si>
  <si>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</si>
  <si>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</si>
  <si>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</si>
  <si>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</si>
  <si>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adjustment</t>
  </si>
  <si>
    <t>Udział w innych całkowitych dochodach jednostek stowarzyszonych</t>
  </si>
  <si>
    <t>Share of other comprehensive income of associates</t>
  </si>
  <si>
    <t>Pozostałe kapitały</t>
  </si>
  <si>
    <t>Zyski zatrzymane</t>
  </si>
  <si>
    <t>Retained earnings</t>
  </si>
  <si>
    <t>Akcje własne</t>
  </si>
  <si>
    <t>Treasury shares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</si>
  <si>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</si>
  <si>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</si>
  <si>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</si>
  <si>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</si>
  <si>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</si>
  <si>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</si>
  <si>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</si>
  <si>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</si>
  <si>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</si>
  <si>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</si>
  <si>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</si>
  <si>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</si>
  <si>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</si>
  <si>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</si>
  <si>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</si>
  <si>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</si>
  <si>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</si>
  <si>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</si>
  <si>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 w tym:</t>
  </si>
  <si>
    <t xml:space="preserve">Other non-current liabilities and provisions, includes: </t>
  </si>
  <si>
    <t>zobowiązania z tytułu instrumentów pochodnych</t>
  </si>
  <si>
    <t>derivative instruments liabilities</t>
  </si>
  <si>
    <t>Zobowiązania długoterminowe razem</t>
  </si>
  <si>
    <t xml:space="preserve">Total non-current liabilities </t>
  </si>
  <si>
    <t xml:space="preserve">Zobowiązania z tytułu leasingu </t>
  </si>
  <si>
    <t>Zobowiązania z tytułu kontraktów</t>
  </si>
  <si>
    <t>Contract liabilities</t>
  </si>
  <si>
    <t>Zobowiązania z tytułu dostaw i usług oraz pozostałe zobowiązania, w tym:</t>
  </si>
  <si>
    <t>Trade and other payables, includes:</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</si>
  <si>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</si>
  <si>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</si>
  <si>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</si>
  <si>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</si>
  <si>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</si>
  <si>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</si>
  <si>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</si>
  <si>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</si>
  <si>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</si>
  <si>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</si>
  <si>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</si>
  <si>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</si>
  <si>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 includes:</t>
  </si>
  <si>
    <t>w tym zobowiązania z tytułu leasingu</t>
  </si>
  <si>
    <t>lease liabilities</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</si>
  <si>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</si>
  <si>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</si>
  <si>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</si>
  <si>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</si>
  <si>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</si>
  <si>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wydany sprzęt" została ujęta w pozycji "Zobowiązania z tytułu dostaw i usług oraz pozostałe zobowiązania".</t>
  </si>
  <si>
    <t>2) From June 30, 2015 the item "Deposits for equipment" is accounted for in the item "Trade and other payables"</t>
  </si>
  <si>
    <t>3) Na 31 grudnia 2019 roku Spółka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</si>
  <si>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separately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</si>
  <si>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</si>
  <si>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</si>
  <si>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 xml:space="preserve">5) Spółka wydzieliła na dzień 31 grudnia 2022 roku pozycję "Udzielone pożyczki długoterminowe" z pozycji "Inne aktywa długoterminowe". Dane na 31 grudnia 2021 zostały przekształcone w celu uzgodnienia prezentacji. </t>
  </si>
  <si>
    <t>5) As at December 31, 2022, the Company changed the presentation of the item "Other non-current assets" by reclassifying and separately presenting the item "Non-current loans granted". Data as of December 31, 2021 have been restated.</t>
  </si>
  <si>
    <t xml:space="preserve">6) Spółka wydzieliła na dzień 31 grudnia 2022 roku pozycję "Udzielone pożyczki" z pozycji "Należności z tytułu dostaw i usług oraz pozostałe należności". Dane na 31 grudnia 2021 zostały przekształcone w celu uzgodnienia prezentacji. </t>
  </si>
  <si>
    <t>6) As at December 31, 2022, the Company changed the presentation of the item "Trade and other receivables" by reclassifying and separately presenting the item "Loans granted". Data as of December 31, 2021 have been restated.</t>
  </si>
  <si>
    <t>7) Od 31 grudnia 2023 roku pozycja "Zestawy odbiorcze" została ujęta w pozycji "Inne rzeczowe aktywa trwałe".</t>
  </si>
  <si>
    <t>7) As at December 31, 2023 the item "Reception equipment" is accounted for in the item "Other property, plant and equipment"</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</si>
  <si>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</si>
  <si>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</si>
  <si>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</si>
  <si>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</si>
  <si>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</si>
  <si>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</si>
  <si>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</si>
  <si>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</si>
  <si>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</si>
  <si>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</si>
  <si>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</si>
  <si>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</si>
  <si>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</si>
  <si>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</si>
  <si>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</si>
  <si>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</si>
  <si>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</si>
  <si>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</si>
  <si>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</si>
  <si>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</si>
  <si>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</si>
  <si>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</si>
  <si>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</si>
  <si>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</si>
  <si>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</si>
  <si>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</si>
  <si>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</si>
  <si>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</si>
  <si>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</si>
  <si>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</si>
  <si>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</si>
  <si>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</si>
  <si>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</si>
  <si>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</si>
  <si>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</si>
  <si>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</si>
  <si>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</si>
  <si>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</si>
  <si>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</si>
  <si>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</si>
  <si>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</si>
  <si>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</si>
  <si>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</si>
  <si>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t>Share of the profit of a joint venture accounted for using the equity method</t>
  </si>
  <si>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</si>
  <si>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</si>
  <si>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</si>
  <si>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</si>
  <si>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</si>
  <si>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</si>
  <si>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</si>
  <si>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</si>
  <si>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</si>
  <si>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</si>
  <si>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Premium for early redemption of bonds</t>
  </si>
  <si>
    <t>Jednorazowy przychód wynikający z modyfikacji przepływów pieniężnych w wyniku konwersji obligacji</t>
  </si>
  <si>
    <t>Cumulative catch-up</t>
  </si>
  <si>
    <t>(Zysk) / strata na instrumentach pochodnych, netto</t>
  </si>
  <si>
    <t>Net (gain)/loss on derivatives</t>
  </si>
  <si>
    <t>Zysk ze sprzedaży udziałów/akcji w jednostce zależnej/stowarzyszonej</t>
  </si>
  <si>
    <t>Efekt przeliczenia wartości zobowiązań z tytułu modyfikacji umowy kredytowej</t>
  </si>
  <si>
    <t>Cumulative catch-up resulting from modification of the loan agreement</t>
  </si>
  <si>
    <t>Efekt jednorazowej spłaty kredytów</t>
  </si>
  <si>
    <t>One-time loans repayment</t>
  </si>
  <si>
    <t>Przychody z tytułu dywidend</t>
  </si>
  <si>
    <t>Dividend income</t>
  </si>
  <si>
    <t>Zmiana wartości udziałów w Asseco Poland S.A.</t>
  </si>
  <si>
    <t>Change in value of Asseco Poland S.A. shares</t>
  </si>
  <si>
    <t>Zysk ze sprzedaży IP</t>
  </si>
  <si>
    <t>Gain on disposal of IP</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</si>
  <si>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</si>
  <si>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</si>
  <si>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</si>
  <si>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</si>
  <si>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</si>
  <si>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</si>
  <si>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</si>
  <si>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</si>
  <si>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</si>
  <si>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</si>
  <si>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</si>
  <si>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</si>
  <si>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</si>
  <si>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</si>
  <si>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</si>
  <si>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</si>
  <si>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</si>
  <si>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</si>
  <si>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</si>
  <si>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t>
  </si>
  <si>
    <t>Nabycie udziałów w jednostkach zależnych pomniejszone o przejęte środki pieniężne</t>
  </si>
  <si>
    <t>Acquisition of subsidiaries, net of cash acquired</t>
  </si>
  <si>
    <t>Podwyższenie kapitału w jednostce stowarzyszonej</t>
  </si>
  <si>
    <t>Capital increase in an associate</t>
  </si>
  <si>
    <t>Wpływy ze zbycia udziałów/akcji w jednostce zależnej/stowarzyszonej</t>
  </si>
  <si>
    <t>Proceeds from disposal of a subsidiary and an associate</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</si>
  <si>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</si>
  <si>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</si>
  <si>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</si>
  <si>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</si>
  <si>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</si>
  <si>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</si>
  <si>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</si>
  <si>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</si>
  <si>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</si>
  <si>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</si>
  <si>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</si>
  <si>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</si>
  <si>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</si>
  <si>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</si>
  <si>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</si>
  <si>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</si>
  <si>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Inne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</si>
  <si>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</si>
  <si>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</si>
  <si>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</si>
  <si>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</si>
  <si>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</si>
  <si>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 i pożyczek</t>
  </si>
  <si>
    <t>Loans and borrowings inflows</t>
  </si>
  <si>
    <t>Emisja obligacji/(Wykup obligacji)</t>
  </si>
  <si>
    <t>Bonds (redemption)/issue</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</si>
  <si>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</si>
  <si>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</si>
  <si>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</si>
  <si>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</si>
  <si>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</si>
  <si>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</si>
  <si>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</si>
  <si>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</si>
  <si>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</si>
  <si>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</si>
  <si>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Wypłacona dywidenda Jednostki Dominującej</t>
  </si>
  <si>
    <t>Dividend payment of the Parent Company</t>
  </si>
  <si>
    <t>Nabycie akcji własnych</t>
  </si>
  <si>
    <t>Acquisition of treasury shares</t>
  </si>
  <si>
    <t>Wykup obligacji wyemitowanych przez Midas</t>
  </si>
  <si>
    <t>Acquisition of bonds issued by Midas</t>
  </si>
  <si>
    <r>
      <t>Other outflows</t>
    </r>
    <r>
      <rPr>
        <vertAlign val="superscript"/>
        <sz val="10"/>
        <color indexed="8"/>
        <rFont val="Calibri"/>
        <family val="2"/>
        <charset val="238"/>
      </rPr>
      <t>(3)</t>
    </r>
  </si>
  <si>
    <r>
      <t xml:space="preserve">Wpływy/(wypływy) z tytułu realizacji instrumentów pochodnych </t>
    </r>
    <r>
      <rPr>
        <vertAlign val="superscript"/>
        <sz val="10"/>
        <color indexed="8"/>
        <rFont val="Calibri"/>
        <family val="2"/>
        <charset val="238"/>
      </rPr>
      <t>8)</t>
    </r>
  </si>
  <si>
    <r>
      <t xml:space="preserve">Hedging instrument effect </t>
    </r>
    <r>
      <rPr>
        <vertAlign val="superscript"/>
        <sz val="10"/>
        <color indexed="8"/>
        <rFont val="Calibri"/>
        <family val="2"/>
        <charset val="238"/>
      </rPr>
      <t>8)</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</si>
  <si>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</si>
  <si>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</si>
  <si>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</si>
  <si>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</si>
  <si>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</si>
  <si>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</si>
  <si>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</si>
  <si>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</si>
  <si>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</si>
  <si>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</si>
  <si>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</si>
  <si>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</si>
  <si>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</si>
  <si>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</si>
  <si>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premie za wcześniejszą spłatę obligacji oraz zapłatę za koszty związane z pozyskaniem finansowania. Do końca 2019 roku pozycja obejmowała wpływ instrumentów IRS/CIRS/forward.</t>
  </si>
  <si>
    <t>1) Includes premium paid for early bonds’ repayment and amount paid for costs related to new financing. Until the end of 2019 this item included the impact of hedging instruments.</t>
  </si>
  <si>
    <t xml:space="preserve">2) Pozycja została połączona z pozycją "Inne korekty". </t>
  </si>
  <si>
    <t xml:space="preserve">2) Item joined with item "Other adjustments". </t>
  </si>
  <si>
    <t>3) Pozycja obejmowła spłatę zobowiązań z tytułu leasingu finansowego do końca 2018 r. W latach 2020-2021 pozycja obejmowała wpływ instrumentów IRS/CIRS/forward.</t>
  </si>
  <si>
    <t>3) Item included Finance lease – principal repayments until the end of 2018. In the years 2020-2021 this item included the impact of hedging instrument.</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</si>
  <si>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</si>
  <si>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</si>
  <si>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</si>
  <si>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</si>
  <si>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</si>
  <si>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</si>
  <si>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</si>
  <si>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</si>
  <si>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</si>
  <si>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8) Pozycja wydzielona z "Inne wypływy" w Q1'2022.</t>
  </si>
  <si>
    <t>8) Item seperated from "Other outflows" in Q1'2022.</t>
  </si>
  <si>
    <t>2018 (dane wg MSR 17,
Grupa Netia konsolidowana od 22 maja 2018 r.)</t>
  </si>
  <si>
    <t>2019 (dane MSSF 16)</t>
  </si>
  <si>
    <t>2018 (IAS 17 basis,
Netia Group consolidated as of May 22, 2018)</t>
  </si>
  <si>
    <t>2019 (IFRS 16 basis)</t>
  </si>
  <si>
    <t>YTD2018</t>
  </si>
  <si>
    <t>YTD2019</t>
  </si>
  <si>
    <t>YTD2020</t>
  </si>
  <si>
    <t>FY2021</t>
  </si>
  <si>
    <t>Przychody ze sprzedaży</t>
  </si>
  <si>
    <t>Revenues</t>
  </si>
  <si>
    <t>Segment usług B2C i B2B</t>
  </si>
  <si>
    <t>B2C &amp; B2B services segment</t>
  </si>
  <si>
    <t>Segment mediowy: TV i online</t>
  </si>
  <si>
    <t>Media segment: TV &amp; online</t>
  </si>
  <si>
    <t xml:space="preserve">Segment nieruchomości </t>
  </si>
  <si>
    <t>Real estate segment</t>
  </si>
  <si>
    <t>Segment zielonej energii</t>
  </si>
  <si>
    <t>Green energy segment</t>
  </si>
  <si>
    <t>wyłączenia i korekty konsolidacyjne</t>
  </si>
  <si>
    <t>consolidation adjustments</t>
  </si>
  <si>
    <t>EBITDA skorygowana (niebadana)</t>
  </si>
  <si>
    <t>EBITDA adjusted (unaudited)</t>
  </si>
  <si>
    <t>Segment nieruchomości</t>
  </si>
  <si>
    <t>EBITDA (niebadana)</t>
  </si>
  <si>
    <t>EBITDA (unaudited)</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</si>
  <si>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</si>
  <si>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</si>
  <si>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3)</t>
    </r>
  </si>
  <si>
    <r>
      <t xml:space="preserve">Acquisition of property, plant and equipment, and other intangible assets </t>
    </r>
    <r>
      <rPr>
        <b/>
        <vertAlign val="superscript"/>
        <sz val="11"/>
        <color theme="1"/>
        <rFont val="Calibri"/>
        <family val="2"/>
        <charset val="238"/>
        <scheme val="minor"/>
      </rPr>
      <t>3)</t>
    </r>
  </si>
  <si>
    <t xml:space="preserve">B2C and B2B services segment </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</si>
  <si>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</si>
  <si>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</si>
  <si>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</si>
  <si>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</si>
  <si>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2) EBITDA skorygowana nie uwzględnia zysku ze sprzedaży jednostki zależnej i stowarzyszonej</t>
  </si>
  <si>
    <t>2) Adjusted EBITDA excludes the gain on the disposal of a subsidiary and an associate</t>
  </si>
  <si>
    <t>3)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</si>
  <si>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3) Until 2019 this item also included the acquisition of reception equipment in operating leasing, an item recognized in cash flows from operating activites. To ensure comparability, historical data has been corrected accordingly.</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</si>
  <si>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</si>
  <si>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</si>
  <si>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</si>
  <si>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</si>
  <si>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</si>
  <si>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</si>
  <si>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</si>
  <si>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</si>
  <si>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</si>
  <si>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</si>
  <si>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</si>
  <si>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</si>
  <si>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</si>
  <si>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</si>
  <si>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</si>
  <si>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</si>
  <si>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</si>
  <si>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</si>
  <si>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</si>
  <si>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</si>
  <si>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</si>
  <si>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</si>
  <si>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</si>
  <si>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</si>
  <si>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</si>
  <si>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</si>
  <si>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</si>
  <si>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</si>
  <si>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</si>
  <si>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</si>
  <si>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</si>
  <si>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</si>
  <si>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</si>
  <si>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</si>
  <si>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</si>
  <si>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</si>
  <si>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</si>
  <si>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</si>
  <si>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</si>
  <si>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</si>
  <si>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</si>
  <si>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</si>
  <si>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</si>
  <si>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</si>
  <si>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</si>
  <si>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</si>
  <si>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</si>
  <si>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</si>
  <si>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</si>
  <si>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</si>
  <si>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</si>
  <si>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</si>
  <si>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Q4'21
</t>
    </r>
    <r>
      <rPr>
        <i/>
        <sz val="10"/>
        <color theme="0"/>
        <rFont val="Calibri"/>
        <family val="2"/>
        <charset val="238"/>
      </rPr>
      <t>(dane wg MSSF 16)</t>
    </r>
  </si>
  <si>
    <r>
      <t xml:space="preserve">2021
</t>
    </r>
    <r>
      <rPr>
        <i/>
        <sz val="10"/>
        <color theme="0"/>
        <rFont val="Calibri"/>
        <family val="2"/>
        <charset val="238"/>
      </rPr>
      <t>(dane wg MSSF 16)</t>
    </r>
  </si>
  <si>
    <r>
      <t xml:space="preserve">Q1'22
</t>
    </r>
    <r>
      <rPr>
        <i/>
        <sz val="10"/>
        <color theme="0"/>
        <rFont val="Calibri"/>
        <family val="2"/>
        <charset val="238"/>
      </rPr>
      <t>(dane wg MSSF 16)</t>
    </r>
  </si>
  <si>
    <r>
      <t xml:space="preserve">Q2'22
</t>
    </r>
    <r>
      <rPr>
        <i/>
        <sz val="10"/>
        <color theme="0"/>
        <rFont val="Calibri"/>
        <family val="2"/>
        <charset val="238"/>
      </rPr>
      <t>(dane wg MSSF 16)</t>
    </r>
  </si>
  <si>
    <r>
      <t xml:space="preserve">Q3'22
</t>
    </r>
    <r>
      <rPr>
        <i/>
        <sz val="10"/>
        <color theme="0"/>
        <rFont val="Calibri"/>
        <family val="2"/>
        <charset val="238"/>
      </rPr>
      <t>(dane wg MSSF 16)</t>
    </r>
  </si>
  <si>
    <r>
      <t xml:space="preserve">Q4'22
</t>
    </r>
    <r>
      <rPr>
        <i/>
        <sz val="10"/>
        <color theme="0"/>
        <rFont val="Calibri"/>
        <family val="2"/>
        <charset val="238"/>
      </rPr>
      <t>(dane wg MSSF 16)</t>
    </r>
  </si>
  <si>
    <r>
      <t xml:space="preserve">2022
</t>
    </r>
    <r>
      <rPr>
        <i/>
        <sz val="10"/>
        <color theme="0"/>
        <rFont val="Calibri"/>
        <family val="2"/>
        <charset val="238"/>
      </rPr>
      <t>(dane wg MSSF 16)</t>
    </r>
  </si>
  <si>
    <r>
      <t xml:space="preserve">Q1'23
</t>
    </r>
    <r>
      <rPr>
        <i/>
        <sz val="10"/>
        <color theme="0"/>
        <rFont val="Calibri"/>
        <family val="2"/>
        <charset val="238"/>
      </rPr>
      <t>(dane wg MSSF 16)</t>
    </r>
  </si>
  <si>
    <r>
      <t xml:space="preserve">Q2'23
</t>
    </r>
    <r>
      <rPr>
        <i/>
        <sz val="10"/>
        <color theme="0"/>
        <rFont val="Calibri"/>
        <family val="2"/>
        <charset val="238"/>
      </rPr>
      <t>(dane wg MSSF 16)</t>
    </r>
  </si>
  <si>
    <r>
      <t xml:space="preserve">Q3'23
</t>
    </r>
    <r>
      <rPr>
        <i/>
        <sz val="10"/>
        <color theme="0"/>
        <rFont val="Calibri"/>
        <family val="2"/>
        <charset val="238"/>
      </rPr>
      <t>(dane wg MSSF 16)</t>
    </r>
  </si>
  <si>
    <r>
      <t xml:space="preserve">Q4'23
</t>
    </r>
    <r>
      <rPr>
        <i/>
        <sz val="10"/>
        <color theme="0"/>
        <rFont val="Calibri"/>
        <family val="2"/>
        <charset val="238"/>
      </rPr>
      <t>(dane wg MSSF 16)</t>
    </r>
  </si>
  <si>
    <r>
      <t xml:space="preserve">2023
</t>
    </r>
    <r>
      <rPr>
        <i/>
        <sz val="10"/>
        <color theme="0"/>
        <rFont val="Calibri"/>
        <family val="2"/>
        <charset val="238"/>
      </rPr>
      <t>(dane wg MSSF 16)</t>
    </r>
  </si>
  <si>
    <r>
      <t xml:space="preserve">Q1'24
</t>
    </r>
    <r>
      <rPr>
        <i/>
        <sz val="10"/>
        <color theme="0"/>
        <rFont val="Calibri"/>
        <family val="2"/>
        <charset val="238"/>
      </rPr>
      <t>(dane wg MSSF 16)</t>
    </r>
  </si>
  <si>
    <r>
      <t xml:space="preserve">Q2'24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</si>
  <si>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</si>
  <si>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</si>
  <si>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</si>
  <si>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</si>
  <si>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</si>
  <si>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</si>
  <si>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</si>
  <si>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</si>
  <si>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</si>
  <si>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</si>
  <si>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</si>
  <si>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</si>
  <si>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</si>
  <si>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</si>
  <si>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</si>
  <si>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</si>
  <si>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</si>
  <si>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</si>
  <si>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</si>
  <si>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</si>
  <si>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</si>
  <si>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</si>
  <si>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</si>
  <si>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 xml:space="preserve">Q4'21
</t>
    </r>
    <r>
      <rPr>
        <i/>
        <sz val="10"/>
        <color theme="0"/>
        <rFont val="Calibri"/>
        <family val="2"/>
        <charset val="238"/>
      </rPr>
      <t>(IFRS 16 basis)</t>
    </r>
  </si>
  <si>
    <r>
      <t xml:space="preserve">2021
</t>
    </r>
    <r>
      <rPr>
        <i/>
        <sz val="10"/>
        <color theme="0"/>
        <rFont val="Calibri"/>
        <family val="2"/>
        <charset val="238"/>
      </rPr>
      <t>(IFRS 16 basis)</t>
    </r>
  </si>
  <si>
    <r>
      <t xml:space="preserve">Q1'22
</t>
    </r>
    <r>
      <rPr>
        <i/>
        <sz val="10"/>
        <color theme="0"/>
        <rFont val="Calibri"/>
        <family val="2"/>
        <charset val="238"/>
      </rPr>
      <t>(IFRS 16 basis)</t>
    </r>
  </si>
  <si>
    <r>
      <t xml:space="preserve">Q2'22
</t>
    </r>
    <r>
      <rPr>
        <i/>
        <sz val="10"/>
        <color theme="0"/>
        <rFont val="Calibri"/>
        <family val="2"/>
        <charset val="238"/>
      </rPr>
      <t>(IFRS 16 basis)</t>
    </r>
  </si>
  <si>
    <r>
      <t xml:space="preserve">Q3'22
</t>
    </r>
    <r>
      <rPr>
        <i/>
        <sz val="10"/>
        <color theme="0"/>
        <rFont val="Calibri"/>
        <family val="2"/>
        <charset val="238"/>
      </rPr>
      <t>(IFRS 16 basis)</t>
    </r>
  </si>
  <si>
    <r>
      <t xml:space="preserve">Q4'22
</t>
    </r>
    <r>
      <rPr>
        <i/>
        <sz val="10"/>
        <color theme="0"/>
        <rFont val="Calibri"/>
        <family val="2"/>
        <charset val="238"/>
      </rPr>
      <t>(IFRS 16 basis)</t>
    </r>
  </si>
  <si>
    <r>
      <t xml:space="preserve">2022
</t>
    </r>
    <r>
      <rPr>
        <i/>
        <sz val="10"/>
        <color theme="0"/>
        <rFont val="Calibri"/>
        <family val="2"/>
        <charset val="238"/>
      </rPr>
      <t>(IFRS 16 basis)</t>
    </r>
  </si>
  <si>
    <r>
      <t xml:space="preserve">Q1'23
</t>
    </r>
    <r>
      <rPr>
        <i/>
        <sz val="10"/>
        <color theme="0"/>
        <rFont val="Calibri"/>
        <family val="2"/>
        <charset val="238"/>
      </rPr>
      <t>(IFRS 16 basis)</t>
    </r>
  </si>
  <si>
    <r>
      <t xml:space="preserve">Q2'23
</t>
    </r>
    <r>
      <rPr>
        <i/>
        <sz val="10"/>
        <color theme="0"/>
        <rFont val="Calibri"/>
        <family val="2"/>
        <charset val="238"/>
      </rPr>
      <t>(IFRS 16 basis)</t>
    </r>
  </si>
  <si>
    <r>
      <t xml:space="preserve">Q3'23
</t>
    </r>
    <r>
      <rPr>
        <i/>
        <sz val="10"/>
        <color theme="0"/>
        <rFont val="Calibri"/>
        <family val="2"/>
        <charset val="238"/>
      </rPr>
      <t>(IFRS 16 basis)</t>
    </r>
  </si>
  <si>
    <r>
      <t xml:space="preserve">Q4'23
</t>
    </r>
    <r>
      <rPr>
        <i/>
        <sz val="10"/>
        <color theme="0"/>
        <rFont val="Calibri"/>
        <family val="2"/>
        <charset val="238"/>
      </rPr>
      <t>(IFRS 16 basis)</t>
    </r>
  </si>
  <si>
    <r>
      <t xml:space="preserve">Q1'24
</t>
    </r>
    <r>
      <rPr>
        <i/>
        <sz val="10"/>
        <color theme="0"/>
        <rFont val="Calibri"/>
        <family val="2"/>
        <charset val="238"/>
      </rPr>
      <t>(IFRS 16 basis)</t>
    </r>
  </si>
  <si>
    <r>
      <t xml:space="preserve">Q2'24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</si>
  <si>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</si>
  <si>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10"/>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</si>
  <si>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</si>
  <si>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10"/>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</si>
  <si>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</si>
  <si>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</si>
  <si>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10"/>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</si>
  <si>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</si>
  <si>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10"/>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</si>
  <si>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</si>
  <si>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10"/>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</si>
  <si>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</si>
  <si>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</si>
  <si>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</si>
  <si>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</si>
  <si>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</si>
  <si>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</si>
  <si>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</si>
  <si>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</si>
  <si>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</si>
  <si>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</si>
  <si>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</si>
  <si>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</si>
  <si>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</si>
  <si>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</si>
  <si>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</si>
  <si>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</si>
  <si>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</si>
  <si>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</si>
  <si>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</si>
  <si>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</si>
  <si>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</si>
  <si>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</si>
  <si>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</si>
  <si>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</si>
  <si>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</si>
  <si>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</si>
  <si>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</si>
  <si>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</si>
  <si>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</si>
  <si>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</si>
  <si>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</si>
  <si>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</si>
  <si>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</si>
  <si>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</si>
  <si>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</si>
  <si>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</si>
  <si>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</si>
  <si>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</si>
  <si>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</si>
  <si>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</si>
  <si>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</si>
  <si>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</si>
  <si>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</si>
  <si>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</si>
  <si>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</si>
  <si>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</si>
  <si>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</si>
  <si>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</si>
  <si>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</si>
  <si>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</si>
  <si>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</si>
  <si>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</si>
  <si>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</si>
  <si>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</si>
  <si>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</si>
  <si>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</si>
  <si>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</si>
  <si>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</si>
  <si>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</si>
  <si>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</si>
  <si>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</si>
  <si>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</si>
  <si>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</si>
  <si>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</si>
  <si>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</si>
  <si>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</si>
  <si>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</si>
  <si>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</si>
  <si>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</si>
  <si>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</si>
  <si>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</si>
  <si>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</si>
  <si>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</si>
  <si>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</si>
  <si>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</si>
  <si>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 xml:space="preserve">Grupa Polsat </t>
    </r>
    <r>
      <rPr>
        <b/>
        <vertAlign val="superscript"/>
        <sz val="11"/>
        <color theme="1"/>
        <rFont val="Calibri"/>
        <family val="2"/>
        <charset val="238"/>
        <scheme val="minor"/>
      </rPr>
      <t>(1)</t>
    </r>
    <r>
      <rPr>
        <b/>
        <sz val="11"/>
        <color theme="1"/>
        <rFont val="Calibri"/>
        <family val="2"/>
        <charset val="238"/>
        <scheme val="minor"/>
      </rPr>
      <t>, w tym:</t>
    </r>
  </si>
  <si>
    <r>
      <t xml:space="preserve">Polsat Group </t>
    </r>
    <r>
      <rPr>
        <b/>
        <vertAlign val="superscript"/>
        <sz val="11"/>
        <color theme="1"/>
        <rFont val="Calibri"/>
        <family val="2"/>
        <charset val="238"/>
        <scheme val="minor"/>
      </rPr>
      <t>(1)</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</si>
  <si>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</si>
  <si>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</si>
  <si>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</si>
  <si>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</si>
  <si>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r>
      <t>Grupa Warner Bros.Discovery</t>
    </r>
    <r>
      <rPr>
        <vertAlign val="superscript"/>
        <sz val="11"/>
        <color rgb="FF000000"/>
        <rFont val="Calibri"/>
        <family val="2"/>
        <charset val="238"/>
        <scheme val="minor"/>
      </rPr>
      <t>(6)</t>
    </r>
  </si>
  <si>
    <r>
      <t>Warner Bros.Discovery Group</t>
    </r>
    <r>
      <rPr>
        <vertAlign val="superscript"/>
        <sz val="11"/>
        <color rgb="FF000000"/>
        <rFont val="Calibri"/>
        <family val="2"/>
        <charset val="238"/>
        <scheme val="minor"/>
      </rPr>
      <t>(6)</t>
    </r>
  </si>
  <si>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</si>
  <si>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</si>
  <si>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</si>
  <si>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</si>
  <si>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</si>
  <si>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Market expenditures on TV advertising
and sponsorship of Polsat Group</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</si>
  <si>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</si>
  <si>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</si>
  <si>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</si>
  <si>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</si>
  <si>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</si>
  <si>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</si>
  <si>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</si>
  <si>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</si>
  <si>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</si>
  <si>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</si>
  <si>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</si>
  <si>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</si>
  <si>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</si>
  <si>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</si>
  <si>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</si>
  <si>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</si>
  <si>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</si>
  <si>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</si>
  <si>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</si>
  <si>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</si>
  <si>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</si>
  <si>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</si>
  <si>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</si>
  <si>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</si>
  <si>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r>
      <t>Grupa Polsat-Interia</t>
    </r>
    <r>
      <rPr>
        <b/>
        <vertAlign val="superscript"/>
        <sz val="11"/>
        <color theme="1"/>
        <rFont val="Calibri"/>
        <family val="2"/>
        <charset val="238"/>
        <scheme val="minor"/>
      </rPr>
      <t>(5)</t>
    </r>
  </si>
  <si>
    <r>
      <t>Polsat-Interia Group</t>
    </r>
    <r>
      <rPr>
        <b/>
        <vertAlign val="superscript"/>
        <sz val="11"/>
        <color theme="1"/>
        <rFont val="Calibri"/>
        <family val="2"/>
        <charset val="238"/>
        <scheme val="minor"/>
      </rPr>
      <t>(5)</t>
    </r>
  </si>
  <si>
    <t xml:space="preserve">Źródło: 1Q18 - 3Q20 - Gemius/PBI, 4Q20 i poźniej - Mediapanel, liczba użytkowników – wskaźnik real users
(1)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od stycznia 2021 r. udział w oglądalności w grupie wszyscy 16-59 lat
(2) Publicis Groupe, reklama spotowa i sponsoring (uwaga: dane mogą podlegać korektom wstecznym)
(3) Przychody z reklamy i sponsoringu Grupy Telewizji Polsat wg definicji Publicis Groupe
(4) Szacunki własne na podstawie danych Publicis Groupe
(5) dane za 2018, 2019 i H1'20 dla Grupy Cyfrowy Polsat
(6) Grupa powstała 8 kwietnia 2022 r. w wyniku fuzji spółek WarnerMedia i Discovery, dane sprzed tego okresu dotyczą kanałów należących do Grupy Discovery </t>
  </si>
  <si>
    <t>Source: 1Q18 - 3Q20 - Gemius/PBI, 4Q20 - Mediapanel, number of users – real users (RU) indicator
Note: (1) Nielsen Audience Measurement, All 16‐49, all day, SHR%, including Live+2, Audience shares include both live broadcasting and broadcasting during 2 consecutive days (i.e. Time Shifted Viewing), starting from September 2021 also including OOH viewership; starting from January 2021 16‐59 age group.
(2) Publicis Groupe, spot advertising and sponsorship (note: data may be subject to retrospective correction)
(3)  Revenue from advertising and sponsorship of TV Polsat Group according to Publicis Groupe definition 
(4) Own estimates based on Publicis Groupe data 
(5) data for 2018, 2019 and H1'20 for Cyfrowy Polsat
(6) The group was established on April 8, 2022 as a result of the merger of WarnerMedia and Discovery, data before that period refer to channels belonging to Discovery Group</t>
  </si>
  <si>
    <t>Produkcja całkowita energii elektrycznej [GWh]</t>
  </si>
  <si>
    <t>Total electricity generation [GWh]</t>
  </si>
  <si>
    <t>Biomasa</t>
  </si>
  <si>
    <t>Biomass</t>
  </si>
  <si>
    <t>Fotowoltaika</t>
  </si>
  <si>
    <t>Photovoltaics</t>
  </si>
  <si>
    <t>Farmy wiatrowe na lądzie</t>
  </si>
  <si>
    <t>Wind farms onshore</t>
  </si>
  <si>
    <t>1) Konsolidacja segmentu Zielona Energia od 3 lipca 2023 roku.</t>
  </si>
  <si>
    <t>1) Consolidation of the Green Energy segment as of 3 July 2023</t>
  </si>
  <si>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</si>
  <si>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</si>
  <si>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</si>
  <si>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</si>
  <si>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</si>
  <si>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</si>
  <si>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</si>
  <si>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</si>
  <si>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</si>
  <si>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</si>
  <si>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</si>
  <si>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</si>
  <si>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</si>
  <si>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</si>
  <si>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</si>
  <si>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</si>
  <si>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</si>
  <si>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</si>
  <si>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</si>
  <si>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</si>
  <si>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</si>
  <si>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</si>
  <si>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</si>
  <si>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</si>
  <si>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</si>
  <si>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</si>
  <si>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</si>
  <si>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</si>
  <si>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</si>
  <si>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</si>
  <si>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</si>
  <si>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</si>
  <si>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</si>
  <si>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</si>
  <si>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</si>
  <si>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</si>
  <si>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</si>
  <si>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</si>
  <si>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</si>
  <si>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</si>
  <si>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</si>
  <si>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</si>
  <si>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</si>
  <si>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</si>
  <si>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</si>
  <si>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r>
      <t xml:space="preserve">Q3'24
</t>
    </r>
    <r>
      <rPr>
        <i/>
        <sz val="10"/>
        <color theme="0"/>
        <rFont val="Calibri"/>
        <family val="2"/>
        <charset val="238"/>
      </rPr>
      <t>(dane wg MSSF 16)</t>
    </r>
  </si>
  <si>
    <r>
      <t xml:space="preserve">Q3'24
</t>
    </r>
    <r>
      <rPr>
        <i/>
        <sz val="10"/>
        <color theme="0"/>
        <rFont val="Calibri"/>
        <family val="2"/>
        <charset val="238"/>
      </rPr>
      <t>(IFRS 16 basis)</t>
    </r>
  </si>
  <si>
    <r>
      <t xml:space="preserve">Q4'24
</t>
    </r>
    <r>
      <rPr>
        <i/>
        <sz val="10"/>
        <color theme="0"/>
        <rFont val="Calibri"/>
        <family val="2"/>
        <charset val="238"/>
      </rPr>
      <t>(dane wg MSSF 16)</t>
    </r>
  </si>
  <si>
    <r>
      <t xml:space="preserve">Q4'24
</t>
    </r>
    <r>
      <rPr>
        <i/>
        <sz val="10"/>
        <color theme="0"/>
        <rFont val="Calibri"/>
        <family val="2"/>
        <charset val="238"/>
      </rPr>
      <t>(IFRS 16 basis)</t>
    </r>
  </si>
  <si>
    <r>
      <t xml:space="preserve">2023
</t>
    </r>
    <r>
      <rPr>
        <i/>
        <sz val="10"/>
        <color theme="0"/>
        <rFont val="Calibri"/>
        <family val="2"/>
        <charset val="238"/>
      </rPr>
      <t>(IFRS 16 basis)</t>
    </r>
  </si>
  <si>
    <r>
      <t xml:space="preserve">2024
</t>
    </r>
    <r>
      <rPr>
        <i/>
        <sz val="10"/>
        <color theme="0"/>
        <rFont val="Calibri"/>
        <family val="2"/>
        <charset val="238"/>
      </rPr>
      <t>(dane wg MSSF 16)</t>
    </r>
  </si>
  <si>
    <r>
      <t xml:space="preserve">2024
</t>
    </r>
    <r>
      <rPr>
        <i/>
        <sz val="10"/>
        <color theme="0"/>
        <rFont val="Calibri"/>
        <family val="2"/>
        <charset val="238"/>
      </rPr>
      <t>(IFRS 16 basis)</t>
    </r>
  </si>
  <si>
    <t>5)</t>
  </si>
  <si>
    <t>akcje przeznaczone do obrotu</t>
  </si>
  <si>
    <t>shares held for trading</t>
  </si>
  <si>
    <t>5) Zmiana prezentacji zysku/straty z działalności inwestycyjnej i kosztów finansowych, netto. Dane za 2023 rok zostały przekształcone, a pozycje zostały zastąpione przez przychody i koszty finansowe.</t>
  </si>
  <si>
    <t>5) Change in the presentation of Gain/Loss on investment activities and finance cost, net. The data for 2023 has been restated, and the items have been replaced by financial income and financial expenses.</t>
  </si>
  <si>
    <r>
      <t>Inne wpływy/(wypływy)</t>
    </r>
    <r>
      <rPr>
        <vertAlign val="superscript"/>
        <sz val="10"/>
        <color indexed="8"/>
        <rFont val="Calibri"/>
        <family val="2"/>
        <charset val="238"/>
      </rPr>
      <t>3)</t>
    </r>
  </si>
  <si>
    <t>Pozostałe przychody ze sprzedaży</t>
  </si>
  <si>
    <t>Other revenue</t>
  </si>
  <si>
    <r>
      <t xml:space="preserve">Q1'25
</t>
    </r>
    <r>
      <rPr>
        <i/>
        <sz val="10"/>
        <color theme="0"/>
        <rFont val="Calibri"/>
        <family val="2"/>
        <charset val="238"/>
      </rPr>
      <t>(dane wg MSSF 16)</t>
    </r>
  </si>
  <si>
    <r>
      <t xml:space="preserve">Q1'25
</t>
    </r>
    <r>
      <rPr>
        <i/>
        <sz val="10"/>
        <color theme="0"/>
        <rFont val="Calibri"/>
        <family val="2"/>
        <charset val="238"/>
      </rPr>
      <t>(IFRS 16 basis)</t>
    </r>
  </si>
  <si>
    <t>2025 (dane wg MSSF 16)</t>
  </si>
  <si>
    <t>2025 (IFRS 16 basis)</t>
  </si>
  <si>
    <t>Jednorazowy koszt wynikający z modyfikacji przepływów pieniężnych w wyniku przedpłaty kredytu</t>
  </si>
  <si>
    <t>Strata na zbyciu akcji Asseco Poland S.A.</t>
  </si>
  <si>
    <t>Wpływ ze zbycia akcji Asseco Poland S.A.</t>
  </si>
  <si>
    <t>akcje/udziały w pozostałych jednostkach wyceniane do wartości godziwej przez wynik finansowy</t>
  </si>
  <si>
    <t>shares in associates valued in fair value through profit or loss</t>
  </si>
  <si>
    <t>Proceeds from the sale of shares in Asseco Poland S.A.</t>
  </si>
  <si>
    <t>Loss on the sale of shares in Asseco Poland S.A.</t>
  </si>
  <si>
    <t>One-off cost resulting from the modification of cash flows due to loan prepayment</t>
  </si>
  <si>
    <t>Odpisy aktualizujące wartość</t>
  </si>
  <si>
    <t>Zbycie aktywów</t>
  </si>
  <si>
    <t>EBITDA   adjusted</t>
  </si>
  <si>
    <t>EBITDA   adjusted margin</t>
  </si>
  <si>
    <t>Korekty</t>
  </si>
  <si>
    <t>One-offs</t>
  </si>
  <si>
    <t>Gain on disposal of a subsidiary and an associate 2)</t>
  </si>
  <si>
    <t>Disposal of Assets</t>
  </si>
  <si>
    <t>Impairment Losses</t>
  </si>
  <si>
    <t>Zysk/strata ze sprzedaży jednostki zależnej i stowarzyszonej2)</t>
  </si>
  <si>
    <t>Odpisy aktualizujące wartość zapasów PV</t>
  </si>
  <si>
    <t>Impairment Losses on PV inventories</t>
  </si>
  <si>
    <t xml:space="preserve">Mobile Internet </t>
  </si>
  <si>
    <r>
      <t xml:space="preserve">Q2'25
</t>
    </r>
    <r>
      <rPr>
        <i/>
        <sz val="10"/>
        <color theme="0"/>
        <rFont val="Calibri"/>
        <family val="2"/>
        <charset val="238"/>
      </rPr>
      <t>(dane wg MSSF 16)</t>
    </r>
  </si>
  <si>
    <r>
      <t xml:space="preserve">Q2'25
</t>
    </r>
    <r>
      <rPr>
        <i/>
        <sz val="10"/>
        <color theme="0"/>
        <rFont val="Calibri"/>
        <family val="2"/>
        <charset val="238"/>
      </rPr>
      <t>(IFRS 16 basis)</t>
    </r>
  </si>
  <si>
    <r>
      <t>Przychody/Koszty finansowe netto</t>
    </r>
    <r>
      <rPr>
        <vertAlign val="superscript"/>
        <sz val="10"/>
        <rFont val="Calibri"/>
        <family val="2"/>
        <charset val="238"/>
      </rPr>
      <t>(6)</t>
    </r>
  </si>
  <si>
    <r>
      <t>Financial income/costs net</t>
    </r>
    <r>
      <rPr>
        <vertAlign val="superscript"/>
        <sz val="10"/>
        <rFont val="Calibri"/>
        <family val="2"/>
        <charset val="238"/>
        <scheme val="minor"/>
      </rPr>
      <t>(6)</t>
    </r>
  </si>
  <si>
    <r>
      <t>Zysk/strata ze sprzedaży jednostki zależnej i stowarzyszonej</t>
    </r>
    <r>
      <rPr>
        <vertAlign val="superscript"/>
        <sz val="10"/>
        <color indexed="8"/>
        <rFont val="Calibri"/>
        <family val="2"/>
        <charset val="238"/>
      </rPr>
      <t>2)</t>
    </r>
  </si>
  <si>
    <r>
      <t xml:space="preserve">Gain on disposal of a subsidiary and an associate </t>
    </r>
    <r>
      <rPr>
        <vertAlign val="superscript"/>
        <sz val="10"/>
        <color indexed="8"/>
        <rFont val="Calibri"/>
        <family val="2"/>
        <charset val="238"/>
      </rPr>
      <t>2)</t>
    </r>
  </si>
  <si>
    <r>
      <t>Mobilne usługi telekomunikacyjne</t>
    </r>
    <r>
      <rPr>
        <vertAlign val="superscript"/>
        <sz val="9"/>
        <color rgb="FF000000"/>
        <rFont val="Calibri"/>
        <family val="2"/>
        <charset val="238"/>
        <scheme val="minor"/>
      </rPr>
      <t>6)</t>
    </r>
  </si>
  <si>
    <r>
      <t>Mobile telecom services</t>
    </r>
    <r>
      <rPr>
        <vertAlign val="superscript"/>
        <sz val="9"/>
        <color rgb="FF000000"/>
        <rFont val="Calibri"/>
        <family val="2"/>
        <charset val="238"/>
        <scheme val="minor"/>
      </rPr>
      <t>6)</t>
    </r>
  </si>
  <si>
    <t>6) Od II kwartału 2025 roku liczba usług telefonii komórkowej oraz mobilnego Internetu została połączona w ramach linii mobilne usługi telekomunikacyjne, w związku ze sprzedażą w formie pakietu łączonego</t>
  </si>
  <si>
    <t>6) Starting from Q2 2025, the number of mobile telephony and mobile Internet services has been consolidated under mobile telecom services line, following the sales in a bundled format.</t>
  </si>
  <si>
    <t>(6) Przychody i koszty finansowe prezentowane są w ujęciu netto za okresy od 2023. Ten sposób prezentacji wynika z faktu, iż poszczególne składowe mogą być ujmowane w różnych kwartałach jako przychody lub koszty finansowe w zależności od kierunku zmiany, co powoduje niespójność danych narastających.</t>
  </si>
  <si>
    <t>(6) Financial income and financial costs are presented on a net basis for periods starting from 2023. This method of presentation results from the fact that individual components may be recognized in different quarters as either revenue or financial costs, depending on the direction of change, which leads to inconsistencies in cumulative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</si>
</sst>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1">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 numFmtId="217" formatCode="_(* #,##0.0_);_(* \(#,##0.0\);_(* &quot;-&quot;_);_(@_)"/>
    <numFmt numFmtId="218" formatCode="#,##0.0\ ;\(#,##0\);\-"/>
    <numFmt numFmtId="219" formatCode="#,##0.0_ ;\-#,##0.0\ "/>
    <numFmt numFmtId="220" formatCode="#,##0.0;\(#,##0.0\);0.0"/>
    <numFmt numFmtId="221" formatCode="#,##0.00_ ;\-#,##0.00\ "/>
  </numFmts>
  <fonts count="247">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
      <sz val="11"/>
      <color rgb="FF172B4D"/>
      <name val="Segoe UI"/>
      <family val="2"/>
      <charset val="238"/>
    </font>
    <font>
      <i/>
      <sz val="10"/>
      <name val="Calibri"/>
      <family val="2"/>
      <charset val="238"/>
    </font>
    <font>
      <sz val="10"/>
      <color rgb="FF000000"/>
      <name val="Calibri"/>
      <family val="2"/>
      <charset val="238"/>
    </font>
    <font>
      <i/>
      <sz val="10"/>
      <color rgb="FF000000"/>
      <name val="Calibri"/>
      <family val="2"/>
      <charset val="238"/>
    </font>
    <font>
      <sz val="9"/>
      <name val="Arial"/>
      <family val="2"/>
      <charset val="238"/>
    </font>
    <font>
      <sz val="10"/>
      <color rgb="FFFF0000"/>
      <name val="Czcionka tekstu podstawowego"/>
      <family val="2"/>
      <charset val="238"/>
    </font>
    <font>
      <b/>
      <sz val="22"/>
      <color indexed="8"/>
      <name val="Calibri"/>
      <family val="2"/>
      <charset val="238"/>
    </font>
    <font>
      <i/>
      <sz val="10"/>
      <name val="Calibri"/>
      <family val="2"/>
      <charset val="238"/>
      <scheme val="minor"/>
    </font>
    <font>
      <b/>
      <sz val="9"/>
      <color rgb="FFFF0000"/>
      <name val="Calibri"/>
      <family val="2"/>
      <charset val="238"/>
    </font>
    <font>
      <i/>
      <sz val="9"/>
      <name val="Calibri"/>
      <family val="2"/>
      <charset val="238"/>
    </font>
    <font>
      <i/>
      <sz val="10"/>
      <color indexed="8"/>
      <name val="Calibri"/>
      <family val="2"/>
      <charset val="238"/>
      <scheme val="minor"/>
    </font>
    <font>
      <b/>
      <i/>
      <sz val="10"/>
      <color theme="1"/>
      <name val="Calibri"/>
      <family val="2"/>
      <charset val="238"/>
    </font>
    <font>
      <b/>
      <sz val="14"/>
      <color theme="0"/>
      <name val="Calibri"/>
      <family val="2"/>
      <charset val="238"/>
    </font>
    <font>
      <b/>
      <sz val="11"/>
      <color rgb="FFFF0000"/>
      <name val="Calibri"/>
      <family val="2"/>
      <charset val="238"/>
      <scheme val="minor"/>
    </font>
    <font>
      <sz val="8"/>
      <color theme="1"/>
      <name val="Times New Roman"/>
      <family val="1"/>
      <charset val="238"/>
    </font>
    <font>
      <b/>
      <vertAlign val="superscript"/>
      <sz val="10"/>
      <color indexed="8"/>
      <name val="Calibri"/>
      <family val="2"/>
      <charset val="238"/>
    </font>
    <font>
      <sz val="10"/>
      <color theme="0" tint="-0.499984740745262"/>
      <name val="Calibri"/>
      <family val="2"/>
      <charset val="238"/>
    </font>
    <font>
      <b/>
      <sz val="10"/>
      <color theme="0" tint="-0.499984740745262"/>
      <name val="Calibri"/>
      <family val="2"/>
      <charset val="238"/>
    </font>
    <font>
      <vertAlign val="superscript"/>
      <sz val="10"/>
      <name val="Calibri"/>
      <family val="2"/>
      <charset val="238"/>
      <scheme val="minor"/>
    </font>
  </fonts>
  <fills count="94">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gray125">
        <fgColor rgb="FF03ACE5"/>
      </patternFill>
    </fill>
    <fill>
      <patternFill patternType="solid">
        <fgColor rgb="FF00B0F0"/>
        <bgColor indexed="64"/>
      </patternFill>
    </fill>
    <fill>
      <patternFill patternType="lightGray">
        <fgColor theme="0"/>
      </patternFill>
    </fill>
    <fill>
      <patternFill patternType="solid">
        <fgColor theme="0"/>
        <bgColor theme="0"/>
      </patternFill>
    </fill>
    <fill>
      <patternFill patternType="solid">
        <fgColor indexed="65"/>
        <bgColor theme="0"/>
      </patternFill>
    </fill>
    <fill>
      <patternFill patternType="solid">
        <fgColor rgb="FFE7EEF5"/>
        <bgColor rgb="FFE4EDF8"/>
      </patternFill>
    </fill>
    <fill>
      <patternFill patternType="solid">
        <fgColor rgb="FF2E83BF"/>
        <bgColor theme="0"/>
      </patternFill>
    </fill>
    <fill>
      <patternFill patternType="solid">
        <fgColor rgb="FF03ACE5"/>
        <bgColor theme="0"/>
      </patternFill>
    </fill>
    <fill>
      <patternFill patternType="solid">
        <fgColor theme="4" tint="0.79998168889431442"/>
        <bgColor theme="0"/>
      </patternFill>
    </fill>
    <fill>
      <patternFill patternType="solid">
        <fgColor theme="0" tint="-0.14999847407452621"/>
        <bgColor indexed="64"/>
      </patternFill>
    </fill>
  </fills>
  <borders count="148">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right/>
      <top/>
      <bottom style="thin">
        <color rgb="FF1082BF"/>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style="medium">
        <color rgb="FF03ACE5"/>
      </left>
      <right/>
      <top style="thin">
        <color theme="0"/>
      </top>
      <bottom style="thin">
        <color theme="0"/>
      </bottom>
      <diagonal/>
    </border>
    <border>
      <left/>
      <right style="medium">
        <color rgb="FF03ACE5"/>
      </right>
      <top style="thin">
        <color theme="0"/>
      </top>
      <bottom style="thin">
        <color theme="0"/>
      </bottom>
      <diagonal/>
    </border>
    <border>
      <left style="medium">
        <color rgb="FF03ACE5"/>
      </left>
      <right/>
      <top style="thin">
        <color indexed="64"/>
      </top>
      <bottom/>
      <diagonal/>
    </border>
    <border>
      <left/>
      <right style="medium">
        <color rgb="FF03ACE5"/>
      </right>
      <top style="thin">
        <color indexed="64"/>
      </top>
      <bottom/>
      <diagonal/>
    </border>
    <border>
      <left style="medium">
        <color rgb="FF03ACE5"/>
      </left>
      <right style="medium">
        <color rgb="FF03ACE5"/>
      </right>
      <top/>
      <bottom style="thin">
        <color theme="0"/>
      </bottom>
      <diagonal/>
    </border>
    <border>
      <left style="medium">
        <color rgb="FF03ACE5"/>
      </left>
      <right style="medium">
        <color rgb="FF03ACE5"/>
      </right>
      <top style="thin">
        <color indexed="64"/>
      </top>
      <bottom/>
      <diagonal/>
    </border>
    <border>
      <left/>
      <right style="medium">
        <color rgb="FF0070C0"/>
      </right>
      <top/>
      <bottom style="medium">
        <color rgb="FF0070C0"/>
      </bottom>
      <diagonal/>
    </border>
    <border>
      <left/>
      <right style="medium">
        <color rgb="FF0070C0"/>
      </right>
      <top/>
      <bottom style="medium">
        <color rgb="FF2E83BF"/>
      </bottom>
      <diagonal/>
    </border>
    <border>
      <left/>
      <right/>
      <top/>
      <bottom style="medium">
        <color rgb="FF000000"/>
      </bottom>
      <diagonal/>
    </border>
    <border>
      <left/>
      <right style="medium">
        <color indexed="64"/>
      </right>
      <top/>
      <bottom style="medium">
        <color rgb="FF000000"/>
      </bottom>
      <diagonal/>
    </border>
    <border>
      <left/>
      <right/>
      <top style="thin">
        <color rgb="FF03ACE5"/>
      </top>
      <bottom style="thin">
        <color rgb="FF03ACE5"/>
      </bottom>
      <diagonal/>
    </border>
    <border>
      <left/>
      <right style="medium">
        <color rgb="FF03ACE5"/>
      </right>
      <top style="medium">
        <color rgb="FF03ACE5"/>
      </top>
      <bottom/>
      <diagonal/>
    </border>
    <border>
      <left/>
      <right/>
      <top style="medium">
        <color rgb="FF03ACE5"/>
      </top>
      <bottom/>
      <diagonal/>
    </border>
    <border>
      <left/>
      <right style="thin">
        <color rgb="FF03ACE5"/>
      </right>
      <top style="thin">
        <color theme="0"/>
      </top>
      <bottom/>
      <diagonal/>
    </border>
    <border>
      <left style="thin">
        <color rgb="FF03ACE5"/>
      </left>
      <right/>
      <top style="thin">
        <color rgb="FF03ACE5"/>
      </top>
      <bottom style="thin">
        <color rgb="FF03ACE5"/>
      </bottom>
      <diagonal/>
    </border>
    <border>
      <left style="thin">
        <color rgb="FF03ACE5"/>
      </left>
      <right/>
      <top/>
      <bottom/>
      <diagonal/>
    </border>
    <border>
      <left style="thin">
        <color rgb="FF03ACE5"/>
      </left>
      <right/>
      <top style="thin">
        <color rgb="FF03ACE5"/>
      </top>
      <bottom/>
      <diagonal/>
    </border>
    <border>
      <left/>
      <right/>
      <top style="thin">
        <color rgb="FF03ACE5"/>
      </top>
      <bottom/>
      <diagonal/>
    </border>
    <border>
      <left style="thin">
        <color rgb="FF03ACE5"/>
      </left>
      <right/>
      <top/>
      <bottom style="thin">
        <color rgb="FF03ACE5"/>
      </bottom>
      <diagonal/>
    </border>
    <border>
      <left style="thin">
        <color rgb="FF1082BF"/>
      </left>
      <right style="thin">
        <color rgb="FF1082BF"/>
      </right>
      <top style="thin">
        <color rgb="FF03ACE5"/>
      </top>
      <bottom style="thin">
        <color rgb="FF03ACE5"/>
      </bottom>
      <diagonal/>
    </border>
    <border>
      <left style="thin">
        <color rgb="FF1082BF"/>
      </left>
      <right style="thin">
        <color rgb="FF1082BF"/>
      </right>
      <top/>
      <bottom/>
      <diagonal/>
    </border>
    <border>
      <left/>
      <right/>
      <top style="thin">
        <color theme="0"/>
      </top>
      <bottom style="thin">
        <color rgb="FF03ACE5"/>
      </bottom>
      <diagonal/>
    </border>
    <border>
      <left style="thin">
        <color rgb="FF1082BF"/>
      </left>
      <right/>
      <top style="thin">
        <color theme="0"/>
      </top>
      <bottom/>
      <diagonal/>
    </border>
    <border>
      <left style="thin">
        <color rgb="FF1082BF"/>
      </left>
      <right/>
      <top style="thin">
        <color rgb="FF03ACE5"/>
      </top>
      <bottom style="thin">
        <color rgb="FF03ACE5"/>
      </bottom>
      <diagonal/>
    </border>
    <border>
      <left/>
      <right style="thin">
        <color theme="0"/>
      </right>
      <top style="thin">
        <color theme="0"/>
      </top>
      <bottom style="thin">
        <color rgb="FF03ACE5"/>
      </bottom>
      <diagonal/>
    </border>
    <border>
      <left/>
      <right style="thin">
        <color theme="0"/>
      </right>
      <top style="thin">
        <color theme="0"/>
      </top>
      <bottom style="thin">
        <color theme="0"/>
      </bottom>
      <diagonal/>
    </border>
    <border>
      <left/>
      <right style="dashed">
        <color theme="0"/>
      </right>
      <top style="thin">
        <color theme="0"/>
      </top>
      <bottom style="thin">
        <color theme="0"/>
      </bottom>
      <diagonal/>
    </border>
    <border>
      <left style="thin">
        <color rgb="FF1082BF"/>
      </left>
      <right style="thin">
        <color rgb="FF1082BF"/>
      </right>
      <top style="thin">
        <color rgb="FF03ACE5"/>
      </top>
      <bottom/>
      <diagonal/>
    </border>
    <border>
      <left style="thin">
        <color rgb="FF1082BF"/>
      </left>
      <right style="thin">
        <color rgb="FF1082BF"/>
      </right>
      <top/>
      <bottom style="thin">
        <color rgb="FF03ACE5"/>
      </bottom>
      <diagonal/>
    </border>
    <border>
      <left style="thin">
        <color rgb="FF1082BF"/>
      </left>
      <right/>
      <top style="thin">
        <color rgb="FF03ACE5"/>
      </top>
      <bottom/>
      <diagonal/>
    </border>
    <border>
      <left style="thin">
        <color rgb="FF1082BF"/>
      </left>
      <right/>
      <top/>
      <bottom style="thin">
        <color rgb="FF03ACE5"/>
      </bottom>
      <diagonal/>
    </border>
    <border>
      <left/>
      <right style="thin">
        <color rgb="FF1082BF"/>
      </right>
      <top style="thin">
        <color rgb="FF03ACE5"/>
      </top>
      <bottom/>
      <diagonal/>
    </border>
    <border>
      <left/>
      <right style="thin">
        <color rgb="FF1082BF"/>
      </right>
      <top/>
      <bottom/>
      <diagonal/>
    </border>
  </borders>
  <cellStyleXfs count="42862">
    <xf numFmtId="0" fontId="0" fillId="0" borderId="0"/>
    <xf numFmtId="166" fontId="11" fillId="0" borderId="0" applyFont="0" applyFill="0" applyBorder="0" applyAlignment="0" applyProtection="0"/>
    <xf numFmtId="9" fontId="9" fillId="0" borderId="0" applyFont="0" applyFill="0" applyBorder="0" applyAlignment="0" applyProtection="0"/>
    <xf numFmtId="178" fontId="15" fillId="0" borderId="0"/>
    <xf numFmtId="178" fontId="15" fillId="0" borderId="0"/>
    <xf numFmtId="178" fontId="15" fillId="0" borderId="0"/>
    <xf numFmtId="9" fontId="15" fillId="0" borderId="0" applyFont="0" applyFill="0" applyBorder="0" applyAlignment="0" applyProtection="0"/>
    <xf numFmtId="9" fontId="15" fillId="0" borderId="0" applyFont="0" applyFill="0" applyBorder="0" applyAlignment="0" applyProtection="0"/>
    <xf numFmtId="166" fontId="9" fillId="0" borderId="0" applyFont="0" applyFill="0" applyBorder="0" applyAlignment="0" applyProtection="0"/>
    <xf numFmtId="0" fontId="67" fillId="0" borderId="0"/>
    <xf numFmtId="164" fontId="67" fillId="0" borderId="0" applyFont="0" applyFill="0" applyBorder="0" applyAlignment="0" applyProtection="0"/>
    <xf numFmtId="187" fontId="15" fillId="0" borderId="0"/>
    <xf numFmtId="0" fontId="68" fillId="0" borderId="0"/>
    <xf numFmtId="0" fontId="68" fillId="0" borderId="0"/>
    <xf numFmtId="0" fontId="68" fillId="0" borderId="0"/>
    <xf numFmtId="187" fontId="15" fillId="0" borderId="0"/>
    <xf numFmtId="0" fontId="8" fillId="0" borderId="0"/>
    <xf numFmtId="164" fontId="8" fillId="0" borderId="0" applyFont="0" applyFill="0" applyBorder="0" applyAlignment="0" applyProtection="0"/>
    <xf numFmtId="0" fontId="70" fillId="0" borderId="0"/>
    <xf numFmtId="0" fontId="8" fillId="0" borderId="0"/>
    <xf numFmtId="0" fontId="15" fillId="0" borderId="0"/>
    <xf numFmtId="0" fontId="71" fillId="0" borderId="0"/>
    <xf numFmtId="0" fontId="72" fillId="0" borderId="0"/>
    <xf numFmtId="168" fontId="73" fillId="0" borderId="0"/>
    <xf numFmtId="189" fontId="74" fillId="0" borderId="0" applyFont="0" applyFill="0" applyBorder="0" applyAlignment="0" applyProtection="0"/>
    <xf numFmtId="0" fontId="75" fillId="0" borderId="0">
      <alignment vertical="center"/>
    </xf>
    <xf numFmtId="1" fontId="73" fillId="0" borderId="0"/>
    <xf numFmtId="167" fontId="76" fillId="0" borderId="0"/>
    <xf numFmtId="2" fontId="73" fillId="0" borderId="0"/>
    <xf numFmtId="1" fontId="76" fillId="0" borderId="0"/>
    <xf numFmtId="1" fontId="77" fillId="0" borderId="0"/>
    <xf numFmtId="1" fontId="77" fillId="0" borderId="0"/>
    <xf numFmtId="1" fontId="77" fillId="0" borderId="0"/>
    <xf numFmtId="1" fontId="77" fillId="0" borderId="0"/>
    <xf numFmtId="190" fontId="78" fillId="0" borderId="0" applyFont="0" applyFill="0" applyBorder="0" applyAlignment="0" applyProtection="0"/>
    <xf numFmtId="38" fontId="79" fillId="0" borderId="0" applyFont="0" applyFill="0" applyBorder="0" applyAlignment="0" applyProtection="0"/>
    <xf numFmtId="0" fontId="80" fillId="35" borderId="0" applyNumberFormat="0" applyBorder="0" applyAlignment="0" applyProtection="0"/>
    <xf numFmtId="0" fontId="80" fillId="36" borderId="0" applyNumberFormat="0" applyBorder="0" applyAlignment="0" applyProtection="0"/>
    <xf numFmtId="0" fontId="80" fillId="37" borderId="0" applyNumberFormat="0" applyBorder="0" applyAlignment="0" applyProtection="0"/>
    <xf numFmtId="0" fontId="80" fillId="38" borderId="0" applyNumberFormat="0" applyBorder="0" applyAlignment="0" applyProtection="0"/>
    <xf numFmtId="0" fontId="80" fillId="39"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187" fontId="81" fillId="40" borderId="0" applyNumberFormat="0" applyBorder="0" applyAlignment="0" applyProtection="0"/>
    <xf numFmtId="0" fontId="15" fillId="12"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9" fillId="35" borderId="0" applyNumberFormat="0" applyBorder="0" applyAlignment="0" applyProtection="0"/>
    <xf numFmtId="0" fontId="15" fillId="12"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187"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187"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187" fontId="81" fillId="41"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15" fillId="1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9" fillId="36" borderId="0" applyNumberFormat="0" applyBorder="0" applyAlignment="0" applyProtection="0"/>
    <xf numFmtId="0" fontId="15" fillId="1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187"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187"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187" fontId="81" fillId="42"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15" fillId="20"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9" fillId="37" borderId="0" applyNumberFormat="0" applyBorder="0" applyAlignment="0" applyProtection="0"/>
    <xf numFmtId="0" fontId="15" fillId="20"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187"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7"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87" fontId="81" fillId="40"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15" fillId="24"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9" fillId="38" borderId="0" applyNumberFormat="0" applyBorder="0" applyAlignment="0" applyProtection="0"/>
    <xf numFmtId="0" fontId="15" fillId="24"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87"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187"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87" fontId="81"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15" fillId="28"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9" fillId="39" borderId="0" applyNumberFormat="0" applyBorder="0" applyAlignment="0" applyProtection="0"/>
    <xf numFmtId="0" fontId="15" fillId="28"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87"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7"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187" fontId="8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15" fillId="3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9" fillId="41" borderId="0" applyNumberFormat="0" applyBorder="0" applyAlignment="0" applyProtection="0"/>
    <xf numFmtId="0" fontId="15" fillId="3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187"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7"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187" fontId="81" fillId="4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15" fillId="1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9" fillId="44" borderId="0" applyNumberFormat="0" applyBorder="0" applyAlignment="0" applyProtection="0"/>
    <xf numFmtId="0" fontId="15" fillId="1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187"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87"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187" fontId="8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15" fillId="17"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15" fillId="17"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187"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187"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87" fontId="81" fillId="46"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15" fillId="21"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9" fillId="47" borderId="0" applyNumberFormat="0" applyBorder="0" applyAlignment="0" applyProtection="0"/>
    <xf numFmtId="0" fontId="15" fillId="21"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87"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7"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87" fontId="81" fillId="43"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15" fillId="25"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9" fillId="38" borderId="0" applyNumberFormat="0" applyBorder="0" applyAlignment="0" applyProtection="0"/>
    <xf numFmtId="0" fontId="15" fillId="25"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87"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187"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187" fontId="81"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15" fillId="29"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9" fillId="44" borderId="0" applyNumberFormat="0" applyBorder="0" applyAlignment="0" applyProtection="0"/>
    <xf numFmtId="0" fontId="15" fillId="29"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187"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187"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187" fontId="81" fillId="41"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15" fillId="33"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9" fillId="48" borderId="0" applyNumberFormat="0" applyBorder="0" applyAlignment="0" applyProtection="0"/>
    <xf numFmtId="0" fontId="15" fillId="33"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187"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7"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7" fontId="9" fillId="49"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66" fillId="14"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2" fillId="14"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187" fontId="9" fillId="49"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14" borderId="0" applyNumberFormat="0" applyBorder="0" applyAlignment="0" applyProtection="0"/>
    <xf numFmtId="0" fontId="9" fillId="49" borderId="0" applyNumberFormat="0" applyBorder="0" applyAlignment="0" applyProtection="0"/>
    <xf numFmtId="187"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14" borderId="0" applyNumberFormat="0" applyBorder="0" applyAlignment="0" applyProtection="0"/>
    <xf numFmtId="0" fontId="9" fillId="49" borderId="0" applyNumberFormat="0" applyBorder="0" applyAlignment="0" applyProtection="0"/>
    <xf numFmtId="0" fontId="66"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187"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66" fillId="18"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2" fillId="18"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187"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2" fillId="18" borderId="0" applyNumberFormat="0" applyBorder="0" applyAlignment="0" applyProtection="0"/>
    <xf numFmtId="0" fontId="9" fillId="45" borderId="0" applyNumberFormat="0" applyBorder="0" applyAlignment="0" applyProtection="0"/>
    <xf numFmtId="187"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2" fillId="18" borderId="0" applyNumberFormat="0" applyBorder="0" applyAlignment="0" applyProtection="0"/>
    <xf numFmtId="0" fontId="9" fillId="45" borderId="0" applyNumberFormat="0" applyBorder="0" applyAlignment="0" applyProtection="0"/>
    <xf numFmtId="0" fontId="66" fillId="18" borderId="0" applyNumberFormat="0" applyBorder="0" applyAlignment="0" applyProtection="0"/>
    <xf numFmtId="0" fontId="82" fillId="18" borderId="0" applyNumberFormat="0" applyBorder="0" applyAlignment="0" applyProtection="0"/>
    <xf numFmtId="0" fontId="82" fillId="18" borderId="0" applyNumberFormat="0" applyBorder="0" applyAlignment="0" applyProtection="0"/>
    <xf numFmtId="0" fontId="82" fillId="18" borderId="0" applyNumberFormat="0" applyBorder="0" applyAlignment="0" applyProtection="0"/>
    <xf numFmtId="187" fontId="9" fillId="46"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66" fillId="22"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2" fillId="22"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187" fontId="9" fillId="46"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82" fillId="22" borderId="0" applyNumberFormat="0" applyBorder="0" applyAlignment="0" applyProtection="0"/>
    <xf numFmtId="0" fontId="9" fillId="46" borderId="0" applyNumberFormat="0" applyBorder="0" applyAlignment="0" applyProtection="0"/>
    <xf numFmtId="187"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82" fillId="22" borderId="0" applyNumberFormat="0" applyBorder="0" applyAlignment="0" applyProtection="0"/>
    <xf numFmtId="0" fontId="9" fillId="46" borderId="0" applyNumberFormat="0" applyBorder="0" applyAlignment="0" applyProtection="0"/>
    <xf numFmtId="0" fontId="66" fillId="22" borderId="0" applyNumberFormat="0" applyBorder="0" applyAlignment="0" applyProtection="0"/>
    <xf numFmtId="0" fontId="82" fillId="22" borderId="0" applyNumberFormat="0" applyBorder="0" applyAlignment="0" applyProtection="0"/>
    <xf numFmtId="0" fontId="82" fillId="22" borderId="0" applyNumberFormat="0" applyBorder="0" applyAlignment="0" applyProtection="0"/>
    <xf numFmtId="0" fontId="82" fillId="22" borderId="0" applyNumberFormat="0" applyBorder="0" applyAlignment="0" applyProtection="0"/>
    <xf numFmtId="187" fontId="9" fillId="4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66" fillId="2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2" fillId="2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187" fontId="9" fillId="43"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82" fillId="26" borderId="0" applyNumberFormat="0" applyBorder="0" applyAlignment="0" applyProtection="0"/>
    <xf numFmtId="0" fontId="9" fillId="43" borderId="0" applyNumberFormat="0" applyBorder="0" applyAlignment="0" applyProtection="0"/>
    <xf numFmtId="187"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82" fillId="26" borderId="0" applyNumberFormat="0" applyBorder="0" applyAlignment="0" applyProtection="0"/>
    <xf numFmtId="0" fontId="9" fillId="43" borderId="0" applyNumberFormat="0" applyBorder="0" applyAlignment="0" applyProtection="0"/>
    <xf numFmtId="0" fontId="66" fillId="26" borderId="0" applyNumberFormat="0" applyBorder="0" applyAlignment="0" applyProtection="0"/>
    <xf numFmtId="0" fontId="82" fillId="26" borderId="0" applyNumberFormat="0" applyBorder="0" applyAlignment="0" applyProtection="0"/>
    <xf numFmtId="0" fontId="82" fillId="26" borderId="0" applyNumberFormat="0" applyBorder="0" applyAlignment="0" applyProtection="0"/>
    <xf numFmtId="0" fontId="82" fillId="26" borderId="0" applyNumberFormat="0" applyBorder="0" applyAlignment="0" applyProtection="0"/>
    <xf numFmtId="187"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66" fillId="30"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2" fillId="30"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187"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30" borderId="0" applyNumberFormat="0" applyBorder="0" applyAlignment="0" applyProtection="0"/>
    <xf numFmtId="0" fontId="9" fillId="49" borderId="0" applyNumberFormat="0" applyBorder="0" applyAlignment="0" applyProtection="0"/>
    <xf numFmtId="187"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30" borderId="0" applyNumberFormat="0" applyBorder="0" applyAlignment="0" applyProtection="0"/>
    <xf numFmtId="0" fontId="9" fillId="49" borderId="0" applyNumberFormat="0" applyBorder="0" applyAlignment="0" applyProtection="0"/>
    <xf numFmtId="0" fontId="66" fillId="30" borderId="0" applyNumberFormat="0" applyBorder="0" applyAlignment="0" applyProtection="0"/>
    <xf numFmtId="0" fontId="82" fillId="30" borderId="0" applyNumberFormat="0" applyBorder="0" applyAlignment="0" applyProtection="0"/>
    <xf numFmtId="0" fontId="82" fillId="30" borderId="0" applyNumberFormat="0" applyBorder="0" applyAlignment="0" applyProtection="0"/>
    <xf numFmtId="0" fontId="82" fillId="30" borderId="0" applyNumberFormat="0" applyBorder="0" applyAlignment="0" applyProtection="0"/>
    <xf numFmtId="187" fontId="9" fillId="41"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66" fillId="34"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2" fillId="34"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187" fontId="9" fillId="41"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2" fillId="34" borderId="0" applyNumberFormat="0" applyBorder="0" applyAlignment="0" applyProtection="0"/>
    <xf numFmtId="0" fontId="9" fillId="41" borderId="0" applyNumberFormat="0" applyBorder="0" applyAlignment="0" applyProtection="0"/>
    <xf numFmtId="187"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2" fillId="34" borderId="0" applyNumberFormat="0" applyBorder="0" applyAlignment="0" applyProtection="0"/>
    <xf numFmtId="0" fontId="9" fillId="41" borderId="0" applyNumberFormat="0" applyBorder="0" applyAlignment="0" applyProtection="0"/>
    <xf numFmtId="0" fontId="66" fillId="34"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83" fillId="53" borderId="0">
      <alignment horizontal="left" vertical="top"/>
    </xf>
    <xf numFmtId="191" fontId="79" fillId="0" borderId="0" applyFont="0" applyFill="0" applyBorder="0" applyAlignment="0" applyProtection="0"/>
    <xf numFmtId="187" fontId="9" fillId="49"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66" fillId="11"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2" fillId="11"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187" fontId="9" fillId="49"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11" borderId="0" applyNumberFormat="0" applyBorder="0" applyAlignment="0" applyProtection="0"/>
    <xf numFmtId="0" fontId="9" fillId="49" borderId="0" applyNumberFormat="0" applyBorder="0" applyAlignment="0" applyProtection="0"/>
    <xf numFmtId="187"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11" borderId="0" applyNumberFormat="0" applyBorder="0" applyAlignment="0" applyProtection="0"/>
    <xf numFmtId="0" fontId="9" fillId="49" borderId="0" applyNumberFormat="0" applyBorder="0" applyAlignment="0" applyProtection="0"/>
    <xf numFmtId="0" fontId="66"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187" fontId="9" fillId="47"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66" fillId="15"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2" fillId="15"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187" fontId="9" fillId="47"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2" fillId="15" borderId="0" applyNumberFormat="0" applyBorder="0" applyAlignment="0" applyProtection="0"/>
    <xf numFmtId="0" fontId="9" fillId="47" borderId="0" applyNumberFormat="0" applyBorder="0" applyAlignment="0" applyProtection="0"/>
    <xf numFmtId="187"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2" fillId="15" borderId="0" applyNumberFormat="0" applyBorder="0" applyAlignment="0" applyProtection="0"/>
    <xf numFmtId="0" fontId="9" fillId="47" borderId="0" applyNumberFormat="0" applyBorder="0" applyAlignment="0" applyProtection="0"/>
    <xf numFmtId="0" fontId="66"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187" fontId="9"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66" fillId="19"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2" fillId="19"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187" fontId="9"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82" fillId="19" borderId="0" applyNumberFormat="0" applyBorder="0" applyAlignment="0" applyProtection="0"/>
    <xf numFmtId="0" fontId="9" fillId="55" borderId="0" applyNumberFormat="0" applyBorder="0" applyAlignment="0" applyProtection="0"/>
    <xf numFmtId="187"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82" fillId="19" borderId="0" applyNumberFormat="0" applyBorder="0" applyAlignment="0" applyProtection="0"/>
    <xf numFmtId="0" fontId="9" fillId="55" borderId="0" applyNumberFormat="0" applyBorder="0" applyAlignment="0" applyProtection="0"/>
    <xf numFmtId="0" fontId="66"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187" fontId="9" fillId="5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66" fillId="2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2" fillId="2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187" fontId="9" fillId="56"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82" fillId="23" borderId="0" applyNumberFormat="0" applyBorder="0" applyAlignment="0" applyProtection="0"/>
    <xf numFmtId="0" fontId="9" fillId="56" borderId="0" applyNumberFormat="0" applyBorder="0" applyAlignment="0" applyProtection="0"/>
    <xf numFmtId="187"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82" fillId="23" borderId="0" applyNumberFormat="0" applyBorder="0" applyAlignment="0" applyProtection="0"/>
    <xf numFmtId="0" fontId="9" fillId="56" borderId="0" applyNumberFormat="0" applyBorder="0" applyAlignment="0" applyProtection="0"/>
    <xf numFmtId="0" fontId="66"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187"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66" fillId="27"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2" fillId="27"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187"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27" borderId="0" applyNumberFormat="0" applyBorder="0" applyAlignment="0" applyProtection="0"/>
    <xf numFmtId="0" fontId="9" fillId="49" borderId="0" applyNumberFormat="0" applyBorder="0" applyAlignment="0" applyProtection="0"/>
    <xf numFmtId="187"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27" borderId="0" applyNumberFormat="0" applyBorder="0" applyAlignment="0" applyProtection="0"/>
    <xf numFmtId="0" fontId="9" fillId="49" borderId="0" applyNumberFormat="0" applyBorder="0" applyAlignment="0" applyProtection="0"/>
    <xf numFmtId="0" fontId="66"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187" fontId="9"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66" fillId="31"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2" fillId="31"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187" fontId="9"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82" fillId="31" borderId="0" applyNumberFormat="0" applyBorder="0" applyAlignment="0" applyProtection="0"/>
    <xf numFmtId="0" fontId="9" fillId="57" borderId="0" applyNumberFormat="0" applyBorder="0" applyAlignment="0" applyProtection="0"/>
    <xf numFmtId="187"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82" fillId="31" borderId="0" applyNumberFormat="0" applyBorder="0" applyAlignment="0" applyProtection="0"/>
    <xf numFmtId="0" fontId="9" fillId="57" borderId="0" applyNumberFormat="0" applyBorder="0" applyAlignment="0" applyProtection="0"/>
    <xf numFmtId="0" fontId="66"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192" fontId="70" fillId="0" borderId="0" applyFill="0" applyBorder="0" applyAlignment="0"/>
    <xf numFmtId="164" fontId="70" fillId="0" borderId="0" applyFont="0" applyFill="0" applyBorder="0" applyAlignment="0" applyProtection="0"/>
    <xf numFmtId="187"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59" fillId="7" borderId="23"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5" fillId="7" borderId="23"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187"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5" fillId="7" borderId="23" applyNumberFormat="0" applyAlignment="0" applyProtection="0"/>
    <xf numFmtId="0" fontId="9" fillId="0" borderId="0" applyNumberFormat="0" applyFont="0" applyFill="0" applyBorder="0" applyAlignment="0" applyProtection="0"/>
    <xf numFmtId="187"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5" fillId="7" borderId="23" applyNumberFormat="0" applyAlignment="0" applyProtection="0"/>
    <xf numFmtId="0" fontId="9" fillId="0" borderId="0" applyNumberFormat="0" applyFont="0" applyFill="0" applyBorder="0" applyAlignment="0" applyProtection="0"/>
    <xf numFmtId="0" fontId="59" fillId="7" borderId="23" applyNumberFormat="0" applyAlignment="0" applyProtection="0"/>
    <xf numFmtId="0" fontId="85" fillId="7" borderId="23" applyNumberFormat="0" applyAlignment="0" applyProtection="0"/>
    <xf numFmtId="0" fontId="85" fillId="7" borderId="23" applyNumberFormat="0" applyAlignment="0" applyProtection="0"/>
    <xf numFmtId="0" fontId="85" fillId="7" borderId="23" applyNumberFormat="0" applyAlignment="0" applyProtection="0"/>
    <xf numFmtId="187" fontId="86" fillId="40"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60" fillId="8" borderId="24"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40"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40"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7" fillId="8" borderId="24" applyNumberFormat="0" applyAlignment="0" applyProtection="0"/>
    <xf numFmtId="0" fontId="88" fillId="0" borderId="24"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187" fontId="86" fillId="40"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40" borderId="30" applyNumberFormat="0" applyAlignment="0" applyProtection="0"/>
    <xf numFmtId="0" fontId="86" fillId="40" borderId="30" applyNumberFormat="0" applyAlignment="0" applyProtection="0"/>
    <xf numFmtId="0" fontId="87" fillId="8" borderId="24" applyNumberFormat="0" applyAlignment="0" applyProtection="0"/>
    <xf numFmtId="0" fontId="9" fillId="0" borderId="0" applyNumberFormat="0" applyFont="0" applyFill="0" applyBorder="0" applyAlignment="0" applyProtection="0"/>
    <xf numFmtId="187" fontId="86" fillId="40"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40" borderId="30" applyNumberFormat="0" applyAlignment="0" applyProtection="0"/>
    <xf numFmtId="0" fontId="86" fillId="40" borderId="30" applyNumberFormat="0" applyAlignment="0" applyProtection="0"/>
    <xf numFmtId="0" fontId="87" fillId="8" borderId="24" applyNumberFormat="0" applyAlignment="0" applyProtection="0"/>
    <xf numFmtId="0" fontId="9" fillId="0" borderId="0" applyNumberFormat="0" applyFont="0" applyFill="0" applyBorder="0" applyAlignment="0" applyProtection="0"/>
    <xf numFmtId="0" fontId="60" fillId="8" borderId="24" applyNumberFormat="0" applyAlignment="0" applyProtection="0"/>
    <xf numFmtId="0" fontId="87" fillId="8" borderId="24" applyNumberFormat="0" applyAlignment="0" applyProtection="0"/>
    <xf numFmtId="0" fontId="88" fillId="0" borderId="24" applyNumberFormat="0" applyFill="0" applyAlignment="0" applyProtection="0"/>
    <xf numFmtId="0" fontId="88" fillId="0" borderId="24" applyNumberFormat="0" applyFill="0" applyAlignment="0" applyProtection="0"/>
    <xf numFmtId="0" fontId="87" fillId="8" borderId="24" applyNumberFormat="0" applyAlignment="0" applyProtection="0"/>
    <xf numFmtId="0" fontId="88" fillId="0" borderId="24" applyNumberFormat="0" applyFill="0" applyAlignment="0" applyProtection="0"/>
    <xf numFmtId="187"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56" fillId="4"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0" fillId="4" borderId="0" applyNumberFormat="0" applyBorder="0" applyAlignment="0" applyProtection="0"/>
    <xf numFmtId="0" fontId="90"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187"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0" fillId="4" borderId="0" applyNumberFormat="0" applyBorder="0" applyAlignment="0" applyProtection="0"/>
    <xf numFmtId="0" fontId="9" fillId="0" borderId="0" applyNumberFormat="0" applyFont="0" applyFill="0" applyBorder="0" applyAlignment="0" applyProtection="0"/>
    <xf numFmtId="187"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0" fillId="4" borderId="0" applyNumberFormat="0" applyBorder="0" applyAlignment="0" applyProtection="0"/>
    <xf numFmtId="0" fontId="9" fillId="0" borderId="0" applyNumberFormat="0" applyFont="0" applyFill="0" applyBorder="0" applyAlignment="0" applyProtection="0"/>
    <xf numFmtId="0" fontId="56" fillId="4" borderId="0" applyNumberFormat="0" applyBorder="0" applyAlignment="0" applyProtection="0"/>
    <xf numFmtId="0" fontId="90" fillId="4" borderId="0" applyNumberFormat="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4" borderId="0" applyNumberFormat="0" applyBorder="0" applyAlignment="0" applyProtection="0"/>
    <xf numFmtId="0" fontId="90" fillId="0" borderId="0" applyNumberFormat="0" applyFill="0" applyBorder="0" applyAlignment="0" applyProtection="0"/>
    <xf numFmtId="193" fontId="91" fillId="0" borderId="0">
      <alignment horizontal="center"/>
    </xf>
    <xf numFmtId="194" fontId="74" fillId="0" borderId="0" applyFont="0" applyFill="0" applyBorder="0" applyAlignment="0" applyProtection="0"/>
    <xf numFmtId="195" fontId="7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6"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164" fontId="92" fillId="0" borderId="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164" fontId="70"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164" fontId="92"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164" fontId="93" fillId="0" borderId="0" applyFont="0" applyFill="0" applyBorder="0" applyAlignment="0" applyProtection="0"/>
    <xf numFmtId="164" fontId="93" fillId="0" borderId="0" applyFont="0" applyFill="0" applyBorder="0" applyAlignment="0" applyProtection="0"/>
    <xf numFmtId="164" fontId="93" fillId="0" borderId="0" applyFont="0" applyFill="0" applyBorder="0" applyAlignment="0" applyProtection="0"/>
    <xf numFmtId="164" fontId="93" fillId="0" borderId="0" applyFont="0" applyFill="0" applyBorder="0" applyAlignment="0" applyProtection="0"/>
    <xf numFmtId="164" fontId="93" fillId="0" borderId="0" applyFont="0" applyFill="0" applyBorder="0" applyAlignment="0" applyProtection="0"/>
    <xf numFmtId="164" fontId="93"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6" fontId="74" fillId="0" borderId="0" applyFont="0" applyFill="0" applyBorder="0" applyAlignment="0" applyProtection="0"/>
    <xf numFmtId="164" fontId="70"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9" fillId="0" borderId="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164" fontId="46"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15" fillId="0" borderId="0" applyFont="0" applyFill="0" applyBorder="0" applyAlignment="0" applyProtection="0"/>
    <xf numFmtId="164" fontId="9" fillId="0" borderId="0" applyFont="0" applyFill="0" applyBorder="0" applyAlignment="0" applyProtection="0"/>
    <xf numFmtId="164" fontId="46" fillId="0" borderId="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46" fillId="0" borderId="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8"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46" fillId="0" borderId="0" applyFont="0" applyFill="0" applyBorder="0" applyAlignment="0" applyProtection="0"/>
    <xf numFmtId="164" fontId="1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4" fillId="0" borderId="0" applyFont="0" applyFill="0" applyBorder="0" applyAlignment="0" applyProtection="0"/>
    <xf numFmtId="164" fontId="46" fillId="0" borderId="0" applyFont="0" applyFill="0" applyBorder="0" applyAlignment="0" applyProtection="0"/>
    <xf numFmtId="164" fontId="74"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4" fontId="8" fillId="0" borderId="0" applyFont="0" applyFill="0" applyBorder="0" applyAlignment="0" applyProtection="0"/>
    <xf numFmtId="0" fontId="9" fillId="0" borderId="0" applyNumberFormat="0" applyFont="0" applyFill="0" applyBorder="0" applyAlignment="0" applyProtection="0"/>
    <xf numFmtId="166" fontId="74" fillId="0" borderId="0" applyFont="0" applyFill="0" applyBorder="0" applyAlignment="0" applyProtection="0"/>
    <xf numFmtId="164" fontId="74"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15" fillId="0" borderId="0" applyFont="0" applyFill="0" applyBorder="0" applyAlignment="0" applyProtection="0"/>
    <xf numFmtId="164" fontId="8" fillId="0" borderId="0" applyFont="0" applyFill="0" applyBorder="0" applyAlignment="0" applyProtection="0"/>
    <xf numFmtId="164" fontId="94" fillId="0" borderId="0" applyFont="0" applyFill="0" applyBorder="0" applyAlignment="0" applyProtection="0"/>
    <xf numFmtId="0" fontId="95" fillId="0" borderId="0" applyNumberFormat="0" applyFill="0" applyBorder="0" applyAlignment="0" applyProtection="0"/>
    <xf numFmtId="187" fontId="74" fillId="0" borderId="0" applyFont="0" applyFill="0" applyBorder="0" applyAlignment="0" applyProtection="0"/>
    <xf numFmtId="178" fontId="70" fillId="0" borderId="0" applyFont="0" applyFill="0" applyBorder="0" applyAlignment="0" applyProtection="0"/>
    <xf numFmtId="178" fontId="74" fillId="0" borderId="0" applyFont="0" applyFill="0" applyBorder="0" applyAlignment="0" applyProtection="0"/>
    <xf numFmtId="0" fontId="74" fillId="0" borderId="0" applyFont="0" applyFill="0" applyBorder="0" applyAlignment="0" applyProtection="0"/>
    <xf numFmtId="178" fontId="7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6" fillId="0" borderId="0" applyNumberFormat="0" applyFill="0" applyBorder="0" applyProtection="0">
      <alignment vertical="top"/>
    </xf>
    <xf numFmtId="3" fontId="97" fillId="59" borderId="0" applyNumberFormat="0" applyFont="0" applyBorder="0" applyAlignment="0">
      <protection hidden="1"/>
    </xf>
    <xf numFmtId="0" fontId="93" fillId="0" borderId="1">
      <alignment horizontal="center"/>
    </xf>
    <xf numFmtId="38" fontId="98" fillId="60" borderId="0" applyNumberFormat="0" applyBorder="0" applyAlignment="0" applyProtection="0"/>
    <xf numFmtId="3" fontId="99" fillId="0" borderId="0"/>
    <xf numFmtId="0" fontId="100" fillId="0" borderId="7" applyNumberFormat="0" applyAlignment="0" applyProtection="0">
      <alignment horizontal="left" vertical="center"/>
    </xf>
    <xf numFmtId="0" fontId="100" fillId="0" borderId="31">
      <alignment horizontal="left" vertical="center"/>
    </xf>
    <xf numFmtId="0" fontId="101" fillId="0" borderId="0"/>
    <xf numFmtId="0" fontId="102" fillId="0" borderId="0"/>
    <xf numFmtId="0" fontId="103" fillId="0" borderId="0"/>
    <xf numFmtId="0" fontId="104" fillId="0" borderId="0"/>
    <xf numFmtId="0" fontId="105" fillId="0" borderId="0"/>
    <xf numFmtId="187" fontId="106" fillId="0" borderId="0" applyNumberFormat="0" applyFill="0" applyBorder="0" applyAlignment="0" applyProtection="0">
      <alignment vertical="top"/>
      <protection locked="0"/>
    </xf>
    <xf numFmtId="196" fontId="107" fillId="0" borderId="0"/>
    <xf numFmtId="0" fontId="108" fillId="0" borderId="0" applyNumberFormat="0" applyFill="0" applyBorder="0" applyAlignment="0" applyProtection="0"/>
    <xf numFmtId="10" fontId="98" fillId="61" borderId="32" applyNumberFormat="0" applyBorder="0" applyAlignment="0" applyProtection="0"/>
    <xf numFmtId="42" fontId="109" fillId="0" borderId="0">
      <alignment horizontal="center"/>
    </xf>
    <xf numFmtId="197" fontId="110" fillId="0" borderId="0" applyFont="0" applyFill="0" applyBorder="0" applyAlignment="0" applyProtection="0"/>
    <xf numFmtId="198" fontId="76" fillId="0" borderId="0"/>
    <xf numFmtId="199" fontId="111" fillId="0" borderId="0"/>
    <xf numFmtId="200" fontId="107" fillId="0" borderId="0"/>
    <xf numFmtId="201" fontId="107" fillId="0" borderId="0"/>
    <xf numFmtId="187"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62" fillId="0" borderId="2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3" fillId="0" borderId="2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187"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113" fillId="0" borderId="25" applyNumberFormat="0" applyFill="0" applyAlignment="0" applyProtection="0"/>
    <xf numFmtId="0" fontId="9" fillId="0" borderId="0" applyNumberFormat="0" applyFont="0" applyFill="0" applyBorder="0" applyAlignment="0" applyProtection="0"/>
    <xf numFmtId="187"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113" fillId="0" borderId="25" applyNumberFormat="0" applyFill="0" applyAlignment="0" applyProtection="0"/>
    <xf numFmtId="0" fontId="9" fillId="0" borderId="0" applyNumberFormat="0" applyFont="0" applyFill="0" applyBorder="0" applyAlignment="0" applyProtection="0"/>
    <xf numFmtId="0" fontId="62" fillId="0" borderId="25" applyNumberFormat="0" applyFill="0" applyAlignment="0" applyProtection="0"/>
    <xf numFmtId="0" fontId="113" fillId="0" borderId="25" applyNumberFormat="0" applyFill="0" applyAlignment="0" applyProtection="0"/>
    <xf numFmtId="0" fontId="113" fillId="0" borderId="25" applyNumberFormat="0" applyFill="0" applyAlignment="0" applyProtection="0"/>
    <xf numFmtId="0" fontId="113" fillId="0" borderId="25" applyNumberFormat="0" applyFill="0" applyAlignment="0" applyProtection="0"/>
    <xf numFmtId="187" fontId="114"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63" fillId="9" borderId="26"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115" fillId="62" borderId="34" applyNumberFormat="0" applyAlignment="0" applyProtection="0"/>
    <xf numFmtId="0" fontId="9" fillId="0" borderId="0" applyNumberFormat="0" applyFont="0" applyFill="0" applyBorder="0" applyAlignment="0" applyProtection="0"/>
    <xf numFmtId="0" fontId="115" fillId="62" borderId="34" applyNumberFormat="0" applyAlignment="0" applyProtection="0"/>
    <xf numFmtId="0" fontId="9" fillId="0" borderId="0" applyNumberFormat="0" applyFont="0" applyFill="0" applyBorder="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6" fillId="9" borderId="26" applyNumberFormat="0" applyAlignment="0" applyProtection="0"/>
    <xf numFmtId="0" fontId="82" fillId="0" borderId="26" applyNumberFormat="0" applyFill="0" applyAlignment="0" applyProtection="0"/>
    <xf numFmtId="187" fontId="114"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187" fontId="114" fillId="62" borderId="34" applyNumberFormat="0" applyAlignment="0" applyProtection="0"/>
    <xf numFmtId="187" fontId="114"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116" fillId="9" borderId="26" applyNumberFormat="0" applyAlignment="0" applyProtection="0"/>
    <xf numFmtId="0" fontId="9" fillId="0" borderId="0" applyNumberFormat="0" applyFont="0" applyFill="0" applyBorder="0" applyAlignment="0" applyProtection="0"/>
    <xf numFmtId="187" fontId="114" fillId="62" borderId="34" applyNumberFormat="0" applyAlignment="0" applyProtection="0"/>
    <xf numFmtId="187" fontId="114"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116" fillId="9" borderId="26" applyNumberFormat="0" applyAlignment="0" applyProtection="0"/>
    <xf numFmtId="0" fontId="9" fillId="0" borderId="0" applyNumberFormat="0" applyFont="0" applyFill="0" applyBorder="0" applyAlignment="0" applyProtection="0"/>
    <xf numFmtId="0" fontId="63" fillId="9" borderId="26" applyNumberFormat="0" applyAlignment="0" applyProtection="0"/>
    <xf numFmtId="0" fontId="116" fillId="9" borderId="26" applyNumberFormat="0" applyAlignment="0" applyProtection="0"/>
    <xf numFmtId="0" fontId="82" fillId="0" borderId="26" applyNumberFormat="0" applyFill="0" applyAlignment="0" applyProtection="0"/>
    <xf numFmtId="0" fontId="82" fillId="0" borderId="26" applyNumberFormat="0" applyFill="0" applyAlignment="0" applyProtection="0"/>
    <xf numFmtId="0" fontId="116" fillId="9" borderId="26" applyNumberFormat="0" applyAlignment="0" applyProtection="0"/>
    <xf numFmtId="0" fontId="82" fillId="0" borderId="26" applyNumberFormat="0" applyFill="0" applyAlignment="0" applyProtection="0"/>
    <xf numFmtId="1" fontId="117" fillId="63" borderId="0"/>
    <xf numFmtId="202" fontId="70" fillId="0" borderId="0" applyFont="0" applyFill="0" applyBorder="0" applyAlignment="0" applyProtection="0"/>
    <xf numFmtId="193" fontId="118" fillId="0" borderId="0"/>
    <xf numFmtId="38" fontId="79" fillId="0" borderId="0" applyFont="0" applyFill="0" applyBorder="0" applyAlignment="0" applyProtection="0"/>
    <xf numFmtId="203" fontId="119" fillId="0" borderId="0" applyFont="0" applyFill="0" applyBorder="0" applyAlignment="0" applyProtection="0"/>
    <xf numFmtId="204" fontId="119" fillId="0" borderId="0" applyFont="0" applyFill="0" applyBorder="0" applyAlignment="0" applyProtection="0"/>
    <xf numFmtId="205" fontId="119" fillId="0" borderId="0" applyFont="0" applyFill="0" applyBorder="0" applyAlignment="0" applyProtection="0"/>
    <xf numFmtId="206" fontId="119" fillId="0" borderId="0" applyFont="0" applyFill="0" applyBorder="0" applyAlignment="0" applyProtection="0"/>
    <xf numFmtId="187" fontId="120" fillId="0" borderId="3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53" fillId="0" borderId="2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0" fillId="0" borderId="35" applyNumberFormat="0" applyFill="0" applyAlignment="0" applyProtection="0"/>
    <xf numFmtId="0" fontId="120" fillId="0" borderId="3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2" fillId="0" borderId="20" applyNumberFormat="0" applyFill="0" applyAlignment="0" applyProtection="0"/>
    <xf numFmtId="0" fontId="123" fillId="0" borderId="2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187" fontId="120" fillId="0" borderId="35" applyNumberFormat="0" applyFill="0" applyAlignment="0" applyProtection="0"/>
    <xf numFmtId="0" fontId="121" fillId="0" borderId="36"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2" fillId="0" borderId="20" applyNumberFormat="0" applyFill="0" applyAlignment="0" applyProtection="0"/>
    <xf numFmtId="0" fontId="9" fillId="0" borderId="0" applyNumberFormat="0" applyFont="0" applyFill="0" applyBorder="0" applyAlignment="0" applyProtection="0"/>
    <xf numFmtId="187"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2" fillId="0" borderId="20" applyNumberFormat="0" applyFill="0" applyAlignment="0" applyProtection="0"/>
    <xf numFmtId="0" fontId="9" fillId="0" borderId="0" applyNumberFormat="0" applyFont="0" applyFill="0" applyBorder="0" applyAlignment="0" applyProtection="0"/>
    <xf numFmtId="0" fontId="53" fillId="0" borderId="20" applyNumberFormat="0" applyFill="0" applyAlignment="0" applyProtection="0"/>
    <xf numFmtId="0" fontId="122" fillId="0" borderId="20" applyNumberFormat="0" applyFill="0" applyAlignment="0" applyProtection="0"/>
    <xf numFmtId="0" fontId="123" fillId="0" borderId="20" applyNumberFormat="0" applyFill="0" applyAlignment="0" applyProtection="0"/>
    <xf numFmtId="0" fontId="123" fillId="0" borderId="20" applyNumberFormat="0" applyFill="0" applyAlignment="0" applyProtection="0"/>
    <xf numFmtId="0" fontId="122" fillId="0" borderId="20" applyNumberFormat="0" applyFill="0" applyAlignment="0" applyProtection="0"/>
    <xf numFmtId="0" fontId="123" fillId="0" borderId="20" applyNumberFormat="0" applyFill="0" applyAlignment="0" applyProtection="0"/>
    <xf numFmtId="187" fontId="124" fillId="0" borderId="37"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54" fillId="0" borderId="21"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4" fillId="0" borderId="37" applyNumberFormat="0" applyFill="0" applyAlignment="0" applyProtection="0"/>
    <xf numFmtId="0" fontId="124" fillId="0" borderId="37"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6" fillId="0" borderId="21" applyNumberFormat="0" applyFill="0" applyAlignment="0" applyProtection="0"/>
    <xf numFmtId="0" fontId="123" fillId="0" borderId="21"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187" fontId="124" fillId="0" borderId="37" applyNumberFormat="0" applyFill="0" applyAlignment="0" applyProtection="0"/>
    <xf numFmtId="0" fontId="125" fillId="0" borderId="38" applyNumberFormat="0" applyFill="0" applyAlignment="0" applyProtection="0"/>
    <xf numFmtId="0" fontId="124" fillId="0" borderId="37" applyNumberFormat="0" applyFill="0" applyAlignment="0" applyProtection="0"/>
    <xf numFmtId="0" fontId="124" fillId="0" borderId="37" applyNumberFormat="0" applyFill="0" applyAlignment="0" applyProtection="0"/>
    <xf numFmtId="0" fontId="126" fillId="0" borderId="21" applyNumberFormat="0" applyFill="0" applyAlignment="0" applyProtection="0"/>
    <xf numFmtId="0" fontId="9" fillId="0" borderId="0" applyNumberFormat="0" applyFont="0" applyFill="0" applyBorder="0" applyAlignment="0" applyProtection="0"/>
    <xf numFmtId="187" fontId="124" fillId="0" borderId="37" applyNumberFormat="0" applyFill="0" applyAlignment="0" applyProtection="0"/>
    <xf numFmtId="0" fontId="124" fillId="0" borderId="37" applyNumberFormat="0" applyFill="0" applyAlignment="0" applyProtection="0"/>
    <xf numFmtId="0" fontId="124" fillId="0" borderId="37" applyNumberFormat="0" applyFill="0" applyAlignment="0" applyProtection="0"/>
    <xf numFmtId="0" fontId="126" fillId="0" borderId="21" applyNumberFormat="0" applyFill="0" applyAlignment="0" applyProtection="0"/>
    <xf numFmtId="0" fontId="9" fillId="0" borderId="0" applyNumberFormat="0" applyFont="0" applyFill="0" applyBorder="0" applyAlignment="0" applyProtection="0"/>
    <xf numFmtId="0" fontId="54" fillId="0" borderId="21" applyNumberFormat="0" applyFill="0" applyAlignment="0" applyProtection="0"/>
    <xf numFmtId="0" fontId="126" fillId="0" borderId="21" applyNumberFormat="0" applyFill="0" applyAlignment="0" applyProtection="0"/>
    <xf numFmtId="0" fontId="123" fillId="0" borderId="21" applyNumberFormat="0" applyFill="0" applyAlignment="0" applyProtection="0"/>
    <xf numFmtId="0" fontId="123" fillId="0" borderId="21" applyNumberFormat="0" applyFill="0" applyAlignment="0" applyProtection="0"/>
    <xf numFmtId="0" fontId="126" fillId="0" borderId="21" applyNumberFormat="0" applyFill="0" applyAlignment="0" applyProtection="0"/>
    <xf numFmtId="0" fontId="123" fillId="0" borderId="21" applyNumberFormat="0" applyFill="0" applyAlignment="0" applyProtection="0"/>
    <xf numFmtId="187" fontId="127" fillId="0" borderId="39"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55" fillId="0" borderId="22"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7" fillId="0" borderId="39" applyNumberFormat="0" applyFill="0" applyAlignment="0" applyProtection="0"/>
    <xf numFmtId="0" fontId="127" fillId="0" borderId="39"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9" fillId="0" borderId="22" applyNumberFormat="0" applyFill="0" applyAlignment="0" applyProtection="0"/>
    <xf numFmtId="0" fontId="123" fillId="0" borderId="22"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187" fontId="127" fillId="0" borderId="39" applyNumberFormat="0" applyFill="0" applyAlignment="0" applyProtection="0"/>
    <xf numFmtId="0" fontId="128" fillId="0" borderId="40" applyNumberFormat="0" applyFill="0" applyAlignment="0" applyProtection="0"/>
    <xf numFmtId="0" fontId="127" fillId="0" borderId="39" applyNumberFormat="0" applyFill="0" applyAlignment="0" applyProtection="0"/>
    <xf numFmtId="0" fontId="127" fillId="0" borderId="39" applyNumberFormat="0" applyFill="0" applyAlignment="0" applyProtection="0"/>
    <xf numFmtId="0" fontId="129" fillId="0" borderId="22" applyNumberFormat="0" applyFill="0" applyAlignment="0" applyProtection="0"/>
    <xf numFmtId="0" fontId="9" fillId="0" borderId="0" applyNumberFormat="0" applyFont="0" applyFill="0" applyBorder="0" applyAlignment="0" applyProtection="0"/>
    <xf numFmtId="187" fontId="127" fillId="0" borderId="39" applyNumberFormat="0" applyFill="0" applyAlignment="0" applyProtection="0"/>
    <xf numFmtId="0" fontId="127" fillId="0" borderId="39" applyNumberFormat="0" applyFill="0" applyAlignment="0" applyProtection="0"/>
    <xf numFmtId="0" fontId="127" fillId="0" borderId="39" applyNumberFormat="0" applyFill="0" applyAlignment="0" applyProtection="0"/>
    <xf numFmtId="0" fontId="129" fillId="0" borderId="22" applyNumberFormat="0" applyFill="0" applyAlignment="0" applyProtection="0"/>
    <xf numFmtId="0" fontId="9" fillId="0" borderId="0" applyNumberFormat="0" applyFont="0" applyFill="0" applyBorder="0" applyAlignment="0" applyProtection="0"/>
    <xf numFmtId="0" fontId="55" fillId="0" borderId="22" applyNumberFormat="0" applyFill="0" applyAlignment="0" applyProtection="0"/>
    <xf numFmtId="0" fontId="129" fillId="0" borderId="22" applyNumberFormat="0" applyFill="0" applyAlignment="0" applyProtection="0"/>
    <xf numFmtId="0" fontId="123" fillId="0" borderId="22" applyNumberFormat="0" applyFill="0" applyAlignment="0" applyProtection="0"/>
    <xf numFmtId="0" fontId="123" fillId="0" borderId="22" applyNumberFormat="0" applyFill="0" applyAlignment="0" applyProtection="0"/>
    <xf numFmtId="0" fontId="129" fillId="0" borderId="22" applyNumberFormat="0" applyFill="0" applyAlignment="0" applyProtection="0"/>
    <xf numFmtId="0" fontId="123" fillId="0" borderId="22" applyNumberFormat="0" applyFill="0" applyAlignment="0" applyProtection="0"/>
    <xf numFmtId="187" fontId="127"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55"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9" fillId="0" borderId="0" applyNumberFormat="0" applyFill="0" applyBorder="0" applyAlignment="0" applyProtection="0"/>
    <xf numFmtId="0" fontId="1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187" fontId="127" fillId="0" borderId="0" applyNumberFormat="0" applyFill="0" applyBorder="0" applyAlignment="0" applyProtection="0"/>
    <xf numFmtId="0" fontId="128"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9" fillId="0" borderId="0" applyNumberFormat="0" applyFill="0" applyBorder="0" applyAlignment="0" applyProtection="0"/>
    <xf numFmtId="0" fontId="9" fillId="0" borderId="0" applyNumberFormat="0" applyFont="0" applyFill="0" applyBorder="0" applyAlignment="0" applyProtection="0"/>
    <xf numFmtId="187"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9" fillId="0" borderId="0" applyNumberFormat="0" applyFill="0" applyBorder="0" applyAlignment="0" applyProtection="0"/>
    <xf numFmtId="0" fontId="9" fillId="0" borderId="0" applyNumberFormat="0" applyFont="0" applyFill="0" applyBorder="0" applyAlignment="0" applyProtection="0"/>
    <xf numFmtId="0" fontId="55" fillId="0" borderId="0" applyNumberFormat="0" applyFill="0" applyBorder="0" applyAlignment="0" applyProtection="0"/>
    <xf numFmtId="0" fontId="129"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9" fillId="0" borderId="0" applyNumberFormat="0" applyFill="0" applyBorder="0" applyAlignment="0" applyProtection="0"/>
    <xf numFmtId="0" fontId="123" fillId="0" borderId="0" applyNumberFormat="0" applyFill="0" applyBorder="0" applyAlignment="0" applyProtection="0"/>
    <xf numFmtId="187"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58" fillId="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1" fillId="6" borderId="0" applyNumberFormat="0" applyBorder="0" applyAlignment="0" applyProtection="0"/>
    <xf numFmtId="0" fontId="131"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187"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131" fillId="6" borderId="0" applyNumberFormat="0" applyBorder="0" applyAlignment="0" applyProtection="0"/>
    <xf numFmtId="0" fontId="9" fillId="0" borderId="0" applyNumberFormat="0" applyFont="0" applyFill="0" applyBorder="0" applyAlignment="0" applyProtection="0"/>
    <xf numFmtId="187"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131" fillId="6" borderId="0" applyNumberFormat="0" applyBorder="0" applyAlignment="0" applyProtection="0"/>
    <xf numFmtId="0" fontId="9" fillId="0" borderId="0" applyNumberFormat="0" applyFont="0" applyFill="0" applyBorder="0" applyAlignment="0" applyProtection="0"/>
    <xf numFmtId="0" fontId="58" fillId="6" borderId="0" applyNumberFormat="0" applyBorder="0" applyAlignment="0" applyProtection="0"/>
    <xf numFmtId="0" fontId="131" fillId="6" borderId="0" applyNumberFormat="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6" borderId="0" applyNumberFormat="0" applyBorder="0" applyAlignment="0" applyProtection="0"/>
    <xf numFmtId="0" fontId="131" fillId="0" borderId="0" applyNumberFormat="0" applyFill="0" applyBorder="0" applyAlignment="0" applyProtection="0"/>
    <xf numFmtId="0" fontId="70" fillId="0" borderId="0"/>
    <xf numFmtId="0" fontId="74" fillId="0" borderId="0"/>
    <xf numFmtId="0" fontId="15" fillId="0" borderId="0"/>
    <xf numFmtId="0" fontId="15"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70" fillId="0" borderId="0"/>
    <xf numFmtId="0" fontId="132" fillId="0" borderId="0"/>
    <xf numFmtId="0" fontId="133" fillId="0" borderId="0" applyNumberFormat="0" applyFont="0" applyFill="0" applyBorder="0" applyAlignment="0" applyProtection="0">
      <protection locked="0"/>
    </xf>
    <xf numFmtId="187" fontId="46"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187" fontId="46" fillId="0" borderId="0"/>
    <xf numFmtId="0" fontId="74" fillId="0" borderId="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15"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46" fillId="0" borderId="0"/>
    <xf numFmtId="187" fontId="46" fillId="0" borderId="0"/>
    <xf numFmtId="0" fontId="15" fillId="0" borderId="0"/>
    <xf numFmtId="0" fontId="74" fillId="0" borderId="0"/>
    <xf numFmtId="0" fontId="74" fillId="0" borderId="0"/>
    <xf numFmtId="0" fontId="15" fillId="0" borderId="0"/>
    <xf numFmtId="0" fontId="15" fillId="0" borderId="0"/>
    <xf numFmtId="0" fontId="15"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xf numFmtId="0" fontId="74" fillId="0" borderId="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8" fillId="0" borderId="0"/>
    <xf numFmtId="0" fontId="8" fillId="0" borderId="0"/>
    <xf numFmtId="0" fontId="134" fillId="0" borderId="0"/>
    <xf numFmtId="0" fontId="8" fillId="0" borderId="0"/>
    <xf numFmtId="0" fontId="8" fillId="0" borderId="0"/>
    <xf numFmtId="0" fontId="8" fillId="0" borderId="0"/>
    <xf numFmtId="0" fontId="8" fillId="0" borderId="0"/>
    <xf numFmtId="0" fontId="8" fillId="0" borderId="0"/>
    <xf numFmtId="0" fontId="94" fillId="0" borderId="0"/>
    <xf numFmtId="0" fontId="8" fillId="0" borderId="0"/>
    <xf numFmtId="0" fontId="8" fillId="0" borderId="0"/>
    <xf numFmtId="187" fontId="46" fillId="0" borderId="0"/>
    <xf numFmtId="187" fontId="46" fillId="0" borderId="0"/>
    <xf numFmtId="0" fontId="15" fillId="0" borderId="0"/>
    <xf numFmtId="0" fontId="74" fillId="0" borderId="0"/>
    <xf numFmtId="0" fontId="15" fillId="0" borderId="0"/>
    <xf numFmtId="0" fontId="74" fillId="0" borderId="0"/>
    <xf numFmtId="0" fontId="15" fillId="0" borderId="0" applyNumberFormat="0" applyFont="0" applyFill="0" applyBorder="0" applyAlignment="0" applyProtection="0"/>
    <xf numFmtId="0" fontId="8" fillId="0" borderId="0"/>
    <xf numFmtId="0" fontId="8" fillId="0" borderId="0"/>
    <xf numFmtId="0" fontId="8" fillId="0" borderId="0"/>
    <xf numFmtId="0" fontId="8" fillId="0" borderId="0"/>
    <xf numFmtId="187" fontId="46" fillId="0" borderId="0"/>
    <xf numFmtId="187" fontId="46" fillId="0" borderId="0"/>
    <xf numFmtId="0" fontId="15" fillId="0" borderId="0"/>
    <xf numFmtId="0" fontId="15" fillId="0" borderId="0"/>
    <xf numFmtId="0" fontId="70" fillId="0" borderId="0"/>
    <xf numFmtId="0" fontId="15" fillId="0" borderId="0" applyNumberFormat="0" applyFill="0" applyBorder="0" applyAlignment="0" applyProtection="0"/>
    <xf numFmtId="187" fontId="74" fillId="0" borderId="0"/>
    <xf numFmtId="0" fontId="15" fillId="0" borderId="0"/>
    <xf numFmtId="0" fontId="15" fillId="0" borderId="0"/>
    <xf numFmtId="0" fontId="74" fillId="0" borderId="0"/>
    <xf numFmtId="0" fontId="74" fillId="0" borderId="0"/>
    <xf numFmtId="0" fontId="15" fillId="0" borderId="0" applyNumberFormat="0" applyFont="0" applyFill="0" applyBorder="0" applyAlignment="0" applyProtection="0"/>
    <xf numFmtId="0" fontId="70" fillId="0" borderId="0"/>
    <xf numFmtId="0" fontId="74" fillId="0" borderId="0"/>
    <xf numFmtId="187" fontId="46" fillId="0" borderId="0"/>
    <xf numFmtId="187" fontId="46" fillId="0" borderId="0"/>
    <xf numFmtId="0" fontId="15" fillId="0" borderId="0"/>
    <xf numFmtId="0" fontId="15" fillId="0" borderId="0"/>
    <xf numFmtId="0" fontId="70" fillId="0" borderId="0"/>
    <xf numFmtId="0" fontId="15" fillId="0" borderId="0" applyNumberFormat="0" applyFill="0" applyBorder="0" applyAlignment="0" applyProtection="0"/>
    <xf numFmtId="0" fontId="15" fillId="0" borderId="0"/>
    <xf numFmtId="0" fontId="15" fillId="0" borderId="0"/>
    <xf numFmtId="0" fontId="70" fillId="0" borderId="0"/>
    <xf numFmtId="0" fontId="15" fillId="0" borderId="0" applyNumberFormat="0" applyFill="0" applyBorder="0" applyAlignment="0" applyProtection="0"/>
    <xf numFmtId="187" fontId="46" fillId="0" borderId="0"/>
    <xf numFmtId="0" fontId="15" fillId="0" borderId="0"/>
    <xf numFmtId="0" fontId="70" fillId="0" borderId="0"/>
    <xf numFmtId="0" fontId="74" fillId="0" borderId="0"/>
    <xf numFmtId="187" fontId="46"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187" fontId="74" fillId="0" borderId="0"/>
    <xf numFmtId="187" fontId="80" fillId="0" borderId="0" applyFill="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4" fillId="0" borderId="0"/>
    <xf numFmtId="0" fontId="71" fillId="0" borderId="0"/>
    <xf numFmtId="0" fontId="71" fillId="0" borderId="0"/>
    <xf numFmtId="0" fontId="15" fillId="0" borderId="0" applyNumberFormat="0" applyFont="0" applyFill="0" applyBorder="0" applyAlignment="0" applyProtection="0"/>
    <xf numFmtId="188" fontId="74" fillId="0" borderId="0"/>
    <xf numFmtId="0" fontId="71" fillId="0" borderId="0"/>
    <xf numFmtId="0" fontId="71"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187" fontId="8" fillId="0" borderId="0"/>
    <xf numFmtId="0" fontId="74" fillId="0" borderId="0"/>
    <xf numFmtId="0" fontId="8" fillId="0" borderId="0" applyNumberFormat="0" applyFill="0" applyBorder="0" applyAlignment="0" applyProtection="0"/>
    <xf numFmtId="188" fontId="6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4" fillId="0" borderId="0"/>
    <xf numFmtId="0" fontId="8" fillId="0" borderId="0"/>
    <xf numFmtId="0" fontId="15" fillId="0" borderId="0" applyNumberFormat="0" applyFont="0" applyFill="0" applyBorder="0" applyAlignment="0" applyProtection="0"/>
    <xf numFmtId="187" fontId="8" fillId="0" borderId="0"/>
    <xf numFmtId="187" fontId="15" fillId="0" borderId="0"/>
    <xf numFmtId="187" fontId="15" fillId="0" borderId="0"/>
    <xf numFmtId="0" fontId="8" fillId="0" borderId="0"/>
    <xf numFmtId="0" fontId="8" fillId="0" borderId="0"/>
    <xf numFmtId="0" fontId="70" fillId="0" borderId="0"/>
    <xf numFmtId="0" fontId="8" fillId="0" borderId="0"/>
    <xf numFmtId="0" fontId="8" fillId="0" borderId="0" applyNumberFormat="0" applyFill="0" applyBorder="0" applyAlignment="0" applyProtection="0"/>
    <xf numFmtId="187" fontId="9" fillId="0" borderId="0"/>
    <xf numFmtId="0" fontId="8" fillId="0" borderId="0"/>
    <xf numFmtId="0" fontId="8"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15" fillId="0" borderId="0" applyNumberFormat="0" applyFill="0" applyBorder="0" applyAlignment="0" applyProtection="0"/>
    <xf numFmtId="0" fontId="92" fillId="0" borderId="0"/>
    <xf numFmtId="0" fontId="92" fillId="0" borderId="0"/>
    <xf numFmtId="0" fontId="15" fillId="0" borderId="0" applyNumberFormat="0" applyFill="0" applyBorder="0" applyAlignment="0" applyProtection="0"/>
    <xf numFmtId="0" fontId="92" fillId="0" borderId="0"/>
    <xf numFmtId="0" fontId="92" fillId="0" borderId="0"/>
    <xf numFmtId="0" fontId="15" fillId="0" borderId="0" applyNumberFormat="0" applyFont="0" applyFill="0" applyBorder="0" applyAlignment="0" applyProtection="0"/>
    <xf numFmtId="0" fontId="74" fillId="0" borderId="0"/>
    <xf numFmtId="0" fontId="74" fillId="0" borderId="0"/>
    <xf numFmtId="0" fontId="74" fillId="0" borderId="0"/>
    <xf numFmtId="187" fontId="74" fillId="0" borderId="0"/>
    <xf numFmtId="0" fontId="74" fillId="0" borderId="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xf numFmtId="0" fontId="15" fillId="0" borderId="0" applyNumberForma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35" fillId="0" borderId="0"/>
    <xf numFmtId="187"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xf numFmtId="0" fontId="70" fillId="0" borderId="0"/>
    <xf numFmtId="0" fontId="15" fillId="0" borderId="0" applyNumberFormat="0" applyFont="0" applyFill="0" applyBorder="0" applyAlignment="0" applyProtection="0"/>
    <xf numFmtId="0" fontId="70" fillId="0" borderId="0"/>
    <xf numFmtId="0" fontId="70" fillId="0" borderId="0"/>
    <xf numFmtId="0" fontId="71"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187" fontId="70" fillId="0" borderId="0"/>
    <xf numFmtId="187" fontId="70" fillId="0" borderId="0"/>
    <xf numFmtId="0" fontId="71" fillId="0" borderId="0"/>
    <xf numFmtId="187" fontId="15" fillId="0" borderId="0"/>
    <xf numFmtId="0" fontId="71" fillId="0" borderId="0"/>
    <xf numFmtId="0" fontId="15" fillId="0" borderId="0" applyNumberFormat="0" applyFont="0" applyFill="0" applyBorder="0" applyAlignment="0" applyProtection="0"/>
    <xf numFmtId="187" fontId="70" fillId="0" borderId="0"/>
    <xf numFmtId="0" fontId="71" fillId="0" borderId="0"/>
    <xf numFmtId="0" fontId="71" fillId="0" borderId="0"/>
    <xf numFmtId="0" fontId="15" fillId="0" borderId="0" applyNumberFormat="0" applyFont="0" applyFill="0" applyBorder="0" applyAlignment="0" applyProtection="0"/>
    <xf numFmtId="187" fontId="70" fillId="0" borderId="0"/>
    <xf numFmtId="0" fontId="71" fillId="0" borderId="0"/>
    <xf numFmtId="0" fontId="71" fillId="0" borderId="0"/>
    <xf numFmtId="0" fontId="15" fillId="0" borderId="0" applyNumberFormat="0" applyFont="0" applyFill="0" applyBorder="0" applyAlignment="0" applyProtection="0"/>
    <xf numFmtId="187" fontId="70" fillId="0" borderId="0"/>
    <xf numFmtId="0" fontId="71" fillId="0" borderId="0"/>
    <xf numFmtId="0" fontId="71" fillId="0" borderId="0"/>
    <xf numFmtId="0" fontId="15" fillId="0" borderId="0" applyNumberFormat="0" applyFont="0" applyFill="0" applyBorder="0" applyAlignment="0" applyProtection="0"/>
    <xf numFmtId="187" fontId="70" fillId="0" borderId="0"/>
    <xf numFmtId="0" fontId="71" fillId="0" borderId="0"/>
    <xf numFmtId="0" fontId="71" fillId="0" borderId="0"/>
    <xf numFmtId="0" fontId="15" fillId="0" borderId="0" applyNumberFormat="0" applyFont="0" applyFill="0" applyBorder="0" applyAlignment="0" applyProtection="0"/>
    <xf numFmtId="187" fontId="74" fillId="0" borderId="0"/>
    <xf numFmtId="187" fontId="46"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0" fontId="46" fillId="0" borderId="0"/>
    <xf numFmtId="0" fontId="8" fillId="0" borderId="0"/>
    <xf numFmtId="0" fontId="74"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0" fontId="8" fillId="0" borderId="0"/>
    <xf numFmtId="0" fontId="8"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0" fontId="8" fillId="0" borderId="0"/>
    <xf numFmtId="0" fontId="8"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0" fontId="8" fillId="0" borderId="0"/>
    <xf numFmtId="0" fontId="8"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0" fontId="8" fillId="0" borderId="0"/>
    <xf numFmtId="0" fontId="8" fillId="0" borderId="0"/>
    <xf numFmtId="0" fontId="15" fillId="0" borderId="0"/>
    <xf numFmtId="0" fontId="70" fillId="0" borderId="0"/>
    <xf numFmtId="0" fontId="8" fillId="0" borderId="0"/>
    <xf numFmtId="0" fontId="8" fillId="0" borderId="0"/>
    <xf numFmtId="0" fontId="15" fillId="0" borderId="0"/>
    <xf numFmtId="0" fontId="109" fillId="0" borderId="0"/>
    <xf numFmtId="0" fontId="8" fillId="0" borderId="0"/>
    <xf numFmtId="0" fontId="8" fillId="0" borderId="0"/>
    <xf numFmtId="0" fontId="15" fillId="0" borderId="0"/>
    <xf numFmtId="0" fontId="109" fillId="0" borderId="0"/>
    <xf numFmtId="0" fontId="8" fillId="0" borderId="0"/>
    <xf numFmtId="0" fontId="8" fillId="0" borderId="0"/>
    <xf numFmtId="0" fontId="15" fillId="0" borderId="0"/>
    <xf numFmtId="0" fontId="109" fillId="0" borderId="0"/>
    <xf numFmtId="0" fontId="8" fillId="0" borderId="0"/>
    <xf numFmtId="0" fontId="8" fillId="0" borderId="0"/>
    <xf numFmtId="0" fontId="8" fillId="0" borderId="0"/>
    <xf numFmtId="0" fontId="15" fillId="0" borderId="0"/>
    <xf numFmtId="0" fontId="8" fillId="0" borderId="0"/>
    <xf numFmtId="0" fontId="92" fillId="0" borderId="0"/>
    <xf numFmtId="0" fontId="8" fillId="0" borderId="0"/>
    <xf numFmtId="187" fontId="74" fillId="0" borderId="0"/>
    <xf numFmtId="0" fontId="74" fillId="0" borderId="0"/>
    <xf numFmtId="0" fontId="15" fillId="0" borderId="0"/>
    <xf numFmtId="0" fontId="15" fillId="0" borderId="0" applyNumberFormat="0" applyFill="0" applyBorder="0" applyAlignment="0" applyProtection="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xf numFmtId="0" fontId="8" fillId="0" borderId="0" applyNumberFormat="0" applyFill="0" applyBorder="0" applyAlignment="0" applyProtection="0"/>
    <xf numFmtId="0" fontId="8" fillId="0" borderId="0"/>
    <xf numFmtId="0" fontId="8" fillId="0" borderId="0"/>
    <xf numFmtId="0" fontId="74" fillId="0" borderId="0"/>
    <xf numFmtId="0" fontId="15" fillId="0" borderId="0" applyNumberFormat="0" applyFont="0" applyFill="0" applyBorder="0" applyAlignment="0" applyProtection="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9"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xf numFmtId="0" fontId="15" fillId="0" borderId="0"/>
    <xf numFmtId="0" fontId="15" fillId="0" borderId="0"/>
    <xf numFmtId="0" fontId="15" fillId="0" borderId="0" applyNumberFormat="0" applyFill="0" applyBorder="0" applyAlignment="0" applyProtection="0"/>
    <xf numFmtId="0" fontId="74" fillId="0" borderId="0"/>
    <xf numFmtId="0" fontId="15" fillId="0" borderId="0" applyNumberFormat="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7" fontId="9" fillId="0" borderId="0"/>
    <xf numFmtId="0" fontId="74"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3" fillId="0" borderId="0"/>
    <xf numFmtId="0" fontId="15" fillId="0" borderId="0" applyNumberFormat="0" applyFont="0" applyFill="0" applyBorder="0" applyAlignment="0" applyProtection="0"/>
    <xf numFmtId="187" fontId="9" fillId="0" borderId="0"/>
    <xf numFmtId="0" fontId="93" fillId="0" borderId="0"/>
    <xf numFmtId="0" fontId="15" fillId="0" borderId="0" applyNumberFormat="0" applyFont="0" applyFill="0" applyBorder="0" applyAlignment="0" applyProtection="0"/>
    <xf numFmtId="187" fontId="9" fillId="0" borderId="0"/>
    <xf numFmtId="0" fontId="93" fillId="0" borderId="0"/>
    <xf numFmtId="0" fontId="15" fillId="0" borderId="0" applyNumberFormat="0" applyFont="0" applyFill="0" applyBorder="0" applyAlignment="0" applyProtection="0"/>
    <xf numFmtId="187" fontId="9" fillId="0" borderId="0"/>
    <xf numFmtId="0" fontId="93" fillId="0" borderId="0"/>
    <xf numFmtId="0" fontId="15" fillId="0" borderId="0"/>
    <xf numFmtId="187" fontId="9" fillId="0" borderId="0"/>
    <xf numFmtId="0" fontId="93" fillId="0" borderId="0"/>
    <xf numFmtId="0" fontId="15" fillId="0" borderId="0"/>
    <xf numFmtId="187" fontId="9" fillId="0" borderId="0"/>
    <xf numFmtId="187" fontId="74" fillId="0" borderId="0"/>
    <xf numFmtId="0" fontId="8" fillId="0" borderId="0"/>
    <xf numFmtId="0" fontId="15" fillId="0" borderId="0"/>
    <xf numFmtId="0" fontId="109" fillId="0" borderId="0"/>
    <xf numFmtId="0" fontId="8" fillId="0" borderId="0"/>
    <xf numFmtId="187" fontId="15" fillId="0" borderId="0"/>
    <xf numFmtId="0" fontId="8" fillId="0" borderId="0"/>
    <xf numFmtId="0" fontId="15" fillId="0" borderId="0"/>
    <xf numFmtId="0" fontId="8" fillId="0" borderId="0"/>
    <xf numFmtId="0" fontId="109" fillId="0" borderId="0"/>
    <xf numFmtId="0" fontId="8" fillId="0" borderId="0"/>
    <xf numFmtId="0" fontId="15" fillId="0" borderId="0"/>
    <xf numFmtId="0" fontId="70" fillId="0" borderId="0"/>
    <xf numFmtId="0" fontId="8" fillId="0" borderId="0"/>
    <xf numFmtId="0" fontId="8" fillId="0" borderId="0"/>
    <xf numFmtId="0" fontId="15" fillId="0" borderId="0"/>
    <xf numFmtId="0" fontId="70" fillId="0" borderId="0"/>
    <xf numFmtId="0" fontId="8" fillId="0" borderId="0"/>
    <xf numFmtId="0" fontId="8" fillId="0" borderId="0"/>
    <xf numFmtId="0" fontId="15" fillId="0" borderId="0"/>
    <xf numFmtId="0" fontId="70" fillId="0" borderId="0"/>
    <xf numFmtId="0" fontId="8" fillId="0" borderId="0"/>
    <xf numFmtId="0" fontId="8" fillId="0" borderId="0"/>
    <xf numFmtId="0" fontId="15" fillId="0" borderId="0"/>
    <xf numFmtId="0" fontId="74"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74" fillId="0" borderId="0"/>
    <xf numFmtId="0" fontId="8" fillId="0" borderId="0"/>
    <xf numFmtId="0" fontId="15" fillId="0" borderId="0"/>
    <xf numFmtId="0" fontId="8" fillId="0" borderId="0"/>
    <xf numFmtId="0" fontId="15" fillId="0" borderId="0"/>
    <xf numFmtId="187" fontId="46" fillId="0" borderId="0"/>
    <xf numFmtId="0" fontId="15" fillId="0" borderId="0"/>
    <xf numFmtId="0" fontId="15" fillId="0" borderId="0" applyNumberFormat="0" applyFill="0" applyBorder="0" applyAlignment="0" applyProtection="0"/>
    <xf numFmtId="187" fontId="8" fillId="0" borderId="0"/>
    <xf numFmtId="187" fontId="8" fillId="0" borderId="0"/>
    <xf numFmtId="0" fontId="15"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5" fillId="0" borderId="0" applyNumberFormat="0" applyFill="0" applyBorder="0" applyAlignment="0" applyProtection="0"/>
    <xf numFmtId="0" fontId="8"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0" borderId="0"/>
    <xf numFmtId="0" fontId="8" fillId="0" borderId="0"/>
    <xf numFmtId="0" fontId="74" fillId="0" borderId="0"/>
    <xf numFmtId="0" fontId="8" fillId="0" borderId="0" applyNumberFormat="0" applyFill="0" applyBorder="0" applyAlignment="0" applyProtection="0"/>
    <xf numFmtId="187" fontId="74" fillId="0" borderId="0"/>
    <xf numFmtId="0" fontId="15" fillId="0" borderId="0"/>
    <xf numFmtId="0" fontId="74" fillId="0" borderId="0"/>
    <xf numFmtId="0" fontId="74" fillId="0" borderId="0"/>
    <xf numFmtId="0" fontId="15" fillId="0" borderId="0" applyNumberFormat="0" applyFont="0" applyFill="0" applyBorder="0" applyAlignment="0" applyProtection="0"/>
    <xf numFmtId="187" fontId="74" fillId="0" borderId="0"/>
    <xf numFmtId="0" fontId="74" fillId="0" borderId="0"/>
    <xf numFmtId="0" fontId="74" fillId="0" borderId="0"/>
    <xf numFmtId="0" fontId="15" fillId="0" borderId="0" applyNumberFormat="0" applyFont="0" applyFill="0" applyBorder="0" applyAlignment="0" applyProtection="0"/>
    <xf numFmtId="187" fontId="46" fillId="0" borderId="0"/>
    <xf numFmtId="0" fontId="15" fillId="0" borderId="0"/>
    <xf numFmtId="0" fontId="15" fillId="0" borderId="0"/>
    <xf numFmtId="0" fontId="15" fillId="0" borderId="0" applyNumberFormat="0" applyFill="0" applyBorder="0" applyAlignment="0" applyProtection="0"/>
    <xf numFmtId="187" fontId="46"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xf numFmtId="187" fontId="74" fillId="0" borderId="0"/>
    <xf numFmtId="0" fontId="74" fillId="0" borderId="0"/>
    <xf numFmtId="0" fontId="8" fillId="0" borderId="0"/>
    <xf numFmtId="0" fontId="15" fillId="0" borderId="0"/>
    <xf numFmtId="0" fontId="8" fillId="0" borderId="0"/>
    <xf numFmtId="187" fontId="15" fillId="0" borderId="0"/>
    <xf numFmtId="0" fontId="15" fillId="0" borderId="0"/>
    <xf numFmtId="0" fontId="15" fillId="0" borderId="0"/>
    <xf numFmtId="0" fontId="8" fillId="0" borderId="0"/>
    <xf numFmtId="0" fontId="15" fillId="0" borderId="0"/>
    <xf numFmtId="0" fontId="8" fillId="0" borderId="0"/>
    <xf numFmtId="0" fontId="15" fillId="0" borderId="0"/>
    <xf numFmtId="0" fontId="8" fillId="0" borderId="0"/>
    <xf numFmtId="0" fontId="15" fillId="0" borderId="0"/>
    <xf numFmtId="0" fontId="8" fillId="0" borderId="0"/>
    <xf numFmtId="0" fontId="15" fillId="0" borderId="0"/>
    <xf numFmtId="0" fontId="8" fillId="0" borderId="0"/>
    <xf numFmtId="0" fontId="15" fillId="0" borderId="0"/>
    <xf numFmtId="0" fontId="8" fillId="0" borderId="0"/>
    <xf numFmtId="188" fontId="15" fillId="0" borderId="0"/>
    <xf numFmtId="0" fontId="8" fillId="0" borderId="0"/>
    <xf numFmtId="0" fontId="15" fillId="0" borderId="0"/>
    <xf numFmtId="0" fontId="15" fillId="0" borderId="0"/>
    <xf numFmtId="0" fontId="8" fillId="0" borderId="0"/>
    <xf numFmtId="188" fontId="15" fillId="0" borderId="0"/>
    <xf numFmtId="0" fontId="8" fillId="0" borderId="0"/>
    <xf numFmtId="0" fontId="15" fillId="0" borderId="0"/>
    <xf numFmtId="0" fontId="15" fillId="0" borderId="0"/>
    <xf numFmtId="0" fontId="8" fillId="0" borderId="0"/>
    <xf numFmtId="187" fontId="15"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187" fontId="136" fillId="0" borderId="0"/>
    <xf numFmtId="0" fontId="74" fillId="0" borderId="0"/>
    <xf numFmtId="0" fontId="15" fillId="0" borderId="0"/>
    <xf numFmtId="0" fontId="15" fillId="0" borderId="0" applyNumberFormat="0" applyFont="0" applyFill="0" applyBorder="0" applyAlignment="0" applyProtection="0"/>
    <xf numFmtId="0" fontId="46" fillId="0" borderId="0"/>
    <xf numFmtId="0" fontId="136" fillId="0" borderId="0" applyNumberFormat="0" applyFill="0" applyBorder="0" applyAlignment="0" applyProtection="0"/>
    <xf numFmtId="0" fontId="136"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15" fillId="0" borderId="0" applyNumberFormat="0" applyFont="0" applyFill="0" applyBorder="0" applyAlignment="0" applyProtection="0"/>
    <xf numFmtId="0" fontId="15" fillId="0" borderId="0"/>
    <xf numFmtId="0" fontId="8" fillId="0" borderId="0"/>
    <xf numFmtId="0" fontId="8" fillId="0" borderId="0" applyNumberFormat="0" applyFill="0" applyBorder="0" applyAlignment="0" applyProtection="0"/>
    <xf numFmtId="0" fontId="74" fillId="0" borderId="0"/>
    <xf numFmtId="0" fontId="8" fillId="0" borderId="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4" fillId="0" borderId="0"/>
    <xf numFmtId="0" fontId="15" fillId="0" borderId="0" applyNumberFormat="0" applyFont="0" applyFill="0" applyBorder="0" applyAlignment="0" applyProtection="0"/>
    <xf numFmtId="0" fontId="70" fillId="0" borderId="0"/>
    <xf numFmtId="0" fontId="136" fillId="0" borderId="0"/>
    <xf numFmtId="187" fontId="9" fillId="0" borderId="0"/>
    <xf numFmtId="0" fontId="15" fillId="0" borderId="0"/>
    <xf numFmtId="0" fontId="74" fillId="0" borderId="0"/>
    <xf numFmtId="0" fontId="15" fillId="0" borderId="0" applyNumberFormat="0" applyFont="0" applyFill="0" applyBorder="0" applyAlignment="0" applyProtection="0"/>
    <xf numFmtId="187" fontId="9" fillId="0" borderId="0"/>
    <xf numFmtId="0" fontId="136" fillId="0" borderId="0"/>
    <xf numFmtId="0" fontId="15" fillId="0" borderId="0" applyNumberFormat="0" applyFont="0" applyFill="0" applyBorder="0" applyAlignment="0" applyProtection="0"/>
    <xf numFmtId="187" fontId="9" fillId="0" borderId="0"/>
    <xf numFmtId="0" fontId="15" fillId="0" borderId="0" applyNumberFormat="0" applyFont="0" applyFill="0" applyBorder="0" applyAlignment="0" applyProtection="0"/>
    <xf numFmtId="187" fontId="9" fillId="0" borderId="0"/>
    <xf numFmtId="0" fontId="15" fillId="0" borderId="0" applyNumberFormat="0" applyFont="0" applyFill="0" applyBorder="0" applyAlignment="0" applyProtection="0"/>
    <xf numFmtId="187" fontId="9" fillId="0" borderId="0"/>
    <xf numFmtId="0" fontId="15" fillId="0" borderId="0" applyNumberFormat="0" applyFont="0" applyFill="0" applyBorder="0" applyAlignment="0" applyProtection="0"/>
    <xf numFmtId="187" fontId="9" fillId="0" borderId="0"/>
    <xf numFmtId="0" fontId="15" fillId="0" borderId="0" applyNumberFormat="0" applyFont="0" applyFill="0" applyBorder="0" applyAlignment="0" applyProtection="0"/>
    <xf numFmtId="187" fontId="9" fillId="0" borderId="0"/>
    <xf numFmtId="0" fontId="15" fillId="0" borderId="0" applyNumberFormat="0" applyFont="0" applyFill="0" applyBorder="0" applyAlignment="0" applyProtection="0"/>
    <xf numFmtId="187" fontId="74"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8" fillId="0" borderId="0"/>
    <xf numFmtId="187" fontId="46" fillId="0" borderId="0"/>
    <xf numFmtId="187" fontId="46" fillId="0" borderId="0"/>
    <xf numFmtId="0" fontId="74" fillId="0" borderId="0"/>
    <xf numFmtId="0" fontId="15" fillId="0" borderId="0" applyNumberFormat="0" applyFill="0" applyBorder="0" applyAlignment="0" applyProtection="0"/>
    <xf numFmtId="187" fontId="46" fillId="0" borderId="0"/>
    <xf numFmtId="0" fontId="15" fillId="0" borderId="0" applyNumberFormat="0" applyFill="0" applyBorder="0" applyAlignment="0" applyProtection="0"/>
    <xf numFmtId="0" fontId="74" fillId="0" borderId="0"/>
    <xf numFmtId="0" fontId="15" fillId="0" borderId="0"/>
    <xf numFmtId="0" fontId="15" fillId="0" borderId="0" applyNumberFormat="0" applyFill="0" applyBorder="0" applyAlignment="0" applyProtection="0"/>
    <xf numFmtId="188" fontId="46"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7" fontId="8" fillId="0" borderId="0"/>
    <xf numFmtId="0" fontId="8" fillId="0" borderId="0" applyNumberForma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187" fontId="46" fillId="0" borderId="0"/>
    <xf numFmtId="187" fontId="46" fillId="0" borderId="0"/>
    <xf numFmtId="0" fontId="15" fillId="0" borderId="0"/>
    <xf numFmtId="0" fontId="15" fillId="0" borderId="0" applyNumberFormat="0" applyFont="0" applyFill="0" applyBorder="0" applyAlignment="0" applyProtection="0"/>
    <xf numFmtId="0" fontId="74" fillId="0" borderId="0"/>
    <xf numFmtId="0" fontId="74" fillId="0" borderId="0"/>
    <xf numFmtId="0" fontId="15" fillId="0" borderId="0"/>
    <xf numFmtId="0" fontId="15" fillId="0" borderId="0" applyNumberFormat="0" applyFill="0" applyBorder="0" applyAlignment="0" applyProtection="0"/>
    <xf numFmtId="187" fontId="8"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8" fillId="0" borderId="0" applyNumberFormat="0" applyFill="0" applyBorder="0" applyAlignment="0" applyProtection="0"/>
    <xf numFmtId="0" fontId="15" fillId="0" borderId="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5" fillId="0" borderId="0"/>
    <xf numFmtId="0" fontId="8" fillId="0" borderId="0" applyNumberFormat="0" applyFill="0" applyBorder="0" applyAlignment="0" applyProtection="0"/>
    <xf numFmtId="0" fontId="8" fillId="0" borderId="0"/>
    <xf numFmtId="0" fontId="8" fillId="0" borderId="0"/>
    <xf numFmtId="0" fontId="15" fillId="0" borderId="0"/>
    <xf numFmtId="0" fontId="15" fillId="0" borderId="0" applyNumberFormat="0" applyFill="0" applyBorder="0" applyAlignment="0" applyProtection="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9" fillId="0" borderId="0"/>
    <xf numFmtId="187" fontId="9" fillId="0" borderId="0"/>
    <xf numFmtId="0" fontId="74" fillId="0" borderId="0"/>
    <xf numFmtId="187" fontId="46" fillId="0" borderId="0"/>
    <xf numFmtId="187" fontId="46" fillId="0" borderId="0"/>
    <xf numFmtId="0" fontId="15" fillId="0" borderId="0" applyNumberFormat="0" applyFill="0" applyBorder="0" applyAlignment="0" applyProtection="0"/>
    <xf numFmtId="187" fontId="9" fillId="0" borderId="0"/>
    <xf numFmtId="187" fontId="9" fillId="0" borderId="0"/>
    <xf numFmtId="0" fontId="74" fillId="0" borderId="0"/>
    <xf numFmtId="187" fontId="46" fillId="0" borderId="0"/>
    <xf numFmtId="187" fontId="46" fillId="0" borderId="0"/>
    <xf numFmtId="0" fontId="15" fillId="0" borderId="0" applyNumberFormat="0" applyFill="0" applyBorder="0" applyAlignment="0" applyProtection="0"/>
    <xf numFmtId="187" fontId="9" fillId="0" borderId="0"/>
    <xf numFmtId="187" fontId="9" fillId="0" borderId="0"/>
    <xf numFmtId="0" fontId="74" fillId="0" borderId="0"/>
    <xf numFmtId="187" fontId="46" fillId="0" borderId="0"/>
    <xf numFmtId="187" fontId="46" fillId="0" borderId="0"/>
    <xf numFmtId="0" fontId="15" fillId="0" borderId="0" applyNumberFormat="0" applyFill="0" applyBorder="0" applyAlignment="0" applyProtection="0"/>
    <xf numFmtId="187" fontId="9" fillId="0" borderId="0"/>
    <xf numFmtId="0" fontId="74" fillId="0" borderId="0"/>
    <xf numFmtId="0" fontId="15" fillId="0" borderId="0" applyNumberFormat="0" applyFill="0" applyBorder="0" applyAlignment="0" applyProtection="0"/>
    <xf numFmtId="187" fontId="9" fillId="0" borderId="0"/>
    <xf numFmtId="0" fontId="74" fillId="0" borderId="0"/>
    <xf numFmtId="0" fontId="15" fillId="0" borderId="0" applyNumberFormat="0" applyFill="0" applyBorder="0" applyAlignment="0" applyProtection="0"/>
    <xf numFmtId="187" fontId="9" fillId="0" borderId="0"/>
    <xf numFmtId="0" fontId="74" fillId="0" borderId="0"/>
    <xf numFmtId="0" fontId="15" fillId="0" borderId="0" applyNumberFormat="0" applyFill="0" applyBorder="0" applyAlignment="0" applyProtection="0"/>
    <xf numFmtId="187" fontId="74" fillId="0" borderId="0"/>
    <xf numFmtId="0" fontId="8" fillId="0" borderId="0"/>
    <xf numFmtId="0" fontId="15" fillId="0" borderId="0"/>
    <xf numFmtId="0" fontId="8" fillId="0" borderId="0"/>
    <xf numFmtId="0" fontId="8" fillId="0" borderId="0"/>
    <xf numFmtId="0" fontId="15" fillId="0" borderId="0"/>
    <xf numFmtId="0" fontId="8" fillId="0" borderId="0"/>
    <xf numFmtId="0" fontId="8" fillId="0" borderId="0"/>
    <xf numFmtId="0" fontId="15" fillId="0" borderId="0"/>
    <xf numFmtId="0" fontId="8" fillId="0" borderId="0"/>
    <xf numFmtId="0" fontId="8" fillId="0" borderId="0"/>
    <xf numFmtId="0" fontId="8" fillId="0" borderId="0"/>
    <xf numFmtId="0" fontId="8" fillId="0" borderId="0"/>
    <xf numFmtId="0" fontId="15" fillId="0" borderId="0"/>
    <xf numFmtId="0" fontId="8" fillId="0" borderId="0"/>
    <xf numFmtId="0" fontId="8" fillId="0" borderId="0"/>
    <xf numFmtId="0" fontId="74" fillId="0" borderId="0"/>
    <xf numFmtId="0" fontId="8" fillId="0" borderId="0"/>
    <xf numFmtId="0" fontId="8" fillId="0" borderId="0"/>
    <xf numFmtId="0" fontId="13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9" fillId="0" borderId="0"/>
    <xf numFmtId="187" fontId="9" fillId="0" borderId="0"/>
    <xf numFmtId="187" fontId="46" fillId="0" borderId="0"/>
    <xf numFmtId="187" fontId="46" fillId="0" borderId="0"/>
    <xf numFmtId="0" fontId="15" fillId="0" borderId="0"/>
    <xf numFmtId="0" fontId="15" fillId="0" borderId="0" applyNumberFormat="0" applyFill="0" applyBorder="0" applyAlignment="0" applyProtection="0"/>
    <xf numFmtId="187" fontId="8" fillId="0" borderId="0"/>
    <xf numFmtId="0" fontId="15" fillId="0" borderId="0"/>
    <xf numFmtId="0" fontId="8" fillId="0" borderId="0"/>
    <xf numFmtId="0" fontId="8" fillId="0" borderId="0"/>
    <xf numFmtId="0" fontId="15" fillId="0" borderId="0"/>
    <xf numFmtId="0" fontId="8" fillId="0" borderId="0" applyNumberFormat="0" applyFill="0" applyBorder="0" applyAlignment="0" applyProtection="0"/>
    <xf numFmtId="187" fontId="8" fillId="0" borderId="0"/>
    <xf numFmtId="187" fontId="8" fillId="0" borderId="0"/>
    <xf numFmtId="0" fontId="15" fillId="0" borderId="0"/>
    <xf numFmtId="0" fontId="8" fillId="0" borderId="0"/>
    <xf numFmtId="0" fontId="8" fillId="0" borderId="0"/>
    <xf numFmtId="0" fontId="8" fillId="0" borderId="0" applyNumberFormat="0" applyFill="0" applyBorder="0" applyAlignment="0" applyProtection="0"/>
    <xf numFmtId="187" fontId="8" fillId="0" borderId="0"/>
    <xf numFmtId="187" fontId="9" fillId="0" borderId="0"/>
    <xf numFmtId="0" fontId="15" fillId="0" borderId="0"/>
    <xf numFmtId="187" fontId="9" fillId="0" borderId="0"/>
    <xf numFmtId="0" fontId="15" fillId="0" borderId="0"/>
    <xf numFmtId="187" fontId="9" fillId="0" borderId="0"/>
    <xf numFmtId="187" fontId="9" fillId="0" borderId="0"/>
    <xf numFmtId="187" fontId="9" fillId="0" borderId="0"/>
    <xf numFmtId="187" fontId="9" fillId="0" borderId="0"/>
    <xf numFmtId="187" fontId="7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9" fillId="0" borderId="0"/>
    <xf numFmtId="187" fontId="9" fillId="0" borderId="0"/>
    <xf numFmtId="187" fontId="46" fillId="0" borderId="0"/>
    <xf numFmtId="187" fontId="46" fillId="0" borderId="0"/>
    <xf numFmtId="0" fontId="74" fillId="0" borderId="0"/>
    <xf numFmtId="0" fontId="15" fillId="0" borderId="0"/>
    <xf numFmtId="0" fontId="15" fillId="0" borderId="0" applyNumberFormat="0" applyFont="0" applyFill="0" applyBorder="0" applyAlignment="0" applyProtection="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5" fillId="0" borderId="0"/>
    <xf numFmtId="0" fontId="8" fillId="0" borderId="0" applyNumberFormat="0" applyFill="0" applyBorder="0" applyAlignment="0" applyProtection="0"/>
    <xf numFmtId="0" fontId="8" fillId="0" borderId="0"/>
    <xf numFmtId="0" fontId="8" fillId="0" borderId="0"/>
    <xf numFmtId="0" fontId="15" fillId="0" borderId="0"/>
    <xf numFmtId="0" fontId="15" fillId="0" borderId="0" applyNumberFormat="0" applyFill="0" applyBorder="0" applyAlignment="0" applyProtection="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8" fillId="0" borderId="0"/>
    <xf numFmtId="0" fontId="15" fillId="0" borderId="0"/>
    <xf numFmtId="0" fontId="8" fillId="0" borderId="0"/>
    <xf numFmtId="0" fontId="8" fillId="0" borderId="0"/>
    <xf numFmtId="0" fontId="8" fillId="0" borderId="0" applyNumberFormat="0" applyFill="0" applyBorder="0" applyAlignment="0" applyProtection="0"/>
    <xf numFmtId="187" fontId="8" fillId="0" borderId="0"/>
    <xf numFmtId="187" fontId="9" fillId="0" borderId="0"/>
    <xf numFmtId="0" fontId="70" fillId="0" borderId="0"/>
    <xf numFmtId="187" fontId="9" fillId="0" borderId="0"/>
    <xf numFmtId="0" fontId="70" fillId="0" borderId="0"/>
    <xf numFmtId="187" fontId="9" fillId="0" borderId="0"/>
    <xf numFmtId="187" fontId="9" fillId="0" borderId="0"/>
    <xf numFmtId="187" fontId="9" fillId="0" borderId="0"/>
    <xf numFmtId="187" fontId="9" fillId="0" borderId="0"/>
    <xf numFmtId="187" fontId="7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15" fillId="0" borderId="0"/>
    <xf numFmtId="187" fontId="15" fillId="0" borderId="0"/>
    <xf numFmtId="0" fontId="70" fillId="0" borderId="0"/>
    <xf numFmtId="187" fontId="46" fillId="0" borderId="0"/>
    <xf numFmtId="0" fontId="70" fillId="0" borderId="0"/>
    <xf numFmtId="187" fontId="46" fillId="0" borderId="0"/>
    <xf numFmtId="0" fontId="74" fillId="0" borderId="0"/>
    <xf numFmtId="0" fontId="15" fillId="0" borderId="0"/>
    <xf numFmtId="0" fontId="15"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37" fillId="0" borderId="0" applyNumberFormat="0" applyFill="0" applyBorder="0" applyProtection="0">
      <alignment vertical="top" wrapText="1"/>
    </xf>
    <xf numFmtId="0" fontId="137" fillId="0" borderId="0" applyNumberFormat="0" applyFill="0" applyBorder="0" applyProtection="0">
      <alignment vertical="top" wrapText="1"/>
    </xf>
    <xf numFmtId="207" fontId="138" fillId="0" borderId="0" applyFill="0" applyBorder="0" applyProtection="0">
      <alignment horizontal="right" vertical="top"/>
    </xf>
    <xf numFmtId="187" fontId="139" fillId="40"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61" fillId="8" borderId="23"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40"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40"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40" fillId="8" borderId="23" applyNumberFormat="0" applyAlignment="0" applyProtection="0"/>
    <xf numFmtId="0" fontId="113" fillId="0" borderId="23"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187" fontId="139" fillId="40"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40" borderId="29" applyNumberFormat="0" applyAlignment="0" applyProtection="0"/>
    <xf numFmtId="0" fontId="139" fillId="40" borderId="29" applyNumberFormat="0" applyAlignment="0" applyProtection="0"/>
    <xf numFmtId="0" fontId="140" fillId="8" borderId="23" applyNumberFormat="0" applyAlignment="0" applyProtection="0"/>
    <xf numFmtId="0" fontId="15" fillId="0" borderId="0" applyNumberFormat="0" applyFont="0" applyFill="0" applyBorder="0" applyAlignment="0" applyProtection="0"/>
    <xf numFmtId="187" fontId="139" fillId="40"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40" borderId="29" applyNumberFormat="0" applyAlignment="0" applyProtection="0"/>
    <xf numFmtId="0" fontId="139" fillId="40" borderId="29" applyNumberFormat="0" applyAlignment="0" applyProtection="0"/>
    <xf numFmtId="0" fontId="140" fillId="8" borderId="23" applyNumberFormat="0" applyAlignment="0" applyProtection="0"/>
    <xf numFmtId="0" fontId="15" fillId="0" borderId="0" applyNumberFormat="0" applyFont="0" applyFill="0" applyBorder="0" applyAlignment="0" applyProtection="0"/>
    <xf numFmtId="0" fontId="61" fillId="8" borderId="23" applyNumberFormat="0" applyAlignment="0" applyProtection="0"/>
    <xf numFmtId="0" fontId="140" fillId="8" borderId="23" applyNumberFormat="0" applyAlignment="0" applyProtection="0"/>
    <xf numFmtId="0" fontId="113" fillId="0" borderId="23" applyNumberFormat="0" applyFill="0" applyAlignment="0" applyProtection="0"/>
    <xf numFmtId="0" fontId="113" fillId="0" borderId="23" applyNumberFormat="0" applyFill="0" applyAlignment="0" applyProtection="0"/>
    <xf numFmtId="0" fontId="140" fillId="8" borderId="23" applyNumberFormat="0" applyAlignment="0" applyProtection="0"/>
    <xf numFmtId="0" fontId="113" fillId="0" borderId="23" applyNumberFormat="0" applyFill="0" applyAlignment="0" applyProtection="0"/>
    <xf numFmtId="208" fontId="141" fillId="0" borderId="0">
      <alignment horizontal="left"/>
    </xf>
    <xf numFmtId="40" fontId="142" fillId="53" borderId="0">
      <alignment horizontal="right"/>
    </xf>
    <xf numFmtId="0" fontId="143" fillId="53" borderId="0">
      <alignment horizontal="right"/>
    </xf>
    <xf numFmtId="0" fontId="144" fillId="53" borderId="41"/>
    <xf numFmtId="0" fontId="144" fillId="0" borderId="0" applyBorder="0">
      <alignment horizontal="centerContinuous"/>
    </xf>
    <xf numFmtId="0" fontId="145" fillId="0" borderId="0" applyBorder="0">
      <alignment horizontal="centerContinuous"/>
    </xf>
    <xf numFmtId="0" fontId="15" fillId="0" borderId="0" applyNumberFormat="0" applyFont="0" applyFill="0" applyBorder="0" applyAlignment="0" applyProtection="0"/>
    <xf numFmtId="0" fontId="15" fillId="0" borderId="0" applyNumberFormat="0" applyFont="0" applyFill="0" applyBorder="0" applyAlignment="0" applyProtection="0"/>
    <xf numFmtId="10" fontId="74" fillId="0" borderId="0" applyFont="0" applyFill="0" applyBorder="0" applyAlignment="0" applyProtection="0"/>
    <xf numFmtId="9" fontId="70" fillId="0" borderId="0" applyFont="0" applyFill="0" applyBorder="0" applyAlignment="0" applyProtection="0"/>
    <xf numFmtId="187" fontId="146" fillId="0" borderId="0" applyNumberFormat="0" applyFill="0" applyBorder="0" applyProtection="0">
      <alignment horizontal="left"/>
    </xf>
    <xf numFmtId="187" fontId="146" fillId="0" borderId="0" applyNumberFormat="0" applyFill="0" applyBorder="0" applyAlignment="0" applyProtection="0"/>
    <xf numFmtId="187" fontId="146" fillId="0" borderId="0" applyNumberFormat="0" applyFill="0" applyBorder="0" applyAlignment="0" applyProtection="0"/>
    <xf numFmtId="187" fontId="146" fillId="0" borderId="0" applyNumberFormat="0" applyFill="0" applyBorder="0" applyAlignment="0" applyProtection="0"/>
    <xf numFmtId="187" fontId="146" fillId="0" borderId="0" applyNumberFormat="0" applyFill="0" applyBorder="0" applyProtection="0">
      <alignment horizontal="left"/>
    </xf>
    <xf numFmtId="187" fontId="146" fillId="0" borderId="0" applyNumberFormat="0" applyFill="0" applyBorder="0" applyAlignment="0" applyProtection="0"/>
    <xf numFmtId="2" fontId="147" fillId="53" borderId="0">
      <protection locked="0"/>
    </xf>
    <xf numFmtId="209" fontId="137" fillId="0" borderId="0"/>
    <xf numFmtId="9" fontId="15"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148" fillId="0" borderId="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2" fillId="0" borderId="0" applyFont="0" applyFill="0" applyBorder="0" applyAlignment="0" applyProtection="0"/>
    <xf numFmtId="9" fontId="9" fillId="0" borderId="0" applyFont="0" applyFill="0" applyBorder="0" applyAlignment="0" applyProtection="0"/>
    <xf numFmtId="9" fontId="92"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15"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15" fillId="0" borderId="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74"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4" fontId="149" fillId="46" borderId="42" applyNumberFormat="0" applyProtection="0">
      <alignment vertical="center"/>
    </xf>
    <xf numFmtId="4" fontId="150" fillId="64" borderId="42" applyNumberFormat="0" applyProtection="0">
      <alignment vertical="center"/>
    </xf>
    <xf numFmtId="4" fontId="149" fillId="64" borderId="42" applyNumberFormat="0" applyProtection="0">
      <alignment horizontal="left" vertical="center" indent="1"/>
    </xf>
    <xf numFmtId="0" fontId="149" fillId="64" borderId="42" applyNumberFormat="0" applyProtection="0">
      <alignment horizontal="left" vertical="top" indent="1"/>
    </xf>
    <xf numFmtId="4" fontId="149" fillId="65" borderId="0" applyNumberFormat="0" applyProtection="0">
      <alignment horizontal="left" vertical="center" indent="1"/>
    </xf>
    <xf numFmtId="4" fontId="151" fillId="36" borderId="42" applyNumberFormat="0" applyProtection="0">
      <alignment horizontal="right" vertical="center"/>
    </xf>
    <xf numFmtId="4" fontId="151" fillId="45" borderId="42" applyNumberFormat="0" applyProtection="0">
      <alignment horizontal="right" vertical="center"/>
    </xf>
    <xf numFmtId="4" fontId="151" fillId="43" borderId="42" applyNumberFormat="0" applyProtection="0">
      <alignment horizontal="right" vertical="center"/>
    </xf>
    <xf numFmtId="4" fontId="151" fillId="48" borderId="42" applyNumberFormat="0" applyProtection="0">
      <alignment horizontal="right" vertical="center"/>
    </xf>
    <xf numFmtId="4" fontId="151" fillId="52" borderId="42" applyNumberFormat="0" applyProtection="0">
      <alignment horizontal="right" vertical="center"/>
    </xf>
    <xf numFmtId="4" fontId="151" fillId="57" borderId="42" applyNumberFormat="0" applyProtection="0">
      <alignment horizontal="right" vertical="center"/>
    </xf>
    <xf numFmtId="4" fontId="151" fillId="55" borderId="42" applyNumberFormat="0" applyProtection="0">
      <alignment horizontal="right" vertical="center"/>
    </xf>
    <xf numFmtId="4" fontId="151" fillId="66" borderId="42" applyNumberFormat="0" applyProtection="0">
      <alignment horizontal="right" vertical="center"/>
    </xf>
    <xf numFmtId="4" fontId="151" fillId="47" borderId="42" applyNumberFormat="0" applyProtection="0">
      <alignment horizontal="right" vertical="center"/>
    </xf>
    <xf numFmtId="4" fontId="149" fillId="67" borderId="43" applyNumberFormat="0" applyProtection="0">
      <alignment horizontal="left" vertical="center" indent="1"/>
    </xf>
    <xf numFmtId="4" fontId="151" fillId="68" borderId="0" applyNumberFormat="0" applyProtection="0">
      <alignment horizontal="left" vertical="center" indent="1"/>
    </xf>
    <xf numFmtId="4" fontId="152" fillId="69" borderId="0" applyNumberFormat="0" applyProtection="0">
      <alignment horizontal="left" vertical="center" indent="1"/>
    </xf>
    <xf numFmtId="4" fontId="151" fillId="70" borderId="42" applyNumberFormat="0" applyProtection="0">
      <alignment horizontal="right" vertical="center"/>
    </xf>
    <xf numFmtId="4" fontId="153" fillId="68" borderId="0" applyNumberFormat="0" applyProtection="0">
      <alignment horizontal="left" vertical="center" indent="1"/>
    </xf>
    <xf numFmtId="4" fontId="153" fillId="65" borderId="0" applyNumberFormat="0" applyProtection="0">
      <alignment horizontal="left" vertical="center" indent="1"/>
    </xf>
    <xf numFmtId="0" fontId="74" fillId="69" borderId="42" applyNumberFormat="0" applyProtection="0">
      <alignment horizontal="left" vertical="center" indent="1"/>
    </xf>
    <xf numFmtId="0" fontId="74" fillId="69" borderId="42" applyNumberFormat="0" applyProtection="0">
      <alignment horizontal="left" vertical="center" indent="1"/>
    </xf>
    <xf numFmtId="0" fontId="74" fillId="69" borderId="42" applyNumberFormat="0" applyProtection="0">
      <alignment horizontal="left" vertical="center" indent="1"/>
    </xf>
    <xf numFmtId="0" fontId="74" fillId="69" borderId="42" applyNumberFormat="0" applyProtection="0">
      <alignment horizontal="left" vertical="top" indent="1"/>
    </xf>
    <xf numFmtId="0" fontId="74" fillId="69" borderId="42" applyNumberFormat="0" applyProtection="0">
      <alignment horizontal="left" vertical="top" indent="1"/>
    </xf>
    <xf numFmtId="0" fontId="74" fillId="69" borderId="42" applyNumberFormat="0" applyProtection="0">
      <alignment horizontal="left" vertical="top" indent="1"/>
    </xf>
    <xf numFmtId="0" fontId="74" fillId="65" borderId="42" applyNumberFormat="0" applyProtection="0">
      <alignment horizontal="left" vertical="center" indent="1"/>
    </xf>
    <xf numFmtId="0" fontId="74" fillId="65" borderId="42" applyNumberFormat="0" applyProtection="0">
      <alignment horizontal="left" vertical="center" indent="1"/>
    </xf>
    <xf numFmtId="0" fontId="74" fillId="65" borderId="42" applyNumberFormat="0" applyProtection="0">
      <alignment horizontal="left" vertical="center" indent="1"/>
    </xf>
    <xf numFmtId="0" fontId="74" fillId="65" borderId="42" applyNumberFormat="0" applyProtection="0">
      <alignment horizontal="left" vertical="top" indent="1"/>
    </xf>
    <xf numFmtId="0" fontId="74" fillId="65" borderId="42" applyNumberFormat="0" applyProtection="0">
      <alignment horizontal="left" vertical="top" indent="1"/>
    </xf>
    <xf numFmtId="0" fontId="74" fillId="65" borderId="42" applyNumberFormat="0" applyProtection="0">
      <alignment horizontal="left" vertical="top" indent="1"/>
    </xf>
    <xf numFmtId="0" fontId="74" fillId="71" borderId="42" applyNumberFormat="0" applyProtection="0">
      <alignment horizontal="left" vertical="center" indent="1"/>
    </xf>
    <xf numFmtId="0" fontId="74" fillId="71" borderId="42" applyNumberFormat="0" applyProtection="0">
      <alignment horizontal="left" vertical="center" indent="1"/>
    </xf>
    <xf numFmtId="0" fontId="74" fillId="71" borderId="42" applyNumberFormat="0" applyProtection="0">
      <alignment horizontal="left" vertical="center" indent="1"/>
    </xf>
    <xf numFmtId="0" fontId="74" fillId="71" borderId="42" applyNumberFormat="0" applyProtection="0">
      <alignment horizontal="left" vertical="top" indent="1"/>
    </xf>
    <xf numFmtId="0" fontId="74" fillId="71" borderId="42" applyNumberFormat="0" applyProtection="0">
      <alignment horizontal="left" vertical="top" indent="1"/>
    </xf>
    <xf numFmtId="0" fontId="74" fillId="71" borderId="42" applyNumberFormat="0" applyProtection="0">
      <alignment horizontal="left" vertical="top" indent="1"/>
    </xf>
    <xf numFmtId="0" fontId="74" fillId="72" borderId="42" applyNumberFormat="0" applyProtection="0">
      <alignment horizontal="left" vertical="center" indent="1"/>
    </xf>
    <xf numFmtId="0" fontId="74" fillId="72" borderId="42" applyNumberFormat="0" applyProtection="0">
      <alignment horizontal="left" vertical="center" indent="1"/>
    </xf>
    <xf numFmtId="0" fontId="74" fillId="72" borderId="42" applyNumberFormat="0" applyProtection="0">
      <alignment horizontal="left" vertical="center" indent="1"/>
    </xf>
    <xf numFmtId="0" fontId="74" fillId="72" borderId="42" applyNumberFormat="0" applyProtection="0">
      <alignment horizontal="left" vertical="top" indent="1"/>
    </xf>
    <xf numFmtId="0" fontId="74" fillId="72" borderId="42" applyNumberFormat="0" applyProtection="0">
      <alignment horizontal="left" vertical="top" indent="1"/>
    </xf>
    <xf numFmtId="0" fontId="74" fillId="72" borderId="42" applyNumberFormat="0" applyProtection="0">
      <alignment horizontal="left" vertical="top" indent="1"/>
    </xf>
    <xf numFmtId="4" fontId="151" fillId="61" borderId="42" applyNumberFormat="0" applyProtection="0">
      <alignment vertical="center"/>
    </xf>
    <xf numFmtId="4" fontId="154" fillId="61" borderId="42" applyNumberFormat="0" applyProtection="0">
      <alignment vertical="center"/>
    </xf>
    <xf numFmtId="4" fontId="151" fillId="61" borderId="42" applyNumberFormat="0" applyProtection="0">
      <alignment horizontal="left" vertical="center" indent="1"/>
    </xf>
    <xf numFmtId="0" fontId="151" fillId="61" borderId="42" applyNumberFormat="0" applyProtection="0">
      <alignment horizontal="left" vertical="top" indent="1"/>
    </xf>
    <xf numFmtId="4" fontId="151" fillId="68" borderId="42" applyNumberFormat="0" applyProtection="0">
      <alignment horizontal="right" vertical="center"/>
    </xf>
    <xf numFmtId="4" fontId="151" fillId="73" borderId="30" applyNumberFormat="0" applyProtection="0">
      <alignment horizontal="right" vertical="center"/>
    </xf>
    <xf numFmtId="4" fontId="154" fillId="68" borderId="42" applyNumberFormat="0" applyProtection="0">
      <alignment horizontal="right" vertical="center"/>
    </xf>
    <xf numFmtId="4" fontId="151" fillId="70" borderId="42" applyNumberFormat="0" applyProtection="0">
      <alignment horizontal="left" vertical="center" indent="1"/>
    </xf>
    <xf numFmtId="0" fontId="151" fillId="65" borderId="42" applyNumberFormat="0" applyProtection="0">
      <alignment horizontal="left" vertical="top" indent="1"/>
    </xf>
    <xf numFmtId="4" fontId="155" fillId="74" borderId="0" applyNumberFormat="0" applyProtection="0">
      <alignment horizontal="left" vertical="center" indent="1"/>
    </xf>
    <xf numFmtId="4" fontId="156" fillId="68" borderId="42" applyNumberFormat="0" applyProtection="0">
      <alignment horizontal="right" vertical="center"/>
    </xf>
    <xf numFmtId="0" fontId="15" fillId="0" borderId="0" applyNumberFormat="0" applyFont="0" applyFill="0" applyBorder="0" applyAlignment="0" applyProtection="0"/>
    <xf numFmtId="0" fontId="157" fillId="0" borderId="0"/>
    <xf numFmtId="0" fontId="153" fillId="0" borderId="0">
      <alignment vertical="top"/>
    </xf>
    <xf numFmtId="0" fontId="158" fillId="0" borderId="44"/>
    <xf numFmtId="187" fontId="115" fillId="0" borderId="45"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6" fillId="0" borderId="28"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5" fillId="0" borderId="45"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5" fillId="0" borderId="45"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9" fillId="0" borderId="28" applyNumberFormat="0" applyFill="0" applyAlignment="0" applyProtection="0"/>
    <xf numFmtId="0" fontId="15" fillId="0" borderId="28"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187" fontId="115" fillId="0" borderId="45"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5" fillId="0" borderId="45" applyNumberFormat="0" applyFill="0" applyAlignment="0" applyProtection="0"/>
    <xf numFmtId="0" fontId="115" fillId="0" borderId="45" applyNumberFormat="0" applyFill="0" applyAlignment="0" applyProtection="0"/>
    <xf numFmtId="0" fontId="159" fillId="0" borderId="28" applyNumberFormat="0" applyFill="0" applyAlignment="0" applyProtection="0"/>
    <xf numFmtId="0" fontId="15" fillId="0" borderId="0" applyNumberFormat="0" applyFont="0" applyFill="0" applyBorder="0" applyAlignment="0" applyProtection="0"/>
    <xf numFmtId="187" fontId="115" fillId="0" borderId="45"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5" fillId="0" borderId="45" applyNumberFormat="0" applyFill="0" applyAlignment="0" applyProtection="0"/>
    <xf numFmtId="0" fontId="115" fillId="0" borderId="45" applyNumberFormat="0" applyFill="0" applyAlignment="0" applyProtection="0"/>
    <xf numFmtId="0" fontId="159" fillId="0" borderId="28" applyNumberFormat="0" applyFill="0" applyAlignment="0" applyProtection="0"/>
    <xf numFmtId="0" fontId="15" fillId="0" borderId="0" applyNumberFormat="0" applyFont="0" applyFill="0" applyBorder="0" applyAlignment="0" applyProtection="0"/>
    <xf numFmtId="0" fontId="16" fillId="0" borderId="28" applyNumberFormat="0" applyFill="0" applyAlignment="0" applyProtection="0"/>
    <xf numFmtId="0" fontId="159" fillId="0" borderId="28" applyNumberFormat="0" applyFill="0" applyAlignment="0" applyProtection="0"/>
    <xf numFmtId="0" fontId="15" fillId="0" borderId="28" applyNumberFormat="0" applyFill="0" applyAlignment="0" applyProtection="0"/>
    <xf numFmtId="0" fontId="15" fillId="0" borderId="28" applyNumberFormat="0" applyFill="0" applyAlignment="0" applyProtection="0"/>
    <xf numFmtId="0" fontId="159" fillId="0" borderId="28" applyNumberFormat="0" applyFill="0" applyAlignment="0" applyProtection="0"/>
    <xf numFmtId="0" fontId="15" fillId="0" borderId="28" applyNumberFormat="0" applyFill="0" applyAlignment="0" applyProtection="0"/>
    <xf numFmtId="187"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65"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187"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0" fontId="15" fillId="0" borderId="0" applyNumberFormat="0" applyFont="0" applyFill="0" applyBorder="0" applyAlignment="0" applyProtection="0"/>
    <xf numFmtId="187"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0" fontId="15" fillId="0" borderId="0" applyNumberFormat="0" applyFont="0" applyFill="0" applyBorder="0" applyAlignment="0" applyProtection="0"/>
    <xf numFmtId="0" fontId="65" fillId="0" borderId="0" applyNumberForma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187" fontId="163"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5"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187" fontId="163"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5" fillId="0" borderId="0" applyNumberFormat="0" applyFill="0" applyBorder="0" applyAlignment="0" applyProtection="0"/>
    <xf numFmtId="0" fontId="15" fillId="0" borderId="0" applyNumberFormat="0" applyFont="0" applyFill="0" applyBorder="0" applyAlignment="0" applyProtection="0"/>
    <xf numFmtId="187" fontId="163"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5" fillId="0" borderId="0" applyNumberFormat="0" applyFill="0" applyBorder="0" applyAlignment="0" applyProtection="0"/>
    <xf numFmtId="0" fontId="15" fillId="0" borderId="0" applyNumberFormat="0" applyFont="0" applyFill="0" applyBorder="0" applyAlignment="0" applyProtection="0"/>
    <xf numFmtId="0" fontId="64"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187" fontId="166"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8"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187" fontId="166"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5" fillId="0" borderId="0" applyNumberFormat="0" applyFont="0" applyFill="0" applyBorder="0" applyAlignment="0" applyProtection="0"/>
    <xf numFmtId="187" fontId="166"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5"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9" fillId="0" borderId="0" applyNumberFormat="0" applyFill="0" applyBorder="0" applyAlignment="0" applyProtection="0"/>
    <xf numFmtId="3" fontId="170" fillId="0" borderId="0"/>
    <xf numFmtId="208" fontId="141" fillId="0" borderId="0">
      <alignment horizontal="left"/>
    </xf>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187" fontId="74" fillId="42" borderId="47"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27" applyNumberFormat="0" applyFont="0" applyFill="0" applyAlignment="0" applyProtection="0"/>
    <xf numFmtId="0" fontId="15" fillId="10" borderId="27" applyNumberFormat="0" applyFont="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27" applyNumberFormat="0" applyFont="0" applyFill="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74" fillId="42" borderId="47"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74" fillId="42" borderId="47"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187" fontId="74" fillId="42" borderId="4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74" fillId="42" borderId="47" applyNumberFormat="0" applyFont="0" applyAlignment="0" applyProtection="0"/>
    <xf numFmtId="0" fontId="9" fillId="10" borderId="27" applyNumberFormat="0" applyFont="0" applyAlignment="0" applyProtection="0"/>
    <xf numFmtId="0" fontId="74" fillId="42" borderId="4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187" fontId="74" fillId="42" borderId="47"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74" fillId="42" borderId="47" applyNumberFormat="0" applyFont="0" applyAlignment="0" applyProtection="0"/>
    <xf numFmtId="0" fontId="74" fillId="42" borderId="4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193" fontId="118" fillId="0" borderId="0"/>
    <xf numFmtId="210" fontId="79" fillId="0" borderId="0" applyFont="0" applyFill="0" applyBorder="0" applyAlignment="0" applyProtection="0"/>
    <xf numFmtId="189" fontId="78" fillId="0" borderId="0" applyFont="0" applyFill="0" applyBorder="0" applyAlignment="0" applyProtection="0"/>
    <xf numFmtId="211" fontId="74" fillId="0" borderId="0" applyFont="0" applyFill="0" applyBorder="0" applyAlignment="0" applyProtection="0"/>
    <xf numFmtId="212" fontId="74" fillId="0" borderId="0" applyFont="0" applyFill="0" applyBorder="0" applyAlignment="0" applyProtection="0"/>
    <xf numFmtId="44" fontId="15"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74"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8" fillId="0" borderId="0" applyFont="0" applyFill="0" applyBorder="0" applyAlignment="0" applyProtection="0"/>
    <xf numFmtId="44" fontId="74"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74"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74"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15" fillId="0" borderId="0" applyFont="0" applyFill="0" applyBorder="0" applyAlignment="0" applyProtection="0"/>
    <xf numFmtId="44" fontId="8" fillId="0" borderId="0" applyFont="0" applyFill="0" applyBorder="0" applyAlignment="0" applyProtection="0"/>
    <xf numFmtId="187"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57" fillId="5"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72" fillId="5" borderId="0" applyNumberFormat="0" applyBorder="0" applyAlignment="0" applyProtection="0"/>
    <xf numFmtId="0" fontId="172"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187"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72" fillId="5" borderId="0" applyNumberFormat="0" applyBorder="0" applyAlignment="0" applyProtection="0"/>
    <xf numFmtId="0" fontId="172"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187"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72" fillId="5" borderId="0" applyNumberFormat="0" applyBorder="0" applyAlignment="0" applyProtection="0"/>
    <xf numFmtId="0" fontId="15" fillId="0" borderId="0" applyNumberFormat="0" applyFont="0" applyFill="0" applyBorder="0" applyAlignment="0" applyProtection="0"/>
    <xf numFmtId="0" fontId="57" fillId="5" borderId="0" applyNumberFormat="0" applyBorder="0" applyAlignment="0" applyProtection="0"/>
    <xf numFmtId="0" fontId="172" fillId="5" borderId="0" applyNumberFormat="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5" borderId="0" applyNumberFormat="0" applyBorder="0" applyAlignment="0" applyProtection="0"/>
    <xf numFmtId="0" fontId="172" fillId="0" borderId="0" applyNumberFormat="0" applyFill="0" applyBorder="0" applyAlignment="0" applyProtection="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67" fillId="0" borderId="0" applyFont="0" applyFill="0" applyBorder="0" applyAlignment="0" applyProtection="0"/>
    <xf numFmtId="0" fontId="6" fillId="0" borderId="0"/>
    <xf numFmtId="9" fontId="6" fillId="0" borderId="0" applyFont="0" applyFill="0" applyBorder="0" applyAlignment="0" applyProtection="0"/>
    <xf numFmtId="0" fontId="134" fillId="0" borderId="0"/>
    <xf numFmtId="0" fontId="6" fillId="0" borderId="0"/>
    <xf numFmtId="43" fontId="15" fillId="0" borderId="0" applyFont="0" applyFill="0" applyBorder="0" applyAlignment="0" applyProtection="0"/>
    <xf numFmtId="9" fontId="134" fillId="0" borderId="0" applyFont="0" applyFill="0" applyBorder="0" applyAlignment="0" applyProtection="0"/>
    <xf numFmtId="0" fontId="148" fillId="0" borderId="0"/>
    <xf numFmtId="0" fontId="15" fillId="0" borderId="0"/>
    <xf numFmtId="0" fontId="1" fillId="0" borderId="0"/>
    <xf numFmtId="9" fontId="9" fillId="0" borderId="0" applyFont="0" applyFill="0" applyBorder="0" applyAlignment="0" applyProtection="0"/>
    <xf numFmtId="0" fontId="1" fillId="0" borderId="0"/>
  </cellStyleXfs>
  <cellXfs count="1013">
    <xf numFmtId="0" fontId="0" fillId="0" borderId="0" xfId="0"/>
    <xf numFmtId="0" fontId="10" fillId="0" borderId="0" xfId="0" applyFont="1" applyAlignment="1">
      <alignment vertical="center"/>
    </xf>
    <xf numFmtId="0" fontId="17" fillId="2" borderId="0" xfId="0" applyFont="1" applyFill="1" applyAlignment="1">
      <alignment vertical="center"/>
    </xf>
    <xf numFmtId="0" fontId="22" fillId="2" borderId="0" xfId="0" applyFont="1" applyFill="1" applyAlignment="1">
      <alignment vertical="center"/>
    </xf>
    <xf numFmtId="0" fontId="13" fillId="0" borderId="0" xfId="0" applyFont="1" applyAlignment="1">
      <alignment vertical="center"/>
    </xf>
    <xf numFmtId="0" fontId="13" fillId="0" borderId="0" xfId="0" applyFont="1"/>
    <xf numFmtId="0" fontId="13" fillId="2" borderId="0" xfId="0" applyFont="1" applyFill="1" applyAlignment="1">
      <alignment vertical="center"/>
    </xf>
    <xf numFmtId="0" fontId="13" fillId="2" borderId="0" xfId="0" applyFont="1" applyFill="1"/>
    <xf numFmtId="0" fontId="24" fillId="2" borderId="0" xfId="0" applyFont="1" applyFill="1"/>
    <xf numFmtId="0" fontId="29" fillId="2" borderId="0" xfId="0" applyFont="1" applyFill="1" applyAlignment="1">
      <alignment vertical="center"/>
    </xf>
    <xf numFmtId="0" fontId="29" fillId="0" borderId="0" xfId="0" applyFont="1" applyAlignment="1">
      <alignment vertical="center"/>
    </xf>
    <xf numFmtId="0" fontId="16" fillId="2" borderId="0" xfId="0" applyFont="1" applyFill="1" applyAlignment="1">
      <alignment vertical="center"/>
    </xf>
    <xf numFmtId="0" fontId="31" fillId="2" borderId="0" xfId="0" applyFont="1" applyFill="1"/>
    <xf numFmtId="0" fontId="29" fillId="2" borderId="0" xfId="0" applyFont="1" applyFill="1"/>
    <xf numFmtId="0" fontId="29" fillId="0" borderId="0" xfId="0" applyFont="1"/>
    <xf numFmtId="0" fontId="34" fillId="2" borderId="0" xfId="0" applyFont="1" applyFill="1"/>
    <xf numFmtId="170" fontId="13" fillId="2" borderId="0" xfId="0" applyNumberFormat="1" applyFont="1" applyFill="1" applyAlignment="1">
      <alignment vertical="center"/>
    </xf>
    <xf numFmtId="173" fontId="13" fillId="2" borderId="0" xfId="0" applyNumberFormat="1" applyFont="1" applyFill="1" applyAlignment="1">
      <alignment vertical="center"/>
    </xf>
    <xf numFmtId="174" fontId="32" fillId="2" borderId="0" xfId="1" applyNumberFormat="1" applyFont="1" applyFill="1" applyBorder="1" applyAlignment="1">
      <alignment horizontal="right" vertical="center"/>
    </xf>
    <xf numFmtId="174" fontId="13" fillId="2" borderId="0" xfId="0" applyNumberFormat="1" applyFont="1" applyFill="1" applyAlignment="1">
      <alignment vertical="center"/>
    </xf>
    <xf numFmtId="173" fontId="32" fillId="2" borderId="0" xfId="1" applyNumberFormat="1" applyFont="1" applyFill="1" applyBorder="1" applyAlignment="1">
      <alignment horizontal="right" vertical="center"/>
    </xf>
    <xf numFmtId="172" fontId="13" fillId="2" borderId="0" xfId="0" applyNumberFormat="1" applyFont="1" applyFill="1" applyAlignment="1">
      <alignment vertical="center"/>
    </xf>
    <xf numFmtId="173" fontId="34" fillId="2" borderId="0" xfId="0" applyNumberFormat="1" applyFont="1" applyFill="1" applyAlignment="1">
      <alignment vertical="center"/>
    </xf>
    <xf numFmtId="174" fontId="34" fillId="2" borderId="0" xfId="0" applyNumberFormat="1" applyFont="1" applyFill="1" applyAlignment="1">
      <alignment vertical="center"/>
    </xf>
    <xf numFmtId="165" fontId="32" fillId="2" borderId="0" xfId="0" applyNumberFormat="1" applyFont="1" applyFill="1" applyAlignment="1">
      <alignment horizontal="right" vertical="center"/>
    </xf>
    <xf numFmtId="170" fontId="34" fillId="2" borderId="0" xfId="0" applyNumberFormat="1" applyFont="1" applyFill="1" applyAlignment="1">
      <alignment vertical="center"/>
    </xf>
    <xf numFmtId="170" fontId="32" fillId="2" borderId="0" xfId="0" applyNumberFormat="1" applyFont="1" applyFill="1" applyAlignment="1">
      <alignment horizontal="right" vertical="center"/>
    </xf>
    <xf numFmtId="0" fontId="13" fillId="2" borderId="3" xfId="0" applyFont="1" applyFill="1" applyBorder="1" applyAlignment="1">
      <alignment horizontal="left" vertical="center"/>
    </xf>
    <xf numFmtId="0" fontId="13" fillId="2" borderId="0" xfId="0" applyFont="1" applyFill="1" applyAlignment="1">
      <alignment horizontal="left" vertical="center"/>
    </xf>
    <xf numFmtId="0" fontId="33" fillId="2" borderId="3" xfId="0" applyFont="1" applyFill="1" applyBorder="1" applyAlignment="1">
      <alignment horizontal="left" vertical="center" indent="2"/>
    </xf>
    <xf numFmtId="173" fontId="13" fillId="2" borderId="0" xfId="0" applyNumberFormat="1" applyFont="1" applyFill="1" applyAlignment="1">
      <alignment horizontal="right" vertical="center"/>
    </xf>
    <xf numFmtId="174" fontId="32" fillId="2" borderId="3" xfId="1" applyNumberFormat="1" applyFont="1" applyFill="1" applyBorder="1" applyAlignment="1">
      <alignment horizontal="right" vertical="center"/>
    </xf>
    <xf numFmtId="174" fontId="34" fillId="2" borderId="3" xfId="0" applyNumberFormat="1" applyFont="1" applyFill="1" applyBorder="1" applyAlignment="1">
      <alignment vertical="center"/>
    </xf>
    <xf numFmtId="0" fontId="10" fillId="2" borderId="0" xfId="0" applyFont="1" applyFill="1" applyAlignment="1">
      <alignment vertical="center"/>
    </xf>
    <xf numFmtId="181" fontId="32" fillId="2" borderId="0" xfId="1" applyNumberFormat="1" applyFont="1" applyFill="1" applyBorder="1" applyAlignment="1">
      <alignment horizontal="right" vertical="center"/>
    </xf>
    <xf numFmtId="0" fontId="44" fillId="2" borderId="0" xfId="0" applyFont="1" applyFill="1"/>
    <xf numFmtId="177" fontId="44" fillId="2" borderId="0" xfId="0" applyNumberFormat="1" applyFont="1" applyFill="1" applyAlignment="1">
      <alignment horizontal="right" vertical="center"/>
    </xf>
    <xf numFmtId="179" fontId="27" fillId="2" borderId="0" xfId="0" applyNumberFormat="1" applyFont="1" applyFill="1" applyAlignment="1">
      <alignment vertical="center"/>
    </xf>
    <xf numFmtId="0" fontId="44" fillId="2" borderId="0" xfId="0" applyFont="1" applyFill="1" applyAlignment="1">
      <alignment vertical="center"/>
    </xf>
    <xf numFmtId="0" fontId="44" fillId="0" borderId="0" xfId="0" applyFont="1" applyAlignment="1">
      <alignment vertical="center"/>
    </xf>
    <xf numFmtId="173" fontId="13" fillId="2" borderId="3" xfId="0" applyNumberFormat="1" applyFont="1" applyFill="1" applyBorder="1" applyAlignment="1">
      <alignment horizontal="right" vertical="center"/>
    </xf>
    <xf numFmtId="167" fontId="13" fillId="2" borderId="0" xfId="0" applyNumberFormat="1" applyFont="1" applyFill="1" applyAlignment="1">
      <alignment horizontal="right" vertical="center"/>
    </xf>
    <xf numFmtId="167" fontId="13" fillId="2" borderId="3" xfId="0" applyNumberFormat="1" applyFont="1" applyFill="1" applyBorder="1" applyAlignment="1">
      <alignment horizontal="right" vertical="center"/>
    </xf>
    <xf numFmtId="184" fontId="13" fillId="2" borderId="0" xfId="0" applyNumberFormat="1" applyFont="1" applyFill="1" applyAlignment="1">
      <alignment horizontal="right" vertical="center"/>
    </xf>
    <xf numFmtId="167" fontId="13" fillId="2" borderId="0" xfId="0" applyNumberFormat="1" applyFont="1" applyFill="1" applyAlignment="1">
      <alignment vertical="center"/>
    </xf>
    <xf numFmtId="182" fontId="13" fillId="2" borderId="0" xfId="0" applyNumberFormat="1" applyFont="1" applyFill="1" applyAlignment="1">
      <alignment horizontal="right" vertical="center"/>
    </xf>
    <xf numFmtId="182" fontId="44" fillId="2" borderId="0" xfId="0" applyNumberFormat="1" applyFont="1" applyFill="1" applyAlignment="1">
      <alignment horizontal="right" vertical="center"/>
    </xf>
    <xf numFmtId="0" fontId="13" fillId="2" borderId="0" xfId="0" applyFont="1" applyFill="1" applyAlignment="1">
      <alignment horizontal="right" vertical="center"/>
    </xf>
    <xf numFmtId="0" fontId="46" fillId="2" borderId="0" xfId="0" applyFont="1" applyFill="1"/>
    <xf numFmtId="171" fontId="13" fillId="0" borderId="0" xfId="0" applyNumberFormat="1" applyFont="1" applyAlignment="1">
      <alignment horizontal="right" vertical="center"/>
    </xf>
    <xf numFmtId="176" fontId="49" fillId="0" borderId="0" xfId="0" applyNumberFormat="1" applyFont="1" applyAlignment="1">
      <alignment horizontal="right" vertical="center"/>
    </xf>
    <xf numFmtId="0" fontId="24" fillId="0" borderId="0" xfId="0" applyFont="1"/>
    <xf numFmtId="177" fontId="13" fillId="0" borderId="0" xfId="0" applyNumberFormat="1" applyFont="1" applyAlignment="1">
      <alignment horizontal="right" vertical="center"/>
    </xf>
    <xf numFmtId="177" fontId="13" fillId="2" borderId="0" xfId="0" applyNumberFormat="1" applyFont="1" applyFill="1" applyAlignment="1">
      <alignment horizontal="right" vertical="center"/>
    </xf>
    <xf numFmtId="176" fontId="32" fillId="0" borderId="0" xfId="0" applyNumberFormat="1" applyFont="1" applyAlignment="1">
      <alignment horizontal="right" vertical="center"/>
    </xf>
    <xf numFmtId="179" fontId="24" fillId="0" borderId="0" xfId="0" applyNumberFormat="1" applyFont="1" applyAlignment="1">
      <alignment horizontal="right" vertical="center"/>
    </xf>
    <xf numFmtId="179" fontId="35" fillId="0" borderId="0" xfId="0" applyNumberFormat="1" applyFont="1" applyAlignment="1">
      <alignment horizontal="right" vertical="center"/>
    </xf>
    <xf numFmtId="179" fontId="24" fillId="2" borderId="0" xfId="0" applyNumberFormat="1" applyFont="1" applyFill="1" applyAlignment="1">
      <alignment horizontal="right" vertical="center"/>
    </xf>
    <xf numFmtId="0" fontId="13" fillId="0" borderId="0" xfId="0" applyFont="1" applyAlignment="1">
      <alignment horizontal="right" vertical="center"/>
    </xf>
    <xf numFmtId="0" fontId="16" fillId="0" borderId="0" xfId="0" applyFont="1" applyAlignment="1">
      <alignment vertical="center"/>
    </xf>
    <xf numFmtId="174" fontId="34" fillId="0" borderId="0" xfId="0" applyNumberFormat="1" applyFont="1" applyAlignment="1">
      <alignment vertical="center"/>
    </xf>
    <xf numFmtId="182" fontId="13" fillId="0" borderId="9" xfId="0" applyNumberFormat="1" applyFont="1" applyBorder="1" applyAlignment="1">
      <alignment vertical="center"/>
    </xf>
    <xf numFmtId="182" fontId="13" fillId="0" borderId="0" xfId="0" applyNumberFormat="1" applyFont="1" applyAlignment="1">
      <alignment vertical="center"/>
    </xf>
    <xf numFmtId="183" fontId="13" fillId="0" borderId="0" xfId="0" applyNumberFormat="1" applyFont="1" applyAlignment="1">
      <alignment vertical="center"/>
    </xf>
    <xf numFmtId="0" fontId="13" fillId="0" borderId="3" xfId="0" applyFont="1" applyBorder="1" applyAlignment="1">
      <alignment vertical="center" wrapText="1"/>
    </xf>
    <xf numFmtId="182" fontId="24" fillId="2" borderId="0" xfId="0" applyNumberFormat="1" applyFont="1" applyFill="1" applyAlignment="1">
      <alignment vertical="center"/>
    </xf>
    <xf numFmtId="182" fontId="44" fillId="0" borderId="0" xfId="0" applyNumberFormat="1" applyFont="1" applyAlignment="1">
      <alignment horizontal="right" vertical="center"/>
    </xf>
    <xf numFmtId="0" fontId="49" fillId="0" borderId="0" xfId="0" applyFont="1" applyAlignment="1">
      <alignment vertical="center" wrapText="1"/>
    </xf>
    <xf numFmtId="169" fontId="13" fillId="2" borderId="0" xfId="7" applyNumberFormat="1" applyFont="1" applyFill="1" applyAlignment="1">
      <alignment vertical="center"/>
    </xf>
    <xf numFmtId="3" fontId="38" fillId="0" borderId="0" xfId="0" applyNumberFormat="1" applyFont="1" applyAlignment="1">
      <alignment horizontal="right" vertical="center" wrapText="1"/>
    </xf>
    <xf numFmtId="3" fontId="21" fillId="0" borderId="0" xfId="0" applyNumberFormat="1" applyFont="1" applyAlignment="1">
      <alignment horizontal="right" vertical="center" wrapText="1"/>
    </xf>
    <xf numFmtId="3" fontId="21" fillId="0" borderId="19" xfId="0" applyNumberFormat="1" applyFont="1" applyBorder="1" applyAlignment="1">
      <alignment horizontal="right" vertical="center" wrapText="1"/>
    </xf>
    <xf numFmtId="169" fontId="21" fillId="0" borderId="0" xfId="0" applyNumberFormat="1" applyFont="1" applyAlignment="1">
      <alignment horizontal="right" vertical="center" wrapText="1"/>
    </xf>
    <xf numFmtId="3" fontId="41" fillId="0" borderId="0" xfId="6" applyNumberFormat="1" applyFont="1" applyFill="1" applyBorder="1" applyAlignment="1">
      <alignment horizontal="right" vertical="center" wrapText="1"/>
    </xf>
    <xf numFmtId="3" fontId="21" fillId="0" borderId="0" xfId="6" applyNumberFormat="1" applyFont="1" applyFill="1" applyBorder="1" applyAlignment="1">
      <alignment horizontal="right" vertical="center" wrapText="1"/>
    </xf>
    <xf numFmtId="185" fontId="44" fillId="2" borderId="0" xfId="0" applyNumberFormat="1" applyFont="1" applyFill="1" applyAlignment="1">
      <alignment horizontal="right" vertical="center"/>
    </xf>
    <xf numFmtId="181" fontId="32" fillId="2" borderId="0" xfId="8" applyNumberFormat="1" applyFont="1" applyFill="1" applyBorder="1" applyAlignment="1">
      <alignment horizontal="right" vertical="center"/>
    </xf>
    <xf numFmtId="181" fontId="13" fillId="2" borderId="0" xfId="0" applyNumberFormat="1" applyFont="1" applyFill="1" applyAlignment="1">
      <alignment vertical="center"/>
    </xf>
    <xf numFmtId="181" fontId="34" fillId="2" borderId="0" xfId="0" applyNumberFormat="1" applyFont="1" applyFill="1" applyAlignment="1">
      <alignment vertical="center"/>
    </xf>
    <xf numFmtId="3" fontId="41" fillId="0" borderId="0" xfId="0" applyNumberFormat="1" applyFont="1" applyAlignment="1">
      <alignment horizontal="right" vertical="center" wrapText="1"/>
    </xf>
    <xf numFmtId="167" fontId="21" fillId="0" borderId="0" xfId="0" applyNumberFormat="1" applyFont="1" applyAlignment="1">
      <alignment horizontal="right" vertical="center" wrapText="1"/>
    </xf>
    <xf numFmtId="182" fontId="13" fillId="2" borderId="0" xfId="0" applyNumberFormat="1" applyFont="1" applyFill="1" applyAlignment="1">
      <alignment vertical="center"/>
    </xf>
    <xf numFmtId="182" fontId="26" fillId="2" borderId="0" xfId="0" applyNumberFormat="1" applyFont="1" applyFill="1" applyAlignment="1">
      <alignment horizontal="right" vertical="center"/>
    </xf>
    <xf numFmtId="182" fontId="26" fillId="0" borderId="0" xfId="0" applyNumberFormat="1" applyFont="1" applyAlignment="1">
      <alignment horizontal="right" vertical="center"/>
    </xf>
    <xf numFmtId="182" fontId="24" fillId="0" borderId="0" xfId="0" applyNumberFormat="1" applyFont="1" applyAlignment="1">
      <alignment vertical="center"/>
    </xf>
    <xf numFmtId="3" fontId="50" fillId="2" borderId="0" xfId="0" applyNumberFormat="1" applyFont="1" applyFill="1" applyAlignment="1">
      <alignment horizontal="right" vertical="center" wrapText="1"/>
    </xf>
    <xf numFmtId="177" fontId="51" fillId="2" borderId="0" xfId="0" applyNumberFormat="1" applyFont="1" applyFill="1" applyAlignment="1">
      <alignment horizontal="right" vertical="center"/>
    </xf>
    <xf numFmtId="186" fontId="27" fillId="2" borderId="0" xfId="0" applyNumberFormat="1" applyFont="1" applyFill="1" applyAlignment="1">
      <alignment horizontal="right" vertical="center"/>
    </xf>
    <xf numFmtId="0" fontId="52" fillId="2" borderId="0" xfId="0" applyFont="1" applyFill="1"/>
    <xf numFmtId="0" fontId="32" fillId="2" borderId="0" xfId="0" applyFont="1" applyFill="1" applyAlignment="1">
      <alignment vertical="center"/>
    </xf>
    <xf numFmtId="0" fontId="32" fillId="2" borderId="0" xfId="0" applyFont="1" applyFill="1"/>
    <xf numFmtId="0" fontId="32" fillId="0" borderId="0" xfId="0" applyFont="1" applyAlignment="1">
      <alignment vertical="center"/>
    </xf>
    <xf numFmtId="177" fontId="32" fillId="0" borderId="0" xfId="0" applyNumberFormat="1" applyFont="1" applyAlignment="1">
      <alignment horizontal="right" vertical="center"/>
    </xf>
    <xf numFmtId="177" fontId="32" fillId="2" borderId="0" xfId="0" applyNumberFormat="1" applyFont="1" applyFill="1" applyAlignment="1">
      <alignment horizontal="right" vertical="center"/>
    </xf>
    <xf numFmtId="0" fontId="32" fillId="0" borderId="0" xfId="0" applyFont="1"/>
    <xf numFmtId="0" fontId="32" fillId="2" borderId="3" xfId="0" applyFont="1" applyFill="1" applyBorder="1" applyAlignment="1">
      <alignment horizontal="left" vertical="center"/>
    </xf>
    <xf numFmtId="0" fontId="31" fillId="2" borderId="0" xfId="0" applyFont="1" applyFill="1" applyAlignment="1">
      <alignment horizontal="left" vertical="top" wrapText="1"/>
    </xf>
    <xf numFmtId="0" fontId="13" fillId="2" borderId="0" xfId="0" applyFont="1" applyFill="1" applyAlignment="1">
      <alignment vertical="center" wrapText="1"/>
    </xf>
    <xf numFmtId="185" fontId="13" fillId="0" borderId="0" xfId="0" applyNumberFormat="1" applyFont="1" applyAlignment="1">
      <alignment vertical="center"/>
    </xf>
    <xf numFmtId="185" fontId="13" fillId="0" borderId="0" xfId="0" applyNumberFormat="1" applyFont="1" applyAlignment="1">
      <alignment horizontal="right" vertical="center"/>
    </xf>
    <xf numFmtId="185" fontId="13" fillId="2" borderId="0" xfId="0" applyNumberFormat="1" applyFont="1" applyFill="1" applyAlignment="1">
      <alignment vertical="center"/>
    </xf>
    <xf numFmtId="185" fontId="13" fillId="2" borderId="0" xfId="0" applyNumberFormat="1" applyFont="1" applyFill="1" applyAlignment="1">
      <alignment horizontal="left" vertical="center" wrapText="1"/>
    </xf>
    <xf numFmtId="185" fontId="13" fillId="0" borderId="0" xfId="0" applyNumberFormat="1" applyFont="1" applyAlignment="1">
      <alignment horizontal="left" vertical="center" wrapText="1"/>
    </xf>
    <xf numFmtId="0" fontId="31" fillId="2" borderId="0" xfId="0" applyFont="1" applyFill="1" applyAlignment="1">
      <alignment vertical="top" wrapText="1"/>
    </xf>
    <xf numFmtId="0" fontId="44" fillId="2" borderId="0" xfId="0" applyFont="1" applyFill="1" applyAlignment="1">
      <alignment horizontal="left" vertical="center"/>
    </xf>
    <xf numFmtId="0" fontId="28" fillId="2" borderId="16" xfId="0" applyFont="1" applyFill="1" applyBorder="1" applyAlignment="1">
      <alignment vertical="center"/>
    </xf>
    <xf numFmtId="0" fontId="44" fillId="2" borderId="16" xfId="0" applyFont="1" applyFill="1" applyBorder="1" applyAlignment="1">
      <alignment horizontal="left" vertical="center"/>
    </xf>
    <xf numFmtId="0" fontId="51" fillId="2" borderId="16" xfId="0" applyFont="1" applyFill="1" applyBorder="1" applyAlignment="1">
      <alignment vertical="center"/>
    </xf>
    <xf numFmtId="0" fontId="28" fillId="0" borderId="16" xfId="0" applyFont="1" applyBorder="1" applyAlignment="1">
      <alignment vertical="center"/>
    </xf>
    <xf numFmtId="0" fontId="33" fillId="2" borderId="16" xfId="0" applyFont="1" applyFill="1" applyBorder="1" applyAlignment="1">
      <alignment horizontal="left" vertical="center" indent="3"/>
    </xf>
    <xf numFmtId="169" fontId="48" fillId="0" borderId="0" xfId="2" applyNumberFormat="1" applyFont="1" applyFill="1" applyBorder="1" applyAlignment="1">
      <alignment vertical="center" wrapText="1"/>
    </xf>
    <xf numFmtId="169" fontId="25" fillId="0" borderId="0" xfId="2" applyNumberFormat="1" applyFont="1" applyFill="1" applyBorder="1" applyAlignment="1">
      <alignment vertical="center" wrapText="1"/>
    </xf>
    <xf numFmtId="0" fontId="13" fillId="0" borderId="0" xfId="0" applyFont="1" applyAlignment="1">
      <alignment vertical="center" wrapText="1"/>
    </xf>
    <xf numFmtId="0" fontId="0" fillId="2" borderId="0" xfId="0" applyFill="1"/>
    <xf numFmtId="10" fontId="181" fillId="0" borderId="0" xfId="0" applyNumberFormat="1" applyFont="1" applyAlignment="1">
      <alignment horizontal="right" vertical="center" wrapText="1"/>
    </xf>
    <xf numFmtId="0" fontId="182" fillId="0" borderId="0" xfId="0" applyFont="1"/>
    <xf numFmtId="0" fontId="183" fillId="2" borderId="16" xfId="0" applyFont="1" applyFill="1" applyBorder="1" applyAlignment="1">
      <alignment vertical="center" wrapText="1"/>
    </xf>
    <xf numFmtId="3" fontId="174" fillId="0" borderId="0" xfId="0" applyNumberFormat="1" applyFont="1" applyAlignment="1">
      <alignment horizontal="right" vertical="center" wrapText="1"/>
    </xf>
    <xf numFmtId="10" fontId="50" fillId="0" borderId="0" xfId="7" applyNumberFormat="1" applyFont="1" applyFill="1" applyBorder="1" applyAlignment="1">
      <alignment horizontal="right" vertical="center" wrapText="1"/>
    </xf>
    <xf numFmtId="10" fontId="50" fillId="2" borderId="0" xfId="7" applyNumberFormat="1" applyFont="1" applyFill="1" applyBorder="1" applyAlignment="1">
      <alignment horizontal="right" vertical="center" wrapText="1"/>
    </xf>
    <xf numFmtId="3" fontId="50" fillId="2" borderId="31" xfId="7" applyNumberFormat="1" applyFont="1" applyFill="1" applyBorder="1" applyAlignment="1">
      <alignment horizontal="right" vertical="center" wrapText="1"/>
    </xf>
    <xf numFmtId="3" fontId="50" fillId="0" borderId="31" xfId="7" applyNumberFormat="1" applyFont="1" applyFill="1" applyBorder="1" applyAlignment="1">
      <alignment horizontal="right" vertical="center" wrapText="1"/>
    </xf>
    <xf numFmtId="3" fontId="50" fillId="0" borderId="31" xfId="0" applyNumberFormat="1" applyFont="1" applyBorder="1" applyAlignment="1">
      <alignment horizontal="right" vertical="center" wrapText="1"/>
    </xf>
    <xf numFmtId="3" fontId="50" fillId="0" borderId="0" xfId="0" applyNumberFormat="1" applyFont="1" applyAlignment="1">
      <alignment horizontal="right" vertical="center" wrapText="1"/>
    </xf>
    <xf numFmtId="3" fontId="181" fillId="0" borderId="0" xfId="0" applyNumberFormat="1" applyFont="1" applyAlignment="1">
      <alignment vertical="center" wrapText="1"/>
    </xf>
    <xf numFmtId="3" fontId="0" fillId="0" borderId="0" xfId="0" applyNumberFormat="1"/>
    <xf numFmtId="0" fontId="31" fillId="0" borderId="0" xfId="0" applyFont="1" applyAlignment="1">
      <alignment horizontal="left" vertical="top" wrapText="1"/>
    </xf>
    <xf numFmtId="0" fontId="31" fillId="2" borderId="0" xfId="0" applyFont="1" applyFill="1" applyAlignment="1">
      <alignment horizontal="left" vertical="top"/>
    </xf>
    <xf numFmtId="0" fontId="0" fillId="2" borderId="0" xfId="0" applyFill="1" applyAlignment="1">
      <alignment wrapText="1"/>
    </xf>
    <xf numFmtId="0" fontId="185" fillId="2" borderId="0" xfId="0" applyFont="1" applyFill="1" applyAlignment="1">
      <alignment vertical="center"/>
    </xf>
    <xf numFmtId="0" fontId="16" fillId="0" borderId="15" xfId="0" applyFont="1" applyBorder="1" applyAlignment="1">
      <alignment vertical="center"/>
    </xf>
    <xf numFmtId="3" fontId="181" fillId="2" borderId="0" xfId="0" applyNumberFormat="1" applyFont="1" applyFill="1" applyAlignment="1">
      <alignment horizontal="right" vertical="center" wrapText="1"/>
    </xf>
    <xf numFmtId="3" fontId="181" fillId="0" borderId="0" xfId="0" applyNumberFormat="1" applyFont="1" applyAlignment="1">
      <alignment horizontal="right" vertical="center" wrapText="1"/>
    </xf>
    <xf numFmtId="170" fontId="187" fillId="2" borderId="0" xfId="0" applyNumberFormat="1" applyFont="1" applyFill="1" applyAlignment="1">
      <alignment horizontal="right" vertical="center" wrapText="1"/>
    </xf>
    <xf numFmtId="170" fontId="181" fillId="2" borderId="0" xfId="0" applyNumberFormat="1" applyFont="1" applyFill="1" applyAlignment="1">
      <alignment horizontal="right" vertical="center" wrapText="1"/>
    </xf>
    <xf numFmtId="0" fontId="159" fillId="2" borderId="0" xfId="0" applyFont="1" applyFill="1" applyAlignment="1">
      <alignment vertical="center"/>
    </xf>
    <xf numFmtId="170" fontId="50" fillId="2" borderId="0" xfId="0" applyNumberFormat="1" applyFont="1" applyFill="1" applyAlignment="1">
      <alignment horizontal="right" vertical="center" wrapText="1"/>
    </xf>
    <xf numFmtId="0" fontId="0" fillId="2" borderId="0" xfId="0" applyFill="1" applyAlignment="1">
      <alignment vertical="center"/>
    </xf>
    <xf numFmtId="0" fontId="181" fillId="2" borderId="0" xfId="0" applyFont="1" applyFill="1" applyAlignment="1">
      <alignment vertical="center"/>
    </xf>
    <xf numFmtId="3" fontId="187" fillId="2" borderId="0" xfId="0" applyNumberFormat="1" applyFont="1" applyFill="1" applyAlignment="1">
      <alignment horizontal="right" vertical="center" wrapText="1"/>
    </xf>
    <xf numFmtId="0" fontId="159" fillId="2" borderId="0" xfId="0" applyFont="1" applyFill="1"/>
    <xf numFmtId="170" fontId="181" fillId="0" borderId="0" xfId="0" applyNumberFormat="1" applyFont="1" applyAlignment="1">
      <alignment horizontal="right" vertical="center" wrapText="1"/>
    </xf>
    <xf numFmtId="170" fontId="50" fillId="0" borderId="0" xfId="0" applyNumberFormat="1" applyFont="1" applyAlignment="1">
      <alignment horizontal="right" vertical="center" wrapText="1"/>
    </xf>
    <xf numFmtId="0" fontId="7" fillId="2" borderId="0" xfId="0" applyFont="1" applyFill="1"/>
    <xf numFmtId="0" fontId="7" fillId="0" borderId="0" xfId="0" applyFont="1"/>
    <xf numFmtId="0" fontId="7" fillId="2" borderId="0" xfId="0" applyFont="1" applyFill="1" applyAlignment="1">
      <alignment vertical="center"/>
    </xf>
    <xf numFmtId="169" fontId="64" fillId="0" borderId="0" xfId="0" applyNumberFormat="1" applyFont="1"/>
    <xf numFmtId="0" fontId="50" fillId="0" borderId="0" xfId="0" applyFont="1" applyAlignment="1">
      <alignment wrapText="1"/>
    </xf>
    <xf numFmtId="0" fontId="63" fillId="0" borderId="0" xfId="0" applyFont="1" applyAlignment="1">
      <alignment vertical="center"/>
    </xf>
    <xf numFmtId="0" fontId="63" fillId="0" borderId="0" xfId="0" applyFont="1"/>
    <xf numFmtId="170" fontId="50" fillId="0" borderId="0" xfId="0" applyNumberFormat="1" applyFont="1"/>
    <xf numFmtId="170" fontId="63" fillId="0" borderId="0" xfId="0" applyNumberFormat="1" applyFont="1"/>
    <xf numFmtId="170" fontId="66" fillId="0" borderId="0" xfId="0" applyNumberFormat="1" applyFont="1"/>
    <xf numFmtId="0" fontId="21" fillId="2" borderId="0" xfId="0" applyFont="1" applyFill="1" applyAlignment="1">
      <alignment horizontal="left" vertical="top" wrapText="1"/>
    </xf>
    <xf numFmtId="0" fontId="13" fillId="2" borderId="3" xfId="0" applyFont="1" applyFill="1" applyBorder="1" applyAlignment="1">
      <alignment horizontal="left" vertical="center" wrapText="1"/>
    </xf>
    <xf numFmtId="0" fontId="44" fillId="2" borderId="0" xfId="0" applyFont="1" applyFill="1" applyAlignment="1">
      <alignment horizontal="left" vertical="top" wrapText="1"/>
    </xf>
    <xf numFmtId="0" fontId="44" fillId="2" borderId="0" xfId="0" applyFont="1" applyFill="1" applyAlignment="1">
      <alignment vertical="top" wrapText="1"/>
    </xf>
    <xf numFmtId="0" fontId="13" fillId="2" borderId="0" xfId="0" applyFont="1" applyFill="1" applyAlignment="1">
      <alignment vertical="top"/>
    </xf>
    <xf numFmtId="0" fontId="44" fillId="0" borderId="0" xfId="0" applyFont="1" applyAlignment="1">
      <alignment horizontal="left" vertical="top" wrapText="1"/>
    </xf>
    <xf numFmtId="0" fontId="44" fillId="2" borderId="0" xfId="0" applyFont="1" applyFill="1" applyAlignment="1">
      <alignment vertical="top"/>
    </xf>
    <xf numFmtId="0" fontId="13" fillId="2" borderId="0" xfId="0" applyFont="1" applyFill="1" applyAlignment="1">
      <alignment horizontal="left" vertical="top" wrapText="1"/>
    </xf>
    <xf numFmtId="168" fontId="44" fillId="2" borderId="0" xfId="0" applyNumberFormat="1" applyFont="1" applyFill="1" applyAlignment="1">
      <alignment horizontal="left" vertical="top" wrapText="1"/>
    </xf>
    <xf numFmtId="168" fontId="13" fillId="2" borderId="0" xfId="0" applyNumberFormat="1" applyFont="1" applyFill="1" applyAlignment="1">
      <alignment horizontal="left" vertical="top" wrapText="1"/>
    </xf>
    <xf numFmtId="0" fontId="31" fillId="0" borderId="0" xfId="0" applyFont="1" applyAlignment="1">
      <alignment vertical="top" wrapText="1"/>
    </xf>
    <xf numFmtId="49" fontId="190" fillId="0" borderId="0" xfId="0" applyNumberFormat="1" applyFont="1"/>
    <xf numFmtId="0" fontId="183" fillId="2" borderId="16" xfId="0" applyFont="1" applyFill="1" applyBorder="1" applyAlignment="1">
      <alignment horizontal="left" vertical="center" wrapText="1" indent="2"/>
    </xf>
    <xf numFmtId="10" fontId="50" fillId="0" borderId="0" xfId="0" applyNumberFormat="1" applyFont="1" applyAlignment="1">
      <alignment horizontal="right" vertical="center" wrapText="1"/>
    </xf>
    <xf numFmtId="0" fontId="183" fillId="2" borderId="16" xfId="0" applyFont="1" applyFill="1" applyBorder="1" applyAlignment="1">
      <alignment horizontal="left" vertical="center" wrapText="1" indent="3"/>
    </xf>
    <xf numFmtId="0" fontId="13" fillId="2" borderId="0" xfId="0" applyFont="1" applyFill="1" applyAlignment="1">
      <alignment horizontal="left" vertical="center" wrapText="1"/>
    </xf>
    <xf numFmtId="10" fontId="0" fillId="0" borderId="0" xfId="0" applyNumberFormat="1"/>
    <xf numFmtId="10" fontId="0" fillId="2" borderId="0" xfId="0" applyNumberFormat="1" applyFill="1"/>
    <xf numFmtId="0" fontId="28" fillId="2" borderId="16" xfId="0" applyFont="1" applyFill="1" applyBorder="1" applyAlignment="1">
      <alignment vertical="center" wrapText="1"/>
    </xf>
    <xf numFmtId="0" fontId="32" fillId="0" borderId="3" xfId="0" applyFont="1" applyBorder="1" applyAlignment="1">
      <alignment vertical="center" wrapText="1"/>
    </xf>
    <xf numFmtId="181" fontId="34" fillId="0" borderId="0" xfId="0" applyNumberFormat="1" applyFont="1" applyAlignment="1">
      <alignment vertical="center"/>
    </xf>
    <xf numFmtId="181" fontId="34" fillId="0" borderId="0" xfId="0" applyNumberFormat="1" applyFont="1" applyAlignment="1">
      <alignment horizontal="right" vertical="center"/>
    </xf>
    <xf numFmtId="0" fontId="48" fillId="77" borderId="6" xfId="0" applyFont="1" applyFill="1" applyBorder="1" applyAlignment="1">
      <alignment vertical="center" wrapText="1"/>
    </xf>
    <xf numFmtId="0" fontId="45" fillId="2" borderId="0" xfId="0" applyFont="1" applyFill="1" applyAlignment="1">
      <alignment horizontal="center" vertical="center"/>
    </xf>
    <xf numFmtId="0" fontId="195" fillId="75" borderId="4" xfId="0" applyFont="1" applyFill="1" applyBorder="1" applyAlignment="1">
      <alignment vertical="center" wrapText="1"/>
    </xf>
    <xf numFmtId="0" fontId="195" fillId="75" borderId="15" xfId="0" applyFont="1" applyFill="1" applyBorder="1" applyAlignment="1">
      <alignment vertical="center" wrapText="1"/>
    </xf>
    <xf numFmtId="0" fontId="195" fillId="75" borderId="5" xfId="0" applyFont="1" applyFill="1" applyBorder="1" applyAlignment="1">
      <alignment vertical="center" wrapText="1"/>
    </xf>
    <xf numFmtId="0" fontId="195" fillId="75" borderId="17" xfId="0" applyFont="1" applyFill="1" applyBorder="1" applyAlignment="1">
      <alignment vertical="center" wrapText="1"/>
    </xf>
    <xf numFmtId="0" fontId="13" fillId="0" borderId="9" xfId="0" applyFont="1" applyBorder="1" applyAlignment="1">
      <alignment horizontal="left" vertical="center"/>
    </xf>
    <xf numFmtId="170" fontId="175" fillId="0" borderId="0" xfId="0" applyNumberFormat="1" applyFont="1" applyAlignment="1">
      <alignment horizontal="right" vertical="center"/>
    </xf>
    <xf numFmtId="173" fontId="13" fillId="2" borderId="9" xfId="0" applyNumberFormat="1" applyFont="1" applyFill="1" applyBorder="1" applyAlignment="1">
      <alignment horizontal="right" vertical="center"/>
    </xf>
    <xf numFmtId="173" fontId="13" fillId="2" borderId="9" xfId="0" applyNumberFormat="1" applyFont="1" applyFill="1" applyBorder="1" applyAlignment="1">
      <alignment vertical="center"/>
    </xf>
    <xf numFmtId="174" fontId="32" fillId="2" borderId="9" xfId="1" applyNumberFormat="1" applyFont="1" applyFill="1" applyBorder="1" applyAlignment="1">
      <alignment horizontal="right" vertical="center"/>
    </xf>
    <xf numFmtId="167" fontId="13" fillId="2" borderId="9" xfId="0" applyNumberFormat="1" applyFont="1" applyFill="1" applyBorder="1" applyAlignment="1">
      <alignment horizontal="right" vertical="center"/>
    </xf>
    <xf numFmtId="165" fontId="32" fillId="2" borderId="9" xfId="0" applyNumberFormat="1" applyFont="1" applyFill="1" applyBorder="1" applyAlignment="1">
      <alignment horizontal="right" vertical="center"/>
    </xf>
    <xf numFmtId="174" fontId="34" fillId="0" borderId="9" xfId="0" applyNumberFormat="1" applyFont="1" applyBorder="1" applyAlignment="1">
      <alignment vertical="center"/>
    </xf>
    <xf numFmtId="174" fontId="34" fillId="2" borderId="9" xfId="0" applyNumberFormat="1" applyFont="1" applyFill="1" applyBorder="1" applyAlignment="1">
      <alignment vertical="center"/>
    </xf>
    <xf numFmtId="181" fontId="13" fillId="0" borderId="0" xfId="0" applyNumberFormat="1" applyFont="1" applyAlignment="1">
      <alignment vertical="center"/>
    </xf>
    <xf numFmtId="181" fontId="13" fillId="0" borderId="9" xfId="0" applyNumberFormat="1" applyFont="1" applyBorder="1" applyAlignment="1">
      <alignment vertical="center"/>
    </xf>
    <xf numFmtId="181" fontId="32" fillId="0" borderId="0" xfId="0" applyNumberFormat="1" applyFont="1" applyAlignment="1">
      <alignment horizontal="right" vertical="center"/>
    </xf>
    <xf numFmtId="181" fontId="13" fillId="0" borderId="0" xfId="0" applyNumberFormat="1" applyFont="1" applyAlignment="1">
      <alignment horizontal="right" vertical="center"/>
    </xf>
    <xf numFmtId="182" fontId="34" fillId="0" borderId="9" xfId="0" applyNumberFormat="1" applyFont="1" applyBorder="1" applyAlignment="1">
      <alignment vertical="center"/>
    </xf>
    <xf numFmtId="182" fontId="26" fillId="0" borderId="9" xfId="0" applyNumberFormat="1" applyFont="1" applyBorder="1" applyAlignment="1">
      <alignment horizontal="right" vertical="center"/>
    </xf>
    <xf numFmtId="181" fontId="26" fillId="0" borderId="0" xfId="0" applyNumberFormat="1" applyFont="1" applyAlignment="1">
      <alignment horizontal="right" vertical="center"/>
    </xf>
    <xf numFmtId="0" fontId="13" fillId="0" borderId="0" xfId="0" applyFont="1" applyAlignment="1">
      <alignment vertical="top"/>
    </xf>
    <xf numFmtId="0" fontId="13" fillId="2" borderId="16" xfId="0" applyFont="1" applyFill="1" applyBorder="1" applyAlignment="1">
      <alignment horizontal="left" vertical="center"/>
    </xf>
    <xf numFmtId="0" fontId="188" fillId="0" borderId="0" xfId="0" applyFont="1"/>
    <xf numFmtId="0" fontId="204" fillId="2" borderId="0" xfId="0" applyFont="1" applyFill="1"/>
    <xf numFmtId="165" fontId="32" fillId="0" borderId="9" xfId="0" applyNumberFormat="1" applyFont="1" applyBorder="1" applyAlignment="1">
      <alignment horizontal="right" vertical="center"/>
    </xf>
    <xf numFmtId="165" fontId="32" fillId="0" borderId="0" xfId="0" applyNumberFormat="1" applyFont="1" applyAlignment="1">
      <alignment horizontal="right" vertical="center"/>
    </xf>
    <xf numFmtId="165" fontId="32" fillId="0" borderId="3" xfId="0" applyNumberFormat="1" applyFont="1" applyBorder="1" applyAlignment="1">
      <alignment horizontal="right" vertical="center"/>
    </xf>
    <xf numFmtId="173" fontId="13" fillId="0" borderId="9" xfId="0" applyNumberFormat="1" applyFont="1" applyBorder="1" applyAlignment="1">
      <alignment vertical="center"/>
    </xf>
    <xf numFmtId="173" fontId="13" fillId="0" borderId="0" xfId="0" applyNumberFormat="1" applyFont="1" applyAlignment="1">
      <alignment vertical="center"/>
    </xf>
    <xf numFmtId="170" fontId="13" fillId="0" borderId="0" xfId="0" applyNumberFormat="1" applyFont="1" applyAlignment="1">
      <alignment horizontal="right" vertical="center"/>
    </xf>
    <xf numFmtId="170" fontId="13" fillId="0" borderId="9" xfId="0" applyNumberFormat="1" applyFont="1" applyBorder="1" applyAlignment="1">
      <alignment vertical="center"/>
    </xf>
    <xf numFmtId="170" fontId="13" fillId="0" borderId="0" xfId="0" applyNumberFormat="1" applyFont="1" applyAlignment="1">
      <alignment vertical="center"/>
    </xf>
    <xf numFmtId="167" fontId="13" fillId="0" borderId="9" xfId="0" applyNumberFormat="1" applyFont="1" applyBorder="1" applyAlignment="1">
      <alignment horizontal="right" vertical="center"/>
    </xf>
    <xf numFmtId="167" fontId="13" fillId="0" borderId="0" xfId="0" applyNumberFormat="1" applyFont="1" applyAlignment="1">
      <alignment horizontal="right" vertical="center"/>
    </xf>
    <xf numFmtId="173" fontId="13" fillId="0" borderId="0" xfId="0" applyNumberFormat="1" applyFont="1" applyAlignment="1">
      <alignment horizontal="right" vertical="center"/>
    </xf>
    <xf numFmtId="177" fontId="13" fillId="0" borderId="9" xfId="0" applyNumberFormat="1" applyFont="1" applyBorder="1" applyAlignment="1">
      <alignment vertical="center"/>
    </xf>
    <xf numFmtId="167" fontId="13" fillId="0" borderId="9" xfId="0" applyNumberFormat="1" applyFont="1" applyBorder="1" applyAlignment="1">
      <alignment vertical="center"/>
    </xf>
    <xf numFmtId="167" fontId="13" fillId="0" borderId="0" xfId="0" applyNumberFormat="1" applyFont="1" applyAlignment="1">
      <alignment vertical="center"/>
    </xf>
    <xf numFmtId="175" fontId="13" fillId="0" borderId="9" xfId="0" applyNumberFormat="1" applyFont="1" applyBorder="1" applyAlignment="1">
      <alignment vertical="center"/>
    </xf>
    <xf numFmtId="173" fontId="13" fillId="0" borderId="9" xfId="0" applyNumberFormat="1" applyFont="1" applyBorder="1" applyAlignment="1">
      <alignment horizontal="right" vertical="center"/>
    </xf>
    <xf numFmtId="173" fontId="13" fillId="0" borderId="3" xfId="0" applyNumberFormat="1" applyFont="1" applyBorder="1" applyAlignment="1">
      <alignment horizontal="right" vertical="center"/>
    </xf>
    <xf numFmtId="175" fontId="13" fillId="0" borderId="0" xfId="0" applyNumberFormat="1" applyFont="1" applyAlignment="1">
      <alignment vertical="center"/>
    </xf>
    <xf numFmtId="174" fontId="32" fillId="0" borderId="9" xfId="1" applyNumberFormat="1" applyFont="1" applyFill="1" applyBorder="1" applyAlignment="1">
      <alignment horizontal="right" vertical="center"/>
    </xf>
    <xf numFmtId="174" fontId="32" fillId="0" borderId="0" xfId="1" applyNumberFormat="1" applyFont="1" applyFill="1" applyBorder="1" applyAlignment="1">
      <alignment horizontal="right" vertical="center"/>
    </xf>
    <xf numFmtId="174" fontId="32" fillId="0" borderId="3" xfId="1" applyNumberFormat="1" applyFont="1" applyFill="1" applyBorder="1" applyAlignment="1">
      <alignment horizontal="right" vertical="center"/>
    </xf>
    <xf numFmtId="167" fontId="13" fillId="0" borderId="3" xfId="0" applyNumberFormat="1" applyFont="1" applyBorder="1" applyAlignment="1">
      <alignment horizontal="right" vertical="center"/>
    </xf>
    <xf numFmtId="175" fontId="34" fillId="0" borderId="9" xfId="0" applyNumberFormat="1" applyFont="1" applyBorder="1" applyAlignment="1">
      <alignment vertical="center"/>
    </xf>
    <xf numFmtId="175" fontId="34" fillId="0" borderId="0" xfId="0" applyNumberFormat="1" applyFont="1" applyAlignment="1">
      <alignment vertical="center"/>
    </xf>
    <xf numFmtId="170" fontId="34" fillId="0" borderId="0" xfId="0" applyNumberFormat="1" applyFont="1" applyAlignment="1">
      <alignment vertical="center"/>
    </xf>
    <xf numFmtId="174" fontId="13" fillId="0" borderId="9" xfId="0" applyNumberFormat="1" applyFont="1" applyBorder="1" applyAlignment="1">
      <alignment vertical="center"/>
    </xf>
    <xf numFmtId="174" fontId="13" fillId="0" borderId="0" xfId="0" applyNumberFormat="1" applyFont="1" applyAlignment="1">
      <alignment vertical="center"/>
    </xf>
    <xf numFmtId="174" fontId="13" fillId="0" borderId="3" xfId="0" applyNumberFormat="1" applyFont="1" applyBorder="1" applyAlignment="1">
      <alignment vertical="center"/>
    </xf>
    <xf numFmtId="174" fontId="34" fillId="0" borderId="3" xfId="0" applyNumberFormat="1" applyFont="1" applyBorder="1" applyAlignment="1">
      <alignment vertical="center"/>
    </xf>
    <xf numFmtId="173" fontId="34" fillId="0" borderId="0" xfId="0" applyNumberFormat="1" applyFont="1" applyAlignment="1">
      <alignment vertical="center"/>
    </xf>
    <xf numFmtId="165" fontId="36" fillId="0" borderId="0" xfId="0" applyNumberFormat="1" applyFont="1" applyAlignment="1">
      <alignment horizontal="right" vertical="center"/>
    </xf>
    <xf numFmtId="184" fontId="13" fillId="2" borderId="9" xfId="0" applyNumberFormat="1" applyFont="1" applyFill="1" applyBorder="1" applyAlignment="1">
      <alignment horizontal="right" vertical="center"/>
    </xf>
    <xf numFmtId="182" fontId="13" fillId="0" borderId="0" xfId="0" applyNumberFormat="1" applyFont="1" applyAlignment="1">
      <alignment horizontal="right" vertical="center"/>
    </xf>
    <xf numFmtId="182" fontId="32" fillId="0" borderId="0" xfId="0" applyNumberFormat="1" applyFont="1" applyAlignment="1">
      <alignment vertical="center"/>
    </xf>
    <xf numFmtId="183" fontId="32" fillId="0" borderId="0" xfId="0" applyNumberFormat="1" applyFont="1" applyAlignment="1">
      <alignment vertical="center"/>
    </xf>
    <xf numFmtId="182" fontId="36" fillId="0" borderId="0" xfId="0" applyNumberFormat="1" applyFont="1" applyAlignment="1">
      <alignment horizontal="right" vertical="center"/>
    </xf>
    <xf numFmtId="0" fontId="24" fillId="0" borderId="11" xfId="0" applyFont="1" applyBorder="1" applyAlignment="1">
      <alignment vertical="center" wrapText="1"/>
    </xf>
    <xf numFmtId="182" fontId="24" fillId="0" borderId="2" xfId="0" applyNumberFormat="1" applyFont="1" applyBorder="1" applyAlignment="1">
      <alignment vertical="center"/>
    </xf>
    <xf numFmtId="0" fontId="80" fillId="0" borderId="0" xfId="0" applyFont="1" applyAlignment="1">
      <alignment vertical="center"/>
    </xf>
    <xf numFmtId="3" fontId="21" fillId="0" borderId="3" xfId="0" applyNumberFormat="1" applyFont="1" applyBorder="1" applyAlignment="1">
      <alignment horizontal="right" vertical="center" wrapText="1"/>
    </xf>
    <xf numFmtId="3" fontId="10" fillId="0" borderId="0" xfId="0" applyNumberFormat="1" applyFont="1" applyAlignment="1">
      <alignment vertical="center"/>
    </xf>
    <xf numFmtId="0" fontId="39" fillId="0" borderId="3" xfId="0" applyFont="1" applyBorder="1" applyAlignment="1">
      <alignment horizontal="left" vertical="center" wrapText="1" indent="1"/>
    </xf>
    <xf numFmtId="3" fontId="31" fillId="0" borderId="0" xfId="0" applyNumberFormat="1" applyFont="1" applyAlignment="1">
      <alignment horizontal="right" vertical="center" wrapText="1"/>
    </xf>
    <xf numFmtId="0" fontId="40" fillId="0" borderId="3" xfId="0" applyFont="1" applyBorder="1" applyAlignment="1">
      <alignment horizontal="left" vertical="center" wrapText="1" indent="3"/>
    </xf>
    <xf numFmtId="3" fontId="41" fillId="0" borderId="3" xfId="0" applyNumberFormat="1" applyFont="1" applyBorder="1" applyAlignment="1">
      <alignment horizontal="right" vertical="center" wrapText="1"/>
    </xf>
    <xf numFmtId="3" fontId="14" fillId="0" borderId="0" xfId="0" applyNumberFormat="1" applyFont="1" applyAlignment="1">
      <alignment horizontal="right" vertical="center" wrapText="1"/>
    </xf>
    <xf numFmtId="3" fontId="21" fillId="0" borderId="18" xfId="0" applyNumberFormat="1" applyFont="1" applyBorder="1" applyAlignment="1">
      <alignment horizontal="right" vertical="center" wrapText="1"/>
    </xf>
    <xf numFmtId="170" fontId="31" fillId="0" borderId="0" xfId="0" applyNumberFormat="1" applyFont="1" applyAlignment="1">
      <alignment horizontal="right" vertical="center" wrapText="1"/>
    </xf>
    <xf numFmtId="0" fontId="39" fillId="0" borderId="16" xfId="0" applyFont="1" applyBorder="1" applyAlignment="1">
      <alignment horizontal="left" vertical="center"/>
    </xf>
    <xf numFmtId="167" fontId="21" fillId="0" borderId="3" xfId="0" applyNumberFormat="1" applyFont="1" applyBorder="1" applyAlignment="1">
      <alignment horizontal="right" vertical="center" wrapText="1"/>
    </xf>
    <xf numFmtId="0" fontId="39" fillId="0" borderId="3" xfId="0" applyFont="1" applyBorder="1" applyAlignment="1">
      <alignment horizontal="left" vertical="center" wrapText="1"/>
    </xf>
    <xf numFmtId="169" fontId="21" fillId="0" borderId="3" xfId="0" applyNumberFormat="1" applyFont="1" applyBorder="1" applyAlignment="1">
      <alignment horizontal="right" vertical="center" wrapText="1"/>
    </xf>
    <xf numFmtId="169" fontId="31" fillId="0" borderId="0" xfId="0" applyNumberFormat="1" applyFont="1" applyAlignment="1">
      <alignment horizontal="right" vertical="center" wrapText="1"/>
    </xf>
    <xf numFmtId="3" fontId="41" fillId="0" borderId="3" xfId="6" applyNumberFormat="1" applyFont="1" applyFill="1" applyBorder="1" applyAlignment="1">
      <alignment horizontal="right" vertical="center" wrapText="1"/>
    </xf>
    <xf numFmtId="3" fontId="21" fillId="0" borderId="3" xfId="6" applyNumberFormat="1" applyFont="1" applyFill="1" applyBorder="1" applyAlignment="1">
      <alignment horizontal="right" vertical="center" wrapText="1"/>
    </xf>
    <xf numFmtId="3" fontId="21" fillId="0" borderId="5" xfId="0" applyNumberFormat="1" applyFont="1" applyBorder="1" applyAlignment="1">
      <alignment horizontal="right" vertical="center" wrapText="1"/>
    </xf>
    <xf numFmtId="0" fontId="10" fillId="0" borderId="0" xfId="0" applyFont="1" applyAlignment="1">
      <alignment horizontal="left" vertical="top" wrapText="1"/>
    </xf>
    <xf numFmtId="0" fontId="10" fillId="0" borderId="0" xfId="0" applyFont="1" applyAlignment="1">
      <alignment vertical="top"/>
    </xf>
    <xf numFmtId="0" fontId="10" fillId="0" borderId="0" xfId="0" applyFont="1" applyAlignment="1">
      <alignment vertical="top" wrapText="1"/>
    </xf>
    <xf numFmtId="0" fontId="10" fillId="0" borderId="0" xfId="0" applyFont="1" applyAlignment="1">
      <alignment vertical="center" wrapText="1"/>
    </xf>
    <xf numFmtId="0" fontId="195" fillId="75" borderId="5" xfId="0" applyFont="1" applyFill="1" applyBorder="1" applyAlignment="1">
      <alignment horizontal="center" vertical="center"/>
    </xf>
    <xf numFmtId="0" fontId="195" fillId="75" borderId="53" xfId="0" applyFont="1" applyFill="1" applyBorder="1" applyAlignment="1">
      <alignment horizontal="center" vertical="center"/>
    </xf>
    <xf numFmtId="0" fontId="208" fillId="0" borderId="0" xfId="0" applyFont="1" applyAlignment="1">
      <alignment vertical="center"/>
    </xf>
    <xf numFmtId="177" fontId="24" fillId="77" borderId="6" xfId="0" applyNumberFormat="1" applyFont="1" applyFill="1" applyBorder="1" applyAlignment="1">
      <alignment horizontal="right" vertical="center"/>
    </xf>
    <xf numFmtId="177" fontId="24" fillId="77" borderId="7" xfId="0" applyNumberFormat="1" applyFont="1" applyFill="1" applyBorder="1" applyAlignment="1">
      <alignment horizontal="right" vertical="center"/>
    </xf>
    <xf numFmtId="170" fontId="48" fillId="80" borderId="8" xfId="0" applyNumberFormat="1" applyFont="1" applyFill="1" applyBorder="1" applyAlignment="1">
      <alignment horizontal="right" vertical="center" wrapText="1"/>
    </xf>
    <xf numFmtId="170" fontId="197" fillId="80" borderId="9" xfId="0" applyNumberFormat="1" applyFont="1" applyFill="1" applyBorder="1" applyAlignment="1">
      <alignment horizontal="right" vertical="center" wrapText="1"/>
    </xf>
    <xf numFmtId="213" fontId="24" fillId="77" borderId="6" xfId="0" applyNumberFormat="1" applyFont="1" applyFill="1" applyBorder="1" applyAlignment="1">
      <alignment horizontal="right" vertical="center"/>
    </xf>
    <xf numFmtId="213" fontId="24" fillId="77" borderId="7" xfId="0" applyNumberFormat="1" applyFont="1" applyFill="1" applyBorder="1" applyAlignment="1">
      <alignment horizontal="right" vertical="center"/>
    </xf>
    <xf numFmtId="213" fontId="48" fillId="80" borderId="8" xfId="0" applyNumberFormat="1" applyFont="1" applyFill="1" applyBorder="1" applyAlignment="1">
      <alignment horizontal="right" vertical="center" wrapText="1"/>
    </xf>
    <xf numFmtId="169" fontId="197" fillId="80" borderId="9" xfId="0" applyNumberFormat="1" applyFont="1" applyFill="1" applyBorder="1" applyAlignment="1">
      <alignment horizontal="right" vertical="center" wrapText="1"/>
    </xf>
    <xf numFmtId="166" fontId="197" fillId="80" borderId="9" xfId="0" applyNumberFormat="1" applyFont="1" applyFill="1" applyBorder="1" applyAlignment="1">
      <alignment horizontal="right" vertical="center" wrapText="1"/>
    </xf>
    <xf numFmtId="0" fontId="19" fillId="0" borderId="55" xfId="0" applyFont="1" applyBorder="1" applyAlignment="1">
      <alignment horizontal="left" vertical="center" wrapText="1"/>
    </xf>
    <xf numFmtId="0" fontId="19" fillId="0" borderId="55" xfId="0" applyFont="1" applyBorder="1" applyAlignment="1">
      <alignment horizontal="left" vertical="center"/>
    </xf>
    <xf numFmtId="3" fontId="38" fillId="0" borderId="55" xfId="0" applyNumberFormat="1" applyFont="1" applyBorder="1" applyAlignment="1">
      <alignment horizontal="right" vertical="center" wrapText="1"/>
    </xf>
    <xf numFmtId="3" fontId="38" fillId="0" borderId="56" xfId="0" applyNumberFormat="1" applyFont="1" applyBorder="1" applyAlignment="1">
      <alignment horizontal="right" vertical="center" wrapText="1"/>
    </xf>
    <xf numFmtId="170" fontId="209" fillId="80" borderId="57" xfId="0" applyNumberFormat="1" applyFont="1" applyFill="1" applyBorder="1" applyAlignment="1">
      <alignment horizontal="right" vertical="center" wrapText="1"/>
    </xf>
    <xf numFmtId="170" fontId="38" fillId="0" borderId="55" xfId="0" applyNumberFormat="1" applyFont="1" applyBorder="1" applyAlignment="1">
      <alignment horizontal="right" vertical="center" wrapText="1"/>
    </xf>
    <xf numFmtId="170" fontId="38" fillId="0" borderId="56" xfId="0" applyNumberFormat="1" applyFont="1" applyBorder="1" applyAlignment="1">
      <alignment horizontal="right" vertical="center" wrapText="1"/>
    </xf>
    <xf numFmtId="170" fontId="19" fillId="0" borderId="55" xfId="0" applyNumberFormat="1" applyFont="1" applyBorder="1" applyAlignment="1">
      <alignment horizontal="left" vertical="center" wrapText="1"/>
    </xf>
    <xf numFmtId="170" fontId="19" fillId="0" borderId="55" xfId="0" applyNumberFormat="1" applyFont="1" applyBorder="1" applyAlignment="1">
      <alignment horizontal="left" vertical="center"/>
    </xf>
    <xf numFmtId="170" fontId="10" fillId="0" borderId="0" xfId="0" applyNumberFormat="1" applyFont="1" applyAlignment="1">
      <alignment vertical="center"/>
    </xf>
    <xf numFmtId="3" fontId="197" fillId="80" borderId="9" xfId="0" applyNumberFormat="1" applyFont="1" applyFill="1" applyBorder="1" applyAlignment="1">
      <alignment horizontal="right" vertical="center" wrapText="1"/>
    </xf>
    <xf numFmtId="3" fontId="209" fillId="80" borderId="57" xfId="0" applyNumberFormat="1" applyFont="1" applyFill="1" applyBorder="1" applyAlignment="1">
      <alignment horizontal="right" vertical="center" wrapText="1"/>
    </xf>
    <xf numFmtId="3" fontId="207" fillId="81" borderId="3" xfId="0" applyNumberFormat="1" applyFont="1" applyFill="1" applyBorder="1" applyAlignment="1">
      <alignment horizontal="right" vertical="center" wrapText="1"/>
    </xf>
    <xf numFmtId="3" fontId="207" fillId="81" borderId="0" xfId="0" applyNumberFormat="1" applyFont="1" applyFill="1" applyAlignment="1">
      <alignment horizontal="right" vertical="center" wrapText="1"/>
    </xf>
    <xf numFmtId="170" fontId="48" fillId="82" borderId="50" xfId="0" applyNumberFormat="1" applyFont="1" applyFill="1" applyBorder="1" applyAlignment="1">
      <alignment horizontal="right" vertical="center" wrapText="1"/>
    </xf>
    <xf numFmtId="3" fontId="207" fillId="81" borderId="4" xfId="0" applyNumberFormat="1" applyFont="1" applyFill="1" applyBorder="1" applyAlignment="1">
      <alignment horizontal="right" vertical="center" wrapText="1"/>
    </xf>
    <xf numFmtId="169" fontId="207" fillId="81" borderId="3" xfId="6" applyNumberFormat="1" applyFont="1" applyFill="1" applyBorder="1" applyAlignment="1">
      <alignment horizontal="right" vertical="center" wrapText="1"/>
    </xf>
    <xf numFmtId="169" fontId="207" fillId="81" borderId="0" xfId="6" applyNumberFormat="1" applyFont="1" applyFill="1" applyBorder="1" applyAlignment="1">
      <alignment horizontal="right" vertical="center" wrapText="1"/>
    </xf>
    <xf numFmtId="0" fontId="19" fillId="0" borderId="58" xfId="0" applyFont="1" applyBorder="1" applyAlignment="1">
      <alignment horizontal="left" vertical="center" wrapText="1"/>
    </xf>
    <xf numFmtId="0" fontId="19" fillId="0" borderId="58" xfId="0" applyFont="1" applyBorder="1" applyAlignment="1">
      <alignment horizontal="left" vertical="center"/>
    </xf>
    <xf numFmtId="3" fontId="38" fillId="0" borderId="58" xfId="0" applyNumberFormat="1" applyFont="1" applyBorder="1" applyAlignment="1">
      <alignment horizontal="right" vertical="center" wrapText="1"/>
    </xf>
    <xf numFmtId="3" fontId="38" fillId="0" borderId="59" xfId="0" applyNumberFormat="1" applyFont="1" applyBorder="1" applyAlignment="1">
      <alignment horizontal="right" vertical="center" wrapText="1"/>
    </xf>
    <xf numFmtId="3" fontId="209" fillId="80" borderId="60" xfId="0" applyNumberFormat="1" applyFont="1" applyFill="1" applyBorder="1" applyAlignment="1">
      <alignment horizontal="right" vertical="center" wrapText="1"/>
    </xf>
    <xf numFmtId="0" fontId="195" fillId="75" borderId="3" xfId="0" applyFont="1" applyFill="1" applyBorder="1" applyAlignment="1">
      <alignment vertical="center" wrapText="1"/>
    </xf>
    <xf numFmtId="170" fontId="48" fillId="82" borderId="9" xfId="0" applyNumberFormat="1" applyFont="1" applyFill="1" applyBorder="1" applyAlignment="1">
      <alignment horizontal="right" vertical="center" wrapText="1"/>
    </xf>
    <xf numFmtId="2" fontId="21" fillId="0" borderId="3" xfId="0" applyNumberFormat="1" applyFont="1" applyBorder="1" applyAlignment="1">
      <alignment horizontal="right" vertical="center" wrapText="1"/>
    </xf>
    <xf numFmtId="2" fontId="21" fillId="0" borderId="0" xfId="0" applyNumberFormat="1" applyFont="1" applyAlignment="1">
      <alignment horizontal="right" vertical="center" wrapText="1"/>
    </xf>
    <xf numFmtId="4" fontId="31" fillId="0" borderId="0" xfId="0" applyNumberFormat="1" applyFont="1" applyAlignment="1">
      <alignment horizontal="right" vertical="center" wrapText="1"/>
    </xf>
    <xf numFmtId="3" fontId="38" fillId="0" borderId="61" xfId="0" applyNumberFormat="1" applyFont="1" applyBorder="1" applyAlignment="1">
      <alignment horizontal="right" vertical="center" wrapText="1"/>
    </xf>
    <xf numFmtId="3" fontId="38" fillId="0" borderId="62" xfId="0" applyNumberFormat="1" applyFont="1" applyBorder="1" applyAlignment="1">
      <alignment horizontal="right" vertical="center" wrapText="1"/>
    </xf>
    <xf numFmtId="170" fontId="209" fillId="80" borderId="63" xfId="0" applyNumberFormat="1" applyFont="1" applyFill="1" applyBorder="1" applyAlignment="1">
      <alignment horizontal="right" vertical="center" wrapText="1"/>
    </xf>
    <xf numFmtId="3" fontId="210" fillId="80" borderId="9" xfId="0" applyNumberFormat="1" applyFont="1" applyFill="1" applyBorder="1" applyAlignment="1">
      <alignment horizontal="right" vertical="center" wrapText="1"/>
    </xf>
    <xf numFmtId="3" fontId="48" fillId="80" borderId="8" xfId="0" applyNumberFormat="1" applyFont="1" applyFill="1" applyBorder="1" applyAlignment="1">
      <alignment horizontal="right" vertical="center" wrapText="1"/>
    </xf>
    <xf numFmtId="3" fontId="209" fillId="80" borderId="63" xfId="0" applyNumberFormat="1" applyFont="1" applyFill="1" applyBorder="1" applyAlignment="1">
      <alignment horizontal="right" vertical="center" wrapText="1"/>
    </xf>
    <xf numFmtId="3" fontId="39" fillId="0" borderId="3" xfId="0" applyNumberFormat="1" applyFont="1" applyBorder="1" applyAlignment="1">
      <alignment horizontal="left" vertical="center" wrapText="1" indent="1"/>
    </xf>
    <xf numFmtId="3" fontId="39" fillId="0" borderId="5" xfId="0" applyNumberFormat="1" applyFont="1" applyBorder="1" applyAlignment="1">
      <alignment horizontal="left" vertical="center" wrapText="1" indent="1"/>
    </xf>
    <xf numFmtId="3" fontId="197" fillId="80" borderId="13" xfId="0" applyNumberFormat="1" applyFont="1" applyFill="1" applyBorder="1" applyAlignment="1">
      <alignment horizontal="right" vertical="center" wrapText="1"/>
    </xf>
    <xf numFmtId="3" fontId="19" fillId="0" borderId="55" xfId="0" applyNumberFormat="1" applyFont="1" applyBorder="1" applyAlignment="1">
      <alignment horizontal="left" vertical="center" wrapText="1"/>
    </xf>
    <xf numFmtId="3" fontId="19" fillId="0" borderId="55" xfId="0" applyNumberFormat="1" applyFont="1" applyBorder="1" applyAlignment="1">
      <alignment horizontal="left" vertical="center"/>
    </xf>
    <xf numFmtId="0" fontId="211" fillId="0" borderId="0" xfId="0" applyFont="1" applyAlignment="1">
      <alignment vertical="center"/>
    </xf>
    <xf numFmtId="0" fontId="195" fillId="75" borderId="10" xfId="0" applyFont="1" applyFill="1" applyBorder="1" applyAlignment="1">
      <alignment horizontal="center" vertical="center"/>
    </xf>
    <xf numFmtId="0" fontId="195" fillId="75" borderId="0" xfId="0" applyFont="1" applyFill="1" applyAlignment="1">
      <alignment horizontal="center" vertical="center"/>
    </xf>
    <xf numFmtId="0" fontId="0" fillId="0" borderId="0" xfId="0" applyAlignment="1">
      <alignment horizontal="right"/>
    </xf>
    <xf numFmtId="0" fontId="43" fillId="0" borderId="5" xfId="0" applyFont="1" applyBorder="1" applyAlignment="1">
      <alignment horizontal="right" vertical="center"/>
    </xf>
    <xf numFmtId="0" fontId="43" fillId="0" borderId="7" xfId="0" applyFont="1" applyBorder="1" applyAlignment="1">
      <alignment horizontal="right" vertical="center"/>
    </xf>
    <xf numFmtId="0" fontId="17" fillId="0" borderId="0" xfId="0" applyFont="1" applyAlignment="1">
      <alignment vertical="center"/>
    </xf>
    <xf numFmtId="0" fontId="63" fillId="0" borderId="14" xfId="0" applyFont="1" applyBorder="1" applyAlignment="1">
      <alignment horizontal="left" vertical="center" wrapText="1"/>
    </xf>
    <xf numFmtId="169" fontId="181" fillId="0" borderId="9" xfId="0" applyNumberFormat="1" applyFont="1" applyBorder="1" applyAlignment="1">
      <alignment horizontal="right" vertical="center" wrapText="1"/>
    </xf>
    <xf numFmtId="10" fontId="174" fillId="0" borderId="0" xfId="7" applyNumberFormat="1" applyFont="1" applyFill="1" applyBorder="1" applyAlignment="1">
      <alignment horizontal="right" vertical="center" wrapText="1"/>
    </xf>
    <xf numFmtId="3" fontId="50" fillId="0" borderId="9" xfId="0" applyNumberFormat="1" applyFont="1" applyBorder="1" applyAlignment="1">
      <alignment horizontal="right" vertical="center" wrapText="1"/>
    </xf>
    <xf numFmtId="3" fontId="181" fillId="0" borderId="9" xfId="0" applyNumberFormat="1" applyFont="1" applyBorder="1" applyAlignment="1">
      <alignment horizontal="right" vertical="center" wrapText="1"/>
    </xf>
    <xf numFmtId="3" fontId="181" fillId="0" borderId="13" xfId="0" applyNumberFormat="1" applyFont="1" applyBorder="1" applyAlignment="1">
      <alignment horizontal="right" vertical="center" wrapText="1"/>
    </xf>
    <xf numFmtId="0" fontId="31" fillId="0" borderId="0" xfId="0" applyFont="1" applyAlignment="1">
      <alignment horizontal="left" vertical="top"/>
    </xf>
    <xf numFmtId="0" fontId="185" fillId="0" borderId="0" xfId="0" applyFont="1" applyAlignment="1">
      <alignment vertical="center"/>
    </xf>
    <xf numFmtId="0" fontId="30" fillId="0" borderId="0" xfId="0" applyFont="1" applyAlignment="1">
      <alignment horizontal="left" vertical="center" wrapText="1"/>
    </xf>
    <xf numFmtId="0" fontId="181" fillId="0" borderId="0" xfId="0" applyFont="1" applyAlignment="1">
      <alignment vertical="center"/>
    </xf>
    <xf numFmtId="0" fontId="82" fillId="0" borderId="14" xfId="0" applyFont="1" applyBorder="1" applyAlignment="1">
      <alignment horizontal="left" vertical="center" wrapText="1"/>
    </xf>
    <xf numFmtId="0" fontId="0" fillId="0" borderId="0" xfId="0" applyAlignment="1">
      <alignment wrapText="1"/>
    </xf>
    <xf numFmtId="0" fontId="63" fillId="0" borderId="12" xfId="0" applyFont="1" applyBorder="1" applyAlignment="1">
      <alignment horizontal="left" vertical="center" wrapText="1"/>
    </xf>
    <xf numFmtId="0" fontId="63" fillId="81" borderId="5" xfId="0" applyFont="1" applyFill="1" applyBorder="1" applyAlignment="1">
      <alignment horizontal="right" vertical="center"/>
    </xf>
    <xf numFmtId="0" fontId="63" fillId="81" borderId="53" xfId="0" applyFont="1" applyFill="1" applyBorder="1" applyAlignment="1">
      <alignment horizontal="right" vertical="center"/>
    </xf>
    <xf numFmtId="0" fontId="63" fillId="0" borderId="5" xfId="0" applyFont="1" applyBorder="1" applyAlignment="1">
      <alignment horizontal="right" vertical="center"/>
    </xf>
    <xf numFmtId="0" fontId="63" fillId="0" borderId="7" xfId="0" applyFont="1" applyBorder="1" applyAlignment="1">
      <alignment horizontal="right" vertical="center"/>
    </xf>
    <xf numFmtId="0" fontId="63" fillId="0" borderId="4" xfId="0" applyFont="1" applyBorder="1" applyAlignment="1">
      <alignment horizontal="left" vertical="center" wrapText="1"/>
    </xf>
    <xf numFmtId="0" fontId="63" fillId="0" borderId="49" xfId="0" applyFont="1" applyBorder="1" applyAlignment="1">
      <alignment horizontal="left" vertical="center" wrapText="1"/>
    </xf>
    <xf numFmtId="0" fontId="82" fillId="0" borderId="49" xfId="0" applyFont="1" applyBorder="1" applyAlignment="1">
      <alignment horizontal="left" vertical="center" wrapText="1"/>
    </xf>
    <xf numFmtId="0" fontId="16" fillId="2" borderId="54" xfId="0" applyFont="1" applyFill="1" applyBorder="1" applyAlignment="1">
      <alignment vertical="center" wrapText="1"/>
    </xf>
    <xf numFmtId="10" fontId="181" fillId="0" borderId="56" xfId="7" applyNumberFormat="1" applyFont="1" applyFill="1" applyBorder="1" applyAlignment="1">
      <alignment horizontal="right" vertical="center" wrapText="1"/>
    </xf>
    <xf numFmtId="10" fontId="181" fillId="0" borderId="56" xfId="0" applyNumberFormat="1" applyFont="1" applyBorder="1" applyAlignment="1">
      <alignment horizontal="right" vertical="center" wrapText="1"/>
    </xf>
    <xf numFmtId="169" fontId="181" fillId="0" borderId="57" xfId="0" applyNumberFormat="1" applyFont="1" applyBorder="1" applyAlignment="1">
      <alignment horizontal="right" vertical="center" wrapText="1"/>
    </xf>
    <xf numFmtId="10" fontId="181" fillId="2" borderId="56" xfId="7" applyNumberFormat="1" applyFont="1" applyFill="1" applyBorder="1" applyAlignment="1">
      <alignment horizontal="right" vertical="center" wrapText="1"/>
    </xf>
    <xf numFmtId="169" fontId="181" fillId="2" borderId="56" xfId="7" applyNumberFormat="1" applyFont="1" applyFill="1" applyBorder="1" applyAlignment="1">
      <alignment horizontal="right" vertical="center" wrapText="1"/>
    </xf>
    <xf numFmtId="169" fontId="181" fillId="0" borderId="56" xfId="7" applyNumberFormat="1" applyFont="1" applyFill="1" applyBorder="1" applyAlignment="1">
      <alignment horizontal="right" vertical="center" wrapText="1"/>
    </xf>
    <xf numFmtId="169" fontId="181" fillId="0" borderId="56" xfId="0" applyNumberFormat="1" applyFont="1" applyBorder="1" applyAlignment="1">
      <alignment horizontal="right" vertical="center" wrapText="1"/>
    </xf>
    <xf numFmtId="3" fontId="16" fillId="2" borderId="54" xfId="0" applyNumberFormat="1" applyFont="1" applyFill="1" applyBorder="1" applyAlignment="1">
      <alignment vertical="center" wrapText="1"/>
    </xf>
    <xf numFmtId="3" fontId="181" fillId="0" borderId="56" xfId="7" applyNumberFormat="1" applyFont="1" applyFill="1" applyBorder="1" applyAlignment="1">
      <alignment horizontal="right" vertical="center" wrapText="1"/>
    </xf>
    <xf numFmtId="3" fontId="181" fillId="0" borderId="56" xfId="0" applyNumberFormat="1" applyFont="1" applyBorder="1" applyAlignment="1">
      <alignment horizontal="right" vertical="center" wrapText="1"/>
    </xf>
    <xf numFmtId="3" fontId="181" fillId="0" borderId="57" xfId="0" applyNumberFormat="1" applyFont="1" applyBorder="1" applyAlignment="1">
      <alignment horizontal="right" vertical="center" wrapText="1"/>
    </xf>
    <xf numFmtId="3" fontId="181" fillId="2" borderId="56" xfId="7" applyNumberFormat="1" applyFont="1" applyFill="1" applyBorder="1" applyAlignment="1">
      <alignment horizontal="right" vertical="center" wrapText="1"/>
    </xf>
    <xf numFmtId="0" fontId="212" fillId="2" borderId="0" xfId="0" applyFont="1" applyFill="1" applyAlignment="1">
      <alignment vertical="center"/>
    </xf>
    <xf numFmtId="0" fontId="82" fillId="0" borderId="0" xfId="0" applyFont="1"/>
    <xf numFmtId="0" fontId="82" fillId="0" borderId="0" xfId="0" applyFont="1" applyAlignment="1">
      <alignment horizontal="right"/>
    </xf>
    <xf numFmtId="0" fontId="116" fillId="0" borderId="0" xfId="0" applyFont="1"/>
    <xf numFmtId="0" fontId="116" fillId="0" borderId="0" xfId="0" applyFont="1" applyAlignment="1">
      <alignment horizontal="right"/>
    </xf>
    <xf numFmtId="168" fontId="13" fillId="0" borderId="0" xfId="0" applyNumberFormat="1" applyFont="1" applyAlignment="1">
      <alignment vertical="center"/>
    </xf>
    <xf numFmtId="168" fontId="13" fillId="0" borderId="3" xfId="0" applyNumberFormat="1" applyFont="1" applyBorder="1" applyAlignment="1">
      <alignment vertical="center"/>
    </xf>
    <xf numFmtId="0" fontId="192" fillId="83" borderId="3" xfId="0" applyFont="1" applyFill="1" applyBorder="1" applyAlignment="1">
      <alignment vertical="center" wrapText="1"/>
    </xf>
    <xf numFmtId="177" fontId="192" fillId="83" borderId="0" xfId="0" applyNumberFormat="1" applyFont="1" applyFill="1" applyAlignment="1">
      <alignment vertical="center"/>
    </xf>
    <xf numFmtId="0" fontId="23" fillId="0" borderId="65" xfId="0" applyFont="1" applyBorder="1" applyAlignment="1">
      <alignment vertical="center" wrapText="1"/>
    </xf>
    <xf numFmtId="182" fontId="24" fillId="0" borderId="66" xfId="0" applyNumberFormat="1" applyFont="1" applyBorder="1" applyAlignment="1">
      <alignment horizontal="right" vertical="center"/>
    </xf>
    <xf numFmtId="182" fontId="24" fillId="0" borderId="66" xfId="0" applyNumberFormat="1" applyFont="1" applyBorder="1" applyAlignment="1">
      <alignment vertical="center"/>
    </xf>
    <xf numFmtId="0" fontId="215" fillId="83" borderId="3" xfId="0" applyFont="1" applyFill="1" applyBorder="1" applyAlignment="1">
      <alignment vertical="center" wrapText="1"/>
    </xf>
    <xf numFmtId="177" fontId="215" fillId="83" borderId="3" xfId="0" applyNumberFormat="1" applyFont="1" applyFill="1" applyBorder="1" applyAlignment="1">
      <alignment vertical="center"/>
    </xf>
    <xf numFmtId="177" fontId="215" fillId="83" borderId="0" xfId="0" applyNumberFormat="1" applyFont="1" applyFill="1" applyAlignment="1">
      <alignment vertical="center"/>
    </xf>
    <xf numFmtId="177" fontId="215" fillId="83" borderId="9" xfId="0" applyNumberFormat="1" applyFont="1" applyFill="1" applyBorder="1" applyAlignment="1">
      <alignment vertical="center"/>
    </xf>
    <xf numFmtId="0" fontId="33" fillId="2" borderId="16" xfId="0" applyFont="1" applyFill="1" applyBorder="1" applyAlignment="1">
      <alignment horizontal="left" vertical="center" indent="2"/>
    </xf>
    <xf numFmtId="0" fontId="191" fillId="0" borderId="9" xfId="0" applyFont="1" applyBorder="1" applyAlignment="1">
      <alignment horizontal="left" vertical="center" indent="3"/>
    </xf>
    <xf numFmtId="0" fontId="202" fillId="75" borderId="0" xfId="0" applyFont="1" applyFill="1" applyAlignment="1">
      <alignment vertical="center" wrapText="1"/>
    </xf>
    <xf numFmtId="0" fontId="202" fillId="75" borderId="16" xfId="0" applyFont="1" applyFill="1" applyBorder="1" applyAlignment="1">
      <alignment vertical="center" wrapText="1"/>
    </xf>
    <xf numFmtId="0" fontId="203" fillId="0" borderId="0" xfId="0" applyFont="1"/>
    <xf numFmtId="0" fontId="47" fillId="0" borderId="65" xfId="0" applyFont="1" applyBorder="1" applyAlignment="1">
      <alignment vertical="center" wrapText="1"/>
    </xf>
    <xf numFmtId="177" fontId="188" fillId="0" borderId="65" xfId="0" applyNumberFormat="1" applyFont="1" applyBorder="1" applyAlignment="1">
      <alignment vertical="center"/>
    </xf>
    <xf numFmtId="177" fontId="188" fillId="0" borderId="66" xfId="0" applyNumberFormat="1" applyFont="1" applyBorder="1" applyAlignment="1">
      <alignment vertical="center"/>
    </xf>
    <xf numFmtId="177" fontId="188" fillId="0" borderId="67" xfId="0" applyNumberFormat="1" applyFont="1" applyBorder="1" applyAlignment="1">
      <alignment vertical="center"/>
    </xf>
    <xf numFmtId="0" fontId="47" fillId="0" borderId="64" xfId="0" applyFont="1" applyBorder="1" applyAlignment="1">
      <alignment vertical="center" wrapText="1"/>
    </xf>
    <xf numFmtId="0" fontId="211" fillId="78" borderId="0" xfId="0" applyFont="1" applyFill="1"/>
    <xf numFmtId="0" fontId="179" fillId="0" borderId="0" xfId="0" applyFont="1" applyAlignment="1">
      <alignment horizontal="right" vertical="center" wrapText="1"/>
    </xf>
    <xf numFmtId="0" fontId="192" fillId="75" borderId="68" xfId="0" applyFont="1" applyFill="1" applyBorder="1" applyAlignment="1">
      <alignment horizontal="left" vertical="center" wrapText="1"/>
    </xf>
    <xf numFmtId="185" fontId="23" fillId="2" borderId="68" xfId="0" applyNumberFormat="1" applyFont="1" applyFill="1" applyBorder="1" applyAlignment="1">
      <alignment vertical="center" wrapText="1"/>
    </xf>
    <xf numFmtId="0" fontId="192" fillId="75" borderId="69" xfId="0" applyFont="1" applyFill="1" applyBorder="1" applyAlignment="1">
      <alignment horizontal="left" vertical="center" wrapText="1"/>
    </xf>
    <xf numFmtId="185" fontId="23" fillId="2" borderId="69" xfId="0" applyNumberFormat="1" applyFont="1" applyFill="1" applyBorder="1" applyAlignment="1">
      <alignment vertical="center" wrapText="1"/>
    </xf>
    <xf numFmtId="0" fontId="192" fillId="75" borderId="70" xfId="0" applyFont="1" applyFill="1" applyBorder="1" applyAlignment="1">
      <alignment horizontal="left" vertical="center" wrapText="1"/>
    </xf>
    <xf numFmtId="185" fontId="23" fillId="2" borderId="70" xfId="0" applyNumberFormat="1" applyFont="1" applyFill="1" applyBorder="1" applyAlignment="1">
      <alignment vertical="center" wrapText="1"/>
    </xf>
    <xf numFmtId="0" fontId="193" fillId="75" borderId="70" xfId="0" applyFont="1" applyFill="1" applyBorder="1" applyAlignment="1">
      <alignment horizontal="right" vertical="center"/>
    </xf>
    <xf numFmtId="0" fontId="195" fillId="75" borderId="70" xfId="0" applyFont="1" applyFill="1" applyBorder="1" applyAlignment="1">
      <alignment horizontal="right" vertical="center"/>
    </xf>
    <xf numFmtId="0" fontId="192" fillId="76" borderId="70" xfId="0" applyFont="1" applyFill="1" applyBorder="1" applyAlignment="1">
      <alignment horizontal="right" vertical="center"/>
    </xf>
    <xf numFmtId="0" fontId="192" fillId="75" borderId="70" xfId="0" applyFont="1" applyFill="1" applyBorder="1" applyAlignment="1">
      <alignment horizontal="right" vertical="center"/>
    </xf>
    <xf numFmtId="0" fontId="63" fillId="75" borderId="70" xfId="0" applyFont="1" applyFill="1" applyBorder="1" applyAlignment="1">
      <alignment horizontal="right" vertical="center"/>
    </xf>
    <xf numFmtId="0" fontId="16" fillId="2" borderId="66" xfId="0" applyFont="1" applyFill="1" applyBorder="1" applyAlignment="1">
      <alignment vertical="center" wrapText="1"/>
    </xf>
    <xf numFmtId="170" fontId="16" fillId="2" borderId="66" xfId="0" applyNumberFormat="1" applyFont="1" applyFill="1" applyBorder="1" applyAlignment="1">
      <alignment vertical="center"/>
    </xf>
    <xf numFmtId="170" fontId="173" fillId="3" borderId="67" xfId="0" applyNumberFormat="1" applyFont="1" applyFill="1" applyBorder="1" applyAlignment="1">
      <alignment horizontal="right" vertical="center"/>
    </xf>
    <xf numFmtId="0" fontId="16" fillId="2" borderId="71" xfId="0" applyFont="1" applyFill="1" applyBorder="1" applyAlignment="1">
      <alignment vertical="center" wrapText="1"/>
    </xf>
    <xf numFmtId="170" fontId="16" fillId="2" borderId="71" xfId="0" applyNumberFormat="1" applyFont="1" applyFill="1" applyBorder="1" applyAlignment="1">
      <alignment vertical="center"/>
    </xf>
    <xf numFmtId="170" fontId="173" fillId="3" borderId="72" xfId="0" applyNumberFormat="1" applyFont="1" applyFill="1" applyBorder="1" applyAlignment="1">
      <alignment horizontal="right" vertical="center"/>
    </xf>
    <xf numFmtId="169" fontId="16" fillId="2" borderId="66" xfId="0" applyNumberFormat="1" applyFont="1" applyFill="1" applyBorder="1" applyAlignment="1">
      <alignment vertical="center" wrapText="1"/>
    </xf>
    <xf numFmtId="169" fontId="16" fillId="2" borderId="66" xfId="0" applyNumberFormat="1" applyFont="1" applyFill="1" applyBorder="1" applyAlignment="1">
      <alignment vertical="center"/>
    </xf>
    <xf numFmtId="169" fontId="173" fillId="3" borderId="67" xfId="0" applyNumberFormat="1" applyFont="1" applyFill="1" applyBorder="1" applyAlignment="1">
      <alignment horizontal="right" vertical="center"/>
    </xf>
    <xf numFmtId="0" fontId="202" fillId="75" borderId="0" xfId="0" applyFont="1" applyFill="1" applyAlignment="1">
      <alignment horizontal="right" vertical="center" wrapText="1"/>
    </xf>
    <xf numFmtId="0" fontId="202" fillId="75" borderId="0" xfId="0" applyFont="1" applyFill="1" applyAlignment="1">
      <alignment horizontal="right" vertical="center"/>
    </xf>
    <xf numFmtId="0" fontId="202" fillId="75" borderId="9" xfId="0" applyFont="1" applyFill="1" applyBorder="1" applyAlignment="1">
      <alignment horizontal="right" vertical="center"/>
    </xf>
    <xf numFmtId="0" fontId="63" fillId="75" borderId="74" xfId="0" applyFont="1" applyFill="1" applyBorder="1" applyAlignment="1">
      <alignment vertical="center" wrapText="1"/>
    </xf>
    <xf numFmtId="0" fontId="63" fillId="75" borderId="75" xfId="0" applyFont="1" applyFill="1" applyBorder="1" applyAlignment="1">
      <alignment vertical="center" wrapText="1"/>
    </xf>
    <xf numFmtId="0" fontId="29" fillId="2" borderId="68" xfId="0" applyFont="1" applyFill="1" applyBorder="1"/>
    <xf numFmtId="0" fontId="29" fillId="0" borderId="68" xfId="0" applyFont="1" applyBorder="1"/>
    <xf numFmtId="0" fontId="63" fillId="75" borderId="77" xfId="0" applyFont="1" applyFill="1" applyBorder="1" applyAlignment="1">
      <alignment vertical="center" wrapText="1"/>
    </xf>
    <xf numFmtId="0" fontId="193" fillId="75" borderId="77" xfId="0" applyFont="1" applyFill="1" applyBorder="1" applyAlignment="1">
      <alignment horizontal="right" vertical="center"/>
    </xf>
    <xf numFmtId="0" fontId="193" fillId="75" borderId="69" xfId="0" applyFont="1" applyFill="1" applyBorder="1" applyAlignment="1">
      <alignment horizontal="right" vertical="center"/>
    </xf>
    <xf numFmtId="0" fontId="193" fillId="75" borderId="78" xfId="0" applyFont="1" applyFill="1" applyBorder="1" applyAlignment="1">
      <alignment horizontal="right" vertical="center"/>
    </xf>
    <xf numFmtId="0" fontId="193" fillId="75" borderId="78" xfId="0" applyFont="1" applyFill="1" applyBorder="1" applyAlignment="1">
      <alignment horizontal="right" vertical="center" wrapText="1"/>
    </xf>
    <xf numFmtId="0" fontId="195" fillId="75" borderId="69" xfId="0" applyFont="1" applyFill="1" applyBorder="1" applyAlignment="1">
      <alignment horizontal="right" vertical="center"/>
    </xf>
    <xf numFmtId="0" fontId="13" fillId="0" borderId="69" xfId="0" applyFont="1" applyBorder="1"/>
    <xf numFmtId="0" fontId="195" fillId="75" borderId="70" xfId="0" applyFont="1" applyFill="1" applyBorder="1" applyAlignment="1">
      <alignment vertical="center" wrapText="1"/>
    </xf>
    <xf numFmtId="0" fontId="195" fillId="75" borderId="79" xfId="0" applyFont="1" applyFill="1" applyBorder="1" applyAlignment="1">
      <alignment vertical="center" wrapText="1"/>
    </xf>
    <xf numFmtId="0" fontId="195" fillId="75" borderId="70" xfId="0" applyFont="1" applyFill="1" applyBorder="1" applyAlignment="1">
      <alignment horizontal="right" vertical="center" wrapText="1"/>
    </xf>
    <xf numFmtId="0" fontId="195" fillId="75" borderId="80" xfId="0" applyFont="1" applyFill="1" applyBorder="1" applyAlignment="1">
      <alignment horizontal="right" vertical="center"/>
    </xf>
    <xf numFmtId="0" fontId="13" fillId="0" borderId="70" xfId="0" applyFont="1" applyBorder="1"/>
    <xf numFmtId="0" fontId="216" fillId="2" borderId="0" xfId="0" applyFont="1" applyFill="1" applyAlignment="1">
      <alignment vertical="center"/>
    </xf>
    <xf numFmtId="0" fontId="10" fillId="0" borderId="0" xfId="0" applyFont="1"/>
    <xf numFmtId="0" fontId="192" fillId="75" borderId="81" xfId="0" applyFont="1" applyFill="1" applyBorder="1" applyAlignment="1">
      <alignment horizontal="left" vertical="center" wrapText="1"/>
    </xf>
    <xf numFmtId="0" fontId="193" fillId="79" borderId="82" xfId="0" applyFont="1" applyFill="1" applyBorder="1" applyAlignment="1">
      <alignment horizontal="right" vertical="center" wrapText="1"/>
    </xf>
    <xf numFmtId="0" fontId="192" fillId="75" borderId="81" xfId="0" applyFont="1" applyFill="1" applyBorder="1" applyAlignment="1">
      <alignment horizontal="right" vertical="center" wrapText="1"/>
    </xf>
    <xf numFmtId="182" fontId="193" fillId="79" borderId="82" xfId="0" applyNumberFormat="1" applyFont="1" applyFill="1" applyBorder="1" applyAlignment="1">
      <alignment horizontal="right" vertical="center" wrapText="1"/>
    </xf>
    <xf numFmtId="0" fontId="13" fillId="0" borderId="81" xfId="0" applyFont="1" applyBorder="1" applyAlignment="1">
      <alignment horizontal="center" vertical="center"/>
    </xf>
    <xf numFmtId="0" fontId="192" fillId="75" borderId="83" xfId="0" applyFont="1" applyFill="1" applyBorder="1" applyAlignment="1">
      <alignment horizontal="left" vertical="center" wrapText="1"/>
    </xf>
    <xf numFmtId="0" fontId="193" fillId="79" borderId="83" xfId="0" applyFont="1" applyFill="1" applyBorder="1" applyAlignment="1">
      <alignment horizontal="right" vertical="center" wrapText="1"/>
    </xf>
    <xf numFmtId="0" fontId="192" fillId="75" borderId="83" xfId="0" applyFont="1" applyFill="1" applyBorder="1" applyAlignment="1">
      <alignment horizontal="right" vertical="center" wrapText="1"/>
    </xf>
    <xf numFmtId="182" fontId="193" fillId="79" borderId="83" xfId="0" applyNumberFormat="1" applyFont="1" applyFill="1" applyBorder="1" applyAlignment="1">
      <alignment horizontal="right" vertical="center" wrapText="1"/>
    </xf>
    <xf numFmtId="0" fontId="13" fillId="0" borderId="84" xfId="0" applyFont="1" applyBorder="1" applyAlignment="1">
      <alignment horizontal="center" vertical="center"/>
    </xf>
    <xf numFmtId="0" fontId="13" fillId="0" borderId="0" xfId="0" applyFont="1" applyAlignment="1">
      <alignment horizontal="left" vertical="center"/>
    </xf>
    <xf numFmtId="169" fontId="32" fillId="80" borderId="0" xfId="2" applyNumberFormat="1" applyFont="1" applyFill="1" applyBorder="1" applyAlignment="1">
      <alignment horizontal="right" vertical="center"/>
    </xf>
    <xf numFmtId="169" fontId="13" fillId="0" borderId="0" xfId="2" applyNumberFormat="1" applyFont="1" applyFill="1" applyBorder="1" applyAlignment="1">
      <alignment horizontal="right" vertical="center"/>
    </xf>
    <xf numFmtId="0" fontId="13" fillId="0" borderId="0" xfId="0" applyFont="1" applyAlignment="1">
      <alignment horizontal="center" vertical="center"/>
    </xf>
    <xf numFmtId="167" fontId="32" fillId="80" borderId="0" xfId="2" applyNumberFormat="1" applyFont="1" applyFill="1" applyBorder="1" applyAlignment="1">
      <alignment horizontal="right" vertical="center"/>
    </xf>
    <xf numFmtId="167" fontId="13" fillId="0" borderId="0" xfId="2" applyNumberFormat="1" applyFont="1" applyFill="1" applyBorder="1" applyAlignment="1">
      <alignment horizontal="right" vertical="center"/>
    </xf>
    <xf numFmtId="49" fontId="219" fillId="0" borderId="0" xfId="0" applyNumberFormat="1" applyFont="1"/>
    <xf numFmtId="0" fontId="219" fillId="0" borderId="0" xfId="0" applyFont="1"/>
    <xf numFmtId="173" fontId="34" fillId="2" borderId="9" xfId="0" applyNumberFormat="1" applyFont="1" applyFill="1" applyBorder="1" applyAlignment="1">
      <alignment horizontal="right" vertical="center"/>
    </xf>
    <xf numFmtId="0" fontId="193" fillId="75" borderId="0" xfId="0" applyFont="1" applyFill="1" applyAlignment="1">
      <alignment horizontal="center" vertical="center" wrapText="1"/>
    </xf>
    <xf numFmtId="0" fontId="23" fillId="0" borderId="3" xfId="0" applyFont="1" applyBorder="1" applyAlignment="1">
      <alignment vertical="center" wrapText="1"/>
    </xf>
    <xf numFmtId="0" fontId="195" fillId="75" borderId="74" xfId="0" applyFont="1" applyFill="1" applyBorder="1" applyAlignment="1">
      <alignment vertical="center" wrapText="1"/>
    </xf>
    <xf numFmtId="0" fontId="193" fillId="75" borderId="69" xfId="0" applyFont="1" applyFill="1" applyBorder="1" applyAlignment="1">
      <alignment horizontal="center" vertical="center" wrapText="1"/>
    </xf>
    <xf numFmtId="0" fontId="13" fillId="0" borderId="69" xfId="0" applyFont="1" applyBorder="1" applyAlignment="1">
      <alignment vertical="center"/>
    </xf>
    <xf numFmtId="0" fontId="13" fillId="0" borderId="85" xfId="0" applyFont="1" applyBorder="1" applyAlignment="1">
      <alignment vertical="center"/>
    </xf>
    <xf numFmtId="169" fontId="32" fillId="80" borderId="85" xfId="2" applyNumberFormat="1" applyFont="1" applyFill="1" applyBorder="1" applyAlignment="1">
      <alignment horizontal="right" vertical="center"/>
    </xf>
    <xf numFmtId="169" fontId="13" fillId="0" borderId="85" xfId="2" applyNumberFormat="1" applyFont="1" applyFill="1" applyBorder="1" applyAlignment="1">
      <alignment horizontal="right" vertical="center"/>
    </xf>
    <xf numFmtId="215" fontId="34" fillId="0" borderId="9" xfId="0" applyNumberFormat="1" applyFont="1" applyBorder="1" applyAlignment="1">
      <alignment horizontal="right" vertical="center"/>
    </xf>
    <xf numFmtId="0" fontId="192" fillId="75" borderId="86" xfId="0" applyFont="1" applyFill="1" applyBorder="1" applyAlignment="1">
      <alignment horizontal="left" vertical="center" wrapText="1"/>
    </xf>
    <xf numFmtId="0" fontId="192" fillId="0" borderId="83" xfId="0" applyFont="1" applyBorder="1" applyAlignment="1">
      <alignment horizontal="right" vertical="center" wrapText="1"/>
    </xf>
    <xf numFmtId="182" fontId="193" fillId="0" borderId="83" xfId="0" applyNumberFormat="1" applyFont="1" applyBorder="1" applyAlignment="1">
      <alignment horizontal="right" vertical="center" wrapText="1"/>
    </xf>
    <xf numFmtId="169" fontId="47" fillId="84" borderId="57" xfId="0" applyNumberFormat="1" applyFont="1" applyFill="1" applyBorder="1" applyAlignment="1">
      <alignment vertical="center" wrapText="1"/>
    </xf>
    <xf numFmtId="10" fontId="47" fillId="84" borderId="57" xfId="0" applyNumberFormat="1" applyFont="1" applyFill="1" applyBorder="1" applyAlignment="1">
      <alignment vertical="center" wrapText="1"/>
    </xf>
    <xf numFmtId="10" fontId="46" fillId="84" borderId="60" xfId="0" applyNumberFormat="1" applyFont="1" applyFill="1" applyBorder="1" applyAlignment="1">
      <alignment vertical="center" wrapText="1"/>
    </xf>
    <xf numFmtId="10" fontId="46" fillId="84" borderId="9" xfId="0" applyNumberFormat="1" applyFont="1" applyFill="1" applyBorder="1" applyAlignment="1">
      <alignment vertical="center" wrapText="1"/>
    </xf>
    <xf numFmtId="10" fontId="46" fillId="84" borderId="13" xfId="0" applyNumberFormat="1" applyFont="1" applyFill="1" applyBorder="1" applyAlignment="1">
      <alignment vertical="center" wrapText="1"/>
    </xf>
    <xf numFmtId="169" fontId="47" fillId="84" borderId="9" xfId="0" applyNumberFormat="1" applyFont="1" applyFill="1" applyBorder="1" applyAlignment="1">
      <alignment vertical="center" wrapText="1"/>
    </xf>
    <xf numFmtId="3" fontId="46" fillId="84" borderId="52" xfId="0" applyNumberFormat="1" applyFont="1" applyFill="1" applyBorder="1" applyAlignment="1">
      <alignment vertical="center" wrapText="1"/>
    </xf>
    <xf numFmtId="3" fontId="47" fillId="84" borderId="57" xfId="0" applyNumberFormat="1" applyFont="1" applyFill="1" applyBorder="1" applyAlignment="1">
      <alignment vertical="center" wrapText="1"/>
    </xf>
    <xf numFmtId="170" fontId="213" fillId="84" borderId="50" xfId="0" applyNumberFormat="1" applyFont="1" applyFill="1" applyBorder="1" applyAlignment="1">
      <alignment vertical="center" wrapText="1"/>
    </xf>
    <xf numFmtId="170" fontId="52" fillId="84" borderId="9" xfId="0" applyNumberFormat="1" applyFont="1" applyFill="1" applyBorder="1" applyAlignment="1">
      <alignment vertical="center" wrapText="1"/>
    </xf>
    <xf numFmtId="170" fontId="52" fillId="84" borderId="13" xfId="0" applyNumberFormat="1" applyFont="1" applyFill="1" applyBorder="1" applyAlignment="1">
      <alignment vertical="center" wrapText="1"/>
    </xf>
    <xf numFmtId="170" fontId="173" fillId="84" borderId="50" xfId="0" applyNumberFormat="1" applyFont="1" applyFill="1" applyBorder="1" applyAlignment="1">
      <alignment vertical="center" wrapText="1"/>
    </xf>
    <xf numFmtId="3" fontId="173" fillId="84" borderId="50" xfId="0" applyNumberFormat="1" applyFont="1" applyFill="1" applyBorder="1" applyAlignment="1">
      <alignment vertical="center" wrapText="1"/>
    </xf>
    <xf numFmtId="3" fontId="52" fillId="84" borderId="9" xfId="0" applyNumberFormat="1" applyFont="1" applyFill="1" applyBorder="1" applyAlignment="1">
      <alignment vertical="center" wrapText="1"/>
    </xf>
    <xf numFmtId="3" fontId="52" fillId="84" borderId="13" xfId="0" applyNumberFormat="1" applyFont="1" applyFill="1" applyBorder="1" applyAlignment="1">
      <alignment vertical="center" wrapText="1"/>
    </xf>
    <xf numFmtId="3" fontId="214" fillId="84" borderId="50" xfId="0" applyNumberFormat="1" applyFont="1" applyFill="1" applyBorder="1" applyAlignment="1">
      <alignment vertical="center" wrapText="1"/>
    </xf>
    <xf numFmtId="0" fontId="51" fillId="2" borderId="0" xfId="0" applyFont="1" applyFill="1" applyAlignment="1">
      <alignment horizontal="left" vertical="center" wrapText="1" indent="3"/>
    </xf>
    <xf numFmtId="170" fontId="51" fillId="2" borderId="0" xfId="0" applyNumberFormat="1" applyFont="1" applyFill="1" applyAlignment="1">
      <alignment vertical="center"/>
    </xf>
    <xf numFmtId="170" fontId="32" fillId="3" borderId="9" xfId="0" applyNumberFormat="1" applyFont="1" applyFill="1" applyBorder="1" applyAlignment="1">
      <alignment horizontal="right" vertical="center"/>
    </xf>
    <xf numFmtId="0" fontId="51" fillId="2" borderId="0" xfId="0" applyFont="1" applyFill="1"/>
    <xf numFmtId="0" fontId="51" fillId="2" borderId="0" xfId="0" applyFont="1" applyFill="1" applyAlignment="1">
      <alignment horizontal="right" vertical="center" wrapText="1"/>
    </xf>
    <xf numFmtId="170" fontId="51" fillId="2" borderId="0" xfId="0" applyNumberFormat="1" applyFont="1" applyFill="1" applyAlignment="1">
      <alignment horizontal="right" vertical="center"/>
    </xf>
    <xf numFmtId="0" fontId="28" fillId="2" borderId="0" xfId="0" applyFont="1" applyFill="1" applyAlignment="1">
      <alignment horizontal="left" vertical="center" wrapText="1" indent="3"/>
    </xf>
    <xf numFmtId="170" fontId="28" fillId="2" borderId="0" xfId="0" applyNumberFormat="1" applyFont="1" applyFill="1" applyAlignment="1">
      <alignment vertical="center"/>
    </xf>
    <xf numFmtId="0" fontId="25" fillId="2" borderId="0" xfId="0" applyFont="1" applyFill="1" applyAlignment="1">
      <alignment vertical="center"/>
    </xf>
    <xf numFmtId="0" fontId="25" fillId="0" borderId="0" xfId="0" applyFont="1" applyAlignment="1">
      <alignment vertical="center"/>
    </xf>
    <xf numFmtId="170" fontId="178" fillId="80" borderId="0" xfId="0" applyNumberFormat="1" applyFont="1" applyFill="1" applyAlignment="1">
      <alignment vertical="center" wrapText="1"/>
    </xf>
    <xf numFmtId="0" fontId="28" fillId="2" borderId="0" xfId="0" applyFont="1" applyFill="1" applyAlignment="1">
      <alignment vertical="center"/>
    </xf>
    <xf numFmtId="0" fontId="28" fillId="0" borderId="0" xfId="0" applyFont="1" applyAlignment="1">
      <alignment vertical="center"/>
    </xf>
    <xf numFmtId="184" fontId="28" fillId="2" borderId="0" xfId="0" applyNumberFormat="1" applyFont="1" applyFill="1" applyAlignment="1">
      <alignment vertical="center"/>
    </xf>
    <xf numFmtId="184" fontId="32" fillId="3" borderId="9" xfId="0" applyNumberFormat="1" applyFont="1" applyFill="1" applyBorder="1" applyAlignment="1">
      <alignment horizontal="right" vertical="center"/>
    </xf>
    <xf numFmtId="0" fontId="221" fillId="0" borderId="0" xfId="0" applyFont="1" applyAlignment="1">
      <alignment horizontal="right" vertical="center"/>
    </xf>
    <xf numFmtId="0" fontId="181" fillId="0" borderId="0" xfId="0" applyFont="1"/>
    <xf numFmtId="170" fontId="51" fillId="0" borderId="0" xfId="0" applyNumberFormat="1" applyFont="1" applyAlignment="1">
      <alignment vertical="center"/>
    </xf>
    <xf numFmtId="170" fontId="51" fillId="0" borderId="0" xfId="0" applyNumberFormat="1" applyFont="1" applyAlignment="1">
      <alignment horizontal="right" vertical="center"/>
    </xf>
    <xf numFmtId="0" fontId="192" fillId="75" borderId="88" xfId="0" applyFont="1" applyFill="1" applyBorder="1" applyAlignment="1">
      <alignment horizontal="left" vertical="center" wrapText="1"/>
    </xf>
    <xf numFmtId="0" fontId="16" fillId="2" borderId="89" xfId="0" applyFont="1" applyFill="1" applyBorder="1" applyAlignment="1">
      <alignment vertical="center" wrapText="1"/>
    </xf>
    <xf numFmtId="0" fontId="28" fillId="2" borderId="90" xfId="0" applyFont="1" applyFill="1" applyBorder="1" applyAlignment="1">
      <alignment horizontal="left" vertical="center" wrapText="1" indent="4"/>
    </xf>
    <xf numFmtId="0" fontId="16" fillId="2" borderId="91" xfId="0" applyFont="1" applyFill="1" applyBorder="1" applyAlignment="1">
      <alignment vertical="center" wrapText="1"/>
    </xf>
    <xf numFmtId="0" fontId="51" fillId="2" borderId="90" xfId="0" applyFont="1" applyFill="1" applyBorder="1" applyAlignment="1">
      <alignment horizontal="left" vertical="center" wrapText="1" indent="4"/>
    </xf>
    <xf numFmtId="169" fontId="16" fillId="2" borderId="91" xfId="0" applyNumberFormat="1" applyFont="1" applyFill="1" applyBorder="1" applyAlignment="1">
      <alignment vertical="center" wrapText="1"/>
    </xf>
    <xf numFmtId="170" fontId="47" fillId="80" borderId="71" xfId="0" applyNumberFormat="1" applyFont="1" applyFill="1" applyBorder="1" applyAlignment="1">
      <alignment vertical="center" wrapText="1"/>
    </xf>
    <xf numFmtId="170" fontId="47" fillId="80" borderId="66" xfId="0" applyNumberFormat="1" applyFont="1" applyFill="1" applyBorder="1" applyAlignment="1">
      <alignment vertical="center" wrapText="1"/>
    </xf>
    <xf numFmtId="169" fontId="47" fillId="80" borderId="66" xfId="0" applyNumberFormat="1" applyFont="1" applyFill="1" applyBorder="1" applyAlignment="1">
      <alignment vertical="center" wrapText="1"/>
    </xf>
    <xf numFmtId="0" fontId="193" fillId="75" borderId="94" xfId="0" applyFont="1" applyFill="1" applyBorder="1" applyAlignment="1">
      <alignment horizontal="right" vertical="center"/>
    </xf>
    <xf numFmtId="170" fontId="16" fillId="2" borderId="95" xfId="0" applyNumberFormat="1" applyFont="1" applyFill="1" applyBorder="1" applyAlignment="1">
      <alignment vertical="center"/>
    </xf>
    <xf numFmtId="170" fontId="47" fillId="80" borderId="96" xfId="0" applyNumberFormat="1" applyFont="1" applyFill="1" applyBorder="1" applyAlignment="1">
      <alignment vertical="center" wrapText="1"/>
    </xf>
    <xf numFmtId="170" fontId="28" fillId="2" borderId="97" xfId="0" applyNumberFormat="1" applyFont="1" applyFill="1" applyBorder="1" applyAlignment="1">
      <alignment vertical="center"/>
    </xf>
    <xf numFmtId="170" fontId="178" fillId="80" borderId="92" xfId="0" applyNumberFormat="1" applyFont="1" applyFill="1" applyBorder="1" applyAlignment="1">
      <alignment vertical="center" wrapText="1"/>
    </xf>
    <xf numFmtId="184" fontId="28" fillId="2" borderId="97" xfId="0" applyNumberFormat="1" applyFont="1" applyFill="1" applyBorder="1" applyAlignment="1">
      <alignment vertical="center"/>
    </xf>
    <xf numFmtId="170" fontId="16" fillId="2" borderId="98" xfId="0" applyNumberFormat="1" applyFont="1" applyFill="1" applyBorder="1" applyAlignment="1">
      <alignment vertical="center"/>
    </xf>
    <xf numFmtId="170" fontId="47" fillId="80" borderId="99" xfId="0" applyNumberFormat="1" applyFont="1" applyFill="1" applyBorder="1" applyAlignment="1">
      <alignment vertical="center" wrapText="1"/>
    </xf>
    <xf numFmtId="170" fontId="51" fillId="2" borderId="97" xfId="0" applyNumberFormat="1" applyFont="1" applyFill="1" applyBorder="1" applyAlignment="1">
      <alignment vertical="center"/>
    </xf>
    <xf numFmtId="170" fontId="51" fillId="2" borderId="97" xfId="0" applyNumberFormat="1" applyFont="1" applyFill="1" applyBorder="1" applyAlignment="1">
      <alignment horizontal="right" vertical="center"/>
    </xf>
    <xf numFmtId="169" fontId="16" fillId="2" borderId="98" xfId="0" applyNumberFormat="1" applyFont="1" applyFill="1" applyBorder="1" applyAlignment="1">
      <alignment vertical="center"/>
    </xf>
    <xf numFmtId="169" fontId="47" fillId="80" borderId="99" xfId="0" applyNumberFormat="1" applyFont="1" applyFill="1" applyBorder="1" applyAlignment="1">
      <alignment vertical="center" wrapText="1"/>
    </xf>
    <xf numFmtId="173" fontId="178" fillId="80" borderId="92" xfId="0" applyNumberFormat="1" applyFont="1" applyFill="1" applyBorder="1" applyAlignment="1">
      <alignment vertical="center" wrapText="1"/>
    </xf>
    <xf numFmtId="0" fontId="16" fillId="2" borderId="93" xfId="0" applyFont="1" applyFill="1" applyBorder="1" applyAlignment="1">
      <alignment vertical="center" wrapText="1"/>
    </xf>
    <xf numFmtId="0" fontId="28" fillId="2" borderId="100" xfId="0" applyFont="1" applyFill="1" applyBorder="1" applyAlignment="1">
      <alignment horizontal="left" vertical="center" wrapText="1" indent="3"/>
    </xf>
    <xf numFmtId="0" fontId="16" fillId="2" borderId="101" xfId="0" applyFont="1" applyFill="1" applyBorder="1" applyAlignment="1">
      <alignment vertical="center" wrapText="1"/>
    </xf>
    <xf numFmtId="0" fontId="51" fillId="2" borderId="100" xfId="0" applyFont="1" applyFill="1" applyBorder="1" applyAlignment="1">
      <alignment horizontal="left" vertical="center" wrapText="1" indent="3"/>
    </xf>
    <xf numFmtId="169" fontId="16" fillId="2" borderId="101" xfId="0" applyNumberFormat="1" applyFont="1" applyFill="1" applyBorder="1" applyAlignment="1">
      <alignment vertical="center" wrapText="1"/>
    </xf>
    <xf numFmtId="0" fontId="193" fillId="75" borderId="87" xfId="0" applyFont="1" applyFill="1" applyBorder="1" applyAlignment="1">
      <alignment horizontal="right" vertical="center"/>
    </xf>
    <xf numFmtId="182" fontId="178" fillId="80" borderId="92" xfId="0" applyNumberFormat="1" applyFont="1" applyFill="1" applyBorder="1" applyAlignment="1">
      <alignment vertical="center" wrapText="1"/>
    </xf>
    <xf numFmtId="169" fontId="47" fillId="80" borderId="99" xfId="7" applyNumberFormat="1" applyFont="1" applyFill="1" applyBorder="1" applyAlignment="1">
      <alignment vertical="center" wrapText="1"/>
    </xf>
    <xf numFmtId="0" fontId="22" fillId="2" borderId="0" xfId="20233" applyFont="1" applyFill="1" applyAlignment="1">
      <alignment vertical="center"/>
    </xf>
    <xf numFmtId="0" fontId="29" fillId="2" borderId="0" xfId="20233" applyFont="1" applyFill="1" applyAlignment="1">
      <alignment vertical="center"/>
    </xf>
    <xf numFmtId="0" fontId="29" fillId="0" borderId="0" xfId="20233" applyFont="1" applyAlignment="1">
      <alignment vertical="center"/>
    </xf>
    <xf numFmtId="4" fontId="10" fillId="2" borderId="0" xfId="20233" applyNumberFormat="1" applyFont="1" applyFill="1" applyAlignment="1">
      <alignment vertical="center"/>
    </xf>
    <xf numFmtId="0" fontId="10" fillId="2" borderId="0" xfId="20233" applyFont="1" applyFill="1" applyAlignment="1">
      <alignment vertical="center"/>
    </xf>
    <xf numFmtId="0" fontId="195" fillId="75" borderId="102" xfId="20233" applyFont="1" applyFill="1" applyBorder="1" applyAlignment="1">
      <alignment vertical="center" wrapText="1"/>
    </xf>
    <xf numFmtId="0" fontId="211" fillId="0" borderId="0" xfId="20233" applyFont="1" applyAlignment="1">
      <alignment vertical="center"/>
    </xf>
    <xf numFmtId="0" fontId="195" fillId="75" borderId="0" xfId="20233" applyFont="1" applyFill="1" applyAlignment="1">
      <alignment horizontal="center" vertical="center"/>
    </xf>
    <xf numFmtId="0" fontId="195" fillId="75" borderId="103" xfId="20233" applyFont="1" applyFill="1" applyBorder="1" applyAlignment="1">
      <alignment horizontal="center" vertical="center"/>
    </xf>
    <xf numFmtId="0" fontId="195" fillId="75" borderId="104" xfId="20233" applyFont="1" applyFill="1" applyBorder="1" applyAlignment="1">
      <alignment horizontal="center" vertical="center"/>
    </xf>
    <xf numFmtId="0" fontId="195" fillId="85" borderId="102" xfId="20233" applyFont="1" applyFill="1" applyBorder="1" applyAlignment="1">
      <alignment vertical="center" wrapText="1"/>
    </xf>
    <xf numFmtId="169" fontId="222" fillId="85" borderId="0" xfId="29659" applyNumberFormat="1" applyFont="1" applyFill="1" applyBorder="1" applyAlignment="1">
      <alignment horizontal="right" vertical="center" wrapText="1"/>
    </xf>
    <xf numFmtId="169" fontId="222" fillId="85" borderId="103" xfId="29659" applyNumberFormat="1" applyFont="1" applyFill="1" applyBorder="1" applyAlignment="1">
      <alignment horizontal="right" vertical="center" wrapText="1"/>
    </xf>
    <xf numFmtId="169" fontId="222" fillId="85" borderId="106" xfId="29659" applyNumberFormat="1" applyFont="1" applyFill="1" applyBorder="1" applyAlignment="1">
      <alignment horizontal="right" vertical="center" wrapText="1"/>
    </xf>
    <xf numFmtId="0" fontId="223" fillId="2" borderId="0" xfId="20233" applyFont="1" applyFill="1" applyAlignment="1">
      <alignment vertical="center"/>
    </xf>
    <xf numFmtId="0" fontId="19" fillId="0" borderId="102" xfId="20233" applyFont="1" applyBorder="1" applyAlignment="1">
      <alignment horizontal="left" vertical="center" wrapText="1"/>
    </xf>
    <xf numFmtId="0" fontId="19" fillId="0" borderId="102" xfId="20233" applyFont="1" applyBorder="1" applyAlignment="1">
      <alignment horizontal="left" vertical="center"/>
    </xf>
    <xf numFmtId="3" fontId="38" fillId="0" borderId="0" xfId="20233" applyNumberFormat="1" applyFont="1" applyAlignment="1">
      <alignment horizontal="right" vertical="center" wrapText="1"/>
    </xf>
    <xf numFmtId="3" fontId="38" fillId="0" borderId="103" xfId="20233" applyNumberFormat="1" applyFont="1" applyBorder="1" applyAlignment="1">
      <alignment horizontal="right" vertical="center" wrapText="1"/>
    </xf>
    <xf numFmtId="3" fontId="38" fillId="0" borderId="106" xfId="20233" applyNumberFormat="1" applyFont="1" applyBorder="1" applyAlignment="1">
      <alignment horizontal="right" vertical="center" wrapText="1"/>
    </xf>
    <xf numFmtId="3" fontId="10" fillId="0" borderId="0" xfId="20233" applyNumberFormat="1" applyFont="1" applyAlignment="1">
      <alignment vertical="center"/>
    </xf>
    <xf numFmtId="0" fontId="10" fillId="0" borderId="0" xfId="20233" applyFont="1" applyAlignment="1">
      <alignment vertical="center"/>
    </xf>
    <xf numFmtId="0" fontId="39" fillId="0" borderId="102" xfId="20233" applyFont="1" applyBorder="1" applyAlignment="1">
      <alignment horizontal="left" vertical="center" wrapText="1" indent="1"/>
    </xf>
    <xf numFmtId="216" fontId="10" fillId="0" borderId="0" xfId="42855" applyNumberFormat="1" applyFont="1" applyFill="1" applyBorder="1" applyAlignment="1">
      <alignment vertical="center"/>
    </xf>
    <xf numFmtId="216" fontId="10" fillId="0" borderId="106" xfId="42855" applyNumberFormat="1" applyFont="1" applyFill="1" applyBorder="1" applyAlignment="1">
      <alignment vertical="center"/>
    </xf>
    <xf numFmtId="216" fontId="10" fillId="0" borderId="105" xfId="42855" applyNumberFormat="1" applyFont="1" applyFill="1" applyBorder="1" applyAlignment="1">
      <alignment vertical="center"/>
    </xf>
    <xf numFmtId="0" fontId="224" fillId="0" borderId="0" xfId="20233" applyFont="1" applyAlignment="1">
      <alignment vertical="center"/>
    </xf>
    <xf numFmtId="170" fontId="39" fillId="0" borderId="102" xfId="20233" applyNumberFormat="1" applyFont="1" applyBorder="1" applyAlignment="1">
      <alignment horizontal="left" vertical="center" wrapText="1"/>
    </xf>
    <xf numFmtId="170" fontId="39" fillId="0" borderId="102" xfId="20233" applyNumberFormat="1" applyFont="1" applyBorder="1" applyAlignment="1">
      <alignment horizontal="left" vertical="center"/>
    </xf>
    <xf numFmtId="170" fontId="21" fillId="0" borderId="0" xfId="20233" applyNumberFormat="1" applyFont="1" applyAlignment="1">
      <alignment horizontal="right" vertical="center" wrapText="1"/>
    </xf>
    <xf numFmtId="170" fontId="21" fillId="0" borderId="103" xfId="20233" applyNumberFormat="1" applyFont="1" applyBorder="1" applyAlignment="1">
      <alignment horizontal="right" vertical="center" wrapText="1"/>
    </xf>
    <xf numFmtId="170" fontId="21" fillId="0" borderId="106" xfId="20233" applyNumberFormat="1" applyFont="1" applyBorder="1" applyAlignment="1">
      <alignment horizontal="right" vertical="center" wrapText="1"/>
    </xf>
    <xf numFmtId="170" fontId="10" fillId="0" borderId="0" xfId="20233" applyNumberFormat="1" applyFont="1" applyAlignment="1">
      <alignment vertical="center"/>
    </xf>
    <xf numFmtId="0" fontId="39" fillId="0" borderId="102" xfId="20233" applyFont="1" applyBorder="1" applyAlignment="1">
      <alignment horizontal="left" vertical="center" wrapText="1"/>
    </xf>
    <xf numFmtId="169" fontId="21" fillId="0" borderId="0" xfId="20233" applyNumberFormat="1" applyFont="1" applyAlignment="1">
      <alignment horizontal="right" vertical="center" wrapText="1"/>
    </xf>
    <xf numFmtId="169" fontId="21" fillId="0" borderId="103" xfId="20233" applyNumberFormat="1" applyFont="1" applyBorder="1" applyAlignment="1">
      <alignment horizontal="right" vertical="center" wrapText="1"/>
    </xf>
    <xf numFmtId="169" fontId="21" fillId="0" borderId="106" xfId="20233" applyNumberFormat="1" applyFont="1" applyBorder="1" applyAlignment="1">
      <alignment horizontal="right" vertical="center" wrapText="1"/>
    </xf>
    <xf numFmtId="2" fontId="21" fillId="0" borderId="0" xfId="20233" applyNumberFormat="1" applyFont="1" applyAlignment="1">
      <alignment horizontal="right" vertical="center" wrapText="1"/>
    </xf>
    <xf numFmtId="2" fontId="21" fillId="0" borderId="103" xfId="20233" applyNumberFormat="1" applyFont="1" applyBorder="1" applyAlignment="1">
      <alignment horizontal="right" vertical="center" wrapText="1"/>
    </xf>
    <xf numFmtId="2" fontId="21" fillId="0" borderId="106" xfId="20233" applyNumberFormat="1" applyFont="1" applyBorder="1" applyAlignment="1">
      <alignment horizontal="right" vertical="center" wrapText="1"/>
    </xf>
    <xf numFmtId="3" fontId="19" fillId="0" borderId="102" xfId="20233" applyNumberFormat="1" applyFont="1" applyBorder="1" applyAlignment="1">
      <alignment horizontal="left" vertical="center" wrapText="1"/>
    </xf>
    <xf numFmtId="3" fontId="19" fillId="0" borderId="102" xfId="20233" applyNumberFormat="1" applyFont="1" applyBorder="1" applyAlignment="1">
      <alignment horizontal="left" vertical="center"/>
    </xf>
    <xf numFmtId="3" fontId="39" fillId="0" borderId="102" xfId="20233" applyNumberFormat="1" applyFont="1" applyBorder="1" applyAlignment="1">
      <alignment horizontal="left" vertical="center" wrapText="1" indent="1"/>
    </xf>
    <xf numFmtId="3" fontId="21" fillId="0" borderId="0" xfId="20233" applyNumberFormat="1" applyFont="1" applyAlignment="1">
      <alignment horizontal="right" vertical="center" wrapText="1"/>
    </xf>
    <xf numFmtId="3" fontId="21" fillId="0" borderId="103" xfId="20233" applyNumberFormat="1" applyFont="1" applyBorder="1" applyAlignment="1">
      <alignment horizontal="right" vertical="center" wrapText="1"/>
    </xf>
    <xf numFmtId="3" fontId="21" fillId="0" borderId="106" xfId="20233" applyNumberFormat="1" applyFont="1" applyBorder="1" applyAlignment="1">
      <alignment horizontal="right" vertical="center" wrapText="1"/>
    </xf>
    <xf numFmtId="170" fontId="21" fillId="0" borderId="107" xfId="20233" applyNumberFormat="1" applyFont="1" applyBorder="1" applyAlignment="1">
      <alignment horizontal="left" vertical="center" wrapText="1"/>
    </xf>
    <xf numFmtId="170" fontId="39" fillId="0" borderId="107" xfId="20233" applyNumberFormat="1" applyFont="1" applyBorder="1" applyAlignment="1">
      <alignment horizontal="left" vertical="center"/>
    </xf>
    <xf numFmtId="170" fontId="21" fillId="0" borderId="108" xfId="20233" applyNumberFormat="1" applyFont="1" applyBorder="1" applyAlignment="1">
      <alignment horizontal="right" vertical="center" wrapText="1"/>
    </xf>
    <xf numFmtId="170" fontId="21" fillId="0" borderId="109" xfId="20233" applyNumberFormat="1" applyFont="1" applyBorder="1" applyAlignment="1">
      <alignment horizontal="right" vertical="center" wrapText="1"/>
    </xf>
    <xf numFmtId="170" fontId="21" fillId="0" borderId="110" xfId="20233" applyNumberFormat="1" applyFont="1" applyBorder="1" applyAlignment="1">
      <alignment horizontal="right" vertical="center" wrapText="1"/>
    </xf>
    <xf numFmtId="170" fontId="39" fillId="0" borderId="111" xfId="20233" applyNumberFormat="1" applyFont="1" applyBorder="1" applyAlignment="1">
      <alignment horizontal="left" vertical="center" wrapText="1"/>
    </xf>
    <xf numFmtId="170" fontId="39" fillId="0" borderId="111" xfId="20233" applyNumberFormat="1" applyFont="1" applyBorder="1" applyAlignment="1">
      <alignment horizontal="left" vertical="center"/>
    </xf>
    <xf numFmtId="3" fontId="21" fillId="0" borderId="112" xfId="20233" applyNumberFormat="1" applyFont="1" applyBorder="1" applyAlignment="1">
      <alignment horizontal="right" vertical="center" wrapText="1"/>
    </xf>
    <xf numFmtId="3" fontId="21" fillId="0" borderId="113" xfId="20233" applyNumberFormat="1" applyFont="1" applyBorder="1" applyAlignment="1">
      <alignment horizontal="right" vertical="center" wrapText="1"/>
    </xf>
    <xf numFmtId="3" fontId="21" fillId="0" borderId="114" xfId="20233" applyNumberFormat="1" applyFont="1" applyBorder="1" applyAlignment="1">
      <alignment horizontal="right" vertical="center" wrapText="1"/>
    </xf>
    <xf numFmtId="0" fontId="49" fillId="0" borderId="0" xfId="20233" applyFont="1" applyAlignment="1">
      <alignment horizontal="left" vertical="top" wrapText="1"/>
    </xf>
    <xf numFmtId="0" fontId="10" fillId="0" borderId="0" xfId="20233" applyFont="1" applyAlignment="1">
      <alignment horizontal="left" vertical="top" wrapText="1"/>
    </xf>
    <xf numFmtId="170" fontId="10" fillId="0" borderId="0" xfId="20233" applyNumberFormat="1" applyFont="1" applyAlignment="1">
      <alignment vertical="top"/>
    </xf>
    <xf numFmtId="0" fontId="10" fillId="0" borderId="0" xfId="20233" applyFont="1" applyAlignment="1">
      <alignment vertical="top"/>
    </xf>
    <xf numFmtId="3" fontId="10" fillId="0" borderId="0" xfId="26619" applyNumberFormat="1" applyFont="1" applyFill="1" applyBorder="1" applyAlignment="1">
      <alignment vertical="center"/>
    </xf>
    <xf numFmtId="0" fontId="49" fillId="0" borderId="0" xfId="20233" applyFont="1" applyAlignment="1">
      <alignment vertical="top" wrapText="1"/>
    </xf>
    <xf numFmtId="0" fontId="183" fillId="2" borderId="51" xfId="0" applyFont="1" applyFill="1" applyBorder="1" applyAlignment="1">
      <alignment vertical="center" wrapText="1"/>
    </xf>
    <xf numFmtId="3" fontId="50" fillId="0" borderId="52" xfId="0" applyNumberFormat="1" applyFont="1" applyBorder="1" applyAlignment="1">
      <alignment horizontal="right" vertical="center" wrapText="1"/>
    </xf>
    <xf numFmtId="217" fontId="32" fillId="2" borderId="9" xfId="0" applyNumberFormat="1" applyFont="1" applyFill="1" applyBorder="1" applyAlignment="1">
      <alignment horizontal="right" vertical="center"/>
    </xf>
    <xf numFmtId="181" fontId="34" fillId="2" borderId="9" xfId="0" applyNumberFormat="1" applyFont="1" applyFill="1" applyBorder="1" applyAlignment="1">
      <alignment vertical="center"/>
    </xf>
    <xf numFmtId="181" fontId="34" fillId="0" borderId="9" xfId="0" applyNumberFormat="1" applyFont="1" applyBorder="1" applyAlignment="1">
      <alignment vertical="center"/>
    </xf>
    <xf numFmtId="0" fontId="193" fillId="75" borderId="97" xfId="0" applyFont="1" applyFill="1" applyBorder="1" applyAlignment="1">
      <alignment horizontal="center" vertical="center" wrapText="1"/>
    </xf>
    <xf numFmtId="0" fontId="193" fillId="75" borderId="92" xfId="0" applyFont="1" applyFill="1" applyBorder="1" applyAlignment="1">
      <alignment horizontal="center" vertical="center" wrapText="1"/>
    </xf>
    <xf numFmtId="0" fontId="193" fillId="75" borderId="115" xfId="0" applyFont="1" applyFill="1" applyBorder="1" applyAlignment="1">
      <alignment horizontal="center" vertical="center" wrapText="1"/>
    </xf>
    <xf numFmtId="0" fontId="193" fillId="75" borderId="116" xfId="0" applyFont="1" applyFill="1" applyBorder="1" applyAlignment="1">
      <alignment horizontal="center" vertical="center" wrapText="1"/>
    </xf>
    <xf numFmtId="182" fontId="24" fillId="0" borderId="97" xfId="0" applyNumberFormat="1" applyFont="1" applyBorder="1" applyAlignment="1">
      <alignment vertical="center"/>
    </xf>
    <xf numFmtId="182" fontId="24" fillId="0" borderId="92" xfId="0" applyNumberFormat="1" applyFont="1" applyBorder="1" applyAlignment="1">
      <alignment vertical="center"/>
    </xf>
    <xf numFmtId="182" fontId="24" fillId="0" borderId="98" xfId="0" applyNumberFormat="1" applyFont="1" applyBorder="1" applyAlignment="1">
      <alignment vertical="center"/>
    </xf>
    <xf numFmtId="182" fontId="24" fillId="0" borderId="99" xfId="0" applyNumberFormat="1" applyFont="1" applyBorder="1" applyAlignment="1">
      <alignment vertical="center"/>
    </xf>
    <xf numFmtId="182" fontId="13" fillId="0" borderId="97" xfId="0" applyNumberFormat="1" applyFont="1" applyBorder="1" applyAlignment="1">
      <alignment vertical="center"/>
    </xf>
    <xf numFmtId="182" fontId="13" fillId="0" borderId="92" xfId="0" applyNumberFormat="1" applyFont="1" applyBorder="1" applyAlignment="1">
      <alignment vertical="center"/>
    </xf>
    <xf numFmtId="182" fontId="26" fillId="0" borderId="97" xfId="0" applyNumberFormat="1" applyFont="1" applyBorder="1" applyAlignment="1">
      <alignment horizontal="right" vertical="center"/>
    </xf>
    <xf numFmtId="182" fontId="26" fillId="0" borderId="92" xfId="0" applyNumberFormat="1" applyFont="1" applyBorder="1" applyAlignment="1">
      <alignment horizontal="right" vertical="center"/>
    </xf>
    <xf numFmtId="182" fontId="13" fillId="0" borderId="92" xfId="0" applyNumberFormat="1" applyFont="1" applyBorder="1" applyAlignment="1">
      <alignment horizontal="right" vertical="center"/>
    </xf>
    <xf numFmtId="177" fontId="192" fillId="83" borderId="97" xfId="0" applyNumberFormat="1" applyFont="1" applyFill="1" applyBorder="1" applyAlignment="1">
      <alignment vertical="center"/>
    </xf>
    <xf numFmtId="177" fontId="192" fillId="83" borderId="92" xfId="0" applyNumberFormat="1" applyFont="1" applyFill="1" applyBorder="1" applyAlignment="1">
      <alignment vertical="center"/>
    </xf>
    <xf numFmtId="182" fontId="32" fillId="0" borderId="97" xfId="0" applyNumberFormat="1" applyFont="1" applyBorder="1" applyAlignment="1">
      <alignment vertical="center"/>
    </xf>
    <xf numFmtId="182" fontId="32" fillId="0" borderId="92" xfId="0" applyNumberFormat="1" applyFont="1" applyBorder="1" applyAlignment="1">
      <alignment vertical="center"/>
    </xf>
    <xf numFmtId="0" fontId="175" fillId="0" borderId="0" xfId="0" applyFont="1"/>
    <xf numFmtId="167" fontId="175" fillId="0" borderId="0" xfId="0" applyNumberFormat="1" applyFont="1"/>
    <xf numFmtId="182" fontId="24" fillId="0" borderId="117" xfId="0" applyNumberFormat="1" applyFont="1" applyBorder="1" applyAlignment="1">
      <alignment vertical="center"/>
    </xf>
    <xf numFmtId="182" fontId="24" fillId="0" borderId="118" xfId="0" applyNumberFormat="1" applyFont="1" applyBorder="1" applyAlignment="1">
      <alignment vertical="center"/>
    </xf>
    <xf numFmtId="0" fontId="195" fillId="75" borderId="100" xfId="0" applyFont="1" applyFill="1" applyBorder="1" applyAlignment="1">
      <alignment vertical="center" wrapText="1"/>
    </xf>
    <xf numFmtId="0" fontId="195" fillId="75" borderId="119" xfId="0" applyFont="1" applyFill="1" applyBorder="1" applyAlignment="1">
      <alignment vertical="center" wrapText="1"/>
    </xf>
    <xf numFmtId="0" fontId="23" fillId="0" borderId="100" xfId="0" applyFont="1" applyBorder="1" applyAlignment="1">
      <alignment vertical="center" wrapText="1"/>
    </xf>
    <xf numFmtId="0" fontId="23" fillId="0" borderId="101" xfId="0" applyFont="1" applyBorder="1" applyAlignment="1">
      <alignment vertical="center" wrapText="1"/>
    </xf>
    <xf numFmtId="0" fontId="13" fillId="0" borderId="100" xfId="0" applyFont="1" applyBorder="1" applyAlignment="1">
      <alignment vertical="center" wrapText="1"/>
    </xf>
    <xf numFmtId="0" fontId="32" fillId="0" borderId="100" xfId="0" applyFont="1" applyBorder="1" applyAlignment="1">
      <alignment vertical="center" wrapText="1"/>
    </xf>
    <xf numFmtId="0" fontId="192" fillId="83" borderId="100" xfId="0" applyFont="1" applyFill="1" applyBorder="1" applyAlignment="1">
      <alignment vertical="center" wrapText="1"/>
    </xf>
    <xf numFmtId="0" fontId="24" fillId="0" borderId="120" xfId="0" applyFont="1" applyBorder="1" applyAlignment="1">
      <alignment vertical="center" wrapText="1"/>
    </xf>
    <xf numFmtId="183" fontId="13" fillId="0" borderId="97" xfId="0" applyNumberFormat="1" applyFont="1" applyBorder="1" applyAlignment="1">
      <alignment vertical="center"/>
    </xf>
    <xf numFmtId="183" fontId="13" fillId="0" borderId="92" xfId="0" applyNumberFormat="1" applyFont="1" applyBorder="1" applyAlignment="1">
      <alignment vertical="center"/>
    </xf>
    <xf numFmtId="183" fontId="32" fillId="0" borderId="97" xfId="0" applyNumberFormat="1" applyFont="1" applyBorder="1" applyAlignment="1">
      <alignment vertical="center"/>
    </xf>
    <xf numFmtId="183" fontId="32" fillId="0" borderId="92" xfId="0" applyNumberFormat="1" applyFont="1" applyBorder="1" applyAlignment="1">
      <alignment vertical="center"/>
    </xf>
    <xf numFmtId="169" fontId="222" fillId="85" borderId="104" xfId="29659" applyNumberFormat="1" applyFont="1" applyFill="1" applyBorder="1" applyAlignment="1">
      <alignment horizontal="right" vertical="center" wrapText="1"/>
    </xf>
    <xf numFmtId="3" fontId="38" fillId="0" borderId="104" xfId="20233" applyNumberFormat="1" applyFont="1" applyBorder="1" applyAlignment="1">
      <alignment horizontal="right" vertical="center" wrapText="1"/>
    </xf>
    <xf numFmtId="216" fontId="10" fillId="0" borderId="104" xfId="42855" applyNumberFormat="1" applyFont="1" applyFill="1" applyBorder="1" applyAlignment="1">
      <alignment vertical="center"/>
    </xf>
    <xf numFmtId="170" fontId="21" fillId="0" borderId="104" xfId="20233" applyNumberFormat="1" applyFont="1" applyBorder="1" applyAlignment="1">
      <alignment horizontal="right" vertical="center" wrapText="1"/>
    </xf>
    <xf numFmtId="169" fontId="21" fillId="0" borderId="104" xfId="20233" applyNumberFormat="1" applyFont="1" applyBorder="1" applyAlignment="1">
      <alignment horizontal="right" vertical="center" wrapText="1"/>
    </xf>
    <xf numFmtId="2" fontId="21" fillId="0" borderId="104" xfId="20233" applyNumberFormat="1" applyFont="1" applyBorder="1" applyAlignment="1">
      <alignment horizontal="right" vertical="center" wrapText="1"/>
    </xf>
    <xf numFmtId="3" fontId="21" fillId="0" borderId="104" xfId="20233" applyNumberFormat="1" applyFont="1" applyBorder="1" applyAlignment="1">
      <alignment horizontal="right" vertical="center" wrapText="1"/>
    </xf>
    <xf numFmtId="170" fontId="21" fillId="0" borderId="122" xfId="20233" applyNumberFormat="1" applyFont="1" applyBorder="1" applyAlignment="1">
      <alignment horizontal="right" vertical="center" wrapText="1"/>
    </xf>
    <xf numFmtId="3" fontId="21" fillId="0" borderId="121" xfId="20233" applyNumberFormat="1" applyFont="1" applyBorder="1" applyAlignment="1">
      <alignment horizontal="right" vertical="center" wrapText="1"/>
    </xf>
    <xf numFmtId="0" fontId="47" fillId="2" borderId="0" xfId="0" applyFont="1" applyFill="1"/>
    <xf numFmtId="169" fontId="24" fillId="2" borderId="0" xfId="7" applyNumberFormat="1" applyFont="1" applyFill="1" applyAlignment="1">
      <alignment vertical="center"/>
    </xf>
    <xf numFmtId="0" fontId="24" fillId="2" borderId="0" xfId="0" applyFont="1" applyFill="1" applyAlignment="1">
      <alignment horizontal="left" vertical="center" wrapText="1"/>
    </xf>
    <xf numFmtId="0" fontId="24" fillId="2" borderId="0" xfId="0" applyFont="1" applyFill="1" applyAlignment="1">
      <alignment vertical="center"/>
    </xf>
    <xf numFmtId="0" fontId="24" fillId="0" borderId="0" xfId="0" applyFont="1" applyAlignment="1">
      <alignment vertical="center"/>
    </xf>
    <xf numFmtId="0" fontId="173" fillId="2" borderId="0" xfId="0" applyFont="1" applyFill="1"/>
    <xf numFmtId="169" fontId="35" fillId="2" borderId="0" xfId="7" applyNumberFormat="1" applyFont="1" applyFill="1" applyAlignment="1">
      <alignment vertical="center"/>
    </xf>
    <xf numFmtId="0" fontId="35" fillId="2" borderId="0" xfId="0" applyFont="1" applyFill="1" applyAlignment="1">
      <alignment horizontal="left" vertical="center" wrapText="1"/>
    </xf>
    <xf numFmtId="0" fontId="35" fillId="2" borderId="0" xfId="0" applyFont="1" applyFill="1" applyAlignment="1">
      <alignment vertical="center"/>
    </xf>
    <xf numFmtId="0" fontId="35" fillId="0" borderId="0" xfId="0" applyFont="1" applyAlignment="1">
      <alignment vertical="center"/>
    </xf>
    <xf numFmtId="0" fontId="13" fillId="0" borderId="3" xfId="0" applyFont="1" applyBorder="1" applyAlignment="1">
      <alignment horizontal="left" vertical="center"/>
    </xf>
    <xf numFmtId="0" fontId="30" fillId="0" borderId="53" xfId="0" applyFont="1" applyBorder="1" applyAlignment="1">
      <alignment horizontal="left" vertical="center" wrapText="1"/>
    </xf>
    <xf numFmtId="170" fontId="50" fillId="2" borderId="53" xfId="0" applyNumberFormat="1" applyFont="1" applyFill="1" applyBorder="1" applyAlignment="1">
      <alignment horizontal="right" vertical="center" wrapText="1"/>
    </xf>
    <xf numFmtId="3" fontId="50" fillId="2" borderId="53" xfId="0" applyNumberFormat="1" applyFont="1" applyFill="1" applyBorder="1" applyAlignment="1">
      <alignment horizontal="right" vertical="center" wrapText="1"/>
    </xf>
    <xf numFmtId="3" fontId="50" fillId="0" borderId="53" xfId="0" applyNumberFormat="1" applyFont="1" applyBorder="1" applyAlignment="1">
      <alignment horizontal="right" vertical="center" wrapText="1"/>
    </xf>
    <xf numFmtId="3" fontId="21" fillId="0" borderId="53" xfId="0" applyNumberFormat="1" applyFont="1" applyBorder="1" applyAlignment="1">
      <alignment horizontal="right" vertical="center" wrapText="1"/>
    </xf>
    <xf numFmtId="3" fontId="31" fillId="0" borderId="53" xfId="0" applyNumberFormat="1" applyFont="1" applyBorder="1" applyAlignment="1">
      <alignment horizontal="right" vertical="center" wrapText="1"/>
    </xf>
    <xf numFmtId="170" fontId="50" fillId="2" borderId="123" xfId="0" applyNumberFormat="1" applyFont="1" applyFill="1" applyBorder="1" applyAlignment="1">
      <alignment horizontal="right" vertical="center" wrapText="1"/>
    </xf>
    <xf numFmtId="3" fontId="50" fillId="2" borderId="123" xfId="0" applyNumberFormat="1" applyFont="1" applyFill="1" applyBorder="1" applyAlignment="1">
      <alignment horizontal="right" vertical="center" wrapText="1"/>
    </xf>
    <xf numFmtId="170" fontId="52" fillId="84" borderId="124" xfId="0" applyNumberFormat="1" applyFont="1" applyFill="1" applyBorder="1" applyAlignment="1">
      <alignment vertical="center" wrapText="1"/>
    </xf>
    <xf numFmtId="3" fontId="52" fillId="84" borderId="124" xfId="0" applyNumberFormat="1" applyFont="1" applyFill="1" applyBorder="1" applyAlignment="1">
      <alignment vertical="center" wrapText="1"/>
    </xf>
    <xf numFmtId="0" fontId="228" fillId="0" borderId="0" xfId="0" applyFont="1"/>
    <xf numFmtId="170" fontId="10" fillId="0" borderId="0" xfId="26619" applyNumberFormat="1" applyFont="1" applyFill="1" applyBorder="1" applyAlignment="1">
      <alignment vertical="center"/>
    </xf>
    <xf numFmtId="169" fontId="10" fillId="0" borderId="0" xfId="7" applyNumberFormat="1" applyFont="1" applyFill="1" applyBorder="1" applyAlignment="1">
      <alignment vertical="center"/>
    </xf>
    <xf numFmtId="180" fontId="49" fillId="0" borderId="0" xfId="0" applyNumberFormat="1" applyFont="1" applyAlignment="1">
      <alignment horizontal="right" vertical="center"/>
    </xf>
    <xf numFmtId="171" fontId="13" fillId="2" borderId="0" xfId="0" applyNumberFormat="1" applyFont="1" applyFill="1" applyAlignment="1">
      <alignment horizontal="right" vertical="center"/>
    </xf>
    <xf numFmtId="171" fontId="44" fillId="2" borderId="0" xfId="0" applyNumberFormat="1" applyFont="1" applyFill="1" applyAlignment="1">
      <alignment horizontal="right" vertical="center"/>
    </xf>
    <xf numFmtId="215" fontId="211" fillId="78" borderId="0" xfId="0" applyNumberFormat="1" applyFont="1" applyFill="1"/>
    <xf numFmtId="171" fontId="193" fillId="83" borderId="125" xfId="0" applyNumberFormat="1" applyFont="1" applyFill="1" applyBorder="1" applyAlignment="1">
      <alignment vertical="center"/>
    </xf>
    <xf numFmtId="171" fontId="195" fillId="83" borderId="125" xfId="0" applyNumberFormat="1" applyFont="1" applyFill="1" applyBorder="1" applyAlignment="1">
      <alignment vertical="center"/>
    </xf>
    <xf numFmtId="182" fontId="193" fillId="83" borderId="125" xfId="0" applyNumberFormat="1" applyFont="1" applyFill="1" applyBorder="1" applyAlignment="1">
      <alignment vertical="center"/>
    </xf>
    <xf numFmtId="215" fontId="193" fillId="83" borderId="125" xfId="0" applyNumberFormat="1" applyFont="1" applyFill="1" applyBorder="1" applyAlignment="1">
      <alignment vertical="center"/>
    </xf>
    <xf numFmtId="215" fontId="195" fillId="83" borderId="125" xfId="0" applyNumberFormat="1" applyFont="1" applyFill="1" applyBorder="1" applyAlignment="1">
      <alignment vertical="center"/>
    </xf>
    <xf numFmtId="170" fontId="13" fillId="0" borderId="0" xfId="0" applyNumberFormat="1" applyFont="1"/>
    <xf numFmtId="182" fontId="24" fillId="0" borderId="126" xfId="0" applyNumberFormat="1" applyFont="1" applyBorder="1" applyAlignment="1">
      <alignment vertical="center"/>
    </xf>
    <xf numFmtId="182" fontId="48" fillId="0" borderId="66" xfId="0" applyNumberFormat="1" applyFont="1" applyBorder="1" applyAlignment="1">
      <alignment vertical="center"/>
    </xf>
    <xf numFmtId="181" fontId="32" fillId="2" borderId="0" xfId="0" applyNumberFormat="1" applyFont="1" applyFill="1" applyAlignment="1">
      <alignment vertical="center"/>
    </xf>
    <xf numFmtId="181" fontId="229" fillId="0" borderId="0" xfId="0" applyNumberFormat="1" applyFont="1" applyAlignment="1">
      <alignment vertical="center"/>
    </xf>
    <xf numFmtId="177" fontId="173" fillId="0" borderId="66" xfId="0" applyNumberFormat="1" applyFont="1" applyBorder="1" applyAlignment="1">
      <alignment vertical="center"/>
    </xf>
    <xf numFmtId="181" fontId="229" fillId="2" borderId="0" xfId="0" applyNumberFormat="1" applyFont="1" applyFill="1" applyAlignment="1">
      <alignment vertical="center"/>
    </xf>
    <xf numFmtId="181" fontId="32" fillId="0" borderId="0" xfId="0" applyNumberFormat="1" applyFont="1" applyAlignment="1">
      <alignment vertical="center"/>
    </xf>
    <xf numFmtId="181" fontId="229" fillId="0" borderId="0" xfId="0" applyNumberFormat="1" applyFont="1" applyAlignment="1">
      <alignment horizontal="right" vertical="center"/>
    </xf>
    <xf numFmtId="181" fontId="36" fillId="0" borderId="0" xfId="0" applyNumberFormat="1" applyFont="1" applyAlignment="1">
      <alignment horizontal="right" vertical="center"/>
    </xf>
    <xf numFmtId="184" fontId="51" fillId="2" borderId="0" xfId="0" applyNumberFormat="1" applyFont="1" applyFill="1" applyAlignment="1">
      <alignment vertical="center"/>
    </xf>
    <xf numFmtId="170" fontId="181" fillId="2" borderId="66" xfId="0" applyNumberFormat="1" applyFont="1" applyFill="1" applyBorder="1" applyAlignment="1">
      <alignment vertical="center"/>
    </xf>
    <xf numFmtId="171" fontId="32" fillId="0" borderId="0" xfId="0" applyNumberFormat="1" applyFont="1" applyAlignment="1">
      <alignment horizontal="right" vertical="center"/>
    </xf>
    <xf numFmtId="186" fontId="205" fillId="2" borderId="0" xfId="0" applyNumberFormat="1" applyFont="1" applyFill="1" applyAlignment="1">
      <alignment horizontal="right" vertical="center"/>
    </xf>
    <xf numFmtId="182" fontId="35" fillId="0" borderId="0" xfId="0" applyNumberFormat="1" applyFont="1" applyAlignment="1">
      <alignment vertical="center"/>
    </xf>
    <xf numFmtId="182" fontId="35" fillId="0" borderId="66" xfId="0" applyNumberFormat="1" applyFont="1" applyBorder="1" applyAlignment="1">
      <alignment vertical="center"/>
    </xf>
    <xf numFmtId="0" fontId="230" fillId="0" borderId="0" xfId="0" applyFont="1" applyAlignment="1">
      <alignment horizontal="right" vertical="center"/>
    </xf>
    <xf numFmtId="170" fontId="230" fillId="0" borderId="0" xfId="0" applyNumberFormat="1" applyFont="1" applyAlignment="1">
      <alignment horizontal="right" vertical="center"/>
    </xf>
    <xf numFmtId="0" fontId="232" fillId="0" borderId="0" xfId="0" applyFont="1" applyAlignment="1">
      <alignment horizontal="right" vertical="center"/>
    </xf>
    <xf numFmtId="170" fontId="232" fillId="0" borderId="0" xfId="0" applyNumberFormat="1" applyFont="1"/>
    <xf numFmtId="170" fontId="221" fillId="0" borderId="127" xfId="0" applyNumberFormat="1" applyFont="1" applyBorder="1" applyAlignment="1">
      <alignment horizontal="right" vertical="center"/>
    </xf>
    <xf numFmtId="186" fontId="205" fillId="0" borderId="0" xfId="0" applyNumberFormat="1" applyFont="1" applyAlignment="1">
      <alignment horizontal="right" vertical="center"/>
    </xf>
    <xf numFmtId="0" fontId="231" fillId="0" borderId="0" xfId="0" applyFont="1" applyAlignment="1">
      <alignment horizontal="right" vertical="center"/>
    </xf>
    <xf numFmtId="0" fontId="234" fillId="0" borderId="0" xfId="0" applyFont="1" applyAlignment="1">
      <alignment vertical="top"/>
    </xf>
    <xf numFmtId="167" fontId="175" fillId="0" borderId="0" xfId="0" applyNumberFormat="1" applyFont="1" applyAlignment="1">
      <alignment vertical="center"/>
    </xf>
    <xf numFmtId="0" fontId="233" fillId="0" borderId="0" xfId="20233" applyFont="1" applyAlignment="1">
      <alignment vertical="center"/>
    </xf>
    <xf numFmtId="182" fontId="229" fillId="0" borderId="9" xfId="0" applyNumberFormat="1" applyFont="1" applyBorder="1" applyAlignment="1">
      <alignment vertical="center"/>
    </xf>
    <xf numFmtId="177" fontId="173" fillId="0" borderId="67" xfId="0" applyNumberFormat="1" applyFont="1" applyBorder="1" applyAlignment="1">
      <alignment vertical="center"/>
    </xf>
    <xf numFmtId="182" fontId="32" fillId="0" borderId="9" xfId="0" applyNumberFormat="1" applyFont="1" applyBorder="1" applyAlignment="1">
      <alignment vertical="center"/>
    </xf>
    <xf numFmtId="181" fontId="32" fillId="0" borderId="9" xfId="0" applyNumberFormat="1" applyFont="1" applyBorder="1" applyAlignment="1">
      <alignment vertical="center"/>
    </xf>
    <xf numFmtId="173" fontId="32" fillId="2" borderId="9" xfId="0" applyNumberFormat="1" applyFont="1" applyFill="1" applyBorder="1" applyAlignment="1">
      <alignment horizontal="right" vertical="center"/>
    </xf>
    <xf numFmtId="181" fontId="229" fillId="2" borderId="9" xfId="0" applyNumberFormat="1" applyFont="1" applyFill="1" applyBorder="1" applyAlignment="1">
      <alignment vertical="center"/>
    </xf>
    <xf numFmtId="182" fontId="35" fillId="0" borderId="99" xfId="0" applyNumberFormat="1" applyFont="1" applyBorder="1" applyAlignment="1">
      <alignment vertical="center"/>
    </xf>
    <xf numFmtId="217" fontId="32" fillId="0" borderId="9" xfId="0" applyNumberFormat="1" applyFont="1" applyBorder="1" applyAlignment="1">
      <alignment horizontal="right" vertical="center"/>
    </xf>
    <xf numFmtId="172" fontId="13" fillId="0" borderId="0" xfId="0" applyNumberFormat="1" applyFont="1" applyAlignment="1">
      <alignment vertical="center"/>
    </xf>
    <xf numFmtId="173" fontId="32" fillId="0" borderId="9" xfId="0" applyNumberFormat="1" applyFont="1" applyBorder="1" applyAlignment="1">
      <alignment horizontal="right" vertical="center"/>
    </xf>
    <xf numFmtId="0" fontId="235" fillId="0" borderId="3" xfId="0" applyFont="1" applyBorder="1" applyAlignment="1">
      <alignment horizontal="left" vertical="center" wrapText="1" indent="2"/>
    </xf>
    <xf numFmtId="173" fontId="34" fillId="0" borderId="9" xfId="0" applyNumberFormat="1" applyFont="1" applyBorder="1" applyAlignment="1">
      <alignment horizontal="right" vertical="center"/>
    </xf>
    <xf numFmtId="181" fontId="229" fillId="0" borderId="9" xfId="0" applyNumberFormat="1" applyFont="1" applyBorder="1" applyAlignment="1">
      <alignment vertical="center"/>
    </xf>
    <xf numFmtId="170" fontId="230" fillId="0" borderId="0" xfId="1" applyNumberFormat="1" applyFont="1" applyFill="1" applyAlignment="1">
      <alignment horizontal="right" vertical="center"/>
    </xf>
    <xf numFmtId="181" fontId="32" fillId="0" borderId="0" xfId="1" applyNumberFormat="1" applyFont="1" applyFill="1" applyBorder="1" applyAlignment="1">
      <alignment horizontal="right" vertical="center"/>
    </xf>
    <xf numFmtId="181" fontId="32" fillId="0" borderId="0" xfId="8" applyNumberFormat="1" applyFont="1" applyFill="1" applyBorder="1" applyAlignment="1">
      <alignment horizontal="right" vertical="center"/>
    </xf>
    <xf numFmtId="218" fontId="13" fillId="0" borderId="0" xfId="1" applyNumberFormat="1" applyFont="1" applyFill="1" applyAlignment="1">
      <alignment vertical="center"/>
    </xf>
    <xf numFmtId="218" fontId="32" fillId="0" borderId="0" xfId="1" applyNumberFormat="1" applyFont="1" applyFill="1" applyAlignment="1">
      <alignment vertical="center"/>
    </xf>
    <xf numFmtId="170" fontId="173" fillId="84" borderId="9" xfId="0" applyNumberFormat="1" applyFont="1" applyFill="1" applyBorder="1" applyAlignment="1">
      <alignment vertical="center" wrapText="1"/>
    </xf>
    <xf numFmtId="185" fontId="44" fillId="2" borderId="0" xfId="0" applyNumberFormat="1" applyFont="1" applyFill="1" applyAlignment="1">
      <alignment vertical="center"/>
    </xf>
    <xf numFmtId="171" fontId="193" fillId="83" borderId="129" xfId="0" applyNumberFormat="1" applyFont="1" applyFill="1" applyBorder="1" applyAlignment="1">
      <alignment vertical="center"/>
    </xf>
    <xf numFmtId="171" fontId="44" fillId="2" borderId="130" xfId="0" applyNumberFormat="1" applyFont="1" applyFill="1" applyBorder="1" applyAlignment="1">
      <alignment horizontal="right" vertical="center"/>
    </xf>
    <xf numFmtId="215" fontId="193" fillId="83" borderId="129" xfId="0" applyNumberFormat="1" applyFont="1" applyFill="1" applyBorder="1" applyAlignment="1">
      <alignment vertical="center"/>
    </xf>
    <xf numFmtId="177" fontId="13" fillId="2" borderId="130" xfId="0" applyNumberFormat="1" applyFont="1" applyFill="1" applyBorder="1" applyAlignment="1">
      <alignment horizontal="right" vertical="center"/>
    </xf>
    <xf numFmtId="214" fontId="193" fillId="83" borderId="130" xfId="0" applyNumberFormat="1" applyFont="1" applyFill="1" applyBorder="1" applyAlignment="1">
      <alignment vertical="center"/>
    </xf>
    <xf numFmtId="182" fontId="44" fillId="2" borderId="130" xfId="0" applyNumberFormat="1" applyFont="1" applyFill="1" applyBorder="1" applyAlignment="1">
      <alignment horizontal="right" vertical="center"/>
    </xf>
    <xf numFmtId="177" fontId="44" fillId="2" borderId="130" xfId="0" applyNumberFormat="1" applyFont="1" applyFill="1" applyBorder="1" applyAlignment="1">
      <alignment horizontal="right" vertical="center"/>
    </xf>
    <xf numFmtId="219" fontId="32" fillId="78" borderId="0" xfId="0" applyNumberFormat="1" applyFont="1" applyFill="1"/>
    <xf numFmtId="170" fontId="13" fillId="2" borderId="0" xfId="0" applyNumberFormat="1" applyFont="1" applyFill="1"/>
    <xf numFmtId="169" fontId="13" fillId="2" borderId="0" xfId="7" applyNumberFormat="1" applyFont="1" applyFill="1"/>
    <xf numFmtId="167" fontId="13" fillId="2" borderId="0" xfId="0" applyNumberFormat="1" applyFont="1" applyFill="1"/>
    <xf numFmtId="0" fontId="5" fillId="0" borderId="0" xfId="0" applyFont="1"/>
    <xf numFmtId="4" fontId="236" fillId="0" borderId="0" xfId="20233" applyNumberFormat="1" applyFont="1" applyAlignment="1">
      <alignment vertical="center"/>
    </xf>
    <xf numFmtId="186" fontId="27" fillId="2" borderId="130" xfId="0" applyNumberFormat="1" applyFont="1" applyFill="1" applyBorder="1" applyAlignment="1">
      <alignment horizontal="right" vertical="center"/>
    </xf>
    <xf numFmtId="0" fontId="221" fillId="0" borderId="127" xfId="0" applyFont="1" applyBorder="1" applyAlignment="1">
      <alignment horizontal="right" vertical="center"/>
    </xf>
    <xf numFmtId="184" fontId="51" fillId="0" borderId="0" xfId="0" applyNumberFormat="1" applyFont="1" applyAlignment="1">
      <alignment vertical="center"/>
    </xf>
    <xf numFmtId="170" fontId="173" fillId="80" borderId="99" xfId="0" applyNumberFormat="1" applyFont="1" applyFill="1" applyBorder="1" applyAlignment="1">
      <alignment vertical="center" wrapText="1"/>
    </xf>
    <xf numFmtId="171" fontId="44" fillId="2" borderId="131" xfId="0" applyNumberFormat="1" applyFont="1" applyFill="1" applyBorder="1" applyAlignment="1">
      <alignment horizontal="right" vertical="center"/>
    </xf>
    <xf numFmtId="171" fontId="44" fillId="2" borderId="132" xfId="0" applyNumberFormat="1" applyFont="1" applyFill="1" applyBorder="1" applyAlignment="1">
      <alignment horizontal="right" vertical="center"/>
    </xf>
    <xf numFmtId="0" fontId="195" fillId="75" borderId="0" xfId="0" applyFont="1" applyFill="1" applyAlignment="1">
      <alignment horizontal="right" vertical="center" wrapText="1"/>
    </xf>
    <xf numFmtId="167" fontId="230" fillId="0" borderId="0" xfId="0" applyNumberFormat="1" applyFont="1" applyAlignment="1">
      <alignment horizontal="right" vertical="center"/>
    </xf>
    <xf numFmtId="170" fontId="231" fillId="0" borderId="0" xfId="0" applyNumberFormat="1" applyFont="1" applyAlignment="1">
      <alignment horizontal="right" vertical="center"/>
    </xf>
    <xf numFmtId="0" fontId="230" fillId="0" borderId="71" xfId="0" applyFont="1" applyBorder="1" applyAlignment="1">
      <alignment horizontal="right" vertical="center"/>
    </xf>
    <xf numFmtId="181" fontId="13" fillId="0" borderId="3" xfId="0" applyNumberFormat="1" applyFont="1" applyBorder="1" applyAlignment="1">
      <alignment vertical="center"/>
    </xf>
    <xf numFmtId="181" fontId="34" fillId="0" borderId="3" xfId="0" applyNumberFormat="1" applyFont="1" applyBorder="1" applyAlignment="1">
      <alignment vertical="center"/>
    </xf>
    <xf numFmtId="170" fontId="188" fillId="0" borderId="0" xfId="0" applyNumberFormat="1" applyFont="1"/>
    <xf numFmtId="181" fontId="13" fillId="2" borderId="130" xfId="0" applyNumberFormat="1" applyFont="1" applyFill="1" applyBorder="1" applyAlignment="1">
      <alignment horizontal="right" vertical="center"/>
    </xf>
    <xf numFmtId="170" fontId="222" fillId="85" borderId="0" xfId="29659" applyNumberFormat="1" applyFont="1" applyFill="1" applyBorder="1" applyAlignment="1">
      <alignment horizontal="right" vertical="center" wrapText="1"/>
    </xf>
    <xf numFmtId="4" fontId="21" fillId="0" borderId="0" xfId="20233" applyNumberFormat="1" applyFont="1" applyAlignment="1">
      <alignment horizontal="right" vertical="center" wrapText="1"/>
    </xf>
    <xf numFmtId="169" fontId="21" fillId="0" borderId="0" xfId="7" applyNumberFormat="1" applyFont="1" applyAlignment="1">
      <alignment horizontal="right" vertical="center" wrapText="1"/>
    </xf>
    <xf numFmtId="3" fontId="222" fillId="85" borderId="0" xfId="29659" applyNumberFormat="1" applyFont="1" applyFill="1" applyBorder="1" applyAlignment="1">
      <alignment horizontal="right" vertical="center" wrapText="1"/>
    </xf>
    <xf numFmtId="3" fontId="10" fillId="0" borderId="0" xfId="42855" applyNumberFormat="1" applyFont="1" applyFill="1" applyBorder="1" applyAlignment="1">
      <alignment vertical="center"/>
    </xf>
    <xf numFmtId="2" fontId="64" fillId="0" borderId="0" xfId="0" applyNumberFormat="1" applyFont="1"/>
    <xf numFmtId="177" fontId="34" fillId="0" borderId="0" xfId="0" applyNumberFormat="1" applyFont="1" applyAlignment="1">
      <alignment horizontal="right" vertical="center"/>
    </xf>
    <xf numFmtId="176" fontId="237" fillId="0" borderId="0" xfId="0" applyNumberFormat="1" applyFont="1" applyAlignment="1">
      <alignment horizontal="right" vertical="center"/>
    </xf>
    <xf numFmtId="177" fontId="34" fillId="2" borderId="0" xfId="0" applyNumberFormat="1" applyFont="1" applyFill="1" applyAlignment="1">
      <alignment horizontal="right" vertical="center"/>
    </xf>
    <xf numFmtId="177" fontId="238" fillId="2" borderId="0" xfId="0" applyNumberFormat="1" applyFont="1" applyFill="1" applyAlignment="1">
      <alignment horizontal="right" vertical="center"/>
    </xf>
    <xf numFmtId="177" fontId="34" fillId="2" borderId="130" xfId="0" applyNumberFormat="1" applyFont="1" applyFill="1" applyBorder="1" applyAlignment="1">
      <alignment horizontal="right" vertical="center"/>
    </xf>
    <xf numFmtId="0" fontId="34" fillId="0" borderId="0" xfId="0" applyFont="1"/>
    <xf numFmtId="177" fontId="229" fillId="0" borderId="0" xfId="0" applyNumberFormat="1" applyFont="1" applyAlignment="1">
      <alignment horizontal="right" vertical="center"/>
    </xf>
    <xf numFmtId="177" fontId="229" fillId="2" borderId="0" xfId="0" applyNumberFormat="1" applyFont="1" applyFill="1" applyAlignment="1">
      <alignment horizontal="right" vertical="center"/>
    </xf>
    <xf numFmtId="177" fontId="235" fillId="2" borderId="0" xfId="0" applyNumberFormat="1" applyFont="1" applyFill="1" applyAlignment="1">
      <alignment horizontal="right" vertical="center"/>
    </xf>
    <xf numFmtId="221" fontId="211" fillId="78" borderId="0" xfId="0" applyNumberFormat="1" applyFont="1" applyFill="1"/>
    <xf numFmtId="167" fontId="231" fillId="0" borderId="0" xfId="0" applyNumberFormat="1" applyFont="1" applyAlignment="1">
      <alignment horizontal="right" vertical="center"/>
    </xf>
    <xf numFmtId="170" fontId="16" fillId="2" borderId="66" xfId="0" applyNumberFormat="1" applyFont="1" applyFill="1" applyBorder="1" applyAlignment="1">
      <alignment horizontal="right" vertical="center"/>
    </xf>
    <xf numFmtId="0" fontId="80" fillId="0" borderId="0" xfId="0" applyFont="1"/>
    <xf numFmtId="170" fontId="50" fillId="2" borderId="0" xfId="0" applyNumberFormat="1" applyFont="1" applyFill="1" applyAlignment="1">
      <alignment vertical="center"/>
    </xf>
    <xf numFmtId="170" fontId="46" fillId="80" borderId="92" xfId="0" applyNumberFormat="1" applyFont="1" applyFill="1" applyBorder="1" applyAlignment="1">
      <alignment vertical="center" wrapText="1"/>
    </xf>
    <xf numFmtId="0" fontId="4" fillId="0" borderId="0" xfId="0" applyFont="1" applyAlignment="1">
      <alignment vertical="center"/>
    </xf>
    <xf numFmtId="0" fontId="33" fillId="0" borderId="16" xfId="0" applyFont="1" applyBorder="1" applyAlignment="1">
      <alignment horizontal="left" vertical="center" indent="3"/>
    </xf>
    <xf numFmtId="216" fontId="224" fillId="0" borderId="106" xfId="42855" applyNumberFormat="1" applyFont="1" applyFill="1" applyBorder="1" applyAlignment="1">
      <alignment vertical="center"/>
    </xf>
    <xf numFmtId="216" fontId="224" fillId="0" borderId="0" xfId="42855" applyNumberFormat="1" applyFont="1" applyFill="1" applyBorder="1" applyAlignment="1">
      <alignment vertical="center"/>
    </xf>
    <xf numFmtId="3" fontId="224" fillId="0" borderId="0" xfId="42855" applyNumberFormat="1" applyFont="1" applyFill="1" applyBorder="1" applyAlignment="1">
      <alignment vertical="center"/>
    </xf>
    <xf numFmtId="9" fontId="44" fillId="2" borderId="0" xfId="7" applyFont="1" applyFill="1" applyAlignment="1">
      <alignment vertical="center"/>
    </xf>
    <xf numFmtId="169" fontId="13" fillId="0" borderId="0" xfId="7" applyNumberFormat="1" applyFont="1" applyAlignment="1">
      <alignment horizontal="right" vertical="center"/>
    </xf>
    <xf numFmtId="0" fontId="10" fillId="0" borderId="0" xfId="7" applyNumberFormat="1" applyFont="1" applyAlignment="1">
      <alignment vertical="center"/>
    </xf>
    <xf numFmtId="170" fontId="221" fillId="0" borderId="0" xfId="0" applyNumberFormat="1" applyFont="1" applyAlignment="1">
      <alignment horizontal="right" vertical="center" wrapText="1"/>
    </xf>
    <xf numFmtId="181" fontId="13" fillId="0" borderId="9" xfId="0" applyNumberFormat="1" applyFont="1" applyBorder="1" applyAlignment="1">
      <alignment horizontal="right" vertical="center"/>
    </xf>
    <xf numFmtId="170" fontId="21" fillId="2" borderId="104" xfId="20233" applyNumberFormat="1" applyFont="1" applyFill="1" applyBorder="1" applyAlignment="1">
      <alignment horizontal="right" vertical="center" wrapText="1"/>
    </xf>
    <xf numFmtId="9" fontId="241" fillId="0" borderId="0" xfId="7" applyFont="1" applyAlignment="1">
      <alignment vertical="center"/>
    </xf>
    <xf numFmtId="173" fontId="229" fillId="0" borderId="9" xfId="0" applyNumberFormat="1" applyFont="1" applyBorder="1" applyAlignment="1">
      <alignment vertical="center"/>
    </xf>
    <xf numFmtId="169" fontId="32" fillId="78" borderId="0" xfId="7" applyNumberFormat="1" applyFont="1" applyFill="1" applyAlignment="1">
      <alignment vertical="center"/>
    </xf>
    <xf numFmtId="2" fontId="232" fillId="0" borderId="0" xfId="0" applyNumberFormat="1" applyFont="1" applyAlignment="1">
      <alignment horizontal="right" vertical="center" wrapText="1"/>
    </xf>
    <xf numFmtId="0" fontId="232" fillId="0" borderId="0" xfId="0" applyFont="1" applyAlignment="1">
      <alignment horizontal="right" vertical="center" wrapText="1"/>
    </xf>
    <xf numFmtId="0" fontId="242" fillId="0" borderId="0" xfId="0" applyFont="1" applyAlignment="1">
      <alignment vertical="center"/>
    </xf>
    <xf numFmtId="169" fontId="80" fillId="0" borderId="0" xfId="7" applyNumberFormat="1" applyFont="1" applyFill="1" applyBorder="1" applyAlignment="1">
      <alignment vertical="center"/>
    </xf>
    <xf numFmtId="169" fontId="10" fillId="0" borderId="0" xfId="7" applyNumberFormat="1" applyFont="1" applyAlignment="1">
      <alignment vertical="center"/>
    </xf>
    <xf numFmtId="170" fontId="28" fillId="0" borderId="0" xfId="0" applyNumberFormat="1" applyFont="1" applyAlignment="1">
      <alignment vertical="center"/>
    </xf>
    <xf numFmtId="169" fontId="188" fillId="0" borderId="0" xfId="7" applyNumberFormat="1" applyFont="1"/>
    <xf numFmtId="165" fontId="229" fillId="0" borderId="9" xfId="0" applyNumberFormat="1" applyFont="1" applyBorder="1" applyAlignment="1">
      <alignment horizontal="right" vertical="center"/>
    </xf>
    <xf numFmtId="165" fontId="229" fillId="2" borderId="9" xfId="0" applyNumberFormat="1" applyFont="1" applyFill="1" applyBorder="1" applyAlignment="1">
      <alignment horizontal="right" vertical="center"/>
    </xf>
    <xf numFmtId="217" fontId="229" fillId="2" borderId="9" xfId="0" applyNumberFormat="1" applyFont="1" applyFill="1" applyBorder="1" applyAlignment="1">
      <alignment horizontal="right" vertical="center"/>
    </xf>
    <xf numFmtId="181" fontId="26" fillId="0" borderId="3" xfId="0" applyNumberFormat="1" applyFont="1" applyBorder="1" applyAlignment="1">
      <alignment horizontal="right" vertical="center"/>
    </xf>
    <xf numFmtId="0" fontId="3" fillId="2" borderId="0" xfId="0" applyFont="1" applyFill="1" applyAlignment="1">
      <alignment wrapText="1"/>
    </xf>
    <xf numFmtId="0" fontId="3" fillId="2" borderId="0" xfId="0" applyFont="1" applyFill="1"/>
    <xf numFmtId="0" fontId="3" fillId="2" borderId="0" xfId="0" applyFont="1" applyFill="1" applyAlignment="1">
      <alignment vertical="center" wrapText="1"/>
    </xf>
    <xf numFmtId="169" fontId="3" fillId="0" borderId="0" xfId="0" applyNumberFormat="1" applyFont="1"/>
    <xf numFmtId="0" fontId="3" fillId="0" borderId="0" xfId="0" applyFont="1"/>
    <xf numFmtId="170" fontId="3" fillId="0" borderId="0" xfId="0" applyNumberFormat="1" applyFont="1" applyAlignment="1">
      <alignment vertical="center"/>
    </xf>
    <xf numFmtId="169" fontId="3" fillId="0" borderId="0" xfId="0" applyNumberFormat="1" applyFont="1" applyAlignment="1">
      <alignment vertical="center"/>
    </xf>
    <xf numFmtId="0" fontId="3" fillId="0" borderId="0" xfId="0" applyFont="1" applyAlignment="1">
      <alignment vertical="center"/>
    </xf>
    <xf numFmtId="0" fontId="3" fillId="2" borderId="0" xfId="0" applyFont="1" applyFill="1" applyAlignment="1">
      <alignment vertical="center"/>
    </xf>
    <xf numFmtId="170" fontId="3" fillId="0" borderId="0" xfId="0" applyNumberFormat="1" applyFont="1"/>
    <xf numFmtId="0" fontId="3" fillId="0" borderId="0" xfId="0" quotePrefix="1" applyFont="1"/>
    <xf numFmtId="0" fontId="3" fillId="0" borderId="16" xfId="0" applyFont="1" applyBorder="1" applyAlignment="1">
      <alignment vertical="center"/>
    </xf>
    <xf numFmtId="170" fontId="3" fillId="2" borderId="0" xfId="0" applyNumberFormat="1" applyFont="1" applyFill="1" applyAlignment="1">
      <alignment vertical="center"/>
    </xf>
    <xf numFmtId="0" fontId="3" fillId="0" borderId="17" xfId="0" applyFont="1" applyBorder="1" applyAlignment="1">
      <alignment vertical="center"/>
    </xf>
    <xf numFmtId="0" fontId="3" fillId="0" borderId="53" xfId="0" applyFont="1" applyBorder="1" applyAlignment="1">
      <alignment vertical="center"/>
    </xf>
    <xf numFmtId="170" fontId="3" fillId="2" borderId="53" xfId="0" applyNumberFormat="1" applyFont="1" applyFill="1" applyBorder="1" applyAlignment="1">
      <alignment vertical="center"/>
    </xf>
    <xf numFmtId="3" fontId="3" fillId="2" borderId="0" xfId="0" applyNumberFormat="1" applyFont="1" applyFill="1" applyAlignment="1">
      <alignment vertical="center"/>
    </xf>
    <xf numFmtId="3" fontId="3" fillId="2" borderId="53" xfId="0" applyNumberFormat="1" applyFont="1" applyFill="1" applyBorder="1" applyAlignment="1">
      <alignment vertical="center"/>
    </xf>
    <xf numFmtId="0" fontId="3" fillId="2" borderId="90" xfId="0" applyFont="1" applyFill="1" applyBorder="1" applyAlignment="1">
      <alignment horizontal="left" vertical="center" wrapText="1" indent="4"/>
    </xf>
    <xf numFmtId="0" fontId="3" fillId="2" borderId="100" xfId="0" applyFont="1" applyFill="1" applyBorder="1" applyAlignment="1">
      <alignment horizontal="left" vertical="center" wrapText="1" indent="3"/>
    </xf>
    <xf numFmtId="169" fontId="24" fillId="2" borderId="0" xfId="7" applyNumberFormat="1" applyFont="1" applyFill="1"/>
    <xf numFmtId="170" fontId="178" fillId="86" borderId="92" xfId="0" applyNumberFormat="1" applyFont="1" applyFill="1" applyBorder="1" applyAlignment="1">
      <alignment horizontal="left" vertical="center" wrapText="1" indent="4"/>
    </xf>
    <xf numFmtId="170" fontId="178" fillId="86" borderId="100" xfId="0" applyNumberFormat="1" applyFont="1" applyFill="1" applyBorder="1" applyAlignment="1">
      <alignment horizontal="left" vertical="center" wrapText="1" indent="4"/>
    </xf>
    <xf numFmtId="0" fontId="28" fillId="87" borderId="0" xfId="0" applyFont="1" applyFill="1" applyAlignment="1">
      <alignment horizontal="left" vertical="center" wrapText="1" indent="2"/>
    </xf>
    <xf numFmtId="170" fontId="48" fillId="86" borderId="97" xfId="0" applyNumberFormat="1" applyFont="1" applyFill="1" applyBorder="1" applyAlignment="1">
      <alignment vertical="center" wrapText="1"/>
    </xf>
    <xf numFmtId="170" fontId="48" fillId="86" borderId="0" xfId="0" applyNumberFormat="1" applyFont="1" applyFill="1" applyAlignment="1">
      <alignment vertical="center" wrapText="1"/>
    </xf>
    <xf numFmtId="170" fontId="48" fillId="86" borderId="92" xfId="0" applyNumberFormat="1" applyFont="1" applyFill="1" applyBorder="1" applyAlignment="1">
      <alignment vertical="center" wrapText="1"/>
    </xf>
    <xf numFmtId="170" fontId="178" fillId="86" borderId="97" xfId="0" applyNumberFormat="1" applyFont="1" applyFill="1" applyBorder="1" applyAlignment="1">
      <alignment vertical="center" wrapText="1"/>
    </xf>
    <xf numFmtId="170" fontId="178" fillId="86" borderId="0" xfId="0" applyNumberFormat="1" applyFont="1" applyFill="1" applyAlignment="1">
      <alignment vertical="center" wrapText="1"/>
    </xf>
    <xf numFmtId="170" fontId="178" fillId="86" borderId="92" xfId="0" applyNumberFormat="1" applyFont="1" applyFill="1" applyBorder="1" applyAlignment="1">
      <alignment vertical="center" wrapText="1"/>
    </xf>
    <xf numFmtId="182" fontId="178" fillId="86" borderId="92" xfId="0" applyNumberFormat="1" applyFont="1" applyFill="1" applyBorder="1" applyAlignment="1">
      <alignment vertical="center" wrapText="1"/>
    </xf>
    <xf numFmtId="170" fontId="32" fillId="86" borderId="0" xfId="0" applyNumberFormat="1" applyFont="1" applyFill="1" applyAlignment="1">
      <alignment vertical="center" wrapText="1"/>
    </xf>
    <xf numFmtId="0" fontId="25" fillId="87" borderId="0" xfId="0" applyFont="1" applyFill="1" applyAlignment="1">
      <alignment vertical="center"/>
    </xf>
    <xf numFmtId="0" fontId="25" fillId="88" borderId="0" xfId="0" applyFont="1" applyFill="1" applyAlignment="1">
      <alignment vertical="center"/>
    </xf>
    <xf numFmtId="182" fontId="178" fillId="86" borderId="0" xfId="0" applyNumberFormat="1" applyFont="1" applyFill="1" applyAlignment="1">
      <alignment vertical="center" wrapText="1"/>
    </xf>
    <xf numFmtId="182" fontId="32" fillId="86" borderId="0" xfId="0" applyNumberFormat="1" applyFont="1" applyFill="1" applyAlignment="1">
      <alignment vertical="center" wrapText="1"/>
    </xf>
    <xf numFmtId="0" fontId="28" fillId="88" borderId="0" xfId="0" applyFont="1" applyFill="1" applyAlignment="1">
      <alignment vertical="center" wrapText="1"/>
    </xf>
    <xf numFmtId="173" fontId="178" fillId="86" borderId="92" xfId="0" applyNumberFormat="1" applyFont="1" applyFill="1" applyBorder="1" applyAlignment="1">
      <alignment vertical="center" wrapText="1"/>
    </xf>
    <xf numFmtId="181" fontId="178" fillId="86" borderId="0" xfId="0" applyNumberFormat="1" applyFont="1" applyFill="1" applyAlignment="1">
      <alignment vertical="center" wrapText="1"/>
    </xf>
    <xf numFmtId="182" fontId="35" fillId="86" borderId="0" xfId="0" applyNumberFormat="1" applyFont="1" applyFill="1" applyAlignment="1">
      <alignment vertical="center" wrapText="1"/>
    </xf>
    <xf numFmtId="170" fontId="47" fillId="89" borderId="96" xfId="0" applyNumberFormat="1" applyFont="1" applyFill="1" applyBorder="1" applyAlignment="1">
      <alignment vertical="center" wrapText="1"/>
    </xf>
    <xf numFmtId="170" fontId="178" fillId="89" borderId="92" xfId="0" applyNumberFormat="1" applyFont="1" applyFill="1" applyBorder="1" applyAlignment="1">
      <alignment vertical="center" wrapText="1"/>
    </xf>
    <xf numFmtId="173" fontId="178" fillId="89" borderId="92" xfId="0" applyNumberFormat="1" applyFont="1" applyFill="1" applyBorder="1" applyAlignment="1">
      <alignment vertical="center" wrapText="1"/>
    </xf>
    <xf numFmtId="170" fontId="47" fillId="89" borderId="99" xfId="0" applyNumberFormat="1" applyFont="1" applyFill="1" applyBorder="1" applyAlignment="1">
      <alignment vertical="center" wrapText="1"/>
    </xf>
    <xf numFmtId="182" fontId="178" fillId="89" borderId="92" xfId="0" applyNumberFormat="1" applyFont="1" applyFill="1" applyBorder="1" applyAlignment="1">
      <alignment vertical="center" wrapText="1"/>
    </xf>
    <xf numFmtId="169" fontId="47" fillId="89" borderId="99" xfId="7" applyNumberFormat="1" applyFont="1" applyFill="1" applyBorder="1" applyAlignment="1">
      <alignment vertical="center" wrapText="1"/>
    </xf>
    <xf numFmtId="0" fontId="193" fillId="90" borderId="70" xfId="0" applyFont="1" applyFill="1" applyBorder="1" applyAlignment="1">
      <alignment horizontal="right" vertical="center"/>
    </xf>
    <xf numFmtId="0" fontId="193" fillId="90" borderId="128" xfId="0" applyFont="1" applyFill="1" applyBorder="1" applyAlignment="1">
      <alignment horizontal="right" vertical="center"/>
    </xf>
    <xf numFmtId="181" fontId="193" fillId="83" borderId="0" xfId="0" applyNumberFormat="1" applyFont="1" applyFill="1" applyAlignment="1">
      <alignment vertical="center"/>
    </xf>
    <xf numFmtId="171" fontId="193" fillId="83" borderId="0" xfId="0" applyNumberFormat="1" applyFont="1" applyFill="1" applyAlignment="1">
      <alignment vertical="center"/>
    </xf>
    <xf numFmtId="170" fontId="193" fillId="91" borderId="134" xfId="0" applyNumberFormat="1" applyFont="1" applyFill="1" applyBorder="1" applyAlignment="1">
      <alignment vertical="center" wrapText="1"/>
    </xf>
    <xf numFmtId="215" fontId="193" fillId="91" borderId="134" xfId="0" applyNumberFormat="1" applyFont="1" applyFill="1" applyBorder="1" applyAlignment="1">
      <alignment vertical="center" wrapText="1"/>
    </xf>
    <xf numFmtId="181" fontId="193" fillId="91" borderId="135" xfId="0" applyNumberFormat="1" applyFont="1" applyFill="1" applyBorder="1" applyAlignment="1">
      <alignment vertical="center" wrapText="1"/>
    </xf>
    <xf numFmtId="170" fontId="48" fillId="92" borderId="135" xfId="0" applyNumberFormat="1" applyFont="1" applyFill="1" applyBorder="1" applyAlignment="1">
      <alignment vertical="center" wrapText="1"/>
    </xf>
    <xf numFmtId="182" fontId="48" fillId="92" borderId="135" xfId="0" applyNumberFormat="1" applyFont="1" applyFill="1" applyBorder="1" applyAlignment="1">
      <alignment vertical="center" wrapText="1"/>
    </xf>
    <xf numFmtId="182" fontId="239" fillId="92" borderId="135" xfId="0" applyNumberFormat="1" applyFont="1" applyFill="1" applyBorder="1" applyAlignment="1">
      <alignment vertical="center" wrapText="1"/>
    </xf>
    <xf numFmtId="186" fontId="48" fillId="92" borderId="135" xfId="0" applyNumberFormat="1" applyFont="1" applyFill="1" applyBorder="1" applyAlignment="1">
      <alignment vertical="center" wrapText="1"/>
    </xf>
    <xf numFmtId="0" fontId="193" fillId="90" borderId="137" xfId="0" applyFont="1" applyFill="1" applyBorder="1" applyAlignment="1">
      <alignment horizontal="right" vertical="center"/>
    </xf>
    <xf numFmtId="0" fontId="193" fillId="75" borderId="136" xfId="0" applyFont="1" applyFill="1" applyBorder="1" applyAlignment="1">
      <alignment horizontal="right" vertical="center"/>
    </xf>
    <xf numFmtId="0" fontId="195" fillId="75" borderId="136" xfId="0" applyFont="1" applyFill="1" applyBorder="1" applyAlignment="1">
      <alignment horizontal="right" vertical="center"/>
    </xf>
    <xf numFmtId="0" fontId="193" fillId="90" borderId="139" xfId="0" applyFont="1" applyFill="1" applyBorder="1" applyAlignment="1">
      <alignment horizontal="right" vertical="center"/>
    </xf>
    <xf numFmtId="0" fontId="192" fillId="75" borderId="140" xfId="0" applyFont="1" applyFill="1" applyBorder="1" applyAlignment="1">
      <alignment horizontal="left" vertical="center" wrapText="1"/>
    </xf>
    <xf numFmtId="0" fontId="0" fillId="0" borderId="135" xfId="0" applyBorder="1"/>
    <xf numFmtId="0" fontId="13" fillId="0" borderId="135" xfId="0" applyFont="1" applyBorder="1"/>
    <xf numFmtId="171" fontId="211" fillId="0" borderId="135" xfId="0" applyNumberFormat="1" applyFont="1" applyBorder="1"/>
    <xf numFmtId="171" fontId="13" fillId="0" borderId="135" xfId="0" applyNumberFormat="1" applyFont="1" applyBorder="1"/>
    <xf numFmtId="185" fontId="13" fillId="0" borderId="135" xfId="0" applyNumberFormat="1" applyFont="1" applyBorder="1"/>
    <xf numFmtId="215" fontId="211" fillId="0" borderId="135" xfId="0" applyNumberFormat="1" applyFont="1" applyBorder="1"/>
    <xf numFmtId="185" fontId="34" fillId="0" borderId="135" xfId="0" applyNumberFormat="1" applyFont="1" applyBorder="1"/>
    <xf numFmtId="177" fontId="13" fillId="0" borderId="135" xfId="0" applyNumberFormat="1" applyFont="1" applyBorder="1"/>
    <xf numFmtId="182" fontId="13" fillId="0" borderId="135" xfId="0" applyNumberFormat="1" applyFont="1" applyBorder="1"/>
    <xf numFmtId="185" fontId="24" fillId="0" borderId="135" xfId="0" applyNumberFormat="1" applyFont="1" applyBorder="1"/>
    <xf numFmtId="169" fontId="211" fillId="0" borderId="135" xfId="0" applyNumberFormat="1" applyFont="1" applyBorder="1"/>
    <xf numFmtId="169" fontId="24" fillId="0" borderId="135" xfId="0" applyNumberFormat="1" applyFont="1" applyBorder="1"/>
    <xf numFmtId="0" fontId="192" fillId="75" borderId="87" xfId="0" applyFont="1" applyFill="1" applyBorder="1" applyAlignment="1">
      <alignment horizontal="center" vertical="center" wrapText="1"/>
    </xf>
    <xf numFmtId="0" fontId="192" fillId="75" borderId="0" xfId="0" applyFont="1" applyFill="1" applyAlignment="1">
      <alignment horizontal="left" vertical="center" wrapText="1"/>
    </xf>
    <xf numFmtId="0" fontId="193" fillId="83" borderId="0" xfId="0" applyFont="1" applyFill="1" applyAlignment="1">
      <alignment vertical="center" wrapText="1"/>
    </xf>
    <xf numFmtId="185" fontId="28" fillId="2" borderId="0" xfId="0" applyNumberFormat="1" applyFont="1" applyFill="1" applyAlignment="1">
      <alignment vertical="center" wrapText="1"/>
    </xf>
    <xf numFmtId="215" fontId="193" fillId="83" borderId="0" xfId="0" applyNumberFormat="1" applyFont="1" applyFill="1" applyAlignment="1">
      <alignment vertical="center" wrapText="1"/>
    </xf>
    <xf numFmtId="185" fontId="28" fillId="2" borderId="0" xfId="0" applyNumberFormat="1" applyFont="1" applyFill="1" applyAlignment="1">
      <alignment wrapText="1"/>
    </xf>
    <xf numFmtId="0" fontId="34" fillId="0" borderId="0" xfId="0" applyFont="1" applyAlignment="1">
      <alignment horizontal="left" vertical="center" wrapText="1" indent="1"/>
    </xf>
    <xf numFmtId="185" fontId="51" fillId="2" borderId="0" xfId="0" applyNumberFormat="1" applyFont="1" applyFill="1" applyAlignment="1">
      <alignment vertical="center" wrapText="1"/>
    </xf>
    <xf numFmtId="185" fontId="175" fillId="2" borderId="0" xfId="0" applyNumberFormat="1" applyFont="1" applyFill="1" applyAlignment="1">
      <alignment vertical="center" wrapText="1"/>
    </xf>
    <xf numFmtId="185" fontId="28" fillId="0" borderId="0" xfId="0" applyNumberFormat="1" applyFont="1" applyAlignment="1">
      <alignment vertical="center" wrapText="1"/>
    </xf>
    <xf numFmtId="185" fontId="25" fillId="2" borderId="0" xfId="0" applyNumberFormat="1" applyFont="1" applyFill="1" applyAlignment="1">
      <alignment vertical="center"/>
    </xf>
    <xf numFmtId="0" fontId="178" fillId="0" borderId="0" xfId="0" applyFont="1" applyAlignment="1">
      <alignment vertical="center" wrapText="1"/>
    </xf>
    <xf numFmtId="0" fontId="13" fillId="0" borderId="0" xfId="0" applyFont="1" applyAlignment="1">
      <alignment horizontal="left" vertical="center" wrapText="1"/>
    </xf>
    <xf numFmtId="0" fontId="48" fillId="0" borderId="0" xfId="0" applyFont="1" applyAlignment="1">
      <alignment vertical="center"/>
    </xf>
    <xf numFmtId="182" fontId="193" fillId="83" borderId="0" xfId="0" applyNumberFormat="1" applyFont="1" applyFill="1" applyAlignment="1">
      <alignment vertical="center"/>
    </xf>
    <xf numFmtId="0" fontId="193" fillId="83" borderId="125" xfId="0" applyFont="1" applyFill="1" applyBorder="1" applyAlignment="1">
      <alignment vertical="center" wrapText="1"/>
    </xf>
    <xf numFmtId="0" fontId="193" fillId="83" borderId="132" xfId="0" applyFont="1" applyFill="1" applyBorder="1" applyAlignment="1">
      <alignment vertical="center" wrapText="1"/>
    </xf>
    <xf numFmtId="181" fontId="193" fillId="83" borderId="132" xfId="0" applyNumberFormat="1" applyFont="1" applyFill="1" applyBorder="1" applyAlignment="1">
      <alignment vertical="center"/>
    </xf>
    <xf numFmtId="182" fontId="193" fillId="83" borderId="132" xfId="0" applyNumberFormat="1" applyFont="1" applyFill="1" applyBorder="1" applyAlignment="1">
      <alignment vertical="center"/>
    </xf>
    <xf numFmtId="181" fontId="193" fillId="91" borderId="142" xfId="0" applyNumberFormat="1" applyFont="1" applyFill="1" applyBorder="1" applyAlignment="1">
      <alignment vertical="center" wrapText="1"/>
    </xf>
    <xf numFmtId="171" fontId="193" fillId="83" borderId="132" xfId="0" applyNumberFormat="1" applyFont="1" applyFill="1" applyBorder="1" applyAlignment="1">
      <alignment vertical="center"/>
    </xf>
    <xf numFmtId="214" fontId="193" fillId="83" borderId="132" xfId="0" applyNumberFormat="1" applyFont="1" applyFill="1" applyBorder="1" applyAlignment="1">
      <alignment vertical="center"/>
    </xf>
    <xf numFmtId="214" fontId="193" fillId="83" borderId="0" xfId="0" applyNumberFormat="1" applyFont="1" applyFill="1" applyAlignment="1">
      <alignment vertical="center"/>
    </xf>
    <xf numFmtId="0" fontId="193" fillId="83" borderId="73" xfId="0" applyFont="1" applyFill="1" applyBorder="1" applyAlignment="1">
      <alignment vertical="center" wrapText="1"/>
    </xf>
    <xf numFmtId="171" fontId="193" fillId="83" borderId="73" xfId="0" applyNumberFormat="1" applyFont="1" applyFill="1" applyBorder="1" applyAlignment="1">
      <alignment vertical="center"/>
    </xf>
    <xf numFmtId="181" fontId="193" fillId="91" borderId="143" xfId="0" applyNumberFormat="1" applyFont="1" applyFill="1" applyBorder="1" applyAlignment="1">
      <alignment vertical="center" wrapText="1"/>
    </xf>
    <xf numFmtId="171" fontId="195" fillId="83" borderId="73" xfId="0" applyNumberFormat="1" applyFont="1" applyFill="1" applyBorder="1" applyAlignment="1">
      <alignment vertical="center"/>
    </xf>
    <xf numFmtId="182" fontId="193" fillId="83" borderId="73" xfId="0" applyNumberFormat="1" applyFont="1" applyFill="1" applyBorder="1" applyAlignment="1">
      <alignment vertical="center"/>
    </xf>
    <xf numFmtId="181" fontId="193" fillId="83" borderId="131" xfId="0" applyNumberFormat="1" applyFont="1" applyFill="1" applyBorder="1" applyAlignment="1">
      <alignment vertical="center"/>
    </xf>
    <xf numFmtId="214" fontId="193" fillId="83" borderId="133" xfId="0" applyNumberFormat="1" applyFont="1" applyFill="1" applyBorder="1" applyAlignment="1">
      <alignment vertical="center"/>
    </xf>
    <xf numFmtId="220" fontId="193" fillId="83" borderId="133" xfId="0" applyNumberFormat="1" applyFont="1" applyFill="1" applyBorder="1" applyAlignment="1">
      <alignment vertical="center"/>
    </xf>
    <xf numFmtId="171" fontId="193" fillId="83" borderId="138" xfId="0" applyNumberFormat="1" applyFont="1" applyFill="1" applyBorder="1" applyAlignment="1">
      <alignment vertical="center"/>
    </xf>
    <xf numFmtId="171" fontId="193" fillId="83" borderId="144" xfId="0" applyNumberFormat="1" applyFont="1" applyFill="1" applyBorder="1" applyAlignment="1">
      <alignment vertical="center"/>
    </xf>
    <xf numFmtId="170" fontId="193" fillId="91" borderId="142" xfId="0" applyNumberFormat="1" applyFont="1" applyFill="1" applyBorder="1" applyAlignment="1">
      <alignment vertical="center" wrapText="1"/>
    </xf>
    <xf numFmtId="171" fontId="193" fillId="83" borderId="131" xfId="0" applyNumberFormat="1" applyFont="1" applyFill="1" applyBorder="1" applyAlignment="1">
      <alignment vertical="center"/>
    </xf>
    <xf numFmtId="169" fontId="193" fillId="83" borderId="145" xfId="0" applyNumberFormat="1" applyFont="1" applyFill="1" applyBorder="1" applyAlignment="1">
      <alignment vertical="center"/>
    </xf>
    <xf numFmtId="169" fontId="193" fillId="83" borderId="73" xfId="0" applyNumberFormat="1" applyFont="1" applyFill="1" applyBorder="1" applyAlignment="1">
      <alignment vertical="center"/>
    </xf>
    <xf numFmtId="169" fontId="193" fillId="91" borderId="143" xfId="0" applyNumberFormat="1" applyFont="1" applyFill="1" applyBorder="1" applyAlignment="1">
      <alignment vertical="center" wrapText="1"/>
    </xf>
    <xf numFmtId="169" fontId="193" fillId="83" borderId="133" xfId="0" applyNumberFormat="1" applyFont="1" applyFill="1" applyBorder="1" applyAlignment="1">
      <alignment vertical="center"/>
    </xf>
    <xf numFmtId="171" fontId="195" fillId="83" borderId="132" xfId="0" applyNumberFormat="1" applyFont="1" applyFill="1" applyBorder="1" applyAlignment="1">
      <alignment vertical="center"/>
    </xf>
    <xf numFmtId="169" fontId="193" fillId="83" borderId="73" xfId="0" applyNumberFormat="1" applyFont="1" applyFill="1" applyBorder="1" applyAlignment="1">
      <alignment vertical="center" wrapText="1"/>
    </xf>
    <xf numFmtId="169" fontId="195" fillId="83" borderId="73" xfId="0" applyNumberFormat="1" applyFont="1" applyFill="1" applyBorder="1" applyAlignment="1">
      <alignment vertical="center"/>
    </xf>
    <xf numFmtId="170" fontId="3" fillId="2" borderId="0" xfId="0" applyNumberFormat="1" applyFont="1" applyFill="1"/>
    <xf numFmtId="169" fontId="3" fillId="2" borderId="0" xfId="7" applyNumberFormat="1" applyFont="1" applyFill="1"/>
    <xf numFmtId="169" fontId="51" fillId="2" borderId="0" xfId="7" applyNumberFormat="1" applyFont="1" applyFill="1" applyAlignment="1">
      <alignment vertical="center"/>
    </xf>
    <xf numFmtId="0" fontId="13" fillId="93" borderId="0" xfId="0" applyFont="1" applyFill="1" applyAlignment="1">
      <alignment horizontal="left" vertical="center" wrapText="1"/>
    </xf>
    <xf numFmtId="185" fontId="175" fillId="93" borderId="0" xfId="0" applyNumberFormat="1" applyFont="1" applyFill="1" applyAlignment="1">
      <alignment vertical="center" wrapText="1"/>
    </xf>
    <xf numFmtId="177" fontId="13" fillId="93" borderId="0" xfId="0" applyNumberFormat="1" applyFont="1" applyFill="1" applyAlignment="1">
      <alignment horizontal="right" vertical="center"/>
    </xf>
    <xf numFmtId="182" fontId="48" fillId="93" borderId="135" xfId="0" applyNumberFormat="1" applyFont="1" applyFill="1" applyBorder="1" applyAlignment="1">
      <alignment vertical="center" wrapText="1"/>
    </xf>
    <xf numFmtId="176" fontId="49" fillId="93" borderId="0" xfId="0" applyNumberFormat="1" applyFont="1" applyFill="1" applyAlignment="1">
      <alignment horizontal="right" vertical="center"/>
    </xf>
    <xf numFmtId="177" fontId="44" fillId="93" borderId="0" xfId="0" applyNumberFormat="1" applyFont="1" applyFill="1" applyAlignment="1">
      <alignment horizontal="right" vertical="center"/>
    </xf>
    <xf numFmtId="185" fontId="13" fillId="93" borderId="135" xfId="0" applyNumberFormat="1" applyFont="1" applyFill="1" applyBorder="1"/>
    <xf numFmtId="177" fontId="13" fillId="93" borderId="130" xfId="0" applyNumberFormat="1" applyFont="1" applyFill="1" applyBorder="1" applyAlignment="1">
      <alignment horizontal="right" vertical="center"/>
    </xf>
    <xf numFmtId="177" fontId="244" fillId="93" borderId="0" xfId="0" applyNumberFormat="1" applyFont="1" applyFill="1" applyAlignment="1">
      <alignment horizontal="right" vertical="center"/>
    </xf>
    <xf numFmtId="182" fontId="245" fillId="93" borderId="135" xfId="0" applyNumberFormat="1" applyFont="1" applyFill="1" applyBorder="1" applyAlignment="1">
      <alignment vertical="center" wrapText="1"/>
    </xf>
    <xf numFmtId="0" fontId="32" fillId="93" borderId="0" xfId="0" applyFont="1" applyFill="1" applyAlignment="1">
      <alignment horizontal="left" vertical="center" wrapText="1"/>
    </xf>
    <xf numFmtId="185" fontId="51" fillId="93" borderId="0" xfId="0" applyNumberFormat="1" applyFont="1" applyFill="1" applyAlignment="1">
      <alignment vertical="center" wrapText="1"/>
    </xf>
    <xf numFmtId="177" fontId="32" fillId="93" borderId="0" xfId="0" applyNumberFormat="1" applyFont="1" applyFill="1" applyAlignment="1">
      <alignment horizontal="right" vertical="center"/>
    </xf>
    <xf numFmtId="177" fontId="51" fillId="93" borderId="0" xfId="0" applyNumberFormat="1" applyFont="1" applyFill="1" applyAlignment="1">
      <alignment horizontal="right" vertical="center"/>
    </xf>
    <xf numFmtId="185" fontId="32" fillId="93" borderId="135" xfId="0" applyNumberFormat="1" applyFont="1" applyFill="1" applyBorder="1"/>
    <xf numFmtId="181" fontId="26" fillId="93" borderId="146" xfId="0" applyNumberFormat="1" applyFont="1" applyFill="1" applyBorder="1" applyAlignment="1">
      <alignment horizontal="right" vertical="center"/>
    </xf>
    <xf numFmtId="181" fontId="243" fillId="93" borderId="142" xfId="0" applyNumberFormat="1" applyFont="1" applyFill="1" applyBorder="1" applyAlignment="1">
      <alignment horizontal="right" vertical="center"/>
    </xf>
    <xf numFmtId="181" fontId="26" fillId="93" borderId="147" xfId="0" applyNumberFormat="1" applyFont="1" applyFill="1" applyBorder="1" applyAlignment="1">
      <alignment horizontal="right" vertical="center"/>
    </xf>
    <xf numFmtId="181" fontId="243" fillId="93" borderId="135" xfId="0" applyNumberFormat="1" applyFont="1" applyFill="1" applyBorder="1" applyAlignment="1">
      <alignment horizontal="right" vertical="center"/>
    </xf>
    <xf numFmtId="169" fontId="13" fillId="0" borderId="0" xfId="7" applyNumberFormat="1" applyFont="1" applyAlignment="1">
      <alignment vertical="center"/>
    </xf>
    <xf numFmtId="169" fontId="29" fillId="2" borderId="0" xfId="7" applyNumberFormat="1" applyFont="1" applyFill="1"/>
    <xf numFmtId="0" fontId="2" fillId="2" borderId="89" xfId="0" applyFont="1" applyFill="1" applyBorder="1" applyAlignment="1">
      <alignment horizontal="left" vertical="center" wrapText="1" indent="4"/>
    </xf>
    <xf numFmtId="0" fontId="2" fillId="2" borderId="93" xfId="0" applyFont="1" applyFill="1" applyBorder="1" applyAlignment="1">
      <alignment horizontal="left" vertical="center" wrapText="1" indent="3"/>
    </xf>
    <xf numFmtId="170" fontId="2" fillId="2" borderId="71" xfId="0" applyNumberFormat="1" applyFont="1" applyFill="1" applyBorder="1" applyAlignment="1">
      <alignment horizontal="right" vertical="center"/>
    </xf>
    <xf numFmtId="170" fontId="50" fillId="2" borderId="71" xfId="0" applyNumberFormat="1" applyFont="1" applyFill="1" applyBorder="1" applyAlignment="1">
      <alignment horizontal="right" vertical="center"/>
    </xf>
    <xf numFmtId="170" fontId="46" fillId="80" borderId="96" xfId="0" applyNumberFormat="1" applyFont="1" applyFill="1" applyBorder="1" applyAlignment="1">
      <alignment vertical="center" wrapText="1"/>
    </xf>
    <xf numFmtId="181" fontId="32" fillId="0" borderId="71" xfId="0" applyNumberFormat="1" applyFont="1" applyBorder="1" applyAlignment="1">
      <alignment horizontal="right" vertical="center"/>
    </xf>
    <xf numFmtId="170" fontId="2" fillId="2" borderId="71" xfId="0" applyNumberFormat="1" applyFont="1" applyFill="1" applyBorder="1" applyAlignment="1">
      <alignment vertical="center"/>
    </xf>
    <xf numFmtId="170" fontId="50" fillId="2" borderId="71" xfId="0" applyNumberFormat="1" applyFont="1" applyFill="1" applyBorder="1" applyAlignment="1">
      <alignment vertical="center"/>
    </xf>
    <xf numFmtId="170" fontId="50" fillId="0" borderId="71" xfId="0" applyNumberFormat="1" applyFont="1" applyBorder="1" applyAlignment="1">
      <alignment vertical="center"/>
    </xf>
    <xf numFmtId="0" fontId="2" fillId="2" borderId="0" xfId="0" applyFont="1" applyFill="1" applyAlignment="1">
      <alignment vertical="center"/>
    </xf>
    <xf numFmtId="0" fontId="2" fillId="0" borderId="0" xfId="0" applyFont="1" applyAlignment="1">
      <alignment vertical="center"/>
    </xf>
    <xf numFmtId="181" fontId="26" fillId="93" borderId="0" xfId="0" applyNumberFormat="1" applyFont="1" applyFill="1" applyAlignment="1">
      <alignment horizontal="right" vertical="center"/>
    </xf>
    <xf numFmtId="177" fontId="32" fillId="78" borderId="0" xfId="0" applyNumberFormat="1" applyFont="1" applyFill="1"/>
    <xf numFmtId="170" fontId="16" fillId="2" borderId="0" xfId="0" applyNumberFormat="1" applyFont="1" applyFill="1" applyAlignment="1">
      <alignment vertical="center"/>
    </xf>
    <xf numFmtId="169" fontId="16" fillId="2" borderId="0" xfId="7" applyNumberFormat="1" applyFont="1" applyFill="1" applyAlignment="1">
      <alignment vertical="center"/>
    </xf>
    <xf numFmtId="182" fontId="13" fillId="0" borderId="0" xfId="42858" applyNumberFormat="1" applyFont="1" applyAlignment="1">
      <alignment vertical="center"/>
    </xf>
    <xf numFmtId="170" fontId="25" fillId="87" borderId="0" xfId="0" applyNumberFormat="1" applyFont="1" applyFill="1" applyAlignment="1">
      <alignment vertical="center"/>
    </xf>
    <xf numFmtId="170" fontId="51" fillId="2" borderId="0" xfId="0" applyNumberFormat="1" applyFont="1" applyFill="1"/>
    <xf numFmtId="170" fontId="32" fillId="0" borderId="0" xfId="0" applyNumberFormat="1" applyFont="1" applyAlignment="1">
      <alignment vertical="center"/>
    </xf>
    <xf numFmtId="169" fontId="0" fillId="2" borderId="0" xfId="7" applyNumberFormat="1" applyFont="1" applyFill="1" applyAlignment="1">
      <alignment wrapText="1"/>
    </xf>
    <xf numFmtId="169" fontId="0" fillId="0" borderId="0" xfId="7" applyNumberFormat="1" applyFont="1"/>
    <xf numFmtId="3" fontId="159" fillId="2" borderId="0" xfId="0" applyNumberFormat="1" applyFont="1" applyFill="1"/>
    <xf numFmtId="170" fontId="159" fillId="2" borderId="0" xfId="0" applyNumberFormat="1" applyFont="1" applyFill="1"/>
    <xf numFmtId="169" fontId="159" fillId="2" borderId="0" xfId="7" applyNumberFormat="1" applyFont="1" applyFill="1" applyAlignment="1">
      <alignment vertical="center"/>
    </xf>
    <xf numFmtId="169" fontId="159" fillId="2" borderId="0" xfId="7" applyNumberFormat="1" applyFont="1" applyFill="1"/>
    <xf numFmtId="2" fontId="32" fillId="78" borderId="0" xfId="7" applyNumberFormat="1" applyFont="1" applyFill="1"/>
    <xf numFmtId="169" fontId="32" fillId="78" borderId="0" xfId="0" applyNumberFormat="1" applyFont="1" applyFill="1"/>
    <xf numFmtId="182" fontId="221" fillId="0" borderId="0" xfId="0" applyNumberFormat="1" applyFont="1" applyAlignment="1">
      <alignment horizontal="right" vertical="center"/>
    </xf>
    <xf numFmtId="170" fontId="47" fillId="89" borderId="66" xfId="0" applyNumberFormat="1" applyFont="1" applyFill="1" applyBorder="1" applyAlignment="1">
      <alignment vertical="center" wrapText="1"/>
    </xf>
    <xf numFmtId="182" fontId="35" fillId="86" borderId="98" xfId="0" applyNumberFormat="1" applyFont="1" applyFill="1" applyBorder="1" applyAlignment="1">
      <alignment vertical="center" wrapText="1"/>
    </xf>
    <xf numFmtId="169" fontId="3" fillId="2" borderId="0" xfId="7" applyNumberFormat="1" applyFont="1" applyFill="1" applyAlignment="1">
      <alignment vertical="center"/>
    </xf>
    <xf numFmtId="216" fontId="10" fillId="0" borderId="0" xfId="42855" applyNumberFormat="1" applyFont="1" applyFill="1" applyBorder="1" applyAlignment="1">
      <alignment horizontal="right" vertical="center"/>
    </xf>
    <xf numFmtId="0" fontId="32" fillId="0" borderId="0" xfId="0" applyFont="1" applyAlignment="1">
      <alignment horizontal="left" vertical="center" wrapText="1"/>
    </xf>
    <xf numFmtId="185" fontId="51" fillId="0" borderId="0" xfId="0" applyNumberFormat="1" applyFont="1" applyAlignment="1">
      <alignment vertical="center" wrapText="1"/>
    </xf>
    <xf numFmtId="182" fontId="48" fillId="0" borderId="135" xfId="0" applyNumberFormat="1" applyFont="1" applyBorder="1" applyAlignment="1">
      <alignment vertical="center" wrapText="1"/>
    </xf>
    <xf numFmtId="177" fontId="51" fillId="0" borderId="0" xfId="0" applyNumberFormat="1" applyFont="1" applyAlignment="1">
      <alignment horizontal="right" vertical="center"/>
    </xf>
    <xf numFmtId="185" fontId="32" fillId="0" borderId="135" xfId="0" applyNumberFormat="1" applyFont="1" applyBorder="1"/>
    <xf numFmtId="177" fontId="13" fillId="0" borderId="130" xfId="0" applyNumberFormat="1" applyFont="1" applyBorder="1" applyAlignment="1">
      <alignment horizontal="right" vertical="center"/>
    </xf>
    <xf numFmtId="177" fontId="32" fillId="0" borderId="0" xfId="0" applyNumberFormat="1" applyFont="1"/>
    <xf numFmtId="2" fontId="32" fillId="0" borderId="0" xfId="7" applyNumberFormat="1" applyFont="1" applyFill="1"/>
    <xf numFmtId="169" fontId="32" fillId="0" borderId="0" xfId="0" applyNumberFormat="1" applyFont="1"/>
    <xf numFmtId="0" fontId="44" fillId="0" borderId="0" xfId="0" applyFont="1" applyAlignment="1">
      <alignment vertical="center" wrapText="1"/>
    </xf>
    <xf numFmtId="4" fontId="0" fillId="0" borderId="0" xfId="0" applyNumberFormat="1"/>
    <xf numFmtId="219" fontId="13" fillId="2" borderId="0" xfId="0" applyNumberFormat="1" applyFont="1" applyFill="1"/>
    <xf numFmtId="173" fontId="16" fillId="2" borderId="66" xfId="0" applyNumberFormat="1" applyFont="1" applyFill="1" applyBorder="1" applyAlignment="1">
      <alignment vertical="center"/>
    </xf>
    <xf numFmtId="173" fontId="181" fillId="2" borderId="66" xfId="0" applyNumberFormat="1" applyFont="1" applyFill="1" applyBorder="1" applyAlignment="1">
      <alignment vertical="center"/>
    </xf>
    <xf numFmtId="173" fontId="28" fillId="2" borderId="0" xfId="0" applyNumberFormat="1" applyFont="1" applyFill="1" applyAlignment="1">
      <alignment vertical="center"/>
    </xf>
    <xf numFmtId="173" fontId="47" fillId="89" borderId="99" xfId="0" applyNumberFormat="1" applyFont="1" applyFill="1" applyBorder="1" applyAlignment="1">
      <alignment vertical="center" wrapText="1"/>
    </xf>
    <xf numFmtId="169" fontId="28" fillId="2" borderId="0" xfId="7" applyNumberFormat="1" applyFont="1" applyFill="1" applyAlignment="1">
      <alignment vertical="center"/>
    </xf>
    <xf numFmtId="183" fontId="178" fillId="89" borderId="92" xfId="0" applyNumberFormat="1" applyFont="1" applyFill="1" applyBorder="1" applyAlignment="1">
      <alignment vertical="center" wrapText="1"/>
    </xf>
    <xf numFmtId="0" fontId="192" fillId="75" borderId="69" xfId="0" applyFont="1" applyFill="1" applyBorder="1" applyAlignment="1">
      <alignment horizontal="center" vertical="center" wrapText="1"/>
    </xf>
    <xf numFmtId="0" fontId="192" fillId="75" borderId="141" xfId="0" applyFont="1" applyFill="1" applyBorder="1" applyAlignment="1">
      <alignment horizontal="center" vertical="center" wrapText="1"/>
    </xf>
    <xf numFmtId="0" fontId="192" fillId="75" borderId="140" xfId="0" applyFont="1" applyFill="1" applyBorder="1" applyAlignment="1">
      <alignment horizontal="center" vertical="center" wrapText="1"/>
    </xf>
    <xf numFmtId="0" fontId="13" fillId="2" borderId="0" xfId="0" applyFont="1" applyFill="1" applyAlignment="1">
      <alignment horizontal="left" vertical="center" wrapText="1"/>
    </xf>
    <xf numFmtId="0" fontId="195" fillId="75" borderId="68" xfId="0" applyFont="1" applyFill="1" applyBorder="1" applyAlignment="1">
      <alignment horizontal="center" vertical="center" wrapText="1"/>
    </xf>
    <xf numFmtId="0" fontId="195" fillId="75" borderId="76" xfId="0" applyFont="1" applyFill="1" applyBorder="1" applyAlignment="1">
      <alignment horizontal="center" vertical="center" wrapText="1"/>
    </xf>
    <xf numFmtId="0" fontId="195" fillId="75" borderId="74" xfId="0" applyFont="1" applyFill="1" applyBorder="1" applyAlignment="1">
      <alignment horizontal="center" vertical="center" wrapText="1"/>
    </xf>
    <xf numFmtId="0" fontId="195" fillId="75" borderId="68" xfId="0" applyFont="1" applyFill="1" applyBorder="1" applyAlignment="1">
      <alignment horizontal="center" vertical="center"/>
    </xf>
    <xf numFmtId="0" fontId="195" fillId="75" borderId="76" xfId="0" applyFont="1" applyFill="1" applyBorder="1" applyAlignment="1">
      <alignment horizontal="center" vertical="center"/>
    </xf>
    <xf numFmtId="0" fontId="195" fillId="75" borderId="0" xfId="0" applyFont="1" applyFill="1" applyAlignment="1">
      <alignment horizontal="center" vertical="center" wrapText="1"/>
    </xf>
    <xf numFmtId="0" fontId="195" fillId="75" borderId="97" xfId="0" applyFont="1" applyFill="1" applyBorder="1" applyAlignment="1">
      <alignment horizontal="center" vertical="center" wrapText="1"/>
    </xf>
    <xf numFmtId="0" fontId="195" fillId="75" borderId="92" xfId="0" applyFont="1" applyFill="1" applyBorder="1" applyAlignment="1">
      <alignment horizontal="center" vertical="center" wrapText="1"/>
    </xf>
    <xf numFmtId="0" fontId="195" fillId="75" borderId="0" xfId="0" applyFont="1" applyFill="1" applyAlignment="1">
      <alignment horizontal="center" vertical="center"/>
    </xf>
    <xf numFmtId="0" fontId="195" fillId="75" borderId="92" xfId="0" applyFont="1" applyFill="1" applyBorder="1" applyAlignment="1">
      <alignment horizontal="center" vertical="center"/>
    </xf>
    <xf numFmtId="0" fontId="192" fillId="75" borderId="68" xfId="0" applyFont="1" applyFill="1" applyBorder="1" applyAlignment="1">
      <alignment horizontal="center" vertical="center" wrapText="1"/>
    </xf>
    <xf numFmtId="0" fontId="195" fillId="75" borderId="103" xfId="20233" applyFont="1" applyFill="1" applyBorder="1" applyAlignment="1">
      <alignment horizontal="center" vertical="center" wrapText="1"/>
    </xf>
    <xf numFmtId="0" fontId="195" fillId="75" borderId="0" xfId="20233" applyFont="1" applyFill="1" applyAlignment="1">
      <alignment horizontal="center" vertical="center" wrapText="1"/>
    </xf>
    <xf numFmtId="0" fontId="195" fillId="75" borderId="104" xfId="20233" applyFont="1" applyFill="1" applyBorder="1" applyAlignment="1">
      <alignment horizontal="center" vertical="center" wrapText="1"/>
    </xf>
    <xf numFmtId="0" fontId="20" fillId="0" borderId="0" xfId="20233" applyFont="1" applyAlignment="1">
      <alignment horizontal="left" vertical="top" wrapText="1"/>
    </xf>
    <xf numFmtId="0" fontId="63" fillId="81" borderId="4" xfId="0" applyFont="1" applyFill="1" applyBorder="1" applyAlignment="1">
      <alignment horizontal="center" vertical="center" wrapText="1"/>
    </xf>
    <xf numFmtId="0" fontId="63" fillId="81" borderId="49" xfId="0" applyFont="1" applyFill="1" applyBorder="1" applyAlignment="1">
      <alignment horizontal="center" vertical="center" wrapText="1"/>
    </xf>
    <xf numFmtId="0" fontId="63" fillId="81" borderId="50" xfId="0" applyFont="1" applyFill="1" applyBorder="1" applyAlignment="1">
      <alignment horizontal="center" vertical="center" wrapText="1"/>
    </xf>
    <xf numFmtId="0" fontId="63" fillId="81" borderId="13" xfId="0" applyFont="1" applyFill="1" applyBorder="1" applyAlignment="1">
      <alignment horizontal="center" vertical="center" wrapText="1"/>
    </xf>
    <xf numFmtId="0" fontId="16" fillId="0" borderId="50" xfId="0" applyFont="1" applyBorder="1" applyAlignment="1">
      <alignment horizontal="center" vertical="center" wrapText="1"/>
    </xf>
    <xf numFmtId="0" fontId="16" fillId="0" borderId="13" xfId="0" applyFont="1" applyBorder="1" applyAlignment="1">
      <alignment horizontal="center" vertical="center" wrapText="1"/>
    </xf>
    <xf numFmtId="0" fontId="18" fillId="81" borderId="15" xfId="0" applyFont="1" applyFill="1" applyBorder="1" applyAlignment="1">
      <alignment horizontal="center" vertical="center" wrapText="1"/>
    </xf>
    <xf numFmtId="0" fontId="18" fillId="81" borderId="17" xfId="0" applyFont="1" applyFill="1" applyBorder="1" applyAlignment="1">
      <alignment horizontal="center" vertical="center" wrapText="1"/>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66" fillId="81" borderId="50" xfId="0" applyFont="1" applyFill="1" applyBorder="1" applyAlignment="1">
      <alignment horizontal="center" vertical="center" wrapText="1"/>
    </xf>
    <xf numFmtId="0" fontId="66" fillId="81" borderId="13" xfId="0" applyFont="1" applyFill="1" applyBorder="1" applyAlignment="1">
      <alignment horizontal="center" vertical="center" wrapText="1"/>
    </xf>
    <xf numFmtId="0" fontId="63" fillId="81" borderId="15" xfId="0" applyFont="1" applyFill="1" applyBorder="1" applyAlignment="1">
      <alignment horizontal="center" vertical="center" wrapText="1"/>
    </xf>
    <xf numFmtId="0" fontId="63" fillId="81" borderId="17" xfId="0" applyFont="1" applyFill="1" applyBorder="1" applyAlignment="1">
      <alignment horizontal="center" vertical="center" wrapText="1"/>
    </xf>
    <xf numFmtId="0" fontId="66" fillId="81" borderId="15" xfId="0" applyFont="1" applyFill="1" applyBorder="1" applyAlignment="1">
      <alignment horizontal="center" vertical="center" wrapText="1"/>
    </xf>
    <xf numFmtId="0" fontId="66" fillId="81" borderId="17" xfId="0" applyFont="1" applyFill="1" applyBorder="1" applyAlignment="1">
      <alignment horizontal="center" vertical="center" wrapText="1"/>
    </xf>
    <xf numFmtId="0" fontId="63" fillId="0" borderId="6" xfId="0" applyFont="1" applyBorder="1" applyAlignment="1">
      <alignment horizontal="center" vertical="center" wrapText="1"/>
    </xf>
    <xf numFmtId="0" fontId="63" fillId="0" borderId="7" xfId="0" applyFont="1" applyBorder="1" applyAlignment="1">
      <alignment horizontal="center" vertical="center" wrapText="1"/>
    </xf>
    <xf numFmtId="0" fontId="63" fillId="0" borderId="50" xfId="0" applyFont="1" applyBorder="1" applyAlignment="1">
      <alignment horizontal="center" vertical="center" wrapText="1"/>
    </xf>
    <xf numFmtId="0" fontId="63" fillId="0" borderId="13" xfId="0" applyFont="1" applyBorder="1" applyAlignment="1">
      <alignment horizontal="center" vertical="center" wrapText="1"/>
    </xf>
    <xf numFmtId="0" fontId="240" fillId="75" borderId="68" xfId="0" applyFont="1" applyFill="1" applyBorder="1" applyAlignment="1">
      <alignment horizontal="center" vertical="center" wrapText="1"/>
    </xf>
    <xf numFmtId="0" fontId="195" fillId="75" borderId="4" xfId="0" applyFont="1" applyFill="1" applyBorder="1" applyAlignment="1">
      <alignment horizontal="center" vertical="center" wrapText="1"/>
    </xf>
    <xf numFmtId="0" fontId="195" fillId="75" borderId="49" xfId="0" applyFont="1" applyFill="1" applyBorder="1" applyAlignment="1">
      <alignment horizontal="center" vertical="center" wrapText="1"/>
    </xf>
    <xf numFmtId="0" fontId="195" fillId="75" borderId="50" xfId="0" applyFont="1" applyFill="1" applyBorder="1" applyAlignment="1">
      <alignment horizontal="center" vertical="center" wrapText="1"/>
    </xf>
    <xf numFmtId="0" fontId="195" fillId="75" borderId="13" xfId="0" applyFont="1" applyFill="1" applyBorder="1" applyAlignment="1">
      <alignment horizontal="center" vertical="center" wrapText="1"/>
    </xf>
    <xf numFmtId="0" fontId="20" fillId="0" borderId="0" xfId="0" applyFont="1" applyAlignment="1">
      <alignment horizontal="left" vertical="top" wrapText="1"/>
    </xf>
  </cellXfs>
  <cellStyles count="42862">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7" xfId="42855"/>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38" xfId="42857"/>
    <cellStyle name="Normalny 139" xfId="42858"/>
    <cellStyle name="Normalny 14" xfId="20473"/>
    <cellStyle name="Normalny 14 2" xfId="20474"/>
    <cellStyle name="Normalny 14 2 2" xfId="20475"/>
    <cellStyle name="Normalny 14 3" xfId="20476"/>
    <cellStyle name="Normalny 14 4" xfId="20477"/>
    <cellStyle name="Normalny 14 5" xfId="20478"/>
    <cellStyle name="Normalny 140" xfId="42859"/>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20" xfId="42861"/>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16" xfId="42856"/>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2 8" xfId="42860"/>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03ACE5"/>
      <color rgb="FF1082BF"/>
      <color rgb="FFE7EEF5"/>
      <color rgb="FFE4EDF8"/>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0</xdr:rowOff>
    </xdr:from>
    <xdr:to>
      <xdr:col>0</xdr:col>
      <xdr:colOff>1076325</xdr:colOff>
      <xdr:row>1</xdr:row>
      <xdr:rowOff>28575</xdr:rowOff>
    </xdr:to>
    <xdr:pic>
      <xdr:nvPicPr>
        <xdr:cNvPr id="3" name="Picture 12" descr="image001">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drawing" Target="../drawings/drawing9.xml"/><Relationship Id="rId5" Type="http://schemas.openxmlformats.org/officeDocument/2006/relationships/printerSettings" Target="../printerSettings/printerSettings22.bin"/><Relationship Id="rId4"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drawing" Target="../drawings/drawing2.xml"/><Relationship Id="rId5" Type="http://schemas.openxmlformats.org/officeDocument/2006/relationships/printerSettings" Target="../printerSettings/printerSettings6.bin"/><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C65"/>
  <sheetViews>
    <sheetView showGridLines="0" zoomScale="90" zoomScaleNormal="90" zoomScaleSheetLayoutView="85" workbookViewId="0">
      <pane xSplit="1" ySplit="4" topLeftCell="BJ35" activePane="bottomRight" state="frozen"/>
      <selection pane="topRight" activeCell="B1" sqref="B1"/>
      <selection pane="bottomLeft" activeCell="A5" sqref="A5"/>
      <selection pane="bottomRight" activeCell="BZ13" sqref="BZ13"/>
    </sheetView>
  </sheetViews>
  <sheetFormatPr defaultColWidth="9" defaultRowHeight="28.5" customHeight="1" outlineLevelCol="1"/>
  <cols>
    <col min="1" max="2" width="41.59765625" style="5" customWidth="1"/>
    <col min="3" max="8" width="9" style="4" customWidth="1" outlineLevel="1"/>
    <col min="9" max="9" width="9" style="58" customWidth="1" outlineLevel="1"/>
    <col min="10" max="10" width="9" style="4" customWidth="1" outlineLevel="1"/>
    <col min="11" max="13" width="10.09765625" style="4" customWidth="1" outlineLevel="1"/>
    <col min="14" max="16" width="9.09765625" style="4" customWidth="1" outlineLevel="1"/>
    <col min="17" max="24" width="10.09765625" style="4" customWidth="1" outlineLevel="1"/>
    <col min="25" max="25" width="10.09765625" style="39" customWidth="1" outlineLevel="1"/>
    <col min="26" max="29" width="10.09765625" style="4" customWidth="1" outlineLevel="1"/>
    <col min="30" max="30" width="10.09765625" style="39" customWidth="1" outlineLevel="1"/>
    <col min="31" max="32" width="10.09765625" style="4" customWidth="1" outlineLevel="1"/>
    <col min="33" max="33" width="10.09765625" style="4" customWidth="1" outlineLevel="1" collapsed="1"/>
    <col min="34" max="34" width="10.09765625" style="4" customWidth="1" outlineLevel="1"/>
    <col min="35" max="35" width="10.09765625" style="39" customWidth="1" outlineLevel="1"/>
    <col min="36" max="36" width="10.09765625" style="4" customWidth="1" outlineLevel="1"/>
    <col min="37" max="37" width="10.09765625" style="91" customWidth="1" outlineLevel="1"/>
    <col min="38" max="38" width="4" customWidth="1" outlineLevel="1"/>
    <col min="39" max="40" width="10.09765625" style="4" customWidth="1" outlineLevel="1"/>
    <col min="41" max="41" width="10.09765625" style="39" customWidth="1" outlineLevel="1"/>
    <col min="42" max="45" width="10.09765625" style="4" customWidth="1" outlineLevel="1"/>
    <col min="46" max="46" width="10.09765625" style="39" customWidth="1" outlineLevel="1"/>
    <col min="47" max="50" width="10.09765625" style="4" customWidth="1" outlineLevel="1"/>
    <col min="51" max="51" width="10.09765625" style="39" customWidth="1" outlineLevel="1"/>
    <col min="52" max="55" width="10.09765625" style="4" customWidth="1" outlineLevel="1"/>
    <col min="56" max="56" width="10.09765625" style="39" customWidth="1" outlineLevel="1"/>
    <col min="57" max="57" width="10.09765625" style="4" customWidth="1" outlineLevel="1"/>
    <col min="58" max="58" width="10.09765625" style="635" customWidth="1" outlineLevel="1"/>
    <col min="59" max="60" width="10.09765625" style="4" customWidth="1" outlineLevel="1"/>
    <col min="61" max="61" width="10.09765625" style="39" customWidth="1" outlineLevel="1"/>
    <col min="62" max="62" width="10.09765625" style="4" customWidth="1" outlineLevel="1"/>
    <col min="63" max="63" width="10.09765625" style="630" customWidth="1" outlineLevel="1"/>
    <col min="64" max="65" width="10.09765625" style="4" customWidth="1" outlineLevel="1"/>
    <col min="66" max="66" width="10.09765625" style="39" customWidth="1" outlineLevel="1"/>
    <col min="67" max="67" width="10.09765625" style="4" customWidth="1" outlineLevel="1"/>
    <col min="68" max="68" width="10.09765625" style="630" customWidth="1" outlineLevel="1"/>
    <col min="69" max="70" width="10.09765625" style="4" customWidth="1"/>
    <col min="71" max="71" width="10.09765625" style="39" customWidth="1"/>
    <col min="72" max="72" width="10.09765625" style="4" customWidth="1"/>
    <col min="73" max="16384" width="9" style="5"/>
  </cols>
  <sheetData>
    <row r="1" spans="1:92" s="7" customFormat="1" ht="89.25" customHeight="1">
      <c r="A1" s="176"/>
      <c r="B1" s="3"/>
      <c r="C1" s="6"/>
      <c r="D1" s="6"/>
      <c r="E1" s="6"/>
      <c r="F1" s="6"/>
      <c r="G1" s="6"/>
      <c r="H1" s="6"/>
      <c r="I1" s="47"/>
      <c r="J1" s="6"/>
      <c r="K1" s="6"/>
      <c r="L1" s="6"/>
      <c r="M1" s="6"/>
      <c r="N1" s="6"/>
      <c r="O1" s="6"/>
      <c r="P1" s="6"/>
      <c r="Q1" s="6"/>
      <c r="R1" s="6"/>
      <c r="S1" s="6"/>
      <c r="T1" s="6"/>
      <c r="U1" s="48"/>
      <c r="V1" s="48"/>
      <c r="W1" s="48"/>
      <c r="X1" s="48"/>
      <c r="Y1" s="779"/>
      <c r="Z1" s="48"/>
      <c r="AA1" s="48"/>
      <c r="AB1" s="48"/>
      <c r="AC1" s="48"/>
      <c r="AD1" s="779"/>
      <c r="AE1" s="48"/>
      <c r="AF1" s="48"/>
      <c r="AG1" s="48"/>
      <c r="AH1" s="49"/>
      <c r="AI1" s="779"/>
      <c r="AJ1" s="48"/>
      <c r="AK1" s="88"/>
      <c r="AM1" s="48"/>
      <c r="AN1" s="48"/>
      <c r="AO1" s="779"/>
      <c r="AP1" s="48"/>
      <c r="AQ1" s="48"/>
      <c r="AR1" s="48"/>
      <c r="AS1" s="48"/>
      <c r="AT1" s="779"/>
      <c r="AU1" s="48"/>
      <c r="AV1" s="48"/>
      <c r="AW1" s="48"/>
      <c r="AX1" s="48"/>
      <c r="AY1" s="779"/>
      <c r="AZ1" s="48"/>
      <c r="BA1" s="48"/>
      <c r="BB1" s="48"/>
      <c r="BC1" s="48"/>
      <c r="BD1" s="779"/>
      <c r="BE1" s="48"/>
      <c r="BF1" s="631"/>
      <c r="BG1" s="48"/>
      <c r="BH1" s="48"/>
      <c r="BI1" s="779"/>
      <c r="BJ1" s="48"/>
      <c r="BK1" s="626"/>
      <c r="BL1" s="48"/>
      <c r="BM1" s="48"/>
      <c r="BN1" s="779"/>
      <c r="BO1" s="652"/>
      <c r="BP1" s="626"/>
      <c r="BQ1" s="48"/>
      <c r="BR1" s="48"/>
      <c r="BS1" s="779"/>
      <c r="BT1" s="652"/>
      <c r="CB1" s="961">
        <f>CB8+CB14</f>
        <v>86</v>
      </c>
    </row>
    <row r="2" spans="1:92" s="413" customFormat="1" ht="32.1" customHeight="1">
      <c r="A2" s="449" t="s">
        <v>0</v>
      </c>
      <c r="B2" s="839" t="s">
        <v>1</v>
      </c>
      <c r="C2" s="968">
        <v>2012</v>
      </c>
      <c r="D2" s="968"/>
      <c r="E2" s="968"/>
      <c r="F2" s="968"/>
      <c r="G2" s="969"/>
      <c r="H2" s="968">
        <v>2013</v>
      </c>
      <c r="I2" s="968"/>
      <c r="J2" s="968"/>
      <c r="K2" s="968"/>
      <c r="L2" s="969"/>
      <c r="M2" s="968">
        <v>2014</v>
      </c>
      <c r="N2" s="968"/>
      <c r="O2" s="968"/>
      <c r="P2" s="968"/>
      <c r="Q2" s="969"/>
      <c r="R2" s="968">
        <v>2015</v>
      </c>
      <c r="S2" s="968"/>
      <c r="T2" s="968"/>
      <c r="U2" s="968"/>
      <c r="V2" s="969"/>
      <c r="W2" s="968">
        <v>2016</v>
      </c>
      <c r="X2" s="968"/>
      <c r="Y2" s="968"/>
      <c r="Z2" s="968"/>
      <c r="AA2" s="969"/>
      <c r="AB2" s="968">
        <v>2017</v>
      </c>
      <c r="AC2" s="968"/>
      <c r="AD2" s="968"/>
      <c r="AE2" s="968"/>
      <c r="AF2" s="969"/>
      <c r="AG2" s="968" t="s">
        <v>2</v>
      </c>
      <c r="AH2" s="968"/>
      <c r="AI2" s="968"/>
      <c r="AJ2" s="968"/>
      <c r="AK2" s="968"/>
      <c r="AL2" s="840"/>
      <c r="AM2" s="968" t="s">
        <v>3</v>
      </c>
      <c r="AN2" s="968"/>
      <c r="AO2" s="968"/>
      <c r="AP2" s="968"/>
      <c r="AQ2" s="969"/>
      <c r="AR2" s="968" t="s">
        <v>4</v>
      </c>
      <c r="AS2" s="968"/>
      <c r="AT2" s="968"/>
      <c r="AU2" s="968"/>
      <c r="AV2" s="969"/>
      <c r="AW2" s="968" t="s">
        <v>5</v>
      </c>
      <c r="AX2" s="968"/>
      <c r="AY2" s="968"/>
      <c r="AZ2" s="968"/>
      <c r="BA2" s="969"/>
      <c r="BB2" s="968" t="s">
        <v>6</v>
      </c>
      <c r="BC2" s="968"/>
      <c r="BD2" s="968"/>
      <c r="BE2" s="968"/>
      <c r="BF2" s="969"/>
      <c r="BG2" s="968" t="s">
        <v>7</v>
      </c>
      <c r="BH2" s="968"/>
      <c r="BI2" s="968"/>
      <c r="BJ2" s="968"/>
      <c r="BK2" s="969"/>
      <c r="BL2" s="968" t="s">
        <v>8</v>
      </c>
      <c r="BM2" s="968"/>
      <c r="BN2" s="968"/>
      <c r="BO2" s="968"/>
      <c r="BP2" s="969"/>
      <c r="BQ2" s="968" t="s">
        <v>9</v>
      </c>
      <c r="BR2" s="968"/>
      <c r="BS2" s="968"/>
      <c r="BT2" s="968"/>
      <c r="BU2" s="970"/>
      <c r="BV2" s="968" t="s">
        <v>10</v>
      </c>
      <c r="BW2" s="968"/>
      <c r="BX2" s="968"/>
      <c r="BY2" s="968"/>
      <c r="BZ2" s="969"/>
      <c r="CA2" s="968" t="s">
        <v>786</v>
      </c>
      <c r="CB2" s="968"/>
      <c r="CC2" s="968"/>
      <c r="CD2" s="968"/>
      <c r="CE2" s="969"/>
    </row>
    <row r="3" spans="1:92" s="413" customFormat="1" ht="32.1" customHeight="1">
      <c r="A3" s="384"/>
      <c r="B3" s="852"/>
      <c r="C3" s="968"/>
      <c r="D3" s="968"/>
      <c r="E3" s="968"/>
      <c r="F3" s="968"/>
      <c r="G3" s="969"/>
      <c r="H3" s="968"/>
      <c r="I3" s="968"/>
      <c r="J3" s="968"/>
      <c r="K3" s="968"/>
      <c r="L3" s="969"/>
      <c r="M3" s="968"/>
      <c r="N3" s="968"/>
      <c r="O3" s="968"/>
      <c r="P3" s="968"/>
      <c r="Q3" s="969"/>
      <c r="R3" s="968"/>
      <c r="S3" s="968"/>
      <c r="T3" s="968"/>
      <c r="U3" s="968"/>
      <c r="V3" s="969"/>
      <c r="W3" s="968"/>
      <c r="X3" s="968"/>
      <c r="Y3" s="968"/>
      <c r="Z3" s="968"/>
      <c r="AA3" s="969"/>
      <c r="AB3" s="968"/>
      <c r="AC3" s="968"/>
      <c r="AD3" s="968"/>
      <c r="AE3" s="968"/>
      <c r="AF3" s="969"/>
      <c r="AG3" s="968" t="s">
        <v>11</v>
      </c>
      <c r="AH3" s="968"/>
      <c r="AI3" s="968"/>
      <c r="AJ3" s="968"/>
      <c r="AK3" s="968"/>
      <c r="AL3" s="840"/>
      <c r="AM3" s="968" t="s">
        <v>12</v>
      </c>
      <c r="AN3" s="968"/>
      <c r="AO3" s="968"/>
      <c r="AP3" s="968"/>
      <c r="AQ3" s="969"/>
      <c r="AR3" s="968" t="s">
        <v>13</v>
      </c>
      <c r="AS3" s="968"/>
      <c r="AT3" s="968"/>
      <c r="AU3" s="968"/>
      <c r="AV3" s="969"/>
      <c r="AW3" s="968" t="s">
        <v>14</v>
      </c>
      <c r="AX3" s="968"/>
      <c r="AY3" s="968"/>
      <c r="AZ3" s="968"/>
      <c r="BA3" s="969"/>
      <c r="BB3" s="968" t="s">
        <v>15</v>
      </c>
      <c r="BC3" s="968"/>
      <c r="BD3" s="968"/>
      <c r="BE3" s="968"/>
      <c r="BF3" s="969"/>
      <c r="BG3" s="968" t="s">
        <v>16</v>
      </c>
      <c r="BH3" s="968"/>
      <c r="BI3" s="968"/>
      <c r="BJ3" s="968"/>
      <c r="BK3" s="969"/>
      <c r="BL3" s="968" t="s">
        <v>17</v>
      </c>
      <c r="BM3" s="968"/>
      <c r="BN3" s="968"/>
      <c r="BO3" s="968"/>
      <c r="BP3" s="969"/>
      <c r="BQ3" s="968" t="s">
        <v>18</v>
      </c>
      <c r="BR3" s="968"/>
      <c r="BS3" s="968"/>
      <c r="BT3" s="968"/>
      <c r="BU3" s="970"/>
      <c r="BV3" s="968" t="s">
        <v>19</v>
      </c>
      <c r="BW3" s="968"/>
      <c r="BX3" s="968"/>
      <c r="BY3" s="968"/>
      <c r="BZ3" s="969"/>
      <c r="CA3" s="968" t="s">
        <v>787</v>
      </c>
      <c r="CB3" s="968"/>
      <c r="CC3" s="968"/>
      <c r="CD3" s="968"/>
      <c r="CE3" s="969"/>
    </row>
    <row r="4" spans="1:92" s="418" customFormat="1" ht="16.5" customHeight="1">
      <c r="A4" s="853" t="s">
        <v>20</v>
      </c>
      <c r="B4" s="853" t="s">
        <v>20</v>
      </c>
      <c r="C4" s="386" t="s">
        <v>21</v>
      </c>
      <c r="D4" s="386" t="s">
        <v>22</v>
      </c>
      <c r="E4" s="386" t="s">
        <v>23</v>
      </c>
      <c r="F4" s="386" t="s">
        <v>24</v>
      </c>
      <c r="G4" s="835">
        <v>2012</v>
      </c>
      <c r="H4" s="386" t="s">
        <v>21</v>
      </c>
      <c r="I4" s="386" t="s">
        <v>22</v>
      </c>
      <c r="J4" s="386" t="s">
        <v>23</v>
      </c>
      <c r="K4" s="386" t="s">
        <v>24</v>
      </c>
      <c r="L4" s="835">
        <v>2013</v>
      </c>
      <c r="M4" s="386" t="s">
        <v>21</v>
      </c>
      <c r="N4" s="386" t="s">
        <v>22</v>
      </c>
      <c r="O4" s="386" t="s">
        <v>23</v>
      </c>
      <c r="P4" s="386" t="s">
        <v>24</v>
      </c>
      <c r="Q4" s="835">
        <v>2014</v>
      </c>
      <c r="R4" s="386" t="s">
        <v>21</v>
      </c>
      <c r="S4" s="386" t="s">
        <v>22</v>
      </c>
      <c r="T4" s="386" t="s">
        <v>23</v>
      </c>
      <c r="U4" s="386" t="s">
        <v>24</v>
      </c>
      <c r="V4" s="835">
        <v>2015</v>
      </c>
      <c r="W4" s="386" t="s">
        <v>25</v>
      </c>
      <c r="X4" s="386" t="s">
        <v>22</v>
      </c>
      <c r="Y4" s="387" t="s">
        <v>23</v>
      </c>
      <c r="Z4" s="386" t="s">
        <v>24</v>
      </c>
      <c r="AA4" s="835" t="s">
        <v>26</v>
      </c>
      <c r="AB4" s="386" t="s">
        <v>21</v>
      </c>
      <c r="AC4" s="386" t="s">
        <v>22</v>
      </c>
      <c r="AD4" s="387" t="s">
        <v>23</v>
      </c>
      <c r="AE4" s="386" t="s">
        <v>24</v>
      </c>
      <c r="AF4" s="835">
        <v>2017</v>
      </c>
      <c r="AG4" s="386" t="s">
        <v>21</v>
      </c>
      <c r="AH4" s="386" t="s">
        <v>22</v>
      </c>
      <c r="AI4" s="387" t="s">
        <v>23</v>
      </c>
      <c r="AJ4" s="386" t="s">
        <v>24</v>
      </c>
      <c r="AK4" s="835">
        <v>2018</v>
      </c>
      <c r="AL4" s="841"/>
      <c r="AM4" s="386" t="s">
        <v>21</v>
      </c>
      <c r="AN4" s="386" t="s">
        <v>22</v>
      </c>
      <c r="AO4" s="387" t="s">
        <v>23</v>
      </c>
      <c r="AP4" s="386" t="s">
        <v>24</v>
      </c>
      <c r="AQ4" s="835">
        <v>2018</v>
      </c>
      <c r="AR4" s="386" t="s">
        <v>21</v>
      </c>
      <c r="AS4" s="386" t="s">
        <v>22</v>
      </c>
      <c r="AT4" s="387" t="s">
        <v>23</v>
      </c>
      <c r="AU4" s="386" t="s">
        <v>24</v>
      </c>
      <c r="AV4" s="835" t="s">
        <v>27</v>
      </c>
      <c r="AW4" s="386" t="s">
        <v>21</v>
      </c>
      <c r="AX4" s="386" t="s">
        <v>22</v>
      </c>
      <c r="AY4" s="387" t="s">
        <v>23</v>
      </c>
      <c r="AZ4" s="386" t="s">
        <v>24</v>
      </c>
      <c r="BA4" s="835" t="s">
        <v>27</v>
      </c>
      <c r="BB4" s="386" t="s">
        <v>21</v>
      </c>
      <c r="BC4" s="386" t="s">
        <v>22</v>
      </c>
      <c r="BD4" s="387" t="s">
        <v>23</v>
      </c>
      <c r="BE4" s="386" t="s">
        <v>24</v>
      </c>
      <c r="BF4" s="835" t="s">
        <v>28</v>
      </c>
      <c r="BG4" s="386" t="s">
        <v>21</v>
      </c>
      <c r="BH4" s="386" t="s">
        <v>22</v>
      </c>
      <c r="BI4" s="387" t="s">
        <v>23</v>
      </c>
      <c r="BJ4" s="386" t="s">
        <v>24</v>
      </c>
      <c r="BK4" s="835" t="s">
        <v>29</v>
      </c>
      <c r="BL4" s="386" t="s">
        <v>21</v>
      </c>
      <c r="BM4" s="386" t="s">
        <v>22</v>
      </c>
      <c r="BN4" s="387" t="s">
        <v>23</v>
      </c>
      <c r="BO4" s="386" t="s">
        <v>24</v>
      </c>
      <c r="BP4" s="824" t="s">
        <v>30</v>
      </c>
      <c r="BQ4" s="836" t="s">
        <v>21</v>
      </c>
      <c r="BR4" s="836" t="s">
        <v>22</v>
      </c>
      <c r="BS4" s="837" t="s">
        <v>23</v>
      </c>
      <c r="BT4" s="836" t="s">
        <v>24</v>
      </c>
      <c r="BU4" s="838">
        <v>2023</v>
      </c>
      <c r="BV4" s="386" t="s">
        <v>21</v>
      </c>
      <c r="BW4" s="386" t="s">
        <v>22</v>
      </c>
      <c r="BX4" s="387" t="s">
        <v>23</v>
      </c>
      <c r="BY4" s="386" t="s">
        <v>24</v>
      </c>
      <c r="BZ4" s="825">
        <v>2024</v>
      </c>
      <c r="CA4" s="386" t="s">
        <v>21</v>
      </c>
      <c r="CB4" s="386" t="s">
        <v>22</v>
      </c>
      <c r="CC4" s="387" t="s">
        <v>23</v>
      </c>
      <c r="CD4" s="386" t="s">
        <v>24</v>
      </c>
      <c r="CE4" s="825">
        <v>2025</v>
      </c>
    </row>
    <row r="5" spans="1:92" s="378" customFormat="1" ht="34.5" customHeight="1">
      <c r="A5" s="854" t="s">
        <v>31</v>
      </c>
      <c r="B5" s="854" t="s">
        <v>32</v>
      </c>
      <c r="C5" s="654">
        <f t="shared" ref="C5:AK5" si="0">SUM(C6:C10)</f>
        <v>669.2</v>
      </c>
      <c r="D5" s="654">
        <f t="shared" si="0"/>
        <v>713.8</v>
      </c>
      <c r="E5" s="654">
        <f t="shared" si="0"/>
        <v>644.5</v>
      </c>
      <c r="F5" s="654">
        <f t="shared" si="0"/>
        <v>750.60000000000014</v>
      </c>
      <c r="G5" s="828">
        <f t="shared" si="0"/>
        <v>2778.0999999999995</v>
      </c>
      <c r="H5" s="654">
        <f t="shared" si="0"/>
        <v>697.1</v>
      </c>
      <c r="I5" s="654">
        <f t="shared" si="0"/>
        <v>735.9</v>
      </c>
      <c r="J5" s="654">
        <f t="shared" si="0"/>
        <v>677.3</v>
      </c>
      <c r="K5" s="654">
        <f t="shared" si="0"/>
        <v>800.5</v>
      </c>
      <c r="L5" s="828">
        <f t="shared" si="0"/>
        <v>2910.8</v>
      </c>
      <c r="M5" s="654">
        <f t="shared" si="0"/>
        <v>723.29999999999984</v>
      </c>
      <c r="N5" s="654">
        <f t="shared" si="0"/>
        <v>1745.9</v>
      </c>
      <c r="O5" s="654">
        <f t="shared" si="0"/>
        <v>2419.6</v>
      </c>
      <c r="P5" s="654">
        <f t="shared" si="0"/>
        <v>2521.1000000000004</v>
      </c>
      <c r="Q5" s="828">
        <f t="shared" si="0"/>
        <v>7409.9</v>
      </c>
      <c r="R5" s="654">
        <f t="shared" si="0"/>
        <v>2329</v>
      </c>
      <c r="S5" s="654">
        <f t="shared" si="0"/>
        <v>2469.1999999999998</v>
      </c>
      <c r="T5" s="654">
        <f t="shared" si="0"/>
        <v>2414.8999999999996</v>
      </c>
      <c r="U5" s="654">
        <f t="shared" si="0"/>
        <v>2609.9</v>
      </c>
      <c r="V5" s="828">
        <f t="shared" si="0"/>
        <v>9823</v>
      </c>
      <c r="W5" s="654">
        <f t="shared" si="0"/>
        <v>2364</v>
      </c>
      <c r="X5" s="654">
        <f t="shared" si="0"/>
        <v>2442.9</v>
      </c>
      <c r="Y5" s="655">
        <f t="shared" si="0"/>
        <v>2387.8000000000002</v>
      </c>
      <c r="Z5" s="655">
        <f t="shared" si="0"/>
        <v>2535.1</v>
      </c>
      <c r="AA5" s="828">
        <f t="shared" si="0"/>
        <v>9729.7999999999993</v>
      </c>
      <c r="AB5" s="654">
        <f t="shared" si="0"/>
        <v>2388.6</v>
      </c>
      <c r="AC5" s="654">
        <f t="shared" si="0"/>
        <v>2469.9</v>
      </c>
      <c r="AD5" s="654">
        <f t="shared" si="0"/>
        <v>2390.9</v>
      </c>
      <c r="AE5" s="654">
        <f t="shared" si="0"/>
        <v>2579.1999999999998</v>
      </c>
      <c r="AF5" s="828">
        <f t="shared" si="0"/>
        <v>9828.6</v>
      </c>
      <c r="AG5" s="654">
        <f t="shared" si="0"/>
        <v>2360.6999999999998</v>
      </c>
      <c r="AH5" s="654">
        <f t="shared" si="0"/>
        <v>2476.9</v>
      </c>
      <c r="AI5" s="654">
        <f t="shared" si="0"/>
        <v>2435.4</v>
      </c>
      <c r="AJ5" s="656">
        <f t="shared" si="0"/>
        <v>2682</v>
      </c>
      <c r="AK5" s="828">
        <f t="shared" si="0"/>
        <v>9955</v>
      </c>
      <c r="AL5" s="842"/>
      <c r="AM5" s="654">
        <f t="shared" ref="AM5:BR5" si="1">SUM(AM6:AM10)</f>
        <v>2345.9</v>
      </c>
      <c r="AN5" s="654">
        <f t="shared" si="1"/>
        <v>2603.1999999999998</v>
      </c>
      <c r="AO5" s="654">
        <f t="shared" si="1"/>
        <v>2735</v>
      </c>
      <c r="AP5" s="656">
        <f t="shared" si="1"/>
        <v>3002</v>
      </c>
      <c r="AQ5" s="828">
        <f t="shared" si="1"/>
        <v>10686.100000000002</v>
      </c>
      <c r="AR5" s="654">
        <f t="shared" si="1"/>
        <v>2782.4</v>
      </c>
      <c r="AS5" s="654">
        <f t="shared" si="1"/>
        <v>2913</v>
      </c>
      <c r="AT5" s="654">
        <f t="shared" si="1"/>
        <v>2882.3</v>
      </c>
      <c r="AU5" s="654">
        <f t="shared" si="1"/>
        <v>3059.0000000000005</v>
      </c>
      <c r="AV5" s="828">
        <f t="shared" si="1"/>
        <v>11636.7</v>
      </c>
      <c r="AW5" s="654">
        <f t="shared" si="1"/>
        <v>2791.6</v>
      </c>
      <c r="AX5" s="654">
        <f t="shared" si="1"/>
        <v>2923</v>
      </c>
      <c r="AY5" s="654">
        <f t="shared" si="1"/>
        <v>2892.4</v>
      </c>
      <c r="AZ5" s="654">
        <f t="shared" si="1"/>
        <v>3069.1000000000004</v>
      </c>
      <c r="BA5" s="828">
        <f t="shared" si="1"/>
        <v>11676.1</v>
      </c>
      <c r="BB5" s="654">
        <f t="shared" si="1"/>
        <v>2848.4999999999995</v>
      </c>
      <c r="BC5" s="654">
        <f t="shared" si="1"/>
        <v>2862.7000000000003</v>
      </c>
      <c r="BD5" s="654">
        <f t="shared" si="1"/>
        <v>3003.5</v>
      </c>
      <c r="BE5" s="654">
        <f t="shared" si="1"/>
        <v>3248.2000000000003</v>
      </c>
      <c r="BF5" s="828">
        <f t="shared" si="1"/>
        <v>11962.9</v>
      </c>
      <c r="BG5" s="654">
        <f t="shared" si="1"/>
        <v>2987.4</v>
      </c>
      <c r="BH5" s="654">
        <f t="shared" si="1"/>
        <v>3159.7000000000003</v>
      </c>
      <c r="BI5" s="654">
        <f t="shared" si="1"/>
        <v>3031.9</v>
      </c>
      <c r="BJ5" s="654">
        <f t="shared" si="1"/>
        <v>3265</v>
      </c>
      <c r="BK5" s="828">
        <f t="shared" si="1"/>
        <v>12443.999999999998</v>
      </c>
      <c r="BL5" s="654">
        <f t="shared" si="1"/>
        <v>2986.7000000000003</v>
      </c>
      <c r="BM5" s="654">
        <f t="shared" si="1"/>
        <v>3228.1</v>
      </c>
      <c r="BN5" s="654">
        <f>SUM(BN6:BN10)</f>
        <v>3270.9000000000005</v>
      </c>
      <c r="BO5" s="654">
        <f t="shared" si="1"/>
        <v>3429.5999999999995</v>
      </c>
      <c r="BP5" s="828">
        <f t="shared" si="1"/>
        <v>12915.3</v>
      </c>
      <c r="BQ5" s="654">
        <f t="shared" si="1"/>
        <v>3199.3</v>
      </c>
      <c r="BR5" s="654">
        <f t="shared" si="1"/>
        <v>3289.8</v>
      </c>
      <c r="BS5" s="654">
        <f>SUM(BS6:BS10)</f>
        <v>3455.7</v>
      </c>
      <c r="BT5" s="654">
        <f>SUM(BT6:BT10)</f>
        <v>3681.4999999999995</v>
      </c>
      <c r="BU5" s="828">
        <f>SUM(BU6:BU10)</f>
        <v>13626.300000000001</v>
      </c>
      <c r="BV5" s="654">
        <f t="shared" ref="BV5:BY5" si="2">SUM(BV6:BV10)</f>
        <v>3404.9986297200007</v>
      </c>
      <c r="BW5" s="705">
        <f t="shared" si="2"/>
        <v>3454.3000000000006</v>
      </c>
      <c r="BX5" s="705">
        <f t="shared" si="2"/>
        <v>3579.4999999999995</v>
      </c>
      <c r="BY5" s="654">
        <f t="shared" si="2"/>
        <v>3827.1</v>
      </c>
      <c r="BZ5" s="828">
        <f>SUM(BZ6:BZ10)</f>
        <v>14265.898629720001</v>
      </c>
      <c r="CA5" s="654">
        <f t="shared" ref="CA5:CB5" si="3">SUM(CA6:CA10)</f>
        <v>3530.2000000000003</v>
      </c>
      <c r="CB5" s="705">
        <f t="shared" si="3"/>
        <v>3590.4</v>
      </c>
      <c r="CC5" s="705"/>
      <c r="CD5" s="654"/>
      <c r="CE5" s="828">
        <f>SUM(CE6:CE10)</f>
        <v>7120.6</v>
      </c>
      <c r="CG5" s="943"/>
      <c r="CH5" s="944"/>
    </row>
    <row r="6" spans="1:92" ht="30" customHeight="1">
      <c r="A6" s="864" t="s">
        <v>33</v>
      </c>
      <c r="B6" s="855" t="s">
        <v>34</v>
      </c>
      <c r="C6" s="652">
        <v>424</v>
      </c>
      <c r="D6" s="49">
        <v>427.1</v>
      </c>
      <c r="E6" s="49">
        <v>434.4</v>
      </c>
      <c r="F6" s="49">
        <v>446.6</v>
      </c>
      <c r="G6" s="831">
        <f>SUM(C6:F6)</f>
        <v>1732.1</v>
      </c>
      <c r="H6" s="652">
        <v>451.7</v>
      </c>
      <c r="I6" s="49">
        <v>452</v>
      </c>
      <c r="J6" s="49">
        <v>460.3</v>
      </c>
      <c r="K6" s="49">
        <v>466.1</v>
      </c>
      <c r="L6" s="831">
        <f>SUM(H6:K6)</f>
        <v>1830.1</v>
      </c>
      <c r="M6" s="652">
        <v>467.79999999999995</v>
      </c>
      <c r="N6" s="49">
        <v>1204.5</v>
      </c>
      <c r="O6" s="49">
        <v>1710.7</v>
      </c>
      <c r="P6" s="49">
        <v>1701.7</v>
      </c>
      <c r="Q6" s="831">
        <f>SUM(M6:P6)</f>
        <v>5084.7</v>
      </c>
      <c r="R6" s="652">
        <v>1637.2</v>
      </c>
      <c r="S6" s="49">
        <v>1652</v>
      </c>
      <c r="T6" s="49">
        <v>1643.3</v>
      </c>
      <c r="U6" s="650">
        <v>1620.6</v>
      </c>
      <c r="V6" s="831">
        <v>6553.1</v>
      </c>
      <c r="W6" s="652">
        <v>1565.7</v>
      </c>
      <c r="X6" s="651">
        <v>1586.9</v>
      </c>
      <c r="Y6" s="652">
        <v>1583.7</v>
      </c>
      <c r="Z6" s="650">
        <v>1589</v>
      </c>
      <c r="AA6" s="831">
        <f>SUM(W6:Z6)</f>
        <v>6325.3</v>
      </c>
      <c r="AB6" s="652">
        <v>1542.7</v>
      </c>
      <c r="AC6" s="651">
        <v>1533.3</v>
      </c>
      <c r="AD6" s="652">
        <v>1494</v>
      </c>
      <c r="AE6" s="652">
        <v>1497.9</v>
      </c>
      <c r="AF6" s="831">
        <f>SUM(AB6:AE6)</f>
        <v>6067.9</v>
      </c>
      <c r="AG6" s="652">
        <v>1470.2</v>
      </c>
      <c r="AH6" s="49">
        <v>1483.8</v>
      </c>
      <c r="AI6" s="49">
        <v>1481.7</v>
      </c>
      <c r="AJ6" s="652">
        <v>1484.8</v>
      </c>
      <c r="AK6" s="831">
        <f>SUM(AG6:AJ6)</f>
        <v>5920.5</v>
      </c>
      <c r="AL6" s="843"/>
      <c r="AM6" s="651">
        <v>1352.2</v>
      </c>
      <c r="AN6" s="49">
        <v>1482.1</v>
      </c>
      <c r="AO6" s="49">
        <v>1630.5</v>
      </c>
      <c r="AP6" s="652">
        <v>1627.8000000000002</v>
      </c>
      <c r="AQ6" s="831">
        <f>SUM(AM6:AP6)</f>
        <v>6092.6</v>
      </c>
      <c r="AR6" s="652">
        <v>1606</v>
      </c>
      <c r="AS6" s="49">
        <v>1616.1</v>
      </c>
      <c r="AT6" s="49">
        <v>1618.3</v>
      </c>
      <c r="AU6" s="652">
        <v>1618.4</v>
      </c>
      <c r="AV6" s="831">
        <f>SUM(AR6:AU6)</f>
        <v>6458.7999999999993</v>
      </c>
      <c r="AW6" s="652">
        <v>1606</v>
      </c>
      <c r="AX6" s="49">
        <v>1616.1</v>
      </c>
      <c r="AY6" s="49">
        <v>1618.3</v>
      </c>
      <c r="AZ6" s="652">
        <v>1618.4</v>
      </c>
      <c r="BA6" s="831">
        <f>SUM(AW6:AZ6)</f>
        <v>6458.7999999999993</v>
      </c>
      <c r="BB6" s="652">
        <v>1604.5</v>
      </c>
      <c r="BC6" s="49">
        <v>1592</v>
      </c>
      <c r="BD6" s="49">
        <v>1623.8</v>
      </c>
      <c r="BE6" s="652">
        <v>1660.1</v>
      </c>
      <c r="BF6" s="831">
        <f>SUM(BB6:BE6)</f>
        <v>6480.4</v>
      </c>
      <c r="BG6" s="652">
        <v>1664.1</v>
      </c>
      <c r="BH6" s="49">
        <v>1664.8</v>
      </c>
      <c r="BI6" s="49">
        <v>1707.4</v>
      </c>
      <c r="BJ6" s="652">
        <v>1730.7</v>
      </c>
      <c r="BK6" s="831">
        <f>SUM(BG6:BJ6)</f>
        <v>6766.9999999999991</v>
      </c>
      <c r="BL6" s="652">
        <v>1722.2</v>
      </c>
      <c r="BM6" s="49">
        <v>1725.8</v>
      </c>
      <c r="BN6" s="49">
        <v>1753.3000000000002</v>
      </c>
      <c r="BO6" s="652">
        <f>6952.1-BN6-BM6-BL6</f>
        <v>1750.8</v>
      </c>
      <c r="BP6" s="831">
        <f>SUM(BL6:BO6)</f>
        <v>6952.1</v>
      </c>
      <c r="BQ6" s="722">
        <v>1733.8</v>
      </c>
      <c r="BR6" s="723">
        <v>1734.8</v>
      </c>
      <c r="BS6" s="49">
        <v>1754.8</v>
      </c>
      <c r="BT6" s="49">
        <v>1763.7</v>
      </c>
      <c r="BU6" s="831">
        <f>SUM(BQ6:BT6)</f>
        <v>6987.0999999999995</v>
      </c>
      <c r="BV6" s="722">
        <v>1770.5764554400002</v>
      </c>
      <c r="BW6" s="723">
        <v>1784.4</v>
      </c>
      <c r="BX6" s="723">
        <v>1817.2</v>
      </c>
      <c r="BY6" s="49">
        <v>1809.6</v>
      </c>
      <c r="BZ6" s="831">
        <f>SUM(BV6:BY6)</f>
        <v>7181.7764554400001</v>
      </c>
      <c r="CA6" s="722">
        <v>1799</v>
      </c>
      <c r="CB6" s="723">
        <v>1811.3</v>
      </c>
      <c r="CC6" s="723"/>
      <c r="CD6" s="49"/>
      <c r="CE6" s="831">
        <f>SUM(CA6:CD6)</f>
        <v>3610.3</v>
      </c>
      <c r="CF6" s="759"/>
      <c r="CG6" s="943"/>
      <c r="CH6" s="944"/>
      <c r="CI6" s="759"/>
      <c r="CJ6" s="759"/>
      <c r="CK6" s="759"/>
      <c r="CL6" s="759"/>
      <c r="CM6" s="759"/>
      <c r="CN6" s="759"/>
    </row>
    <row r="7" spans="1:92" ht="20.100000000000001" customHeight="1">
      <c r="A7" s="864" t="s">
        <v>35</v>
      </c>
      <c r="B7" s="855" t="s">
        <v>36</v>
      </c>
      <c r="C7" s="652">
        <v>234.6</v>
      </c>
      <c r="D7" s="49">
        <v>272.7</v>
      </c>
      <c r="E7" s="49">
        <v>198</v>
      </c>
      <c r="F7" s="49">
        <v>286.3</v>
      </c>
      <c r="G7" s="831">
        <f t="shared" ref="G7:G10" si="4">SUM(C7:F7)</f>
        <v>991.59999999999991</v>
      </c>
      <c r="H7" s="652">
        <v>223.8</v>
      </c>
      <c r="I7" s="49">
        <v>265.2</v>
      </c>
      <c r="J7" s="49">
        <v>204</v>
      </c>
      <c r="K7" s="49">
        <v>317.2</v>
      </c>
      <c r="L7" s="831">
        <f t="shared" ref="L7:L10" si="5">SUM(H7:K7)</f>
        <v>1010.2</v>
      </c>
      <c r="M7" s="652">
        <v>242.19999999999993</v>
      </c>
      <c r="N7" s="49">
        <v>479.1</v>
      </c>
      <c r="O7" s="49">
        <v>591.6</v>
      </c>
      <c r="P7" s="49">
        <v>641.1</v>
      </c>
      <c r="Q7" s="831">
        <f t="shared" ref="Q7:Q10" si="6">SUM(M7:P7)</f>
        <v>1954</v>
      </c>
      <c r="R7" s="652">
        <v>553.29999999999995</v>
      </c>
      <c r="S7" s="49">
        <v>688.7</v>
      </c>
      <c r="T7" s="49">
        <v>616.9</v>
      </c>
      <c r="U7" s="50">
        <v>738</v>
      </c>
      <c r="V7" s="831">
        <v>2596.9</v>
      </c>
      <c r="W7" s="652">
        <v>599.79999999999995</v>
      </c>
      <c r="X7" s="651">
        <v>645</v>
      </c>
      <c r="Y7" s="652">
        <v>562.9</v>
      </c>
      <c r="Z7" s="50">
        <v>658.4</v>
      </c>
      <c r="AA7" s="831">
        <f t="shared" ref="AA7:AA35" si="7">SUM(W7:Z7)</f>
        <v>2466.1</v>
      </c>
      <c r="AB7" s="652">
        <v>562.1</v>
      </c>
      <c r="AC7" s="651">
        <v>652.29999999999995</v>
      </c>
      <c r="AD7" s="652">
        <v>588.4</v>
      </c>
      <c r="AE7" s="652">
        <v>735.8</v>
      </c>
      <c r="AF7" s="831">
        <f t="shared" ref="AF7:AF35" si="8">SUM(AB7:AE7)</f>
        <v>2538.6000000000004</v>
      </c>
      <c r="AG7" s="652">
        <v>635.9</v>
      </c>
      <c r="AH7" s="49">
        <v>708.5</v>
      </c>
      <c r="AI7" s="49">
        <v>677.7</v>
      </c>
      <c r="AJ7" s="652">
        <v>860.1</v>
      </c>
      <c r="AK7" s="831">
        <f t="shared" ref="AK7:AK10" si="9">SUM(AG7:AJ7)</f>
        <v>2882.2000000000003</v>
      </c>
      <c r="AL7" s="844"/>
      <c r="AM7" s="651">
        <v>635.9</v>
      </c>
      <c r="AN7" s="49">
        <v>738.5</v>
      </c>
      <c r="AO7" s="49">
        <v>741.6</v>
      </c>
      <c r="AP7" s="652">
        <v>927.80000000000018</v>
      </c>
      <c r="AQ7" s="831">
        <f t="shared" ref="AQ7:AQ10" si="10">SUM(AM7:AP7)</f>
        <v>3043.8</v>
      </c>
      <c r="AR7" s="652">
        <v>772.7</v>
      </c>
      <c r="AS7" s="49">
        <v>861.6</v>
      </c>
      <c r="AT7" s="49">
        <v>790.5</v>
      </c>
      <c r="AU7" s="652">
        <v>925.4</v>
      </c>
      <c r="AV7" s="831">
        <f t="shared" ref="AV7:AV10" si="11">SUM(AR7:AU7)</f>
        <v>3350.2000000000003</v>
      </c>
      <c r="AW7" s="652">
        <v>772.7</v>
      </c>
      <c r="AX7" s="49">
        <v>861.6</v>
      </c>
      <c r="AY7" s="49">
        <v>790.5</v>
      </c>
      <c r="AZ7" s="652">
        <v>925.4</v>
      </c>
      <c r="BA7" s="831">
        <f t="shared" ref="BA7:BA10" si="12">SUM(AW7:AZ7)</f>
        <v>3350.2000000000003</v>
      </c>
      <c r="BB7" s="652">
        <v>823.7</v>
      </c>
      <c r="BC7" s="49">
        <v>802.5</v>
      </c>
      <c r="BD7" s="49">
        <v>856.6</v>
      </c>
      <c r="BE7" s="652">
        <v>1043.9000000000001</v>
      </c>
      <c r="BF7" s="831">
        <f t="shared" ref="BF7:BF10" si="13">SUM(BB7:BE7)</f>
        <v>3526.7000000000003</v>
      </c>
      <c r="BG7" s="652">
        <v>880.7</v>
      </c>
      <c r="BH7" s="49">
        <v>964.2</v>
      </c>
      <c r="BI7" s="49">
        <v>827.1</v>
      </c>
      <c r="BJ7" s="652">
        <v>1006.8</v>
      </c>
      <c r="BK7" s="831">
        <f t="shared" ref="BK7:BK10" si="14">SUM(BG7:BJ7)</f>
        <v>3678.8</v>
      </c>
      <c r="BL7" s="652">
        <v>813.1</v>
      </c>
      <c r="BM7" s="49">
        <v>879.8</v>
      </c>
      <c r="BN7" s="49">
        <v>840.90000000000009</v>
      </c>
      <c r="BO7" s="652">
        <f>3531.7-BN7-BM7-BL7</f>
        <v>997.89999999999975</v>
      </c>
      <c r="BP7" s="831">
        <f t="shared" ref="BP7:BP10" si="15">SUM(BL7:BO7)</f>
        <v>3531.7</v>
      </c>
      <c r="BQ7" s="706">
        <v>792.3</v>
      </c>
      <c r="BR7" s="652">
        <v>859</v>
      </c>
      <c r="BS7" s="49">
        <v>799.3</v>
      </c>
      <c r="BT7" s="49">
        <v>929.3</v>
      </c>
      <c r="BU7" s="831">
        <f>SUM(BQ7:BT7)</f>
        <v>3379.8999999999996</v>
      </c>
      <c r="BV7" s="706">
        <v>749.72161727000037</v>
      </c>
      <c r="BW7" s="652">
        <v>848.2</v>
      </c>
      <c r="BX7" s="652">
        <v>763.8</v>
      </c>
      <c r="BY7" s="49">
        <v>898.7</v>
      </c>
      <c r="BZ7" s="831">
        <f>SUM(BV7:BY7)</f>
        <v>3260.4216172699998</v>
      </c>
      <c r="CA7" s="706">
        <v>767.6</v>
      </c>
      <c r="CB7" s="652">
        <v>877.1</v>
      </c>
      <c r="CC7" s="652"/>
      <c r="CD7" s="49"/>
      <c r="CE7" s="831">
        <f>SUM(CA7:CD7)</f>
        <v>1644.7</v>
      </c>
      <c r="CF7" s="378"/>
      <c r="CG7" s="943"/>
      <c r="CH7" s="944"/>
    </row>
    <row r="8" spans="1:92" ht="20.100000000000001" customHeight="1">
      <c r="A8" s="864" t="s">
        <v>37</v>
      </c>
      <c r="B8" s="855" t="s">
        <v>38</v>
      </c>
      <c r="C8" s="652">
        <v>2.7</v>
      </c>
      <c r="D8" s="49">
        <v>6.2</v>
      </c>
      <c r="E8" s="49">
        <v>2.6</v>
      </c>
      <c r="F8" s="49">
        <v>7.2</v>
      </c>
      <c r="G8" s="831">
        <f t="shared" si="4"/>
        <v>18.7</v>
      </c>
      <c r="H8" s="652">
        <v>13.1</v>
      </c>
      <c r="I8" s="49">
        <v>11.8</v>
      </c>
      <c r="J8" s="49">
        <v>7.1</v>
      </c>
      <c r="K8" s="49">
        <v>9.6999999999999993</v>
      </c>
      <c r="L8" s="831">
        <f t="shared" si="5"/>
        <v>41.7</v>
      </c>
      <c r="M8" s="652">
        <v>7.8999999999999986</v>
      </c>
      <c r="N8" s="49">
        <v>55.4</v>
      </c>
      <c r="O8" s="49">
        <v>104.1</v>
      </c>
      <c r="P8" s="49">
        <v>159.9</v>
      </c>
      <c r="Q8" s="831">
        <f t="shared" si="6"/>
        <v>327.29999999999995</v>
      </c>
      <c r="R8" s="652">
        <v>118.4</v>
      </c>
      <c r="S8" s="49">
        <v>106.9</v>
      </c>
      <c r="T8" s="49">
        <v>131.19999999999999</v>
      </c>
      <c r="U8" s="50">
        <v>226.89999999999998</v>
      </c>
      <c r="V8" s="831">
        <v>583.4</v>
      </c>
      <c r="W8" s="652">
        <v>172.8</v>
      </c>
      <c r="X8" s="651">
        <v>191.1</v>
      </c>
      <c r="Y8" s="652">
        <v>221.3</v>
      </c>
      <c r="Z8" s="50">
        <v>265.60000000000002</v>
      </c>
      <c r="AA8" s="831">
        <f t="shared" si="7"/>
        <v>850.80000000000007</v>
      </c>
      <c r="AB8" s="652">
        <v>248.6</v>
      </c>
      <c r="AC8" s="651">
        <v>243.3</v>
      </c>
      <c r="AD8" s="652">
        <v>264.5</v>
      </c>
      <c r="AE8" s="652">
        <v>298.8</v>
      </c>
      <c r="AF8" s="831">
        <f t="shared" si="8"/>
        <v>1055.2</v>
      </c>
      <c r="AG8" s="652">
        <v>208.6</v>
      </c>
      <c r="AH8" s="49">
        <v>239</v>
      </c>
      <c r="AI8" s="49">
        <v>237.6</v>
      </c>
      <c r="AJ8" s="652">
        <v>286.2</v>
      </c>
      <c r="AK8" s="831">
        <f t="shared" si="9"/>
        <v>971.40000000000009</v>
      </c>
      <c r="AL8" s="844"/>
      <c r="AM8" s="651">
        <v>317.5</v>
      </c>
      <c r="AN8" s="49">
        <v>341.7</v>
      </c>
      <c r="AO8" s="49">
        <v>328.6</v>
      </c>
      <c r="AP8" s="652">
        <v>398.20000000000005</v>
      </c>
      <c r="AQ8" s="831">
        <f t="shared" si="10"/>
        <v>1386</v>
      </c>
      <c r="AR8" s="652">
        <v>347.4</v>
      </c>
      <c r="AS8" s="49">
        <v>379.3</v>
      </c>
      <c r="AT8" s="49">
        <v>412.9</v>
      </c>
      <c r="AU8" s="652">
        <v>445.4</v>
      </c>
      <c r="AV8" s="831">
        <f t="shared" si="11"/>
        <v>1585</v>
      </c>
      <c r="AW8" s="652">
        <v>347.4</v>
      </c>
      <c r="AX8" s="49">
        <v>379.3</v>
      </c>
      <c r="AY8" s="49">
        <v>412.9</v>
      </c>
      <c r="AZ8" s="652">
        <v>445.4</v>
      </c>
      <c r="BA8" s="831">
        <f t="shared" si="12"/>
        <v>1585</v>
      </c>
      <c r="BB8" s="652">
        <v>345.7</v>
      </c>
      <c r="BC8" s="49">
        <v>392.9</v>
      </c>
      <c r="BD8" s="49">
        <v>433.7</v>
      </c>
      <c r="BE8" s="652">
        <v>424.4</v>
      </c>
      <c r="BF8" s="831">
        <f t="shared" si="13"/>
        <v>1596.6999999999998</v>
      </c>
      <c r="BG8" s="652">
        <v>332.7</v>
      </c>
      <c r="BH8" s="49">
        <v>350.4</v>
      </c>
      <c r="BI8" s="49">
        <v>359.1</v>
      </c>
      <c r="BJ8" s="652">
        <v>408.1</v>
      </c>
      <c r="BK8" s="831">
        <f t="shared" si="14"/>
        <v>1450.2999999999997</v>
      </c>
      <c r="BL8" s="652">
        <v>336.5</v>
      </c>
      <c r="BM8" s="49">
        <v>450.5</v>
      </c>
      <c r="BN8" s="49">
        <v>472.70000000000005</v>
      </c>
      <c r="BO8" s="652">
        <f>1805.1-BN8-BM8-BL8</f>
        <v>545.39999999999986</v>
      </c>
      <c r="BP8" s="831">
        <f t="shared" si="15"/>
        <v>1805.1</v>
      </c>
      <c r="BQ8" s="706">
        <v>484.9</v>
      </c>
      <c r="BR8" s="652">
        <v>483.6</v>
      </c>
      <c r="BS8" s="49">
        <v>446.5</v>
      </c>
      <c r="BT8" s="49">
        <v>506.7</v>
      </c>
      <c r="BU8" s="831">
        <f>SUM(BQ8:BT8)</f>
        <v>1921.7</v>
      </c>
      <c r="BV8" s="706">
        <v>425.94365038999973</v>
      </c>
      <c r="BW8" s="652">
        <v>432.8</v>
      </c>
      <c r="BX8" s="652">
        <v>457.2</v>
      </c>
      <c r="BY8" s="49">
        <v>478.6</v>
      </c>
      <c r="BZ8" s="831">
        <f>SUM(BV8:BY8)</f>
        <v>1794.5436503899996</v>
      </c>
      <c r="CA8" s="706">
        <v>424.8</v>
      </c>
      <c r="CB8" s="652">
        <v>391.5</v>
      </c>
      <c r="CC8" s="652"/>
      <c r="CD8" s="49"/>
      <c r="CE8" s="831">
        <f>SUM(CA8:CD8)</f>
        <v>816.3</v>
      </c>
      <c r="CF8" s="378"/>
      <c r="CG8" s="943"/>
      <c r="CH8" s="944"/>
    </row>
    <row r="9" spans="1:92" ht="20.100000000000001" customHeight="1">
      <c r="A9" s="864" t="s">
        <v>39</v>
      </c>
      <c r="B9" s="855" t="s">
        <v>40</v>
      </c>
      <c r="C9" s="652"/>
      <c r="D9" s="49"/>
      <c r="E9" s="49"/>
      <c r="F9" s="49"/>
      <c r="G9" s="831"/>
      <c r="H9" s="652"/>
      <c r="I9" s="49"/>
      <c r="J9" s="49"/>
      <c r="K9" s="49"/>
      <c r="L9" s="831"/>
      <c r="M9" s="652"/>
      <c r="N9" s="49"/>
      <c r="O9" s="49"/>
      <c r="P9" s="49"/>
      <c r="Q9" s="831"/>
      <c r="R9" s="652"/>
      <c r="S9" s="49"/>
      <c r="T9" s="49"/>
      <c r="U9" s="50"/>
      <c r="V9" s="831"/>
      <c r="W9" s="652"/>
      <c r="X9" s="651"/>
      <c r="Y9" s="652"/>
      <c r="Z9" s="50"/>
      <c r="AA9" s="831"/>
      <c r="AB9" s="652"/>
      <c r="AC9" s="651"/>
      <c r="AD9" s="652"/>
      <c r="AE9" s="652"/>
      <c r="AF9" s="831"/>
      <c r="AG9" s="652"/>
      <c r="AH9" s="49"/>
      <c r="AI9" s="49"/>
      <c r="AJ9" s="652"/>
      <c r="AK9" s="831"/>
      <c r="AL9" s="844"/>
      <c r="AM9" s="651"/>
      <c r="AN9" s="49"/>
      <c r="AO9" s="49"/>
      <c r="AP9" s="652"/>
      <c r="AQ9" s="831"/>
      <c r="AR9" s="652"/>
      <c r="AS9" s="49"/>
      <c r="AT9" s="49"/>
      <c r="AU9" s="652"/>
      <c r="AV9" s="831"/>
      <c r="AW9" s="652"/>
      <c r="AX9" s="49"/>
      <c r="AY9" s="49"/>
      <c r="AZ9" s="652"/>
      <c r="BA9" s="831"/>
      <c r="BB9" s="652"/>
      <c r="BC9" s="49"/>
      <c r="BD9" s="49"/>
      <c r="BE9" s="652"/>
      <c r="BF9" s="831"/>
      <c r="BG9" s="652"/>
      <c r="BH9" s="49"/>
      <c r="BI9" s="49"/>
      <c r="BJ9" s="652"/>
      <c r="BK9" s="831"/>
      <c r="BL9" s="652"/>
      <c r="BM9" s="49"/>
      <c r="BN9" s="49"/>
      <c r="BO9" s="652"/>
      <c r="BP9" s="831"/>
      <c r="BQ9" s="706"/>
      <c r="BR9" s="652"/>
      <c r="BS9" s="49">
        <v>272</v>
      </c>
      <c r="BT9" s="49">
        <v>285.60000000000002</v>
      </c>
      <c r="BU9" s="831">
        <f>SUM(BQ9:BT9)</f>
        <v>557.6</v>
      </c>
      <c r="BV9" s="706">
        <v>281.85690662000002</v>
      </c>
      <c r="BW9" s="652">
        <v>249</v>
      </c>
      <c r="BX9" s="652">
        <v>359.1</v>
      </c>
      <c r="BY9" s="49">
        <v>340</v>
      </c>
      <c r="BZ9" s="831">
        <f>SUM(BV9:BY9)</f>
        <v>1229.9569066200002</v>
      </c>
      <c r="CA9" s="706">
        <v>309.39999999999998</v>
      </c>
      <c r="CB9" s="652">
        <v>302.8</v>
      </c>
      <c r="CC9" s="652"/>
      <c r="CD9" s="49"/>
      <c r="CE9" s="831">
        <f>SUM(CA9:CD9)</f>
        <v>612.20000000000005</v>
      </c>
      <c r="CF9" s="378"/>
      <c r="CG9" s="943"/>
      <c r="CH9" s="944"/>
    </row>
    <row r="10" spans="1:92" ht="20.100000000000001" customHeight="1">
      <c r="A10" s="864" t="s">
        <v>782</v>
      </c>
      <c r="B10" s="855" t="s">
        <v>783</v>
      </c>
      <c r="C10" s="652">
        <v>7.9</v>
      </c>
      <c r="D10" s="49">
        <v>7.8</v>
      </c>
      <c r="E10" s="49">
        <v>9.5</v>
      </c>
      <c r="F10" s="49">
        <v>10.5</v>
      </c>
      <c r="G10" s="831">
        <f t="shared" si="4"/>
        <v>35.700000000000003</v>
      </c>
      <c r="H10" s="652">
        <v>8.5</v>
      </c>
      <c r="I10" s="49">
        <v>6.9</v>
      </c>
      <c r="J10" s="49">
        <v>5.9</v>
      </c>
      <c r="K10" s="49">
        <v>7.5</v>
      </c>
      <c r="L10" s="831">
        <f t="shared" si="5"/>
        <v>28.8</v>
      </c>
      <c r="M10" s="652">
        <v>5.4</v>
      </c>
      <c r="N10" s="49">
        <v>6.9</v>
      </c>
      <c r="O10" s="49">
        <v>13.2</v>
      </c>
      <c r="P10" s="49">
        <v>18.399999999999999</v>
      </c>
      <c r="Q10" s="831">
        <f t="shared" si="6"/>
        <v>43.9</v>
      </c>
      <c r="R10" s="652">
        <v>20.100000000000001</v>
      </c>
      <c r="S10" s="49">
        <v>21.6</v>
      </c>
      <c r="T10" s="49">
        <v>23.5</v>
      </c>
      <c r="U10" s="50">
        <v>24.399999999999991</v>
      </c>
      <c r="V10" s="831">
        <v>89.6</v>
      </c>
      <c r="W10" s="652">
        <v>25.7</v>
      </c>
      <c r="X10" s="651">
        <v>19.899999999999999</v>
      </c>
      <c r="Y10" s="652">
        <v>19.899999999999999</v>
      </c>
      <c r="Z10" s="50">
        <v>22.1</v>
      </c>
      <c r="AA10" s="831">
        <f t="shared" si="7"/>
        <v>87.6</v>
      </c>
      <c r="AB10" s="652">
        <v>35.200000000000003</v>
      </c>
      <c r="AC10" s="651">
        <v>41</v>
      </c>
      <c r="AD10" s="652">
        <v>44</v>
      </c>
      <c r="AE10" s="652">
        <v>46.7</v>
      </c>
      <c r="AF10" s="831">
        <f t="shared" si="8"/>
        <v>166.9</v>
      </c>
      <c r="AG10" s="652">
        <v>46</v>
      </c>
      <c r="AH10" s="49">
        <f>45.6</f>
        <v>45.6</v>
      </c>
      <c r="AI10" s="49">
        <v>38.4</v>
      </c>
      <c r="AJ10" s="652">
        <v>50.9</v>
      </c>
      <c r="AK10" s="831">
        <f t="shared" si="9"/>
        <v>180.9</v>
      </c>
      <c r="AL10" s="844"/>
      <c r="AM10" s="651">
        <v>40.299999999999997</v>
      </c>
      <c r="AN10" s="49">
        <v>40.9</v>
      </c>
      <c r="AO10" s="49">
        <v>34.299999999999997</v>
      </c>
      <c r="AP10" s="652">
        <v>48.199999999999989</v>
      </c>
      <c r="AQ10" s="831">
        <f t="shared" si="10"/>
        <v>163.69999999999999</v>
      </c>
      <c r="AR10" s="652">
        <v>56.3</v>
      </c>
      <c r="AS10" s="49">
        <v>56</v>
      </c>
      <c r="AT10" s="49">
        <v>60.6</v>
      </c>
      <c r="AU10" s="652">
        <v>69.8</v>
      </c>
      <c r="AV10" s="831">
        <f t="shared" si="11"/>
        <v>242.7</v>
      </c>
      <c r="AW10" s="652">
        <v>65.5</v>
      </c>
      <c r="AX10" s="49">
        <v>66</v>
      </c>
      <c r="AY10" s="49">
        <v>70.7</v>
      </c>
      <c r="AZ10" s="652">
        <v>79.900000000000006</v>
      </c>
      <c r="BA10" s="831">
        <f t="shared" si="12"/>
        <v>282.10000000000002</v>
      </c>
      <c r="BB10" s="652">
        <v>74.599999999999994</v>
      </c>
      <c r="BC10" s="49">
        <v>75.3</v>
      </c>
      <c r="BD10" s="49">
        <v>89.4</v>
      </c>
      <c r="BE10" s="652">
        <v>119.8</v>
      </c>
      <c r="BF10" s="831">
        <f t="shared" si="13"/>
        <v>359.09999999999997</v>
      </c>
      <c r="BG10" s="652">
        <v>109.9</v>
      </c>
      <c r="BH10" s="49">
        <v>180.3</v>
      </c>
      <c r="BI10" s="49">
        <v>138.30000000000001</v>
      </c>
      <c r="BJ10" s="652">
        <v>119.4</v>
      </c>
      <c r="BK10" s="831">
        <f t="shared" si="14"/>
        <v>547.90000000000009</v>
      </c>
      <c r="BL10" s="652">
        <v>114.9</v>
      </c>
      <c r="BM10" s="49">
        <v>172</v>
      </c>
      <c r="BN10" s="49">
        <v>204</v>
      </c>
      <c r="BO10" s="652">
        <f>626.4-BN10-BM10-BL10</f>
        <v>135.49999999999997</v>
      </c>
      <c r="BP10" s="831">
        <f t="shared" si="15"/>
        <v>626.4</v>
      </c>
      <c r="BQ10" s="706">
        <v>188.3</v>
      </c>
      <c r="BR10" s="652">
        <v>212.4</v>
      </c>
      <c r="BS10" s="49">
        <v>183.1</v>
      </c>
      <c r="BT10" s="49">
        <v>196.2</v>
      </c>
      <c r="BU10" s="831">
        <f>SUM(BQ10:BT10)</f>
        <v>780</v>
      </c>
      <c r="BV10" s="706">
        <v>176.9</v>
      </c>
      <c r="BW10" s="652">
        <v>139.9</v>
      </c>
      <c r="BX10" s="652">
        <v>182.2</v>
      </c>
      <c r="BY10" s="49">
        <v>300.2</v>
      </c>
      <c r="BZ10" s="831">
        <f>SUM(BV10:BY10)</f>
        <v>799.2</v>
      </c>
      <c r="CA10" s="706">
        <v>229.4</v>
      </c>
      <c r="CB10" s="652">
        <v>207.7</v>
      </c>
      <c r="CC10" s="652"/>
      <c r="CD10" s="49"/>
      <c r="CE10" s="831">
        <f>SUM(CA10:CD10)</f>
        <v>437.1</v>
      </c>
      <c r="CF10" s="378"/>
      <c r="CG10" s="943"/>
      <c r="CH10" s="944"/>
    </row>
    <row r="11" spans="1:92" s="653" customFormat="1" ht="22.5" customHeight="1">
      <c r="A11" s="856" t="s">
        <v>41</v>
      </c>
      <c r="B11" s="856" t="s">
        <v>42</v>
      </c>
      <c r="C11" s="657">
        <f t="shared" ref="C11:AK11" si="16">SUM(C12:C21)</f>
        <v>-464.5</v>
      </c>
      <c r="D11" s="657">
        <f t="shared" si="16"/>
        <v>-499.7</v>
      </c>
      <c r="E11" s="657">
        <f t="shared" si="16"/>
        <v>-444.9</v>
      </c>
      <c r="F11" s="657">
        <f t="shared" si="16"/>
        <v>-562.4</v>
      </c>
      <c r="G11" s="829">
        <f t="shared" si="16"/>
        <v>-1971.5000000000002</v>
      </c>
      <c r="H11" s="657">
        <f t="shared" si="16"/>
        <v>-512.92000000000007</v>
      </c>
      <c r="I11" s="657">
        <f t="shared" si="16"/>
        <v>-542.4</v>
      </c>
      <c r="J11" s="657">
        <f t="shared" si="16"/>
        <v>-510.7</v>
      </c>
      <c r="K11" s="657">
        <f t="shared" si="16"/>
        <v>-591.70000000000005</v>
      </c>
      <c r="L11" s="829">
        <f t="shared" si="16"/>
        <v>-2157.7199999999998</v>
      </c>
      <c r="M11" s="657">
        <f t="shared" si="16"/>
        <v>-507.40000000000003</v>
      </c>
      <c r="N11" s="657">
        <f t="shared" si="16"/>
        <v>-1351.8000000000002</v>
      </c>
      <c r="O11" s="657">
        <f t="shared" si="16"/>
        <v>-1992.5000000000002</v>
      </c>
      <c r="P11" s="657">
        <f t="shared" si="16"/>
        <v>-2125.3999999999996</v>
      </c>
      <c r="Q11" s="829">
        <f t="shared" si="16"/>
        <v>-5977.1</v>
      </c>
      <c r="R11" s="657">
        <f t="shared" si="16"/>
        <v>-1909</v>
      </c>
      <c r="S11" s="657">
        <f t="shared" si="16"/>
        <v>-1899.4999999999998</v>
      </c>
      <c r="T11" s="657">
        <f t="shared" si="16"/>
        <v>-1900.1</v>
      </c>
      <c r="U11" s="657">
        <f t="shared" si="16"/>
        <v>-2159.2999999999997</v>
      </c>
      <c r="V11" s="829">
        <f t="shared" si="16"/>
        <v>-7867.9000000000005</v>
      </c>
      <c r="W11" s="657">
        <f t="shared" si="16"/>
        <v>-1948</v>
      </c>
      <c r="X11" s="657">
        <f t="shared" si="16"/>
        <v>-2042</v>
      </c>
      <c r="Y11" s="658">
        <f t="shared" si="16"/>
        <v>-1938.6999999999998</v>
      </c>
      <c r="Z11" s="658">
        <f t="shared" si="16"/>
        <v>-2140.6</v>
      </c>
      <c r="AA11" s="829">
        <f t="shared" si="16"/>
        <v>-8069.2999999999993</v>
      </c>
      <c r="AB11" s="657">
        <f t="shared" si="16"/>
        <v>-1938.1999999999996</v>
      </c>
      <c r="AC11" s="657">
        <f t="shared" si="16"/>
        <v>-1962.8000000000002</v>
      </c>
      <c r="AD11" s="657">
        <f t="shared" si="16"/>
        <v>-1975.7</v>
      </c>
      <c r="AE11" s="657">
        <f t="shared" si="16"/>
        <v>-2139.1999999999998</v>
      </c>
      <c r="AF11" s="829">
        <f t="shared" si="16"/>
        <v>-8015.9</v>
      </c>
      <c r="AG11" s="657">
        <f t="shared" si="16"/>
        <v>-1903.1000000000001</v>
      </c>
      <c r="AH11" s="657">
        <f t="shared" si="16"/>
        <v>-1986.5000000000002</v>
      </c>
      <c r="AI11" s="657">
        <f t="shared" si="16"/>
        <v>-2044</v>
      </c>
      <c r="AJ11" s="657">
        <f t="shared" si="16"/>
        <v>-2266</v>
      </c>
      <c r="AK11" s="829">
        <f t="shared" si="16"/>
        <v>-8199.6</v>
      </c>
      <c r="AL11" s="845"/>
      <c r="AM11" s="657">
        <f t="shared" ref="AM11:BO11" si="17">SUM(AM12:AM21)</f>
        <v>-1917.1000000000001</v>
      </c>
      <c r="AN11" s="657">
        <f t="shared" si="17"/>
        <v>-2127</v>
      </c>
      <c r="AO11" s="657">
        <f t="shared" si="17"/>
        <v>-2345.8000000000002</v>
      </c>
      <c r="AP11" s="657">
        <f t="shared" si="17"/>
        <v>-2588.9</v>
      </c>
      <c r="AQ11" s="829">
        <f t="shared" si="17"/>
        <v>-8978.7999999999993</v>
      </c>
      <c r="AR11" s="657">
        <f t="shared" si="17"/>
        <v>-2317.1</v>
      </c>
      <c r="AS11" s="657">
        <f t="shared" si="17"/>
        <v>-2404.4</v>
      </c>
      <c r="AT11" s="657">
        <f t="shared" si="17"/>
        <v>-2433.0000000000005</v>
      </c>
      <c r="AU11" s="657">
        <f t="shared" si="17"/>
        <v>-2592.9999999999995</v>
      </c>
      <c r="AV11" s="829">
        <f t="shared" si="17"/>
        <v>-9747.4999999999982</v>
      </c>
      <c r="AW11" s="657">
        <f t="shared" si="17"/>
        <v>-2317.0000000000005</v>
      </c>
      <c r="AX11" s="657">
        <f t="shared" si="17"/>
        <v>-2407.2000000000003</v>
      </c>
      <c r="AY11" s="657">
        <f t="shared" si="17"/>
        <v>-2436.8000000000002</v>
      </c>
      <c r="AZ11" s="657">
        <f t="shared" si="17"/>
        <v>-2593.8000000000002</v>
      </c>
      <c r="BA11" s="829">
        <f t="shared" si="17"/>
        <v>-9754.7999999999993</v>
      </c>
      <c r="BB11" s="657">
        <f t="shared" si="17"/>
        <v>-2392.1111734799997</v>
      </c>
      <c r="BC11" s="657">
        <f t="shared" si="17"/>
        <v>-2455.5999999999995</v>
      </c>
      <c r="BD11" s="657">
        <f t="shared" si="17"/>
        <v>-2494.8000000000002</v>
      </c>
      <c r="BE11" s="657">
        <f t="shared" si="17"/>
        <v>-2731.3</v>
      </c>
      <c r="BF11" s="829">
        <f t="shared" si="17"/>
        <v>-10073.81117348</v>
      </c>
      <c r="BG11" s="657">
        <f t="shared" si="17"/>
        <v>-2430.9</v>
      </c>
      <c r="BH11" s="657">
        <f t="shared" si="17"/>
        <v>-2468.1000000000004</v>
      </c>
      <c r="BI11" s="657">
        <f t="shared" si="17"/>
        <v>-2595.9</v>
      </c>
      <c r="BJ11" s="657">
        <f t="shared" si="17"/>
        <v>-2810.6000000000004</v>
      </c>
      <c r="BK11" s="829">
        <f t="shared" si="17"/>
        <v>-10305.5</v>
      </c>
      <c r="BL11" s="657">
        <f t="shared" si="17"/>
        <v>-2633.7000000000003</v>
      </c>
      <c r="BM11" s="657">
        <f t="shared" si="17"/>
        <v>-2815.4</v>
      </c>
      <c r="BN11" s="657">
        <f t="shared" si="17"/>
        <v>-2877.2999999999997</v>
      </c>
      <c r="BO11" s="657">
        <f t="shared" si="17"/>
        <v>-3073.4000000000005</v>
      </c>
      <c r="BP11" s="829">
        <f>SUM(BP12:BP21)</f>
        <v>-11399.8</v>
      </c>
      <c r="BQ11" s="707">
        <f>SUM(BQ12:BQ21)</f>
        <v>-2891.8999999999996</v>
      </c>
      <c r="BR11" s="657">
        <f t="shared" ref="BR11" si="18">SUM(BR12:BR21)</f>
        <v>-2945</v>
      </c>
      <c r="BS11" s="657">
        <f t="shared" ref="BS11:CE11" si="19">SUM(BS12:BS17,BS19:BS21)</f>
        <v>-3165.1999999999994</v>
      </c>
      <c r="BT11" s="657">
        <f t="shared" si="19"/>
        <v>-3486.6999999999994</v>
      </c>
      <c r="BU11" s="829">
        <f t="shared" si="19"/>
        <v>-12488.8</v>
      </c>
      <c r="BV11" s="657">
        <f t="shared" si="19"/>
        <v>-3116.2999999999997</v>
      </c>
      <c r="BW11" s="657">
        <f t="shared" si="19"/>
        <v>-3085.8</v>
      </c>
      <c r="BX11" s="657">
        <f t="shared" si="19"/>
        <v>-2987.7999999999997</v>
      </c>
      <c r="BY11" s="657">
        <f t="shared" si="19"/>
        <v>-3439.4</v>
      </c>
      <c r="BZ11" s="829">
        <f t="shared" si="19"/>
        <v>-12629.300000000001</v>
      </c>
      <c r="CA11" s="657">
        <f t="shared" si="19"/>
        <v>-3105.9</v>
      </c>
      <c r="CB11" s="657">
        <f t="shared" si="19"/>
        <v>-3182.7999999999997</v>
      </c>
      <c r="CC11" s="657"/>
      <c r="CD11" s="657"/>
      <c r="CE11" s="829">
        <f t="shared" si="19"/>
        <v>-6288.6999999999989</v>
      </c>
      <c r="CF11" s="378"/>
      <c r="CG11" s="943"/>
      <c r="CH11" s="944"/>
    </row>
    <row r="12" spans="1:92" ht="30" customHeight="1">
      <c r="A12" s="864" t="s">
        <v>43</v>
      </c>
      <c r="B12" s="857" t="s">
        <v>44</v>
      </c>
      <c r="C12" s="53">
        <v>-49.7</v>
      </c>
      <c r="D12" s="52">
        <v>-55.1</v>
      </c>
      <c r="E12" s="52">
        <v>-58.6</v>
      </c>
      <c r="F12" s="52">
        <v>-59.3</v>
      </c>
      <c r="G12" s="832">
        <f>SUM(C12:F12)</f>
        <v>-222.7</v>
      </c>
      <c r="H12" s="53">
        <v>-60.7</v>
      </c>
      <c r="I12" s="52">
        <v>-62</v>
      </c>
      <c r="J12" s="52">
        <v>-62.2</v>
      </c>
      <c r="K12" s="52">
        <v>-71.400000000000006</v>
      </c>
      <c r="L12" s="832">
        <f>SUM(H12:K12)</f>
        <v>-256.3</v>
      </c>
      <c r="M12" s="53">
        <v>-71.300000000000011</v>
      </c>
      <c r="N12" s="52">
        <v>-288</v>
      </c>
      <c r="O12" s="52">
        <v>-495.9</v>
      </c>
      <c r="P12" s="52">
        <v>-557.20000000000005</v>
      </c>
      <c r="Q12" s="832">
        <f>SUM(M12:P12)</f>
        <v>-1412.4</v>
      </c>
      <c r="R12" s="53">
        <v>-482.3</v>
      </c>
      <c r="S12" s="52">
        <v>-522.4</v>
      </c>
      <c r="T12" s="52">
        <v>-551.20000000000005</v>
      </c>
      <c r="U12" s="50">
        <v>-585.09999999999991</v>
      </c>
      <c r="V12" s="832">
        <v>-2141</v>
      </c>
      <c r="W12" s="53">
        <v>-550.29999999999995</v>
      </c>
      <c r="X12" s="53">
        <v>-456.6</v>
      </c>
      <c r="Y12" s="36">
        <v>-459.2</v>
      </c>
      <c r="Z12" s="50">
        <v>-472.6</v>
      </c>
      <c r="AA12" s="832">
        <f>SUM(W12:Z12)</f>
        <v>-1938.6999999999998</v>
      </c>
      <c r="AB12" s="53">
        <v>-468.2</v>
      </c>
      <c r="AC12" s="53">
        <v>-483.5</v>
      </c>
      <c r="AD12" s="36">
        <v>-528.5</v>
      </c>
      <c r="AE12" s="36">
        <v>-533.79999999999995</v>
      </c>
      <c r="AF12" s="832">
        <f t="shared" si="8"/>
        <v>-2014</v>
      </c>
      <c r="AG12" s="53">
        <v>-504.5</v>
      </c>
      <c r="AH12" s="52">
        <v>-521.1</v>
      </c>
      <c r="AI12" s="52">
        <v>-550.29999999999995</v>
      </c>
      <c r="AJ12" s="36">
        <v>-560.1</v>
      </c>
      <c r="AK12" s="832">
        <f t="shared" ref="AK12:AK24" si="20">SUM(AG12:AJ12)</f>
        <v>-2136</v>
      </c>
      <c r="AL12" s="844"/>
      <c r="AM12" s="53">
        <v>-504.5</v>
      </c>
      <c r="AN12" s="52">
        <v>-578.5</v>
      </c>
      <c r="AO12" s="52">
        <v>-674.8</v>
      </c>
      <c r="AP12" s="36">
        <v>-691.10000000000014</v>
      </c>
      <c r="AQ12" s="832">
        <f t="shared" ref="AQ12:AQ24" si="21">SUM(AM12:AP12)</f>
        <v>-2448.9</v>
      </c>
      <c r="AR12" s="53">
        <v>-651.29999999999995</v>
      </c>
      <c r="AS12" s="52">
        <v>-678.4</v>
      </c>
      <c r="AT12" s="52">
        <v>-664.1</v>
      </c>
      <c r="AU12" s="36">
        <v>-670.2</v>
      </c>
      <c r="AV12" s="832">
        <f t="shared" ref="AV12:AV24" si="22">SUM(AR12:AU12)</f>
        <v>-2664</v>
      </c>
      <c r="AW12" s="53">
        <v>-563.79999999999995</v>
      </c>
      <c r="AX12" s="52">
        <v>-591.4</v>
      </c>
      <c r="AY12" s="52">
        <v>-575.79999999999995</v>
      </c>
      <c r="AZ12" s="36">
        <v>-580.29999999999995</v>
      </c>
      <c r="BA12" s="832">
        <f t="shared" ref="BA12:BA24" si="23">SUM(AW12:AZ12)</f>
        <v>-2311.2999999999997</v>
      </c>
      <c r="BB12" s="53">
        <v>-600.79999999999995</v>
      </c>
      <c r="BC12" s="52">
        <v>-636.1</v>
      </c>
      <c r="BD12" s="52">
        <v>-609</v>
      </c>
      <c r="BE12" s="36">
        <v>-615</v>
      </c>
      <c r="BF12" s="832">
        <f t="shared" ref="BF12:BF24" si="24">SUM(BB12:BE12)</f>
        <v>-2460.9</v>
      </c>
      <c r="BG12" s="53">
        <v>-624.70000000000005</v>
      </c>
      <c r="BH12" s="52">
        <v>-633</v>
      </c>
      <c r="BI12" s="52">
        <v>-790.3</v>
      </c>
      <c r="BJ12" s="36">
        <v>-801.7</v>
      </c>
      <c r="BK12" s="832">
        <f t="shared" ref="BK12:BK23" si="25">SUM(BG12:BJ12)</f>
        <v>-2849.7</v>
      </c>
      <c r="BL12" s="53">
        <v>-809.5</v>
      </c>
      <c r="BM12" s="52">
        <f>-808</f>
        <v>-808</v>
      </c>
      <c r="BN12" s="52">
        <v>-823.19999999999982</v>
      </c>
      <c r="BO12" s="36">
        <f>-3271.5-BN12-BM12-BL12</f>
        <v>-830.80000000000018</v>
      </c>
      <c r="BP12" s="832">
        <f t="shared" ref="BP12:BP23" si="26">SUM(BL12:BO12)</f>
        <v>-3271.5</v>
      </c>
      <c r="BQ12" s="708">
        <v>-808.6</v>
      </c>
      <c r="BR12" s="52">
        <v>-823.9</v>
      </c>
      <c r="BS12" s="52">
        <v>-838.1</v>
      </c>
      <c r="BT12" s="52">
        <v>-862.1</v>
      </c>
      <c r="BU12" s="832">
        <f t="shared" ref="BU12:BU17" si="27">SUM(BQ12:BT12)</f>
        <v>-3332.7</v>
      </c>
      <c r="BV12" s="708">
        <v>-802.6</v>
      </c>
      <c r="BW12" s="52">
        <v>-820.1</v>
      </c>
      <c r="BX12" s="52">
        <v>-869.7</v>
      </c>
      <c r="BY12" s="52">
        <v>-872.3</v>
      </c>
      <c r="BZ12" s="832">
        <f t="shared" ref="BZ12:BZ17" si="28">SUM(BV12:BY12)</f>
        <v>-3364.7</v>
      </c>
      <c r="CA12" s="708">
        <v>-854.4</v>
      </c>
      <c r="CB12" s="52">
        <v>-879.6</v>
      </c>
      <c r="CC12" s="52"/>
      <c r="CD12" s="52"/>
      <c r="CE12" s="832">
        <f t="shared" ref="CE12:CE17" si="29">SUM(CA12:CD12)</f>
        <v>-1734</v>
      </c>
      <c r="CF12" s="930"/>
      <c r="CG12" s="943"/>
      <c r="CH12" s="944"/>
    </row>
    <row r="13" spans="1:92" ht="13.8">
      <c r="A13" s="864" t="s">
        <v>45</v>
      </c>
      <c r="B13" s="855" t="s">
        <v>46</v>
      </c>
      <c r="C13" s="53">
        <v>-54.4</v>
      </c>
      <c r="D13" s="52">
        <v>-56.7</v>
      </c>
      <c r="E13" s="52">
        <v>-60.2</v>
      </c>
      <c r="F13" s="52">
        <v>-71.7</v>
      </c>
      <c r="G13" s="832">
        <f>SUM(C13:F13)</f>
        <v>-243</v>
      </c>
      <c r="H13" s="53">
        <v>-60.7</v>
      </c>
      <c r="I13" s="52">
        <v>-62.3</v>
      </c>
      <c r="J13" s="52">
        <v>-64.8</v>
      </c>
      <c r="K13" s="52">
        <v>-68.599999999999994</v>
      </c>
      <c r="L13" s="832">
        <f>SUM(H13:K13)</f>
        <v>-256.39999999999998</v>
      </c>
      <c r="M13" s="53">
        <v>-62.5</v>
      </c>
      <c r="N13" s="52">
        <v>-311.3</v>
      </c>
      <c r="O13" s="52">
        <v>-478.3</v>
      </c>
      <c r="P13" s="52">
        <v>-443.8</v>
      </c>
      <c r="Q13" s="832">
        <f>SUM(M13:P13)</f>
        <v>-1295.9000000000001</v>
      </c>
      <c r="R13" s="53">
        <v>-467.9</v>
      </c>
      <c r="S13" s="52">
        <v>-393.5</v>
      </c>
      <c r="T13" s="52">
        <v>-401.2</v>
      </c>
      <c r="U13" s="50">
        <v>-436.70000000000005</v>
      </c>
      <c r="V13" s="832">
        <v>-1699.3</v>
      </c>
      <c r="W13" s="53">
        <v>-423.7</v>
      </c>
      <c r="X13" s="53">
        <v>-527.5</v>
      </c>
      <c r="Y13" s="36">
        <v>-507.9</v>
      </c>
      <c r="Z13" s="50">
        <v>-512.4</v>
      </c>
      <c r="AA13" s="832">
        <f>SUM(W13:Z13)</f>
        <v>-1971.5</v>
      </c>
      <c r="AB13" s="53">
        <v>-472.3</v>
      </c>
      <c r="AC13" s="53">
        <v>-446.7</v>
      </c>
      <c r="AD13" s="36">
        <v>-429.2</v>
      </c>
      <c r="AE13" s="36">
        <v>-434.8</v>
      </c>
      <c r="AF13" s="832">
        <f t="shared" si="8"/>
        <v>-1783</v>
      </c>
      <c r="AG13" s="53">
        <v>-454.5</v>
      </c>
      <c r="AH13" s="52">
        <v>-439.1</v>
      </c>
      <c r="AI13" s="52">
        <v>-452.5</v>
      </c>
      <c r="AJ13" s="36">
        <v>-430.6</v>
      </c>
      <c r="AK13" s="832">
        <f t="shared" si="20"/>
        <v>-1776.6999999999998</v>
      </c>
      <c r="AL13" s="844"/>
      <c r="AM13" s="53">
        <v>-454.5</v>
      </c>
      <c r="AN13" s="52">
        <v>-470.8</v>
      </c>
      <c r="AO13" s="52">
        <v>-523.5</v>
      </c>
      <c r="AP13" s="36">
        <v>-521.90000000000009</v>
      </c>
      <c r="AQ13" s="832">
        <f t="shared" si="21"/>
        <v>-1970.7</v>
      </c>
      <c r="AR13" s="53">
        <v>-440.1</v>
      </c>
      <c r="AS13" s="52">
        <v>-444.6</v>
      </c>
      <c r="AT13" s="52">
        <v>-448.5</v>
      </c>
      <c r="AU13" s="36">
        <v>-453.2</v>
      </c>
      <c r="AV13" s="832">
        <f t="shared" si="22"/>
        <v>-1786.4</v>
      </c>
      <c r="AW13" s="53">
        <v>-547.1</v>
      </c>
      <c r="AX13" s="52">
        <v>-553.6</v>
      </c>
      <c r="AY13" s="52">
        <v>-561.5</v>
      </c>
      <c r="AZ13" s="36">
        <v>-567.5</v>
      </c>
      <c r="BA13" s="832">
        <f t="shared" si="23"/>
        <v>-2229.6999999999998</v>
      </c>
      <c r="BB13" s="53">
        <v>-564.5</v>
      </c>
      <c r="BC13" s="52">
        <v>-565.9</v>
      </c>
      <c r="BD13" s="52">
        <v>-573</v>
      </c>
      <c r="BE13" s="36">
        <v>-602.29999999999995</v>
      </c>
      <c r="BF13" s="832">
        <f t="shared" si="24"/>
        <v>-2305.6999999999998</v>
      </c>
      <c r="BG13" s="53">
        <v>-521.20000000000005</v>
      </c>
      <c r="BH13" s="52">
        <v>-457.2</v>
      </c>
      <c r="BI13" s="52">
        <v>-463.6</v>
      </c>
      <c r="BJ13" s="36">
        <v>-461.2</v>
      </c>
      <c r="BK13" s="832">
        <f t="shared" si="25"/>
        <v>-1903.2</v>
      </c>
      <c r="BL13" s="53">
        <v>-446.3</v>
      </c>
      <c r="BM13" s="52">
        <v>-467.5</v>
      </c>
      <c r="BN13" s="52">
        <v>-452.1</v>
      </c>
      <c r="BO13" s="36">
        <f>-1829-BN13-BM13-BL13</f>
        <v>-463.10000000000008</v>
      </c>
      <c r="BP13" s="832">
        <f t="shared" si="26"/>
        <v>-1829.0000000000002</v>
      </c>
      <c r="BQ13" s="708">
        <v>-462.5</v>
      </c>
      <c r="BR13" s="52">
        <v>-468.7</v>
      </c>
      <c r="BS13" s="52">
        <v>-475</v>
      </c>
      <c r="BT13" s="52">
        <v>-494.2</v>
      </c>
      <c r="BU13" s="832">
        <f t="shared" si="27"/>
        <v>-1900.4</v>
      </c>
      <c r="BV13" s="708">
        <v>-481</v>
      </c>
      <c r="BW13" s="52">
        <v>-455.7</v>
      </c>
      <c r="BX13" s="52">
        <v>-303.2</v>
      </c>
      <c r="BY13" s="52">
        <v>-373.2</v>
      </c>
      <c r="BZ13" s="832">
        <f t="shared" si="28"/>
        <v>-1613.1000000000001</v>
      </c>
      <c r="CA13" s="708">
        <v>-374.6</v>
      </c>
      <c r="CB13" s="52">
        <v>-396.1</v>
      </c>
      <c r="CC13" s="52"/>
      <c r="CD13" s="52"/>
      <c r="CE13" s="832">
        <f t="shared" si="29"/>
        <v>-770.7</v>
      </c>
      <c r="CF13" s="930"/>
      <c r="CG13" s="943"/>
      <c r="CH13" s="944"/>
    </row>
    <row r="14" spans="1:92" ht="18.75" customHeight="1">
      <c r="A14" s="864" t="s">
        <v>47</v>
      </c>
      <c r="B14" s="855" t="s">
        <v>48</v>
      </c>
      <c r="C14" s="53">
        <v>-5.5</v>
      </c>
      <c r="D14" s="52">
        <v>-7.6</v>
      </c>
      <c r="E14" s="52">
        <v>-7</v>
      </c>
      <c r="F14" s="52">
        <v>-16.100000000000001</v>
      </c>
      <c r="G14" s="832">
        <f>SUM(C14:F14)</f>
        <v>-36.200000000000003</v>
      </c>
      <c r="H14" s="53">
        <v>-25.8</v>
      </c>
      <c r="I14" s="52">
        <v>-16.8</v>
      </c>
      <c r="J14" s="52">
        <v>-10.7</v>
      </c>
      <c r="K14" s="52">
        <v>-10.6</v>
      </c>
      <c r="L14" s="832">
        <f>SUM(H14:K14)</f>
        <v>-63.9</v>
      </c>
      <c r="M14" s="53">
        <v>-10.300000000000011</v>
      </c>
      <c r="N14" s="52">
        <v>-189.7</v>
      </c>
      <c r="O14" s="52">
        <v>-348.6</v>
      </c>
      <c r="P14" s="52">
        <v>-376.6</v>
      </c>
      <c r="Q14" s="832">
        <f>SUM(M14:P14)</f>
        <v>-925.2</v>
      </c>
      <c r="R14" s="53">
        <v>-332.5</v>
      </c>
      <c r="S14" s="52">
        <v>-291.7</v>
      </c>
      <c r="T14" s="52">
        <v>-314.89999999999998</v>
      </c>
      <c r="U14" s="50">
        <v>-393.59999999999991</v>
      </c>
      <c r="V14" s="832">
        <v>-1332.8</v>
      </c>
      <c r="W14" s="53">
        <v>-326.8</v>
      </c>
      <c r="X14" s="53">
        <v>-317.3</v>
      </c>
      <c r="Y14" s="36">
        <v>-330.5</v>
      </c>
      <c r="Z14" s="50">
        <v>-380.1</v>
      </c>
      <c r="AA14" s="832">
        <f>SUM(W14:Z14)</f>
        <v>-1354.7</v>
      </c>
      <c r="AB14" s="53">
        <v>-323.60000000000002</v>
      </c>
      <c r="AC14" s="53">
        <v>-318.8</v>
      </c>
      <c r="AD14" s="36">
        <v>-323.3</v>
      </c>
      <c r="AE14" s="36">
        <v>-357.9</v>
      </c>
      <c r="AF14" s="832">
        <f t="shared" si="8"/>
        <v>-1323.6</v>
      </c>
      <c r="AG14" s="53">
        <v>-258.5</v>
      </c>
      <c r="AH14" s="52">
        <v>-275.2</v>
      </c>
      <c r="AI14" s="52">
        <v>-277.3</v>
      </c>
      <c r="AJ14" s="36">
        <v>-331.7</v>
      </c>
      <c r="AK14" s="832">
        <f t="shared" si="20"/>
        <v>-1142.7</v>
      </c>
      <c r="AL14" s="844"/>
      <c r="AM14" s="53">
        <v>-272.5</v>
      </c>
      <c r="AN14" s="52">
        <v>-282.5</v>
      </c>
      <c r="AO14" s="52">
        <v>-281.10000000000002</v>
      </c>
      <c r="AP14" s="36">
        <v>-338.1</v>
      </c>
      <c r="AQ14" s="832">
        <f t="shared" si="21"/>
        <v>-1174.2</v>
      </c>
      <c r="AR14" s="53">
        <v>-289.39999999999998</v>
      </c>
      <c r="AS14" s="52">
        <v>-321.7</v>
      </c>
      <c r="AT14" s="52">
        <v>-340.7</v>
      </c>
      <c r="AU14" s="36">
        <v>-368.6</v>
      </c>
      <c r="AV14" s="832">
        <f t="shared" si="22"/>
        <v>-1320.4</v>
      </c>
      <c r="AW14" s="53">
        <v>-289.39999999999998</v>
      </c>
      <c r="AX14" s="52">
        <v>-321.7</v>
      </c>
      <c r="AY14" s="52">
        <v>-340.7</v>
      </c>
      <c r="AZ14" s="36">
        <v>-368.6</v>
      </c>
      <c r="BA14" s="832">
        <f t="shared" si="23"/>
        <v>-1320.4</v>
      </c>
      <c r="BB14" s="53">
        <v>-282.3</v>
      </c>
      <c r="BC14" s="52">
        <v>-334.8</v>
      </c>
      <c r="BD14" s="52">
        <v>-361.6</v>
      </c>
      <c r="BE14" s="36">
        <v>-359.5</v>
      </c>
      <c r="BF14" s="832">
        <f t="shared" si="24"/>
        <v>-1338.2</v>
      </c>
      <c r="BG14" s="53">
        <v>-276.7</v>
      </c>
      <c r="BH14" s="52">
        <v>-289.2</v>
      </c>
      <c r="BI14" s="52">
        <v>-297.60000000000002</v>
      </c>
      <c r="BJ14" s="36">
        <v>-337.2</v>
      </c>
      <c r="BK14" s="832">
        <f t="shared" si="25"/>
        <v>-1200.7</v>
      </c>
      <c r="BL14" s="53">
        <v>-277.5</v>
      </c>
      <c r="BM14" s="52">
        <v>-382</v>
      </c>
      <c r="BN14" s="52">
        <v>-365.40000000000009</v>
      </c>
      <c r="BO14" s="36">
        <f>-1454.4-BN14-BM14-BL14</f>
        <v>-429.5</v>
      </c>
      <c r="BP14" s="832">
        <f t="shared" si="26"/>
        <v>-1454.4</v>
      </c>
      <c r="BQ14" s="708">
        <v>-392.6</v>
      </c>
      <c r="BR14" s="52">
        <v>-384</v>
      </c>
      <c r="BS14" s="52">
        <v>-348.1</v>
      </c>
      <c r="BT14" s="52">
        <v>-415.2</v>
      </c>
      <c r="BU14" s="832">
        <f t="shared" si="27"/>
        <v>-1539.9</v>
      </c>
      <c r="BV14" s="708">
        <v>-328</v>
      </c>
      <c r="BW14" s="52">
        <v>-333.7</v>
      </c>
      <c r="BX14" s="52">
        <v>-365.4</v>
      </c>
      <c r="BY14" s="52">
        <v>-404.8</v>
      </c>
      <c r="BZ14" s="832">
        <f t="shared" si="28"/>
        <v>-1431.8999999999999</v>
      </c>
      <c r="CA14" s="708">
        <v>-328.4</v>
      </c>
      <c r="CB14" s="52">
        <v>-305.5</v>
      </c>
      <c r="CC14" s="52"/>
      <c r="CD14" s="52"/>
      <c r="CE14" s="832">
        <f t="shared" si="29"/>
        <v>-633.9</v>
      </c>
      <c r="CF14" s="930"/>
      <c r="CG14" s="943"/>
      <c r="CH14" s="944"/>
    </row>
    <row r="15" spans="1:92" ht="18.75" customHeight="1">
      <c r="A15" s="864" t="s">
        <v>49</v>
      </c>
      <c r="B15" s="855" t="s">
        <v>50</v>
      </c>
      <c r="C15" s="53">
        <v>-206.8</v>
      </c>
      <c r="D15" s="52">
        <v>-226.6</v>
      </c>
      <c r="E15" s="52">
        <v>-171.5</v>
      </c>
      <c r="F15" s="52">
        <v>-219</v>
      </c>
      <c r="G15" s="832">
        <f>SUM(C15:F15)</f>
        <v>-823.9</v>
      </c>
      <c r="H15" s="53">
        <v>-207.5</v>
      </c>
      <c r="I15" s="52">
        <v>-239.5</v>
      </c>
      <c r="J15" s="52">
        <v>-219.3</v>
      </c>
      <c r="K15" s="52">
        <v>-260.7</v>
      </c>
      <c r="L15" s="832">
        <f>SUM(H15:K15)</f>
        <v>-927</v>
      </c>
      <c r="M15" s="53">
        <v>-210.60000000000002</v>
      </c>
      <c r="N15" s="52">
        <v>-260.89999999999998</v>
      </c>
      <c r="O15" s="52">
        <v>-262.39999999999998</v>
      </c>
      <c r="P15" s="52">
        <v>-295.60000000000002</v>
      </c>
      <c r="Q15" s="832">
        <f>SUM(M15:P15)</f>
        <v>-1029.5</v>
      </c>
      <c r="R15" s="53">
        <v>-235.5</v>
      </c>
      <c r="S15" s="52">
        <v>-274</v>
      </c>
      <c r="T15" s="52">
        <v>-257.3</v>
      </c>
      <c r="U15" s="50">
        <v>-299.10000000000014</v>
      </c>
      <c r="V15" s="832">
        <v>-1065.9000000000001</v>
      </c>
      <c r="W15" s="53">
        <v>-248.5</v>
      </c>
      <c r="X15" s="53">
        <v>-316.3</v>
      </c>
      <c r="Y15" s="36">
        <v>-252.1</v>
      </c>
      <c r="Z15" s="50">
        <v>-297.3</v>
      </c>
      <c r="AA15" s="832">
        <f>SUM(W15:Z15)</f>
        <v>-1114.2</v>
      </c>
      <c r="AB15" s="53">
        <v>-264.3</v>
      </c>
      <c r="AC15" s="53">
        <v>-298.39999999999998</v>
      </c>
      <c r="AD15" s="36">
        <v>-269.7</v>
      </c>
      <c r="AE15" s="36">
        <v>-321.2</v>
      </c>
      <c r="AF15" s="832">
        <f t="shared" si="8"/>
        <v>-1153.6000000000001</v>
      </c>
      <c r="AG15" s="53">
        <v>-269.39999999999998</v>
      </c>
      <c r="AH15" s="52">
        <v>-316.8</v>
      </c>
      <c r="AI15" s="52">
        <v>-323.5</v>
      </c>
      <c r="AJ15" s="36">
        <v>-406.8</v>
      </c>
      <c r="AK15" s="832">
        <f t="shared" si="20"/>
        <v>-1316.5</v>
      </c>
      <c r="AL15" s="844"/>
      <c r="AM15" s="53">
        <v>-269.39999999999998</v>
      </c>
      <c r="AN15" s="52">
        <v>-323</v>
      </c>
      <c r="AO15" s="52">
        <v>-338.9</v>
      </c>
      <c r="AP15" s="36">
        <v>-424</v>
      </c>
      <c r="AQ15" s="832">
        <f t="shared" si="21"/>
        <v>-1355.3</v>
      </c>
      <c r="AR15" s="53">
        <v>-369</v>
      </c>
      <c r="AS15" s="52">
        <v>-418</v>
      </c>
      <c r="AT15" s="52">
        <v>-423</v>
      </c>
      <c r="AU15" s="36">
        <v>-456.9</v>
      </c>
      <c r="AV15" s="832">
        <f t="shared" si="22"/>
        <v>-1666.9</v>
      </c>
      <c r="AW15" s="53">
        <v>-366.9</v>
      </c>
      <c r="AX15" s="52">
        <v>-415.8</v>
      </c>
      <c r="AY15" s="52">
        <v>-421</v>
      </c>
      <c r="AZ15" s="36">
        <v>-454.8</v>
      </c>
      <c r="BA15" s="832">
        <f t="shared" si="23"/>
        <v>-1658.5</v>
      </c>
      <c r="BB15" s="53">
        <v>-388.8</v>
      </c>
      <c r="BC15" s="52">
        <v>-368.9</v>
      </c>
      <c r="BD15" s="52">
        <v>-396.7</v>
      </c>
      <c r="BE15" s="36">
        <v>-484</v>
      </c>
      <c r="BF15" s="832">
        <f t="shared" si="24"/>
        <v>-1638.4</v>
      </c>
      <c r="BG15" s="53">
        <v>-419.4</v>
      </c>
      <c r="BH15" s="52">
        <v>-449.2</v>
      </c>
      <c r="BI15" s="52">
        <v>-426.9</v>
      </c>
      <c r="BJ15" s="36">
        <v>-531.4</v>
      </c>
      <c r="BK15" s="832">
        <f t="shared" si="25"/>
        <v>-1826.9</v>
      </c>
      <c r="BL15" s="53">
        <v>-473.5</v>
      </c>
      <c r="BM15" s="52">
        <v>-504.9</v>
      </c>
      <c r="BN15" s="52">
        <v>-530</v>
      </c>
      <c r="BO15" s="36">
        <f>-2063.9-BN15-BM15-BL15</f>
        <v>-555.5</v>
      </c>
      <c r="BP15" s="832">
        <f t="shared" si="26"/>
        <v>-2063.9</v>
      </c>
      <c r="BQ15" s="708">
        <v>-514.5</v>
      </c>
      <c r="BR15" s="52">
        <v>-529.4</v>
      </c>
      <c r="BS15" s="52">
        <v>-516.6</v>
      </c>
      <c r="BT15" s="52">
        <v>-565.6</v>
      </c>
      <c r="BU15" s="832">
        <f t="shared" si="27"/>
        <v>-2126.1</v>
      </c>
      <c r="BV15" s="708">
        <v>-513</v>
      </c>
      <c r="BW15" s="52">
        <v>-555.4</v>
      </c>
      <c r="BX15" s="52">
        <v>-415.1</v>
      </c>
      <c r="BY15" s="52">
        <v>-590.29999999999995</v>
      </c>
      <c r="BZ15" s="832">
        <f t="shared" si="28"/>
        <v>-2073.8000000000002</v>
      </c>
      <c r="CA15" s="708">
        <v>-478.9</v>
      </c>
      <c r="CB15" s="52">
        <v>-544.9</v>
      </c>
      <c r="CC15" s="52"/>
      <c r="CD15" s="52"/>
      <c r="CE15" s="832">
        <f t="shared" si="29"/>
        <v>-1023.8</v>
      </c>
      <c r="CF15" s="930"/>
      <c r="CG15" s="943"/>
      <c r="CH15" s="944"/>
    </row>
    <row r="16" spans="1:92" ht="27.6">
      <c r="A16" s="864" t="s">
        <v>51</v>
      </c>
      <c r="B16" s="855" t="s">
        <v>52</v>
      </c>
      <c r="C16" s="53">
        <v>-71.5</v>
      </c>
      <c r="D16" s="52">
        <v>-71.8</v>
      </c>
      <c r="E16" s="52">
        <v>-73.7</v>
      </c>
      <c r="F16" s="52">
        <v>-95.7</v>
      </c>
      <c r="G16" s="832">
        <f>SUM(C16:F16)</f>
        <v>-312.7</v>
      </c>
      <c r="H16" s="53">
        <v>-79</v>
      </c>
      <c r="I16" s="52">
        <v>-81.3</v>
      </c>
      <c r="J16" s="52">
        <v>-79.3</v>
      </c>
      <c r="K16" s="52">
        <v>-92.4</v>
      </c>
      <c r="L16" s="832">
        <f>SUM(H16:K16)</f>
        <v>-332</v>
      </c>
      <c r="M16" s="53">
        <v>-75.400000000000006</v>
      </c>
      <c r="N16" s="52">
        <v>-132.19999999999999</v>
      </c>
      <c r="O16" s="52">
        <v>-186.8</v>
      </c>
      <c r="P16" s="52">
        <v>-218.3</v>
      </c>
      <c r="Q16" s="832">
        <f>SUM(M16:P16)</f>
        <v>-612.70000000000005</v>
      </c>
      <c r="R16" s="53">
        <v>-189.2</v>
      </c>
      <c r="S16" s="52">
        <v>-193.2</v>
      </c>
      <c r="T16" s="52">
        <v>-200.1</v>
      </c>
      <c r="U16" s="50">
        <v>-220.1</v>
      </c>
      <c r="V16" s="832">
        <v>-802.6</v>
      </c>
      <c r="W16" s="53">
        <v>-200.5</v>
      </c>
      <c r="X16" s="53">
        <v>-202.2</v>
      </c>
      <c r="Y16" s="36">
        <v>-202.6</v>
      </c>
      <c r="Z16" s="50">
        <v>-222.5</v>
      </c>
      <c r="AA16" s="832">
        <f>SUM(W16:Z16)</f>
        <v>-827.8</v>
      </c>
      <c r="AB16" s="53">
        <v>-211.1</v>
      </c>
      <c r="AC16" s="53">
        <v>-215.9</v>
      </c>
      <c r="AD16" s="36">
        <v>-224</v>
      </c>
      <c r="AE16" s="36">
        <v>-243.3</v>
      </c>
      <c r="AF16" s="832">
        <f t="shared" si="8"/>
        <v>-894.3</v>
      </c>
      <c r="AG16" s="53">
        <v>-205.2</v>
      </c>
      <c r="AH16" s="52">
        <v>-214.9</v>
      </c>
      <c r="AI16" s="52">
        <v>-217.1</v>
      </c>
      <c r="AJ16" s="36">
        <v>-265.60000000000002</v>
      </c>
      <c r="AK16" s="832">
        <f t="shared" si="20"/>
        <v>-902.80000000000007</v>
      </c>
      <c r="AL16" s="844"/>
      <c r="AM16" s="53">
        <v>-205.2</v>
      </c>
      <c r="AN16" s="52">
        <v>-223.5</v>
      </c>
      <c r="AO16" s="52">
        <v>-236.5</v>
      </c>
      <c r="AP16" s="36">
        <v>-268.69999999999993</v>
      </c>
      <c r="AQ16" s="832">
        <f t="shared" si="21"/>
        <v>-933.9</v>
      </c>
      <c r="AR16" s="53">
        <v>-249.5</v>
      </c>
      <c r="AS16" s="52">
        <v>-245.6</v>
      </c>
      <c r="AT16" s="52">
        <v>-261</v>
      </c>
      <c r="AU16" s="36">
        <v>-282.7</v>
      </c>
      <c r="AV16" s="832">
        <f t="shared" si="22"/>
        <v>-1038.8</v>
      </c>
      <c r="AW16" s="53">
        <v>-244.8</v>
      </c>
      <c r="AX16" s="52">
        <v>-241.8</v>
      </c>
      <c r="AY16" s="52">
        <v>-256.60000000000002</v>
      </c>
      <c r="AZ16" s="36">
        <v>-278.10000000000002</v>
      </c>
      <c r="BA16" s="832">
        <f t="shared" si="23"/>
        <v>-1021.3000000000001</v>
      </c>
      <c r="BB16" s="53">
        <v>-224.4</v>
      </c>
      <c r="BC16" s="52">
        <v>-232</v>
      </c>
      <c r="BD16" s="52">
        <v>-247.4</v>
      </c>
      <c r="BE16" s="36">
        <v>-259.39999999999998</v>
      </c>
      <c r="BF16" s="832">
        <f t="shared" si="24"/>
        <v>-963.19999999999993</v>
      </c>
      <c r="BG16" s="53">
        <v>-229</v>
      </c>
      <c r="BH16" s="52">
        <v>-230.6</v>
      </c>
      <c r="BI16" s="52">
        <v>-280.60000000000002</v>
      </c>
      <c r="BJ16" s="36">
        <v>-284.8</v>
      </c>
      <c r="BK16" s="832">
        <f t="shared" si="25"/>
        <v>-1025</v>
      </c>
      <c r="BL16" s="53">
        <v>-251.1</v>
      </c>
      <c r="BM16" s="52">
        <v>-256.2</v>
      </c>
      <c r="BN16" s="52">
        <v>-256.60000000000002</v>
      </c>
      <c r="BO16" s="36">
        <f>-1035-BN16-BM16-BL16</f>
        <v>-271.10000000000002</v>
      </c>
      <c r="BP16" s="832">
        <f t="shared" si="26"/>
        <v>-1035</v>
      </c>
      <c r="BQ16" s="708">
        <v>-243.6</v>
      </c>
      <c r="BR16" s="52">
        <v>-247.7</v>
      </c>
      <c r="BS16" s="52">
        <v>-258.2</v>
      </c>
      <c r="BT16" s="52">
        <v>-277.39999999999998</v>
      </c>
      <c r="BU16" s="832">
        <f t="shared" si="27"/>
        <v>-1026.9000000000001</v>
      </c>
      <c r="BV16" s="708">
        <v>-268.7</v>
      </c>
      <c r="BW16" s="52">
        <v>-255.8</v>
      </c>
      <c r="BX16" s="52">
        <v>-264.10000000000002</v>
      </c>
      <c r="BY16" s="52">
        <v>-290.5</v>
      </c>
      <c r="BZ16" s="832">
        <f t="shared" si="28"/>
        <v>-1079.0999999999999</v>
      </c>
      <c r="CA16" s="708">
        <v>-258.7</v>
      </c>
      <c r="CB16" s="52">
        <v>-293.5</v>
      </c>
      <c r="CC16" s="52"/>
      <c r="CD16" s="52"/>
      <c r="CE16" s="832">
        <f t="shared" si="29"/>
        <v>-552.20000000000005</v>
      </c>
      <c r="CF16" s="930">
        <f>CB16-BW16</f>
        <v>-37.699999999999989</v>
      </c>
      <c r="CG16" s="943">
        <f>CF16/BW16</f>
        <v>0.14738076622361215</v>
      </c>
      <c r="CH16" s="944"/>
    </row>
    <row r="17" spans="1:89" ht="18.75" customHeight="1">
      <c r="A17" s="864" t="s">
        <v>53</v>
      </c>
      <c r="B17" s="855" t="s">
        <v>54</v>
      </c>
      <c r="C17" s="53"/>
      <c r="D17" s="52"/>
      <c r="E17" s="52"/>
      <c r="F17" s="52"/>
      <c r="G17" s="832"/>
      <c r="H17" s="53"/>
      <c r="I17" s="52"/>
      <c r="J17" s="52"/>
      <c r="K17" s="52"/>
      <c r="L17" s="832"/>
      <c r="M17" s="53"/>
      <c r="N17" s="52"/>
      <c r="O17" s="52"/>
      <c r="P17" s="52"/>
      <c r="Q17" s="832"/>
      <c r="R17" s="53"/>
      <c r="S17" s="52"/>
      <c r="T17" s="52"/>
      <c r="U17" s="50"/>
      <c r="V17" s="832"/>
      <c r="W17" s="53"/>
      <c r="X17" s="53"/>
      <c r="Y17" s="36"/>
      <c r="Z17" s="50"/>
      <c r="AA17" s="832"/>
      <c r="AB17" s="53"/>
      <c r="AC17" s="53"/>
      <c r="AD17" s="36"/>
      <c r="AE17" s="36"/>
      <c r="AF17" s="832"/>
      <c r="AG17" s="53"/>
      <c r="AH17" s="52"/>
      <c r="AI17" s="52"/>
      <c r="AJ17" s="36"/>
      <c r="AK17" s="832"/>
      <c r="AL17" s="844"/>
      <c r="AM17" s="53"/>
      <c r="AN17" s="52"/>
      <c r="AO17" s="52"/>
      <c r="AP17" s="36"/>
      <c r="AQ17" s="832"/>
      <c r="AR17" s="53"/>
      <c r="AS17" s="52"/>
      <c r="AT17" s="52"/>
      <c r="AU17" s="36"/>
      <c r="AV17" s="832"/>
      <c r="AW17" s="53"/>
      <c r="AX17" s="52"/>
      <c r="AY17" s="52"/>
      <c r="AZ17" s="36"/>
      <c r="BA17" s="832"/>
      <c r="BB17" s="53"/>
      <c r="BC17" s="52"/>
      <c r="BD17" s="52"/>
      <c r="BE17" s="36"/>
      <c r="BF17" s="832"/>
      <c r="BG17" s="53"/>
      <c r="BH17" s="52"/>
      <c r="BI17" s="52"/>
      <c r="BJ17" s="36"/>
      <c r="BK17" s="832"/>
      <c r="BL17" s="53"/>
      <c r="BM17" s="52"/>
      <c r="BN17" s="52"/>
      <c r="BO17" s="36"/>
      <c r="BP17" s="832"/>
      <c r="BQ17" s="708"/>
      <c r="BR17" s="52"/>
      <c r="BS17" s="52">
        <v>-255.1</v>
      </c>
      <c r="BT17" s="52">
        <v>-268.2</v>
      </c>
      <c r="BU17" s="832">
        <f t="shared" si="27"/>
        <v>-523.29999999999995</v>
      </c>
      <c r="BV17" s="708">
        <v>-241.8</v>
      </c>
      <c r="BW17" s="52">
        <v>-194.1</v>
      </c>
      <c r="BX17" s="52">
        <v>-262.2</v>
      </c>
      <c r="BY17" s="52">
        <v>-263.39999999999998</v>
      </c>
      <c r="BZ17" s="832">
        <f t="shared" si="28"/>
        <v>-961.49999999999989</v>
      </c>
      <c r="CA17" s="708">
        <v>-263.5</v>
      </c>
      <c r="CB17" s="52">
        <v>-226.2</v>
      </c>
      <c r="CC17" s="52"/>
      <c r="CD17" s="52"/>
      <c r="CE17" s="832">
        <f t="shared" si="29"/>
        <v>-489.7</v>
      </c>
      <c r="CF17" s="930">
        <f>CB17-CA17</f>
        <v>37.300000000000011</v>
      </c>
      <c r="CG17" s="943">
        <f>CF17/CA17</f>
        <v>-0.14155597722960156</v>
      </c>
      <c r="CH17" s="944"/>
    </row>
    <row r="18" spans="1:89" s="743" customFormat="1" ht="18.75" customHeight="1">
      <c r="A18" s="858" t="s">
        <v>55</v>
      </c>
      <c r="B18" s="858" t="s">
        <v>56</v>
      </c>
      <c r="C18" s="740"/>
      <c r="D18" s="738"/>
      <c r="E18" s="738"/>
      <c r="F18" s="738"/>
      <c r="G18" s="833"/>
      <c r="H18" s="740"/>
      <c r="I18" s="738"/>
      <c r="J18" s="738"/>
      <c r="K18" s="738"/>
      <c r="L18" s="833"/>
      <c r="M18" s="740"/>
      <c r="N18" s="738"/>
      <c r="O18" s="738"/>
      <c r="P18" s="738"/>
      <c r="Q18" s="833"/>
      <c r="R18" s="740"/>
      <c r="S18" s="738"/>
      <c r="T18" s="738"/>
      <c r="U18" s="739"/>
      <c r="V18" s="833"/>
      <c r="W18" s="740"/>
      <c r="X18" s="740"/>
      <c r="Y18" s="741"/>
      <c r="Z18" s="739"/>
      <c r="AA18" s="833"/>
      <c r="AB18" s="740"/>
      <c r="AC18" s="740"/>
      <c r="AD18" s="741"/>
      <c r="AE18" s="741"/>
      <c r="AF18" s="833"/>
      <c r="AG18" s="740"/>
      <c r="AH18" s="738"/>
      <c r="AI18" s="738"/>
      <c r="AJ18" s="741"/>
      <c r="AK18" s="833"/>
      <c r="AL18" s="846"/>
      <c r="AM18" s="740"/>
      <c r="AN18" s="738"/>
      <c r="AO18" s="738"/>
      <c r="AP18" s="741"/>
      <c r="AQ18" s="833"/>
      <c r="AR18" s="740"/>
      <c r="AS18" s="738"/>
      <c r="AT18" s="738"/>
      <c r="AU18" s="741"/>
      <c r="AV18" s="833"/>
      <c r="AW18" s="740"/>
      <c r="AX18" s="738"/>
      <c r="AY18" s="738"/>
      <c r="AZ18" s="741"/>
      <c r="BA18" s="833"/>
      <c r="BB18" s="740"/>
      <c r="BC18" s="738"/>
      <c r="BD18" s="738"/>
      <c r="BE18" s="741"/>
      <c r="BF18" s="833"/>
      <c r="BG18" s="740"/>
      <c r="BH18" s="738"/>
      <c r="BI18" s="738"/>
      <c r="BJ18" s="741"/>
      <c r="BK18" s="833"/>
      <c r="BL18" s="740"/>
      <c r="BM18" s="738"/>
      <c r="BN18" s="738"/>
      <c r="BO18" s="741"/>
      <c r="BP18" s="833"/>
      <c r="BQ18" s="742"/>
      <c r="BR18" s="738"/>
      <c r="BS18" s="738">
        <v>-8.5</v>
      </c>
      <c r="BT18" s="738">
        <v>-9.3000000000000007</v>
      </c>
      <c r="BU18" s="833">
        <f>SUM(BQ18:BT18)</f>
        <v>-17.8</v>
      </c>
      <c r="BV18" s="742">
        <v>-11.6</v>
      </c>
      <c r="BW18" s="738">
        <v>-12.3</v>
      </c>
      <c r="BX18" s="738">
        <v>-12.4</v>
      </c>
      <c r="BY18" s="738">
        <v>-17.600000000000001</v>
      </c>
      <c r="BZ18" s="833">
        <f>SUM(BV18:BY18)</f>
        <v>-53.9</v>
      </c>
      <c r="CA18" s="742">
        <v>-23.1</v>
      </c>
      <c r="CB18" s="738">
        <v>-23.3</v>
      </c>
      <c r="CC18" s="738"/>
      <c r="CD18" s="738"/>
      <c r="CE18" s="833">
        <f>SUM(CA18:CD18)</f>
        <v>-46.400000000000006</v>
      </c>
      <c r="CF18" s="930"/>
      <c r="CG18" s="943"/>
      <c r="CH18" s="944"/>
    </row>
    <row r="19" spans="1:89" ht="18.75" customHeight="1">
      <c r="A19" s="864" t="s">
        <v>57</v>
      </c>
      <c r="B19" s="855" t="s">
        <v>58</v>
      </c>
      <c r="C19" s="53">
        <v>-40.6</v>
      </c>
      <c r="D19" s="52">
        <v>-40.299999999999997</v>
      </c>
      <c r="E19" s="52">
        <v>-38.9</v>
      </c>
      <c r="F19" s="52">
        <v>-58.6</v>
      </c>
      <c r="G19" s="832">
        <f t="shared" ref="G19:G24" si="30">SUM(C19:F19)</f>
        <v>-178.4</v>
      </c>
      <c r="H19" s="53">
        <v>-43.1</v>
      </c>
      <c r="I19" s="52">
        <v>-41.9</v>
      </c>
      <c r="J19" s="52">
        <v>-40.4</v>
      </c>
      <c r="K19" s="52">
        <v>-53.2</v>
      </c>
      <c r="L19" s="832">
        <f t="shared" ref="L19:L24" si="31">SUM(H19:K19)</f>
        <v>-178.60000000000002</v>
      </c>
      <c r="M19" s="53">
        <v>-44.600000000000009</v>
      </c>
      <c r="N19" s="52">
        <v>-108.2</v>
      </c>
      <c r="O19" s="52">
        <v>-118</v>
      </c>
      <c r="P19" s="52">
        <v>-150.9</v>
      </c>
      <c r="Q19" s="832">
        <f t="shared" ref="Q19:Q24" si="32">SUM(M19:P19)</f>
        <v>-421.70000000000005</v>
      </c>
      <c r="R19" s="53">
        <v>-129.1</v>
      </c>
      <c r="S19" s="52">
        <v>-140.80000000000001</v>
      </c>
      <c r="T19" s="52">
        <v>-122.3</v>
      </c>
      <c r="U19" s="50">
        <v>-158.00000000000006</v>
      </c>
      <c r="V19" s="832">
        <v>-550.20000000000005</v>
      </c>
      <c r="W19" s="53">
        <v>-137.9</v>
      </c>
      <c r="X19" s="53">
        <v>-138.19999999999999</v>
      </c>
      <c r="Y19" s="36">
        <v>-130.5</v>
      </c>
      <c r="Z19" s="50">
        <v>-163.9</v>
      </c>
      <c r="AA19" s="832">
        <f t="shared" si="7"/>
        <v>-570.5</v>
      </c>
      <c r="AB19" s="53">
        <v>-127.8</v>
      </c>
      <c r="AC19" s="53">
        <v>-133.69999999999999</v>
      </c>
      <c r="AD19" s="36">
        <v>-127.4</v>
      </c>
      <c r="AE19" s="36">
        <v>-164.2</v>
      </c>
      <c r="AF19" s="832">
        <f t="shared" si="8"/>
        <v>-553.09999999999991</v>
      </c>
      <c r="AG19" s="53">
        <v>-143.80000000000001</v>
      </c>
      <c r="AH19" s="52">
        <v>-146</v>
      </c>
      <c r="AI19" s="52">
        <v>-137</v>
      </c>
      <c r="AJ19" s="36">
        <v>-184.2</v>
      </c>
      <c r="AK19" s="832">
        <f t="shared" si="20"/>
        <v>-611</v>
      </c>
      <c r="AL19" s="847"/>
      <c r="AM19" s="53">
        <v>-143.80000000000001</v>
      </c>
      <c r="AN19" s="52">
        <v>-169.3</v>
      </c>
      <c r="AO19" s="52">
        <v>-187.1</v>
      </c>
      <c r="AP19" s="36">
        <v>-238.7</v>
      </c>
      <c r="AQ19" s="832">
        <f t="shared" si="21"/>
        <v>-738.90000000000009</v>
      </c>
      <c r="AR19" s="53">
        <v>-212.6</v>
      </c>
      <c r="AS19" s="52">
        <v>-205.6</v>
      </c>
      <c r="AT19" s="52">
        <v>-199.3</v>
      </c>
      <c r="AU19" s="36">
        <v>-253.1</v>
      </c>
      <c r="AV19" s="832">
        <f t="shared" si="22"/>
        <v>-870.6</v>
      </c>
      <c r="AW19" s="53">
        <v>-212.6</v>
      </c>
      <c r="AX19" s="52">
        <v>-205.6</v>
      </c>
      <c r="AY19" s="52">
        <v>-199.3</v>
      </c>
      <c r="AZ19" s="36">
        <v>-253.1</v>
      </c>
      <c r="BA19" s="832">
        <f t="shared" si="23"/>
        <v>-870.6</v>
      </c>
      <c r="BB19" s="53">
        <v>-221.9</v>
      </c>
      <c r="BC19" s="52">
        <v>-210.2</v>
      </c>
      <c r="BD19" s="52">
        <v>-208</v>
      </c>
      <c r="BE19" s="36">
        <v>-265.8</v>
      </c>
      <c r="BF19" s="832">
        <f t="shared" si="24"/>
        <v>-905.90000000000009</v>
      </c>
      <c r="BG19" s="53">
        <v>-236.9</v>
      </c>
      <c r="BH19" s="52">
        <v>-227.9</v>
      </c>
      <c r="BI19" s="52">
        <v>-210.8</v>
      </c>
      <c r="BJ19" s="36">
        <v>-271.3</v>
      </c>
      <c r="BK19" s="832">
        <f t="shared" si="25"/>
        <v>-946.90000000000009</v>
      </c>
      <c r="BL19" s="53">
        <v>-244.6</v>
      </c>
      <c r="BM19" s="52">
        <v>-247.1</v>
      </c>
      <c r="BN19" s="52">
        <v>-242.3</v>
      </c>
      <c r="BO19" s="36">
        <f>-1034-BN19-BM19-BL19</f>
        <v>-300</v>
      </c>
      <c r="BP19" s="832">
        <f t="shared" si="26"/>
        <v>-1034</v>
      </c>
      <c r="BQ19" s="708">
        <v>-276.10000000000002</v>
      </c>
      <c r="BR19" s="52">
        <v>-274.89999999999998</v>
      </c>
      <c r="BS19" s="52">
        <v>-271.60000000000002</v>
      </c>
      <c r="BT19" s="52">
        <v>-335.6</v>
      </c>
      <c r="BU19" s="832">
        <f t="shared" ref="BU19:BU22" si="33">SUM(BQ19:BT19)</f>
        <v>-1158.2</v>
      </c>
      <c r="BV19" s="708">
        <v>-304</v>
      </c>
      <c r="BW19" s="52">
        <v>-296.39999999999998</v>
      </c>
      <c r="BX19" s="52">
        <v>-290.10000000000002</v>
      </c>
      <c r="BY19" s="52">
        <v>-352.9</v>
      </c>
      <c r="BZ19" s="832">
        <f t="shared" ref="BZ19:BZ22" si="34">SUM(BV19:BY19)</f>
        <v>-1243.4000000000001</v>
      </c>
      <c r="CA19" s="708">
        <v>-320.60000000000002</v>
      </c>
      <c r="CB19" s="52">
        <v>-315.8</v>
      </c>
      <c r="CC19" s="52"/>
      <c r="CD19" s="52"/>
      <c r="CE19" s="832">
        <f t="shared" ref="CE19:CE22" si="35">SUM(CA19:CD19)</f>
        <v>-636.40000000000009</v>
      </c>
      <c r="CF19" s="930"/>
      <c r="CG19" s="943"/>
      <c r="CH19" s="944"/>
    </row>
    <row r="20" spans="1:89" ht="30" customHeight="1">
      <c r="A20" s="864" t="s">
        <v>59</v>
      </c>
      <c r="B20" s="859" t="s">
        <v>60</v>
      </c>
      <c r="C20" s="53">
        <v>-5.9</v>
      </c>
      <c r="D20" s="52">
        <v>-8.4</v>
      </c>
      <c r="E20" s="52">
        <v>-5.3</v>
      </c>
      <c r="F20" s="52">
        <v>-7.8</v>
      </c>
      <c r="G20" s="832">
        <f t="shared" si="30"/>
        <v>-27.400000000000002</v>
      </c>
      <c r="H20" s="53">
        <v>-6.42</v>
      </c>
      <c r="I20" s="52">
        <v>-9.3000000000000007</v>
      </c>
      <c r="J20" s="52">
        <v>-5.3</v>
      </c>
      <c r="K20" s="52">
        <v>-7.2</v>
      </c>
      <c r="L20" s="832">
        <f t="shared" si="31"/>
        <v>-28.22</v>
      </c>
      <c r="M20" s="53">
        <v>-6.6999999999999993</v>
      </c>
      <c r="N20" s="52">
        <v>-18.100000000000001</v>
      </c>
      <c r="O20" s="52">
        <v>-15.3</v>
      </c>
      <c r="P20" s="52">
        <v>-27.5</v>
      </c>
      <c r="Q20" s="832">
        <f t="shared" si="32"/>
        <v>-67.599999999999994</v>
      </c>
      <c r="R20" s="53">
        <v>-18.7</v>
      </c>
      <c r="S20" s="52">
        <v>-27.8</v>
      </c>
      <c r="T20" s="52">
        <v>-8.5</v>
      </c>
      <c r="U20" s="50">
        <v>-7.6000000000000014</v>
      </c>
      <c r="V20" s="832">
        <v>-62.6</v>
      </c>
      <c r="W20" s="53">
        <v>-9.6</v>
      </c>
      <c r="X20" s="53">
        <v>-16.3</v>
      </c>
      <c r="Y20" s="36">
        <v>-5.7</v>
      </c>
      <c r="Z20" s="50">
        <v>-15.3</v>
      </c>
      <c r="AA20" s="832">
        <f t="shared" si="7"/>
        <v>-46.9</v>
      </c>
      <c r="AB20" s="53">
        <v>-19.3</v>
      </c>
      <c r="AC20" s="53">
        <v>-16.3</v>
      </c>
      <c r="AD20" s="36">
        <v>-21.3</v>
      </c>
      <c r="AE20" s="36">
        <v>-10.5</v>
      </c>
      <c r="AF20" s="832">
        <f t="shared" si="8"/>
        <v>-67.400000000000006</v>
      </c>
      <c r="AG20" s="53">
        <v>-11.9</v>
      </c>
      <c r="AH20" s="52">
        <v>-18.2</v>
      </c>
      <c r="AI20" s="52">
        <v>-32.9</v>
      </c>
      <c r="AJ20" s="36">
        <v>-19</v>
      </c>
      <c r="AK20" s="832">
        <f t="shared" si="20"/>
        <v>-82</v>
      </c>
      <c r="AL20" s="844"/>
      <c r="AM20" s="53">
        <v>-11.9</v>
      </c>
      <c r="AN20" s="52">
        <v>-17.600000000000001</v>
      </c>
      <c r="AO20" s="52">
        <v>-34.799999999999997</v>
      </c>
      <c r="AP20" s="36">
        <v>-19.600000000000009</v>
      </c>
      <c r="AQ20" s="832">
        <f t="shared" si="21"/>
        <v>-83.9</v>
      </c>
      <c r="AR20" s="53">
        <v>-34.6</v>
      </c>
      <c r="AS20" s="52">
        <v>-16.899999999999999</v>
      </c>
      <c r="AT20" s="52">
        <v>-19.8</v>
      </c>
      <c r="AU20" s="36">
        <v>-27.6</v>
      </c>
      <c r="AV20" s="832">
        <f t="shared" si="22"/>
        <v>-98.9</v>
      </c>
      <c r="AW20" s="53">
        <v>-34.6</v>
      </c>
      <c r="AX20" s="52">
        <v>-16.899999999999999</v>
      </c>
      <c r="AY20" s="52">
        <v>-19.8</v>
      </c>
      <c r="AZ20" s="36">
        <v>-27.6</v>
      </c>
      <c r="BA20" s="832">
        <f t="shared" si="23"/>
        <v>-98.9</v>
      </c>
      <c r="BB20" s="53">
        <v>-44.311173479999866</v>
      </c>
      <c r="BC20" s="52">
        <v>-36.6</v>
      </c>
      <c r="BD20" s="52">
        <v>-22.8</v>
      </c>
      <c r="BE20" s="36">
        <v>-25.2</v>
      </c>
      <c r="BF20" s="832">
        <f t="shared" si="24"/>
        <v>-128.91117347999986</v>
      </c>
      <c r="BG20" s="53">
        <v>-29.8</v>
      </c>
      <c r="BH20" s="52">
        <v>-22.7</v>
      </c>
      <c r="BI20" s="52">
        <v>-30.4</v>
      </c>
      <c r="BJ20" s="36">
        <v>-12.5</v>
      </c>
      <c r="BK20" s="832">
        <f t="shared" si="25"/>
        <v>-95.4</v>
      </c>
      <c r="BL20" s="53">
        <v>-24.8</v>
      </c>
      <c r="BM20" s="52">
        <v>-22.3</v>
      </c>
      <c r="BN20" s="52">
        <v>-25.6</v>
      </c>
      <c r="BO20" s="36">
        <f>-97.8-BN20-BM20-BL20</f>
        <v>-25.099999999999991</v>
      </c>
      <c r="BP20" s="832">
        <f t="shared" si="26"/>
        <v>-97.8</v>
      </c>
      <c r="BQ20" s="708">
        <v>-29.4</v>
      </c>
      <c r="BR20" s="52">
        <v>-32.5</v>
      </c>
      <c r="BS20" s="52">
        <v>-32.9</v>
      </c>
      <c r="BT20" s="52">
        <v>-26.2</v>
      </c>
      <c r="BU20" s="832">
        <f t="shared" si="33"/>
        <v>-121</v>
      </c>
      <c r="BV20" s="708">
        <v>-13.1</v>
      </c>
      <c r="BW20" s="52">
        <v>-28.4</v>
      </c>
      <c r="BX20" s="52">
        <v>-27.7</v>
      </c>
      <c r="BY20" s="52">
        <v>-21.4</v>
      </c>
      <c r="BZ20" s="832">
        <f t="shared" si="34"/>
        <v>-90.6</v>
      </c>
      <c r="CA20" s="708">
        <v>-30</v>
      </c>
      <c r="CB20" s="52">
        <v>-25.6</v>
      </c>
      <c r="CC20" s="52"/>
      <c r="CD20" s="52"/>
      <c r="CE20" s="832">
        <f t="shared" si="35"/>
        <v>-55.6</v>
      </c>
      <c r="CF20" s="930"/>
      <c r="CG20" s="943"/>
      <c r="CH20" s="944"/>
    </row>
    <row r="21" spans="1:89" ht="18.75" customHeight="1">
      <c r="A21" s="864" t="s">
        <v>61</v>
      </c>
      <c r="B21" s="855" t="s">
        <v>62</v>
      </c>
      <c r="C21" s="53">
        <v>-30.1</v>
      </c>
      <c r="D21" s="52">
        <v>-33.200000000000003</v>
      </c>
      <c r="E21" s="52">
        <v>-29.7</v>
      </c>
      <c r="F21" s="52">
        <v>-34.200000000000003</v>
      </c>
      <c r="G21" s="832">
        <f t="shared" si="30"/>
        <v>-127.2</v>
      </c>
      <c r="H21" s="53">
        <v>-29.7</v>
      </c>
      <c r="I21" s="52">
        <v>-29.3</v>
      </c>
      <c r="J21" s="52">
        <v>-28.7</v>
      </c>
      <c r="K21" s="52">
        <v>-27.6</v>
      </c>
      <c r="L21" s="832">
        <f t="shared" si="31"/>
        <v>-115.30000000000001</v>
      </c>
      <c r="M21" s="53">
        <v>-26.000000000000007</v>
      </c>
      <c r="N21" s="52">
        <v>-43.4</v>
      </c>
      <c r="O21" s="52">
        <v>-87.2</v>
      </c>
      <c r="P21" s="52">
        <v>-55.5</v>
      </c>
      <c r="Q21" s="832">
        <f t="shared" si="32"/>
        <v>-212.10000000000002</v>
      </c>
      <c r="R21" s="53">
        <v>-53.8</v>
      </c>
      <c r="S21" s="52">
        <v>-56.1</v>
      </c>
      <c r="T21" s="52">
        <v>-44.6</v>
      </c>
      <c r="U21" s="50">
        <v>-59.099999999999994</v>
      </c>
      <c r="V21" s="832">
        <v>-213.5</v>
      </c>
      <c r="W21" s="53">
        <v>-50.7</v>
      </c>
      <c r="X21" s="53">
        <v>-67.599999999999994</v>
      </c>
      <c r="Y21" s="36">
        <v>-50.2</v>
      </c>
      <c r="Z21" s="50">
        <v>-76.5</v>
      </c>
      <c r="AA21" s="832">
        <f t="shared" si="7"/>
        <v>-245</v>
      </c>
      <c r="AB21" s="53">
        <v>-51.6</v>
      </c>
      <c r="AC21" s="53">
        <v>-49.5</v>
      </c>
      <c r="AD21" s="36">
        <v>-52.3</v>
      </c>
      <c r="AE21" s="36">
        <v>-73.5</v>
      </c>
      <c r="AF21" s="832">
        <f t="shared" si="8"/>
        <v>-226.89999999999998</v>
      </c>
      <c r="AG21" s="53">
        <v>-55.3</v>
      </c>
      <c r="AH21" s="52">
        <v>-55.2</v>
      </c>
      <c r="AI21" s="52">
        <v>-53.4</v>
      </c>
      <c r="AJ21" s="36">
        <v>-68</v>
      </c>
      <c r="AK21" s="832">
        <f t="shared" si="20"/>
        <v>-231.9</v>
      </c>
      <c r="AL21" s="844"/>
      <c r="AM21" s="53">
        <v>-55.3</v>
      </c>
      <c r="AN21" s="52">
        <v>-61.8</v>
      </c>
      <c r="AO21" s="52">
        <v>-69.099999999999994</v>
      </c>
      <c r="AP21" s="36">
        <v>-86.800000000000011</v>
      </c>
      <c r="AQ21" s="832">
        <f t="shared" si="21"/>
        <v>-273</v>
      </c>
      <c r="AR21" s="53">
        <v>-70.599999999999994</v>
      </c>
      <c r="AS21" s="52">
        <v>-73.599999999999994</v>
      </c>
      <c r="AT21" s="52">
        <v>-76.599999999999994</v>
      </c>
      <c r="AU21" s="36">
        <v>-80.7</v>
      </c>
      <c r="AV21" s="832">
        <f t="shared" si="22"/>
        <v>-301.5</v>
      </c>
      <c r="AW21" s="53">
        <v>-57.8</v>
      </c>
      <c r="AX21" s="52">
        <v>-60.4</v>
      </c>
      <c r="AY21" s="52">
        <v>-62.1</v>
      </c>
      <c r="AZ21" s="36">
        <v>-63.8</v>
      </c>
      <c r="BA21" s="832">
        <f t="shared" si="23"/>
        <v>-244.09999999999997</v>
      </c>
      <c r="BB21" s="53">
        <v>-65.099999999999994</v>
      </c>
      <c r="BC21" s="52">
        <v>-71.099999999999994</v>
      </c>
      <c r="BD21" s="52">
        <v>-76.3</v>
      </c>
      <c r="BE21" s="36">
        <v>-120.1</v>
      </c>
      <c r="BF21" s="832">
        <f t="shared" si="24"/>
        <v>-332.6</v>
      </c>
      <c r="BG21" s="53">
        <v>-93.2</v>
      </c>
      <c r="BH21" s="52">
        <v>-158.30000000000001</v>
      </c>
      <c r="BI21" s="52">
        <v>-95.7</v>
      </c>
      <c r="BJ21" s="36">
        <v>-110.5</v>
      </c>
      <c r="BK21" s="832">
        <f t="shared" si="25"/>
        <v>-457.7</v>
      </c>
      <c r="BL21" s="53">
        <v>-106.4</v>
      </c>
      <c r="BM21" s="92">
        <v>-127.4</v>
      </c>
      <c r="BN21" s="93">
        <v>-182.1</v>
      </c>
      <c r="BO21" s="86">
        <f>-614.2-BN21-BM21-BL21</f>
        <v>-198.30000000000004</v>
      </c>
      <c r="BP21" s="832">
        <f t="shared" si="26"/>
        <v>-614.20000000000005</v>
      </c>
      <c r="BQ21" s="708">
        <v>-164.6</v>
      </c>
      <c r="BR21" s="92">
        <v>-183.9</v>
      </c>
      <c r="BS21" s="52">
        <v>-169.6</v>
      </c>
      <c r="BT21" s="52">
        <v>-242.2</v>
      </c>
      <c r="BU21" s="832">
        <f t="shared" si="33"/>
        <v>-760.3</v>
      </c>
      <c r="BV21" s="708">
        <v>-164.1</v>
      </c>
      <c r="BW21" s="92">
        <v>-146.19999999999999</v>
      </c>
      <c r="BX21" s="92">
        <v>-190.3</v>
      </c>
      <c r="BY21" s="52">
        <v>-270.60000000000002</v>
      </c>
      <c r="BZ21" s="832">
        <f t="shared" si="34"/>
        <v>-771.2</v>
      </c>
      <c r="CA21" s="708">
        <v>-196.8</v>
      </c>
      <c r="CB21" s="92">
        <v>-195.6</v>
      </c>
      <c r="CC21" s="92"/>
      <c r="CD21" s="52"/>
      <c r="CE21" s="832">
        <f t="shared" si="35"/>
        <v>-392.4</v>
      </c>
      <c r="CF21" s="930"/>
      <c r="CG21" s="943"/>
      <c r="CH21" s="944"/>
    </row>
    <row r="22" spans="1:89" s="743" customFormat="1" ht="18.75" customHeight="1">
      <c r="A22" s="858" t="s">
        <v>55</v>
      </c>
      <c r="B22" s="858" t="s">
        <v>56</v>
      </c>
      <c r="C22" s="740"/>
      <c r="D22" s="738"/>
      <c r="E22" s="738"/>
      <c r="F22" s="738"/>
      <c r="G22" s="833"/>
      <c r="H22" s="740"/>
      <c r="I22" s="738"/>
      <c r="J22" s="738"/>
      <c r="K22" s="738"/>
      <c r="L22" s="833"/>
      <c r="M22" s="740"/>
      <c r="N22" s="738"/>
      <c r="O22" s="738"/>
      <c r="P22" s="738"/>
      <c r="Q22" s="833"/>
      <c r="R22" s="740"/>
      <c r="S22" s="738"/>
      <c r="T22" s="738"/>
      <c r="U22" s="739"/>
      <c r="V22" s="833"/>
      <c r="W22" s="740"/>
      <c r="X22" s="740"/>
      <c r="Y22" s="741"/>
      <c r="Z22" s="739"/>
      <c r="AA22" s="833"/>
      <c r="AB22" s="740"/>
      <c r="AC22" s="740"/>
      <c r="AD22" s="741"/>
      <c r="AE22" s="741"/>
      <c r="AF22" s="833"/>
      <c r="AG22" s="740"/>
      <c r="AH22" s="738"/>
      <c r="AI22" s="738"/>
      <c r="AJ22" s="741"/>
      <c r="AK22" s="833"/>
      <c r="AL22" s="846"/>
      <c r="AM22" s="740"/>
      <c r="AN22" s="738"/>
      <c r="AO22" s="738"/>
      <c r="AP22" s="741"/>
      <c r="AQ22" s="833"/>
      <c r="AR22" s="740"/>
      <c r="AS22" s="738"/>
      <c r="AT22" s="738"/>
      <c r="AU22" s="741"/>
      <c r="AV22" s="833"/>
      <c r="AW22" s="740"/>
      <c r="AX22" s="738"/>
      <c r="AY22" s="738"/>
      <c r="AZ22" s="741"/>
      <c r="BA22" s="833"/>
      <c r="BB22" s="740"/>
      <c r="BC22" s="738"/>
      <c r="BD22" s="738"/>
      <c r="BE22" s="741"/>
      <c r="BF22" s="833"/>
      <c r="BG22" s="740"/>
      <c r="BH22" s="738"/>
      <c r="BI22" s="738"/>
      <c r="BJ22" s="741"/>
      <c r="BK22" s="833"/>
      <c r="BL22" s="740"/>
      <c r="BM22" s="744"/>
      <c r="BN22" s="745"/>
      <c r="BO22" s="746"/>
      <c r="BP22" s="833"/>
      <c r="BQ22" s="742"/>
      <c r="BR22" s="744"/>
      <c r="BS22" s="745">
        <v>-0.4</v>
      </c>
      <c r="BT22" s="744">
        <v>-1</v>
      </c>
      <c r="BU22" s="833">
        <f t="shared" si="33"/>
        <v>-1.4</v>
      </c>
      <c r="BV22" s="742">
        <v>-1</v>
      </c>
      <c r="BW22" s="744">
        <v>-1</v>
      </c>
      <c r="BX22" s="744">
        <v>-1.3</v>
      </c>
      <c r="BY22" s="744">
        <v>-1.1000000000000001</v>
      </c>
      <c r="BZ22" s="833">
        <f t="shared" si="34"/>
        <v>-4.4000000000000004</v>
      </c>
      <c r="CA22" s="742">
        <v>-1.1000000000000001</v>
      </c>
      <c r="CB22" s="744">
        <v>-1.3</v>
      </c>
      <c r="CC22" s="744"/>
      <c r="CD22" s="744"/>
      <c r="CE22" s="833">
        <f t="shared" si="35"/>
        <v>-2.4000000000000004</v>
      </c>
      <c r="CF22" s="930"/>
      <c r="CG22" s="943"/>
      <c r="CH22" s="944"/>
    </row>
    <row r="23" spans="1:89" s="378" customFormat="1" ht="22.5" customHeight="1">
      <c r="A23" s="868" t="s">
        <v>63</v>
      </c>
      <c r="B23" s="868" t="s">
        <v>64</v>
      </c>
      <c r="C23" s="869"/>
      <c r="D23" s="870"/>
      <c r="E23" s="870"/>
      <c r="F23" s="870"/>
      <c r="G23" s="871"/>
      <c r="H23" s="869"/>
      <c r="I23" s="872"/>
      <c r="J23" s="872"/>
      <c r="K23" s="870"/>
      <c r="L23" s="871"/>
      <c r="M23" s="869"/>
      <c r="N23" s="872"/>
      <c r="O23" s="872"/>
      <c r="P23" s="870"/>
      <c r="Q23" s="871"/>
      <c r="R23" s="869"/>
      <c r="S23" s="872"/>
      <c r="T23" s="873"/>
      <c r="U23" s="873"/>
      <c r="V23" s="871"/>
      <c r="W23" s="869"/>
      <c r="X23" s="872"/>
      <c r="Y23" s="870"/>
      <c r="Z23" s="873"/>
      <c r="AA23" s="871"/>
      <c r="AB23" s="869"/>
      <c r="AC23" s="872"/>
      <c r="AD23" s="872"/>
      <c r="AE23" s="873"/>
      <c r="AF23" s="871"/>
      <c r="AG23" s="869"/>
      <c r="AH23" s="873"/>
      <c r="AI23" s="872"/>
      <c r="AJ23" s="870"/>
      <c r="AK23" s="871"/>
      <c r="AL23" s="842"/>
      <c r="AM23" s="872"/>
      <c r="AN23" s="873"/>
      <c r="AO23" s="872"/>
      <c r="AP23" s="870"/>
      <c r="AQ23" s="871"/>
      <c r="AR23" s="869"/>
      <c r="AS23" s="872"/>
      <c r="AT23" s="872"/>
      <c r="AU23" s="872"/>
      <c r="AV23" s="871"/>
      <c r="AW23" s="869"/>
      <c r="AX23" s="872"/>
      <c r="AY23" s="872"/>
      <c r="AZ23" s="872"/>
      <c r="BA23" s="871"/>
      <c r="BB23" s="869"/>
      <c r="BC23" s="873"/>
      <c r="BD23" s="873"/>
      <c r="BE23" s="872"/>
      <c r="BF23" s="871"/>
      <c r="BG23" s="869"/>
      <c r="BH23" s="873"/>
      <c r="BI23" s="872">
        <v>3690.8</v>
      </c>
      <c r="BJ23" s="657">
        <v>-10.199999999999999</v>
      </c>
      <c r="BK23" s="871">
        <f t="shared" si="25"/>
        <v>3680.6000000000004</v>
      </c>
      <c r="BL23" s="869">
        <v>0</v>
      </c>
      <c r="BM23" s="869">
        <v>0</v>
      </c>
      <c r="BN23" s="869">
        <v>113.4</v>
      </c>
      <c r="BO23" s="873">
        <f>153.2-BN23</f>
        <v>39.799999999999983</v>
      </c>
      <c r="BP23" s="871">
        <f t="shared" si="26"/>
        <v>153.19999999999999</v>
      </c>
      <c r="BQ23" s="880">
        <v>0</v>
      </c>
      <c r="BR23" s="869">
        <v>0</v>
      </c>
      <c r="BS23" s="869">
        <v>220.1</v>
      </c>
      <c r="BT23" s="869">
        <v>-0.4</v>
      </c>
      <c r="BU23" s="871">
        <f>SUM(BQ23:BT23)</f>
        <v>219.7</v>
      </c>
      <c r="BV23" s="880">
        <v>10</v>
      </c>
      <c r="BW23" s="869">
        <v>0</v>
      </c>
      <c r="BX23" s="869">
        <v>0</v>
      </c>
      <c r="BY23" s="869">
        <v>0</v>
      </c>
      <c r="BZ23" s="871">
        <f>SUM(BV23:BY23)</f>
        <v>10</v>
      </c>
      <c r="CA23" s="880">
        <v>-0.2</v>
      </c>
      <c r="CB23" s="869">
        <v>0</v>
      </c>
      <c r="CC23" s="869"/>
      <c r="CD23" s="869"/>
      <c r="CE23" s="871">
        <f>SUM(CA23:CD23)</f>
        <v>-0.2</v>
      </c>
      <c r="CF23" s="930"/>
      <c r="CG23" s="943"/>
      <c r="CH23" s="944"/>
    </row>
    <row r="24" spans="1:89" s="378" customFormat="1" ht="22.5" customHeight="1">
      <c r="A24" s="854" t="s">
        <v>65</v>
      </c>
      <c r="B24" s="854" t="s">
        <v>66</v>
      </c>
      <c r="C24" s="874">
        <v>-1.7</v>
      </c>
      <c r="D24" s="866">
        <v>-1.1000000000000001</v>
      </c>
      <c r="E24" s="866">
        <v>-2</v>
      </c>
      <c r="F24" s="866">
        <v>-12.7</v>
      </c>
      <c r="G24" s="830">
        <f t="shared" si="30"/>
        <v>-17.5</v>
      </c>
      <c r="H24" s="874">
        <v>0.5</v>
      </c>
      <c r="I24" s="827">
        <v>1.5</v>
      </c>
      <c r="J24" s="827">
        <v>36.799999999999997</v>
      </c>
      <c r="K24" s="866">
        <v>-2</v>
      </c>
      <c r="L24" s="830">
        <f t="shared" si="31"/>
        <v>36.799999999999997</v>
      </c>
      <c r="M24" s="874">
        <v>3.6</v>
      </c>
      <c r="N24" s="827">
        <v>3.5</v>
      </c>
      <c r="O24" s="827">
        <v>4.7</v>
      </c>
      <c r="P24" s="866">
        <v>-2.2000000000000002</v>
      </c>
      <c r="Q24" s="830">
        <f t="shared" si="32"/>
        <v>9.6000000000000014</v>
      </c>
      <c r="R24" s="874">
        <v>8.6999999999999993</v>
      </c>
      <c r="S24" s="827">
        <v>13.8</v>
      </c>
      <c r="T24" s="874">
        <v>14.4</v>
      </c>
      <c r="U24" s="874">
        <v>-6.2</v>
      </c>
      <c r="V24" s="830">
        <v>30.7</v>
      </c>
      <c r="W24" s="874">
        <v>6.8</v>
      </c>
      <c r="X24" s="827">
        <v>6.6</v>
      </c>
      <c r="Y24" s="866">
        <v>0</v>
      </c>
      <c r="Z24" s="874">
        <v>-4.5999999999999996</v>
      </c>
      <c r="AA24" s="830">
        <f t="shared" si="7"/>
        <v>8.7999999999999989</v>
      </c>
      <c r="AB24" s="874">
        <v>6.8</v>
      </c>
      <c r="AC24" s="827">
        <v>9.9</v>
      </c>
      <c r="AD24" s="827">
        <v>6.7</v>
      </c>
      <c r="AE24" s="874">
        <v>-2.1</v>
      </c>
      <c r="AF24" s="830">
        <f t="shared" si="8"/>
        <v>21.299999999999997</v>
      </c>
      <c r="AG24" s="874">
        <v>6.7</v>
      </c>
      <c r="AH24" s="874">
        <v>-1.9</v>
      </c>
      <c r="AI24" s="827">
        <v>4.5999999999999996</v>
      </c>
      <c r="AJ24" s="866">
        <v>0</v>
      </c>
      <c r="AK24" s="830">
        <f t="shared" si="20"/>
        <v>9.4</v>
      </c>
      <c r="AL24" s="842"/>
      <c r="AM24" s="827">
        <v>6.7</v>
      </c>
      <c r="AN24" s="874">
        <v>-0.6</v>
      </c>
      <c r="AO24" s="827">
        <v>7.3</v>
      </c>
      <c r="AP24" s="866">
        <v>6.2999999999999989</v>
      </c>
      <c r="AQ24" s="830">
        <f t="shared" si="21"/>
        <v>19.7</v>
      </c>
      <c r="AR24" s="874">
        <v>16.600000000000001</v>
      </c>
      <c r="AS24" s="827">
        <v>6.7</v>
      </c>
      <c r="AT24" s="827">
        <v>3.4</v>
      </c>
      <c r="AU24" s="827">
        <v>19</v>
      </c>
      <c r="AV24" s="830">
        <f t="shared" si="22"/>
        <v>45.7</v>
      </c>
      <c r="AW24" s="874">
        <v>16.600000000000001</v>
      </c>
      <c r="AX24" s="827">
        <v>6.7</v>
      </c>
      <c r="AY24" s="827">
        <v>3.4</v>
      </c>
      <c r="AZ24" s="827">
        <v>19</v>
      </c>
      <c r="BA24" s="830">
        <f t="shared" si="23"/>
        <v>45.7</v>
      </c>
      <c r="BB24" s="874">
        <v>5.8</v>
      </c>
      <c r="BC24" s="874">
        <v>-13</v>
      </c>
      <c r="BD24" s="874">
        <v>-2.8</v>
      </c>
      <c r="BE24" s="827">
        <v>7.1</v>
      </c>
      <c r="BF24" s="830">
        <f t="shared" si="24"/>
        <v>-2.9000000000000004</v>
      </c>
      <c r="BG24" s="874">
        <v>5</v>
      </c>
      <c r="BH24" s="874">
        <v>-7.9</v>
      </c>
      <c r="BI24" s="827">
        <v>4.5999999999999996</v>
      </c>
      <c r="BJ24" s="874">
        <v>-24.4</v>
      </c>
      <c r="BK24" s="830">
        <f>SUM(BG24:BJ24)</f>
        <v>-22.7</v>
      </c>
      <c r="BL24" s="874">
        <v>-32.700000000000003</v>
      </c>
      <c r="BM24" s="874">
        <v>13.1</v>
      </c>
      <c r="BN24" s="874">
        <v>-6.1</v>
      </c>
      <c r="BO24" s="874">
        <f>-26.5-BN24-BM24-BL24</f>
        <v>-0.79999999999999716</v>
      </c>
      <c r="BP24" s="830">
        <f>SUM(BL24:BO24)</f>
        <v>-26.5</v>
      </c>
      <c r="BQ24" s="709">
        <v>-8.6999999999999993</v>
      </c>
      <c r="BR24" s="874">
        <v>-15</v>
      </c>
      <c r="BS24" s="874">
        <v>0.3</v>
      </c>
      <c r="BT24" s="826">
        <v>-22.2</v>
      </c>
      <c r="BU24" s="830">
        <f>SUM(BQ24:BT24)</f>
        <v>-45.599999999999994</v>
      </c>
      <c r="BV24" s="709">
        <v>154</v>
      </c>
      <c r="BW24" s="874">
        <v>27.5</v>
      </c>
      <c r="BX24" s="874">
        <v>-22.2</v>
      </c>
      <c r="BY24" s="826">
        <v>-39.700000000000003</v>
      </c>
      <c r="BZ24" s="830">
        <f>SUM(BV24:BY24)</f>
        <v>119.60000000000001</v>
      </c>
      <c r="CA24" s="709">
        <v>-13.8</v>
      </c>
      <c r="CB24" s="874">
        <v>-23.3</v>
      </c>
      <c r="CC24" s="874"/>
      <c r="CD24" s="826"/>
      <c r="CE24" s="830">
        <f>SUM(CA24:CD24)</f>
        <v>-37.1</v>
      </c>
      <c r="CF24" s="930"/>
      <c r="CG24" s="943"/>
      <c r="CH24" s="944"/>
      <c r="CI24" s="767"/>
      <c r="CJ24" s="767"/>
      <c r="CK24" s="767"/>
    </row>
    <row r="25" spans="1:89" s="378" customFormat="1" ht="22.5" customHeight="1">
      <c r="A25" s="875" t="s">
        <v>67</v>
      </c>
      <c r="B25" s="875" t="s">
        <v>68</v>
      </c>
      <c r="C25" s="876">
        <f t="shared" ref="C25:AK25" si="36">C5+C11+C24</f>
        <v>203.00000000000006</v>
      </c>
      <c r="D25" s="876">
        <f t="shared" si="36"/>
        <v>212.99999999999997</v>
      </c>
      <c r="E25" s="876">
        <f t="shared" si="36"/>
        <v>197.60000000000002</v>
      </c>
      <c r="F25" s="876">
        <f t="shared" si="36"/>
        <v>175.50000000000017</v>
      </c>
      <c r="G25" s="877">
        <f t="shared" si="36"/>
        <v>789.09999999999923</v>
      </c>
      <c r="H25" s="876">
        <f t="shared" si="36"/>
        <v>184.67999999999995</v>
      </c>
      <c r="I25" s="876">
        <f t="shared" si="36"/>
        <v>195</v>
      </c>
      <c r="J25" s="876">
        <f t="shared" si="36"/>
        <v>203.39999999999998</v>
      </c>
      <c r="K25" s="876">
        <f t="shared" si="36"/>
        <v>206.79999999999995</v>
      </c>
      <c r="L25" s="877">
        <f t="shared" si="36"/>
        <v>789.88000000000034</v>
      </c>
      <c r="M25" s="876">
        <f t="shared" si="36"/>
        <v>219.4999999999998</v>
      </c>
      <c r="N25" s="876">
        <f t="shared" si="36"/>
        <v>397.59999999999991</v>
      </c>
      <c r="O25" s="876">
        <f t="shared" si="36"/>
        <v>431.79999999999967</v>
      </c>
      <c r="P25" s="876">
        <f t="shared" si="36"/>
        <v>393.50000000000074</v>
      </c>
      <c r="Q25" s="877">
        <f t="shared" si="36"/>
        <v>1442.3999999999992</v>
      </c>
      <c r="R25" s="876">
        <f t="shared" si="36"/>
        <v>428.7</v>
      </c>
      <c r="S25" s="876">
        <f t="shared" si="36"/>
        <v>583.5</v>
      </c>
      <c r="T25" s="876">
        <f t="shared" si="36"/>
        <v>529.1999999999997</v>
      </c>
      <c r="U25" s="876">
        <f t="shared" si="36"/>
        <v>444.40000000000038</v>
      </c>
      <c r="V25" s="877">
        <f t="shared" si="36"/>
        <v>1985.7999999999995</v>
      </c>
      <c r="W25" s="876">
        <f t="shared" si="36"/>
        <v>422.8</v>
      </c>
      <c r="X25" s="876">
        <f t="shared" si="36"/>
        <v>407.50000000000011</v>
      </c>
      <c r="Y25" s="878">
        <f t="shared" si="36"/>
        <v>449.10000000000036</v>
      </c>
      <c r="Z25" s="878">
        <f t="shared" si="36"/>
        <v>389.9</v>
      </c>
      <c r="AA25" s="877">
        <f t="shared" si="36"/>
        <v>1669.3</v>
      </c>
      <c r="AB25" s="876">
        <f t="shared" si="36"/>
        <v>457.20000000000033</v>
      </c>
      <c r="AC25" s="876">
        <f t="shared" si="36"/>
        <v>516.99999999999989</v>
      </c>
      <c r="AD25" s="876">
        <f t="shared" si="36"/>
        <v>421.90000000000003</v>
      </c>
      <c r="AE25" s="876">
        <f t="shared" si="36"/>
        <v>437.9</v>
      </c>
      <c r="AF25" s="877">
        <f t="shared" si="36"/>
        <v>1834.0000000000007</v>
      </c>
      <c r="AG25" s="876">
        <f t="shared" si="36"/>
        <v>464.29999999999967</v>
      </c>
      <c r="AH25" s="876">
        <f t="shared" si="36"/>
        <v>488.49999999999989</v>
      </c>
      <c r="AI25" s="876">
        <f t="shared" si="36"/>
        <v>396.00000000000011</v>
      </c>
      <c r="AJ25" s="879">
        <f t="shared" si="36"/>
        <v>416</v>
      </c>
      <c r="AK25" s="877">
        <f t="shared" si="36"/>
        <v>1764.7999999999997</v>
      </c>
      <c r="AL25" s="842"/>
      <c r="AM25" s="876">
        <f t="shared" ref="AM25:BH25" si="37">AM5+AM11+AM24</f>
        <v>435.49999999999994</v>
      </c>
      <c r="AN25" s="876">
        <f t="shared" si="37"/>
        <v>475.5999999999998</v>
      </c>
      <c r="AO25" s="876">
        <f t="shared" si="37"/>
        <v>396.49999999999983</v>
      </c>
      <c r="AP25" s="879">
        <f t="shared" si="37"/>
        <v>419.39999999999992</v>
      </c>
      <c r="AQ25" s="877">
        <f t="shared" si="37"/>
        <v>1727.000000000003</v>
      </c>
      <c r="AR25" s="876">
        <f t="shared" si="37"/>
        <v>481.9000000000002</v>
      </c>
      <c r="AS25" s="876">
        <f t="shared" si="37"/>
        <v>515.29999999999995</v>
      </c>
      <c r="AT25" s="876">
        <f t="shared" si="37"/>
        <v>452.6999999999997</v>
      </c>
      <c r="AU25" s="876">
        <f t="shared" si="37"/>
        <v>485.00000000000091</v>
      </c>
      <c r="AV25" s="877">
        <f t="shared" si="37"/>
        <v>1934.9000000000026</v>
      </c>
      <c r="AW25" s="876">
        <f t="shared" si="37"/>
        <v>491.19999999999948</v>
      </c>
      <c r="AX25" s="876">
        <f t="shared" si="37"/>
        <v>522.49999999999977</v>
      </c>
      <c r="AY25" s="876">
        <f t="shared" si="37"/>
        <v>458.99999999999989</v>
      </c>
      <c r="AZ25" s="876">
        <f t="shared" si="37"/>
        <v>494.30000000000018</v>
      </c>
      <c r="BA25" s="877">
        <f t="shared" si="37"/>
        <v>1967.0000000000011</v>
      </c>
      <c r="BB25" s="876">
        <f t="shared" si="37"/>
        <v>462.18882651999985</v>
      </c>
      <c r="BC25" s="876">
        <f t="shared" si="37"/>
        <v>394.10000000000082</v>
      </c>
      <c r="BD25" s="876">
        <f t="shared" si="37"/>
        <v>505.89999999999981</v>
      </c>
      <c r="BE25" s="876">
        <f t="shared" si="37"/>
        <v>524.00000000000011</v>
      </c>
      <c r="BF25" s="877">
        <f t="shared" si="37"/>
        <v>1886.1888265199991</v>
      </c>
      <c r="BG25" s="876">
        <f t="shared" si="37"/>
        <v>561.5</v>
      </c>
      <c r="BH25" s="876">
        <f t="shared" si="37"/>
        <v>683.69999999999993</v>
      </c>
      <c r="BI25" s="876">
        <f>BI5+BI11+BI24+BI23</f>
        <v>4131.4000000000005</v>
      </c>
      <c r="BJ25" s="876">
        <f>BJ5+BJ11+BJ24+BJ23</f>
        <v>419.79999999999967</v>
      </c>
      <c r="BK25" s="877">
        <f>BK5+BK11+BK24+BK23</f>
        <v>5796.3999999999987</v>
      </c>
      <c r="BL25" s="876">
        <f>BL5+BL11+BL24</f>
        <v>320.3</v>
      </c>
      <c r="BM25" s="876">
        <f>BM5+BM11+BM24</f>
        <v>425.79999999999984</v>
      </c>
      <c r="BN25" s="876">
        <f t="shared" ref="BN25:CE25" si="38">BN5+BN11+BN24+BN23</f>
        <v>500.90000000000077</v>
      </c>
      <c r="BO25" s="876">
        <f t="shared" si="38"/>
        <v>395.19999999999891</v>
      </c>
      <c r="BP25" s="877">
        <f t="shared" si="38"/>
        <v>1642.2</v>
      </c>
      <c r="BQ25" s="881">
        <f t="shared" si="38"/>
        <v>298.70000000000056</v>
      </c>
      <c r="BR25" s="881">
        <f t="shared" si="38"/>
        <v>329.80000000000018</v>
      </c>
      <c r="BS25" s="882">
        <f t="shared" si="38"/>
        <v>510.90000000000043</v>
      </c>
      <c r="BT25" s="882">
        <f t="shared" si="38"/>
        <v>172.20000000000019</v>
      </c>
      <c r="BU25" s="877">
        <f t="shared" si="38"/>
        <v>1311.600000000002</v>
      </c>
      <c r="BV25" s="881">
        <f t="shared" si="38"/>
        <v>452.69862972000101</v>
      </c>
      <c r="BW25" s="881">
        <f t="shared" si="38"/>
        <v>396.00000000000045</v>
      </c>
      <c r="BX25" s="881">
        <f t="shared" si="38"/>
        <v>569.49999999999977</v>
      </c>
      <c r="BY25" s="882">
        <f t="shared" si="38"/>
        <v>347.99999999999983</v>
      </c>
      <c r="BZ25" s="877">
        <f t="shared" si="38"/>
        <v>1766.1986297199996</v>
      </c>
      <c r="CA25" s="881">
        <f t="shared" si="38"/>
        <v>410.30000000000018</v>
      </c>
      <c r="CB25" s="709">
        <f t="shared" si="38"/>
        <v>384.30000000000035</v>
      </c>
      <c r="CC25" s="709"/>
      <c r="CD25" s="882"/>
      <c r="CE25" s="877">
        <f t="shared" si="38"/>
        <v>794.60000000000139</v>
      </c>
      <c r="CF25" s="930"/>
      <c r="CG25" s="943"/>
      <c r="CH25" s="944"/>
      <c r="CI25" s="768"/>
      <c r="CK25" s="768"/>
    </row>
    <row r="26" spans="1:89" ht="20.100000000000001" customHeight="1">
      <c r="A26" s="897" t="s">
        <v>69</v>
      </c>
      <c r="B26" s="898" t="s">
        <v>70</v>
      </c>
      <c r="C26" s="899">
        <v>12.5</v>
      </c>
      <c r="D26" s="899">
        <v>-8.5</v>
      </c>
      <c r="E26" s="899">
        <v>5.3</v>
      </c>
      <c r="F26" s="899">
        <v>5</v>
      </c>
      <c r="G26" s="900">
        <f>SUM(C26:F26)</f>
        <v>14.3</v>
      </c>
      <c r="H26" s="899">
        <v>3.9</v>
      </c>
      <c r="I26" s="899">
        <v>0.7</v>
      </c>
      <c r="J26" s="899">
        <v>7.4</v>
      </c>
      <c r="K26" s="899">
        <v>4.0999999999999996</v>
      </c>
      <c r="L26" s="900">
        <f>SUM(H26:K26)</f>
        <v>16.100000000000001</v>
      </c>
      <c r="M26" s="899">
        <v>1.2000000000000028</v>
      </c>
      <c r="N26" s="899">
        <v>23.9</v>
      </c>
      <c r="O26" s="899">
        <v>1.5</v>
      </c>
      <c r="P26" s="899">
        <v>-11.4</v>
      </c>
      <c r="Q26" s="900">
        <f>SUM(M26:P26)</f>
        <v>15.200000000000001</v>
      </c>
      <c r="R26" s="899">
        <v>28.9</v>
      </c>
      <c r="S26" s="899">
        <v>-11.9</v>
      </c>
      <c r="T26" s="899">
        <v>-5.2</v>
      </c>
      <c r="U26" s="901">
        <v>-3.2</v>
      </c>
      <c r="V26" s="900">
        <v>8.6000000000000014</v>
      </c>
      <c r="W26" s="899">
        <v>-35.200000000000003</v>
      </c>
      <c r="X26" s="899">
        <v>-21.4</v>
      </c>
      <c r="Y26" s="902">
        <v>13.1</v>
      </c>
      <c r="Z26" s="901">
        <v>-26.3</v>
      </c>
      <c r="AA26" s="900">
        <f t="shared" si="7"/>
        <v>-69.8</v>
      </c>
      <c r="AB26" s="899">
        <v>30.5</v>
      </c>
      <c r="AC26" s="899">
        <v>-14.4</v>
      </c>
      <c r="AD26" s="902">
        <v>-28</v>
      </c>
      <c r="AE26" s="902">
        <v>19.100000000000001</v>
      </c>
      <c r="AF26" s="900">
        <f t="shared" si="8"/>
        <v>7.2000000000000028</v>
      </c>
      <c r="AG26" s="899">
        <v>-3.4</v>
      </c>
      <c r="AH26" s="899">
        <v>-34.4</v>
      </c>
      <c r="AI26" s="899">
        <v>12.7</v>
      </c>
      <c r="AJ26" s="902">
        <v>4.7</v>
      </c>
      <c r="AK26" s="900">
        <f t="shared" ref="AK26:AK29" si="39">SUM(AG26:AJ26)</f>
        <v>-20.399999999999999</v>
      </c>
      <c r="AL26" s="903"/>
      <c r="AM26" s="899">
        <v>-3.4</v>
      </c>
      <c r="AN26" s="899">
        <v>-45.9</v>
      </c>
      <c r="AO26" s="899">
        <v>11.7</v>
      </c>
      <c r="AP26" s="902">
        <v>4.6000000000000014</v>
      </c>
      <c r="AQ26" s="900">
        <f t="shared" ref="AQ26:AQ29" si="40">SUM(AM26:AP26)</f>
        <v>-32.999999999999993</v>
      </c>
      <c r="AR26" s="899">
        <v>1.3</v>
      </c>
      <c r="AS26" s="899">
        <v>13.6</v>
      </c>
      <c r="AT26" s="899">
        <v>-34.5</v>
      </c>
      <c r="AU26" s="902">
        <v>39.200000000000003</v>
      </c>
      <c r="AV26" s="900">
        <f t="shared" ref="AV26:AV29" si="41">SUM(AR26:AU26)</f>
        <v>19.600000000000001</v>
      </c>
      <c r="AW26" s="899">
        <v>-12.2</v>
      </c>
      <c r="AX26" s="899">
        <v>4.8</v>
      </c>
      <c r="AY26" s="899">
        <v>-53.8</v>
      </c>
      <c r="AZ26" s="902">
        <v>34.200000000000003</v>
      </c>
      <c r="BA26" s="900">
        <f t="shared" ref="BA26:BA29" si="42">SUM(AW26:AZ26)</f>
        <v>-26.999999999999993</v>
      </c>
      <c r="BB26" s="899">
        <v>-74.2</v>
      </c>
      <c r="BC26" s="899">
        <v>-1.2</v>
      </c>
      <c r="BD26" s="899">
        <v>-26.2</v>
      </c>
      <c r="BE26" s="902">
        <v>-11.5</v>
      </c>
      <c r="BF26" s="900">
        <f>SUM(BB26:BE26)</f>
        <v>-113.10000000000001</v>
      </c>
      <c r="BG26" s="899">
        <v>-22.4</v>
      </c>
      <c r="BH26" s="899">
        <v>7.8</v>
      </c>
      <c r="BI26" s="899">
        <v>-16.5</v>
      </c>
      <c r="BJ26" s="902">
        <v>4.2</v>
      </c>
      <c r="BK26" s="900">
        <f>SUM(BG26:BJ26)</f>
        <v>-26.9</v>
      </c>
      <c r="BL26" s="899">
        <v>6.9</v>
      </c>
      <c r="BM26" s="899">
        <v>5.7</v>
      </c>
      <c r="BN26" s="899">
        <v>-18.100000000000001</v>
      </c>
      <c r="BO26" s="902">
        <f>23.5-BN26-BM26-BL26</f>
        <v>29</v>
      </c>
      <c r="BP26" s="900">
        <f>SUM(BL26:BO26)</f>
        <v>23.5</v>
      </c>
      <c r="BQ26" s="904">
        <v>20.8</v>
      </c>
      <c r="BR26" s="899">
        <v>21</v>
      </c>
      <c r="BS26" s="899">
        <v>39.9</v>
      </c>
      <c r="BT26" s="905">
        <v>80.700000000000017</v>
      </c>
      <c r="BU26" s="906">
        <f>SUM(BQ26:BT26)</f>
        <v>162.4</v>
      </c>
      <c r="BV26" s="904">
        <v>19.2</v>
      </c>
      <c r="BW26" s="899">
        <v>84.2</v>
      </c>
      <c r="BX26" s="899">
        <v>81.8</v>
      </c>
      <c r="BY26" s="912" t="s">
        <v>776</v>
      </c>
      <c r="BZ26" s="913" t="s">
        <v>776</v>
      </c>
      <c r="CA26" s="929" t="s">
        <v>776</v>
      </c>
      <c r="CB26" s="929"/>
      <c r="CC26" s="929"/>
      <c r="CD26" s="912"/>
      <c r="CE26" s="913" t="s">
        <v>776</v>
      </c>
      <c r="CF26" s="930"/>
      <c r="CG26" s="943"/>
      <c r="CH26" s="944"/>
      <c r="CI26" s="768"/>
      <c r="CK26" s="768"/>
    </row>
    <row r="27" spans="1:89" s="94" customFormat="1" ht="20.100000000000001" customHeight="1">
      <c r="A27" s="907" t="s">
        <v>71</v>
      </c>
      <c r="B27" s="908" t="s">
        <v>72</v>
      </c>
      <c r="C27" s="899">
        <v>30.1</v>
      </c>
      <c r="D27" s="909">
        <v>-92.4</v>
      </c>
      <c r="E27" s="909">
        <v>-5.2</v>
      </c>
      <c r="F27" s="909">
        <v>-43.1</v>
      </c>
      <c r="G27" s="900">
        <f t="shared" ref="G27" si="43">SUM(C27:F27)</f>
        <v>-110.6</v>
      </c>
      <c r="H27" s="899">
        <v>-80.099999999999994</v>
      </c>
      <c r="I27" s="909">
        <v>-102.4</v>
      </c>
      <c r="J27" s="909">
        <v>-10.7</v>
      </c>
      <c r="K27" s="909">
        <v>-22.8</v>
      </c>
      <c r="L27" s="900">
        <f t="shared" ref="L27" si="44">SUM(H27:K27)</f>
        <v>-216</v>
      </c>
      <c r="M27" s="899">
        <v>-108.70000000000005</v>
      </c>
      <c r="N27" s="909">
        <v>-273.39999999999998</v>
      </c>
      <c r="O27" s="909">
        <v>-384.7</v>
      </c>
      <c r="P27" s="909">
        <v>-379.2</v>
      </c>
      <c r="Q27" s="900">
        <f t="shared" ref="Q27" si="45">SUM(M27:P27)</f>
        <v>-1146</v>
      </c>
      <c r="R27" s="899">
        <v>-261.3</v>
      </c>
      <c r="S27" s="909">
        <v>-222.1</v>
      </c>
      <c r="T27" s="909">
        <v>88.8</v>
      </c>
      <c r="U27" s="901">
        <v>-270</v>
      </c>
      <c r="V27" s="900">
        <v>-664.59999999999991</v>
      </c>
      <c r="W27" s="899">
        <v>-182.7</v>
      </c>
      <c r="X27" s="909">
        <v>-133.19999999999999</v>
      </c>
      <c r="Y27" s="910">
        <v>-127.3</v>
      </c>
      <c r="Z27" s="901">
        <v>-122.9</v>
      </c>
      <c r="AA27" s="900">
        <f t="shared" si="7"/>
        <v>-566.1</v>
      </c>
      <c r="AB27" s="899">
        <v>-185.5</v>
      </c>
      <c r="AC27" s="909">
        <v>-113.3</v>
      </c>
      <c r="AD27" s="910">
        <v>-104.8</v>
      </c>
      <c r="AE27" s="910">
        <v>-105.4</v>
      </c>
      <c r="AF27" s="900">
        <f t="shared" si="8"/>
        <v>-509</v>
      </c>
      <c r="AG27" s="899">
        <v>-72.599999999999994</v>
      </c>
      <c r="AH27" s="909">
        <v>-98.8</v>
      </c>
      <c r="AI27" s="909">
        <v>-100.9</v>
      </c>
      <c r="AJ27" s="910">
        <v>-113.3</v>
      </c>
      <c r="AK27" s="900">
        <f t="shared" si="39"/>
        <v>-385.59999999999997</v>
      </c>
      <c r="AL27" s="911"/>
      <c r="AM27" s="909">
        <v>-72.599999999999994</v>
      </c>
      <c r="AN27" s="909">
        <v>-98.9</v>
      </c>
      <c r="AO27" s="909">
        <v>-101.6</v>
      </c>
      <c r="AP27" s="910">
        <v>-113.59999999999997</v>
      </c>
      <c r="AQ27" s="900">
        <f t="shared" si="40"/>
        <v>-386.7</v>
      </c>
      <c r="AR27" s="899">
        <v>-102.7</v>
      </c>
      <c r="AS27" s="909">
        <v>-170</v>
      </c>
      <c r="AT27" s="909">
        <v>-97.9</v>
      </c>
      <c r="AU27" s="910">
        <v>-95.3</v>
      </c>
      <c r="AV27" s="900">
        <f t="shared" si="41"/>
        <v>-465.90000000000003</v>
      </c>
      <c r="AW27" s="899">
        <v>-102.7</v>
      </c>
      <c r="AX27" s="909">
        <v>-170</v>
      </c>
      <c r="AY27" s="909">
        <v>-97.9</v>
      </c>
      <c r="AZ27" s="910">
        <v>-95.3</v>
      </c>
      <c r="BA27" s="900">
        <f t="shared" si="42"/>
        <v>-465.90000000000003</v>
      </c>
      <c r="BB27" s="899">
        <v>-153.80000000000001</v>
      </c>
      <c r="BC27" s="909">
        <v>-47.7</v>
      </c>
      <c r="BD27" s="909">
        <v>-66.599999999999994</v>
      </c>
      <c r="BE27" s="910">
        <v>-64.900000000000006</v>
      </c>
      <c r="BF27" s="900">
        <f t="shared" ref="BF27:BF29" si="46">SUM(BB27:BE27)</f>
        <v>-333</v>
      </c>
      <c r="BG27" s="899">
        <v>-57.1</v>
      </c>
      <c r="BH27" s="899">
        <v>-60.5</v>
      </c>
      <c r="BI27" s="909">
        <v>-54.7</v>
      </c>
      <c r="BJ27" s="910">
        <v>-6.5</v>
      </c>
      <c r="BK27" s="900">
        <f t="shared" ref="BK27:BK29" si="47">SUM(BG27:BJ27)</f>
        <v>-178.8</v>
      </c>
      <c r="BL27" s="899">
        <v>-76.8</v>
      </c>
      <c r="BM27" s="899">
        <v>-130.69999999999999</v>
      </c>
      <c r="BN27" s="909">
        <v>-209.3</v>
      </c>
      <c r="BO27" s="910">
        <f>-649.9-BN27-BM27-BL27</f>
        <v>-233.09999999999997</v>
      </c>
      <c r="BP27" s="900">
        <f t="shared" ref="BP27:BP30" si="48">SUM(BL27:BO27)</f>
        <v>-649.9</v>
      </c>
      <c r="BQ27" s="904">
        <v>-255.7</v>
      </c>
      <c r="BR27" s="899">
        <v>-300.7</v>
      </c>
      <c r="BS27" s="909">
        <v>-399</v>
      </c>
      <c r="BT27" s="905">
        <v>-126.5</v>
      </c>
      <c r="BU27" s="906">
        <f>SUM(BQ27:BT27)</f>
        <v>-1081.9000000000001</v>
      </c>
      <c r="BV27" s="904">
        <v>-201.3</v>
      </c>
      <c r="BW27" s="899">
        <v>-267.10000000000002</v>
      </c>
      <c r="BX27" s="909">
        <v>-278.60000000000002</v>
      </c>
      <c r="BY27" s="914" t="s">
        <v>776</v>
      </c>
      <c r="BZ27" s="915" t="s">
        <v>776</v>
      </c>
      <c r="CA27" s="929" t="s">
        <v>776</v>
      </c>
      <c r="CB27" s="929"/>
      <c r="CC27" s="929"/>
      <c r="CD27" s="914"/>
      <c r="CE27" s="915" t="s">
        <v>776</v>
      </c>
      <c r="CF27" s="930"/>
      <c r="CG27" s="943"/>
      <c r="CH27" s="944"/>
      <c r="CI27" s="768"/>
      <c r="CK27" s="768"/>
    </row>
    <row r="28" spans="1:89" s="94" customFormat="1" ht="20.100000000000001" customHeight="1">
      <c r="A28" s="950" t="s">
        <v>811</v>
      </c>
      <c r="B28" s="951" t="s">
        <v>812</v>
      </c>
      <c r="C28" s="52"/>
      <c r="D28" s="92"/>
      <c r="E28" s="92"/>
      <c r="F28" s="92"/>
      <c r="G28" s="952"/>
      <c r="H28" s="52"/>
      <c r="I28" s="92"/>
      <c r="J28" s="92"/>
      <c r="K28" s="92"/>
      <c r="L28" s="952"/>
      <c r="M28" s="52"/>
      <c r="N28" s="92"/>
      <c r="O28" s="92"/>
      <c r="P28" s="92"/>
      <c r="Q28" s="952"/>
      <c r="R28" s="52"/>
      <c r="S28" s="92"/>
      <c r="T28" s="92"/>
      <c r="U28" s="50"/>
      <c r="V28" s="952"/>
      <c r="W28" s="52"/>
      <c r="X28" s="92"/>
      <c r="Y28" s="953"/>
      <c r="Z28" s="50"/>
      <c r="AA28" s="952"/>
      <c r="AB28" s="52"/>
      <c r="AC28" s="92"/>
      <c r="AD28" s="953"/>
      <c r="AE28" s="953"/>
      <c r="AF28" s="952"/>
      <c r="AG28" s="52"/>
      <c r="AH28" s="92"/>
      <c r="AI28" s="92"/>
      <c r="AJ28" s="953"/>
      <c r="AK28" s="952"/>
      <c r="AL28" s="954"/>
      <c r="AM28" s="92"/>
      <c r="AN28" s="92"/>
      <c r="AO28" s="92"/>
      <c r="AP28" s="953"/>
      <c r="AQ28" s="952"/>
      <c r="AR28" s="52"/>
      <c r="AS28" s="92"/>
      <c r="AT28" s="92"/>
      <c r="AU28" s="953"/>
      <c r="AV28" s="952"/>
      <c r="AW28" s="52"/>
      <c r="AX28" s="92"/>
      <c r="AY28" s="92"/>
      <c r="AZ28" s="953"/>
      <c r="BA28" s="952"/>
      <c r="BB28" s="52"/>
      <c r="BC28" s="92"/>
      <c r="BD28" s="92"/>
      <c r="BE28" s="953"/>
      <c r="BF28" s="952"/>
      <c r="BG28" s="52"/>
      <c r="BH28" s="52"/>
      <c r="BI28" s="92"/>
      <c r="BJ28" s="953"/>
      <c r="BK28" s="952"/>
      <c r="BL28" s="52"/>
      <c r="BM28" s="52"/>
      <c r="BN28" s="92"/>
      <c r="BO28" s="953"/>
      <c r="BP28" s="952"/>
      <c r="BQ28" s="955">
        <v>-234.9</v>
      </c>
      <c r="BR28" s="52">
        <v>-279.7</v>
      </c>
      <c r="BS28" s="92">
        <v>-359.1</v>
      </c>
      <c r="BT28" s="92">
        <v>-45.800000000000011</v>
      </c>
      <c r="BU28" s="832">
        <f>SUM(BQ28:BT28)</f>
        <v>-919.5</v>
      </c>
      <c r="BV28" s="955">
        <v>-182.09999999999997</v>
      </c>
      <c r="BW28" s="52">
        <v>-182.89999999999998</v>
      </c>
      <c r="BX28" s="92">
        <v>-196.8</v>
      </c>
      <c r="BY28" s="92">
        <v>-124.2</v>
      </c>
      <c r="BZ28" s="832">
        <f>SUM(BV28:BY28)</f>
        <v>-686</v>
      </c>
      <c r="CA28" s="955">
        <v>-287.79999999999995</v>
      </c>
      <c r="CB28" s="52">
        <v>-236.10000000000002</v>
      </c>
      <c r="CC28" s="92"/>
      <c r="CD28" s="92"/>
      <c r="CE28" s="832">
        <f>SUM(CA28:CD28)</f>
        <v>-523.9</v>
      </c>
      <c r="CF28" s="956"/>
      <c r="CG28" s="957"/>
      <c r="CH28" s="958"/>
      <c r="CI28" s="768"/>
      <c r="CK28" s="768"/>
    </row>
    <row r="29" spans="1:89" ht="30" customHeight="1">
      <c r="A29" s="864" t="s">
        <v>73</v>
      </c>
      <c r="B29" s="861" t="s">
        <v>74</v>
      </c>
      <c r="C29" s="46">
        <v>0.7</v>
      </c>
      <c r="D29" s="52">
        <v>0.8</v>
      </c>
      <c r="E29" s="52">
        <v>0.5</v>
      </c>
      <c r="F29" s="52">
        <v>0.8</v>
      </c>
      <c r="G29" s="832">
        <f t="shared" ref="G29" si="49">SUM(C29:F29)</f>
        <v>2.8</v>
      </c>
      <c r="H29" s="46">
        <v>0.8</v>
      </c>
      <c r="I29" s="52">
        <v>0.8</v>
      </c>
      <c r="J29" s="52">
        <v>0.7</v>
      </c>
      <c r="K29" s="52">
        <v>0.6</v>
      </c>
      <c r="L29" s="832">
        <f t="shared" ref="L29" si="50">SUM(H29:K29)</f>
        <v>2.9</v>
      </c>
      <c r="M29" s="46">
        <v>0.60000000000000009</v>
      </c>
      <c r="N29" s="52">
        <v>0.7</v>
      </c>
      <c r="O29" s="52">
        <v>0.7</v>
      </c>
      <c r="P29" s="52">
        <v>0.6</v>
      </c>
      <c r="Q29" s="832">
        <f t="shared" ref="Q29" si="51">SUM(M29:P29)</f>
        <v>2.6</v>
      </c>
      <c r="R29" s="46">
        <v>0.5</v>
      </c>
      <c r="S29" s="52">
        <v>0.9</v>
      </c>
      <c r="T29" s="52">
        <v>0.5</v>
      </c>
      <c r="U29" s="50">
        <v>0.70000000000000018</v>
      </c>
      <c r="V29" s="832">
        <v>2.6</v>
      </c>
      <c r="W29" s="46">
        <v>0.8</v>
      </c>
      <c r="X29" s="53">
        <v>-0.8</v>
      </c>
      <c r="Y29" s="46">
        <v>0</v>
      </c>
      <c r="Z29" s="46">
        <v>0</v>
      </c>
      <c r="AA29" s="832">
        <f t="shared" ref="AA29" si="52">SUM(W29:Z29)</f>
        <v>0</v>
      </c>
      <c r="AB29" s="46">
        <v>0</v>
      </c>
      <c r="AC29" s="46">
        <v>0</v>
      </c>
      <c r="AD29" s="46">
        <v>0</v>
      </c>
      <c r="AE29" s="46">
        <v>0</v>
      </c>
      <c r="AF29" s="832">
        <f t="shared" ref="AF29:AF30" si="53">SUM(AB29:AE29)</f>
        <v>0</v>
      </c>
      <c r="AG29" s="46">
        <v>0</v>
      </c>
      <c r="AH29" s="46">
        <v>0</v>
      </c>
      <c r="AI29" s="46">
        <v>0</v>
      </c>
      <c r="AJ29" s="46">
        <v>0</v>
      </c>
      <c r="AK29" s="832">
        <f t="shared" si="39"/>
        <v>0</v>
      </c>
      <c r="AL29" s="848"/>
      <c r="AM29" s="46">
        <v>0</v>
      </c>
      <c r="AN29" s="46">
        <v>0</v>
      </c>
      <c r="AO29" s="46">
        <v>0</v>
      </c>
      <c r="AP29" s="46">
        <v>0</v>
      </c>
      <c r="AQ29" s="832">
        <f t="shared" si="40"/>
        <v>0</v>
      </c>
      <c r="AR29" s="46">
        <v>0</v>
      </c>
      <c r="AS29" s="46">
        <v>0</v>
      </c>
      <c r="AT29" s="46">
        <v>0</v>
      </c>
      <c r="AU29" s="46">
        <v>0</v>
      </c>
      <c r="AV29" s="832">
        <f t="shared" si="41"/>
        <v>0</v>
      </c>
      <c r="AW29" s="46">
        <v>0</v>
      </c>
      <c r="AX29" s="46">
        <v>0</v>
      </c>
      <c r="AY29" s="46">
        <v>0</v>
      </c>
      <c r="AZ29" s="46">
        <v>0</v>
      </c>
      <c r="BA29" s="832">
        <f t="shared" si="42"/>
        <v>0</v>
      </c>
      <c r="BB29" s="46">
        <v>0</v>
      </c>
      <c r="BC29" s="46">
        <v>0</v>
      </c>
      <c r="BD29" s="46">
        <v>0</v>
      </c>
      <c r="BE29" s="46">
        <v>0</v>
      </c>
      <c r="BF29" s="832">
        <f t="shared" si="46"/>
        <v>0</v>
      </c>
      <c r="BG29" s="46">
        <v>0</v>
      </c>
      <c r="BH29" s="46">
        <v>0</v>
      </c>
      <c r="BI29" s="46">
        <v>0</v>
      </c>
      <c r="BJ29" s="46">
        <v>0</v>
      </c>
      <c r="BK29" s="832">
        <f t="shared" si="47"/>
        <v>0</v>
      </c>
      <c r="BL29" s="46">
        <v>0</v>
      </c>
      <c r="BM29" s="46">
        <v>0</v>
      </c>
      <c r="BN29" s="46">
        <v>0</v>
      </c>
      <c r="BO29" s="46">
        <v>0</v>
      </c>
      <c r="BP29" s="832">
        <f t="shared" si="48"/>
        <v>0</v>
      </c>
      <c r="BQ29" s="731">
        <v>0</v>
      </c>
      <c r="BR29" s="46">
        <v>0</v>
      </c>
      <c r="BS29" s="46">
        <v>0</v>
      </c>
      <c r="BT29" s="46">
        <v>0</v>
      </c>
      <c r="BU29" s="832">
        <f>SUM(BQ29:BT29)</f>
        <v>0</v>
      </c>
      <c r="BV29" s="731">
        <v>0</v>
      </c>
      <c r="BW29" s="46">
        <v>0</v>
      </c>
      <c r="BX29" s="46">
        <v>0</v>
      </c>
      <c r="BY29" s="46">
        <v>0</v>
      </c>
      <c r="BZ29" s="832">
        <f>SUM(BV29:BY29)</f>
        <v>0</v>
      </c>
      <c r="CA29" s="731">
        <v>0</v>
      </c>
      <c r="CB29" s="46">
        <v>0</v>
      </c>
      <c r="CC29" s="46"/>
      <c r="CD29" s="46"/>
      <c r="CE29" s="832">
        <f>SUM(CA29:CD29)</f>
        <v>0</v>
      </c>
      <c r="CF29" s="930"/>
      <c r="CG29" s="943"/>
      <c r="CH29" s="944"/>
      <c r="CI29" s="768"/>
      <c r="CK29" s="768"/>
    </row>
    <row r="30" spans="1:89" ht="30" customHeight="1">
      <c r="A30" s="864" t="s">
        <v>75</v>
      </c>
      <c r="B30" s="861" t="s">
        <v>76</v>
      </c>
      <c r="C30" s="52"/>
      <c r="D30" s="52"/>
      <c r="E30" s="52"/>
      <c r="F30" s="52"/>
      <c r="G30" s="832"/>
      <c r="H30" s="52"/>
      <c r="I30" s="52"/>
      <c r="J30" s="52"/>
      <c r="K30" s="52"/>
      <c r="L30" s="832"/>
      <c r="M30" s="52"/>
      <c r="N30" s="52"/>
      <c r="O30" s="52"/>
      <c r="P30" s="52"/>
      <c r="Q30" s="832"/>
      <c r="R30" s="52"/>
      <c r="S30" s="52"/>
      <c r="T30" s="52"/>
      <c r="U30" s="50"/>
      <c r="V30" s="832"/>
      <c r="W30" s="52"/>
      <c r="X30" s="53"/>
      <c r="Y30" s="46"/>
      <c r="Z30" s="46"/>
      <c r="AA30" s="832"/>
      <c r="AB30" s="52"/>
      <c r="AC30" s="46"/>
      <c r="AD30" s="46"/>
      <c r="AE30" s="46">
        <v>2.8</v>
      </c>
      <c r="AF30" s="832">
        <f t="shared" si="53"/>
        <v>2.8</v>
      </c>
      <c r="AG30" s="52">
        <v>5.2</v>
      </c>
      <c r="AH30" s="66">
        <v>-0.1</v>
      </c>
      <c r="AI30" s="66">
        <v>-3.5</v>
      </c>
      <c r="AJ30" s="36">
        <v>-2.8</v>
      </c>
      <c r="AK30" s="832">
        <f t="shared" ref="AK30" si="54">SUM(AG30:AJ30)</f>
        <v>-1.1999999999999993</v>
      </c>
      <c r="AL30" s="844"/>
      <c r="AM30" s="46">
        <v>5.2</v>
      </c>
      <c r="AN30" s="66">
        <v>-0.1</v>
      </c>
      <c r="AO30" s="66">
        <v>-3.5</v>
      </c>
      <c r="AP30" s="46">
        <v>-2.8</v>
      </c>
      <c r="AQ30" s="832">
        <f t="shared" ref="AQ30" si="55">SUM(AM30:AP30)</f>
        <v>-1.1999999999999993</v>
      </c>
      <c r="AR30" s="52">
        <v>-1.7</v>
      </c>
      <c r="AS30" s="66">
        <v>-1.9</v>
      </c>
      <c r="AT30" s="66">
        <v>-1.3</v>
      </c>
      <c r="AU30" s="46">
        <v>-1.6</v>
      </c>
      <c r="AV30" s="832">
        <f>SUM(AR30:AU30)</f>
        <v>-6.5</v>
      </c>
      <c r="AW30" s="52">
        <v>-1.7</v>
      </c>
      <c r="AX30" s="66">
        <v>-1.9</v>
      </c>
      <c r="AY30" s="66">
        <v>-1.3</v>
      </c>
      <c r="AZ30" s="46">
        <v>-1.6</v>
      </c>
      <c r="BA30" s="832">
        <f>SUM(AW30:AZ30)</f>
        <v>-6.5</v>
      </c>
      <c r="BB30" s="52">
        <v>16.3</v>
      </c>
      <c r="BC30" s="66">
        <v>17.8</v>
      </c>
      <c r="BD30" s="66">
        <v>13.5</v>
      </c>
      <c r="BE30" s="46">
        <v>-45.6</v>
      </c>
      <c r="BF30" s="832">
        <f>SUM(BB30:BE30)</f>
        <v>2</v>
      </c>
      <c r="BG30" s="52">
        <v>16.5</v>
      </c>
      <c r="BH30" s="52">
        <v>25</v>
      </c>
      <c r="BI30" s="66">
        <v>22.5</v>
      </c>
      <c r="BJ30" s="66">
        <v>11.4</v>
      </c>
      <c r="BK30" s="832">
        <f>SUM(BG30:BJ30)</f>
        <v>75.400000000000006</v>
      </c>
      <c r="BL30" s="52">
        <v>14.7</v>
      </c>
      <c r="BM30" s="52">
        <v>24.2</v>
      </c>
      <c r="BN30" s="66">
        <v>23.8</v>
      </c>
      <c r="BO30" s="66">
        <f>94.5-BN30-BM30-BL30</f>
        <v>31.8</v>
      </c>
      <c r="BP30" s="832">
        <f t="shared" si="48"/>
        <v>94.5</v>
      </c>
      <c r="BQ30" s="708">
        <v>20.3</v>
      </c>
      <c r="BR30" s="52">
        <v>-9.9</v>
      </c>
      <c r="BS30" s="46">
        <v>19.3</v>
      </c>
      <c r="BT30" s="46">
        <v>0</v>
      </c>
      <c r="BU30" s="832">
        <f t="shared" ref="BU30" si="56">SUM(BQ30:BT30)</f>
        <v>29.700000000000003</v>
      </c>
      <c r="BV30" s="731">
        <v>0</v>
      </c>
      <c r="BW30" s="52">
        <v>0.1</v>
      </c>
      <c r="BX30" s="46">
        <v>-0.8</v>
      </c>
      <c r="BY30" s="46">
        <v>0</v>
      </c>
      <c r="BZ30" s="832">
        <f t="shared" ref="BZ30" si="57">SUM(BV30:BY30)</f>
        <v>-0.70000000000000007</v>
      </c>
      <c r="CA30" s="731">
        <v>0</v>
      </c>
      <c r="CB30" s="46">
        <v>0</v>
      </c>
      <c r="CC30" s="46"/>
      <c r="CD30" s="46"/>
      <c r="CE30" s="832">
        <f t="shared" ref="CE30" si="58">SUM(CA30:CD30)</f>
        <v>0</v>
      </c>
      <c r="CF30" s="930"/>
      <c r="CG30" s="943"/>
      <c r="CH30" s="944"/>
      <c r="CI30" s="768"/>
      <c r="CK30" s="768"/>
    </row>
    <row r="31" spans="1:89" s="378" customFormat="1" ht="22.5" customHeight="1">
      <c r="A31" s="867" t="s">
        <v>77</v>
      </c>
      <c r="B31" s="867" t="s">
        <v>78</v>
      </c>
      <c r="C31" s="654">
        <f t="shared" ref="C31:AK31" si="59">C25+C26+C27+C29+C30</f>
        <v>246.30000000000004</v>
      </c>
      <c r="D31" s="654">
        <f t="shared" si="59"/>
        <v>112.89999999999996</v>
      </c>
      <c r="E31" s="654">
        <f t="shared" si="59"/>
        <v>198.20000000000005</v>
      </c>
      <c r="F31" s="654">
        <f t="shared" si="59"/>
        <v>138.20000000000019</v>
      </c>
      <c r="G31" s="828">
        <f t="shared" si="59"/>
        <v>695.59999999999911</v>
      </c>
      <c r="H31" s="654">
        <f t="shared" si="59"/>
        <v>109.27999999999996</v>
      </c>
      <c r="I31" s="654">
        <f t="shared" si="59"/>
        <v>94.09999999999998</v>
      </c>
      <c r="J31" s="654">
        <f t="shared" si="59"/>
        <v>200.79999999999998</v>
      </c>
      <c r="K31" s="654">
        <f t="shared" si="59"/>
        <v>188.69999999999993</v>
      </c>
      <c r="L31" s="828">
        <f t="shared" si="59"/>
        <v>592.88000000000034</v>
      </c>
      <c r="M31" s="654">
        <f t="shared" si="59"/>
        <v>112.59999999999977</v>
      </c>
      <c r="N31" s="654">
        <f t="shared" si="59"/>
        <v>148.7999999999999</v>
      </c>
      <c r="O31" s="654">
        <f t="shared" si="59"/>
        <v>49.299999999999685</v>
      </c>
      <c r="P31" s="654">
        <f t="shared" si="59"/>
        <v>3.5000000000007732</v>
      </c>
      <c r="Q31" s="828">
        <f t="shared" si="59"/>
        <v>314.19999999999925</v>
      </c>
      <c r="R31" s="654">
        <f t="shared" si="59"/>
        <v>196.79999999999995</v>
      </c>
      <c r="S31" s="654">
        <f t="shared" si="59"/>
        <v>350.4</v>
      </c>
      <c r="T31" s="654">
        <f t="shared" si="59"/>
        <v>613.29999999999961</v>
      </c>
      <c r="U31" s="654">
        <f t="shared" si="59"/>
        <v>171.90000000000038</v>
      </c>
      <c r="V31" s="828">
        <f t="shared" si="59"/>
        <v>1332.3999999999994</v>
      </c>
      <c r="W31" s="654">
        <f t="shared" si="59"/>
        <v>205.70000000000005</v>
      </c>
      <c r="X31" s="654">
        <f t="shared" si="59"/>
        <v>252.10000000000014</v>
      </c>
      <c r="Y31" s="655">
        <f t="shared" si="59"/>
        <v>334.90000000000038</v>
      </c>
      <c r="Z31" s="655">
        <f t="shared" si="59"/>
        <v>240.69999999999996</v>
      </c>
      <c r="AA31" s="828">
        <f t="shared" si="59"/>
        <v>1033.4000000000001</v>
      </c>
      <c r="AB31" s="654">
        <f t="shared" si="59"/>
        <v>302.20000000000033</v>
      </c>
      <c r="AC31" s="654">
        <f t="shared" si="59"/>
        <v>389.2999999999999</v>
      </c>
      <c r="AD31" s="654">
        <f t="shared" si="59"/>
        <v>289.10000000000002</v>
      </c>
      <c r="AE31" s="654">
        <f t="shared" si="59"/>
        <v>354.40000000000003</v>
      </c>
      <c r="AF31" s="828">
        <f t="shared" si="59"/>
        <v>1335.0000000000007</v>
      </c>
      <c r="AG31" s="654">
        <f t="shared" si="59"/>
        <v>393.49999999999972</v>
      </c>
      <c r="AH31" s="654">
        <f t="shared" si="59"/>
        <v>355.19999999999987</v>
      </c>
      <c r="AI31" s="654">
        <f t="shared" si="59"/>
        <v>304.30000000000007</v>
      </c>
      <c r="AJ31" s="656">
        <f t="shared" si="59"/>
        <v>304.59999999999997</v>
      </c>
      <c r="AK31" s="828">
        <f t="shared" si="59"/>
        <v>1357.5999999999997</v>
      </c>
      <c r="AL31" s="842"/>
      <c r="AM31" s="883">
        <f t="shared" ref="AM31:AV31" si="60">AM25+AM26+AM27+AM29+AM30</f>
        <v>364.7</v>
      </c>
      <c r="AN31" s="654">
        <f t="shared" si="60"/>
        <v>330.69999999999982</v>
      </c>
      <c r="AO31" s="654">
        <f t="shared" si="60"/>
        <v>303.0999999999998</v>
      </c>
      <c r="AP31" s="656">
        <f t="shared" si="60"/>
        <v>307.59999999999997</v>
      </c>
      <c r="AQ31" s="828">
        <f t="shared" si="60"/>
        <v>1306.1000000000029</v>
      </c>
      <c r="AR31" s="654">
        <f t="shared" si="60"/>
        <v>378.80000000000024</v>
      </c>
      <c r="AS31" s="654">
        <f t="shared" si="60"/>
        <v>357</v>
      </c>
      <c r="AT31" s="654">
        <f t="shared" si="60"/>
        <v>318.99999999999972</v>
      </c>
      <c r="AU31" s="654">
        <f t="shared" si="60"/>
        <v>427.30000000000092</v>
      </c>
      <c r="AV31" s="828">
        <f t="shared" si="60"/>
        <v>1482.1000000000024</v>
      </c>
      <c r="AW31" s="654">
        <f>AW25+AW26+AW27+AW30+AW29</f>
        <v>374.59999999999951</v>
      </c>
      <c r="AX31" s="654">
        <f>AX25+AX26+AX27+AX29+AX30</f>
        <v>355.39999999999975</v>
      </c>
      <c r="AY31" s="654">
        <f>AY25+AY26+AY27+AY29+AY30</f>
        <v>305.99999999999983</v>
      </c>
      <c r="AZ31" s="654">
        <f>AZ25+AZ26+AZ27+AZ29+AZ30</f>
        <v>431.60000000000019</v>
      </c>
      <c r="BA31" s="828">
        <f>BA25+BA26+BA27+BA29+BA30</f>
        <v>1467.600000000001</v>
      </c>
      <c r="BB31" s="654">
        <f>BB25+BB26+BB27+BB30+BB29</f>
        <v>250.48882651999986</v>
      </c>
      <c r="BC31" s="654">
        <f>BC25+BC26+BC27+BC29+BC30</f>
        <v>363.00000000000085</v>
      </c>
      <c r="BD31" s="654">
        <f>BD25+BD26+BD27+BD29+BD30</f>
        <v>426.5999999999998</v>
      </c>
      <c r="BE31" s="654">
        <f>BE25+BE26+BE27+BE29+BE30</f>
        <v>402.00000000000011</v>
      </c>
      <c r="BF31" s="828">
        <f>BF25+BF26+BF27+BF29+BF30</f>
        <v>1442.0888265199992</v>
      </c>
      <c r="BG31" s="654">
        <f>BG25+BG26+BG27+BG30+BG29</f>
        <v>498.5</v>
      </c>
      <c r="BH31" s="654">
        <f>BH25+BH26+BH27+BH29+BH30</f>
        <v>655.99999999999989</v>
      </c>
      <c r="BI31" s="654">
        <f>BI25+BI26+BI27+BI29+BI30</f>
        <v>4082.7000000000007</v>
      </c>
      <c r="BJ31" s="654">
        <f>BJ25+BJ26+BJ27+BJ29+BJ30</f>
        <v>428.89999999999964</v>
      </c>
      <c r="BK31" s="828">
        <f>BK25+BK26+BK27+BK29+BK30</f>
        <v>5666.0999999999985</v>
      </c>
      <c r="BL31" s="654">
        <f>BL25+BL26+BL27+BL30+BL29</f>
        <v>265.09999999999997</v>
      </c>
      <c r="BM31" s="654">
        <f>BM25+BM26+BM27+BM29+BM30</f>
        <v>324.99999999999983</v>
      </c>
      <c r="BN31" s="654">
        <f>BN25+BN26+BN27+BN29+BN30</f>
        <v>297.30000000000075</v>
      </c>
      <c r="BO31" s="654">
        <f>BO25+BO26+BO27+BO29+BO30</f>
        <v>222.89999999999895</v>
      </c>
      <c r="BP31" s="828">
        <f>BP25+BP26+BP27+BP29+BP30</f>
        <v>1110.3000000000002</v>
      </c>
      <c r="BQ31" s="705">
        <f>BQ25+BQ26+BQ27+BQ30+BQ29</f>
        <v>84.100000000000577</v>
      </c>
      <c r="BR31" s="705">
        <f>BR25+BR26+BR27+BR30+BR29</f>
        <v>40.200000000000195</v>
      </c>
      <c r="BS31" s="654">
        <f>BS25+BS26+BS27+BS29+BS30</f>
        <v>171.10000000000042</v>
      </c>
      <c r="BT31" s="654">
        <f>BT25+BT26+BT27+BT29+BT30</f>
        <v>126.4000000000002</v>
      </c>
      <c r="BU31" s="828">
        <f>BU25+BU26+BU27+BU29+BU30</f>
        <v>421.80000000000194</v>
      </c>
      <c r="BV31" s="705">
        <f>BV25+BV26+BV27+BV30+BV29</f>
        <v>270.59862972000099</v>
      </c>
      <c r="BW31" s="705">
        <f>BW25+BW26+BW27+BW30+BW29</f>
        <v>213.20000000000041</v>
      </c>
      <c r="BX31" s="705">
        <f>BX25+BX26+BX27+BX30+BX29</f>
        <v>371.89999999999969</v>
      </c>
      <c r="BY31" s="654">
        <f>BY25+BY28+BY30+BY29</f>
        <v>223.79999999999984</v>
      </c>
      <c r="BZ31" s="828">
        <f>BZ25+BZ28+BZ30+BZ29</f>
        <v>1079.4986297199996</v>
      </c>
      <c r="CA31" s="705">
        <f t="shared" ref="CA31:CB31" si="61">CA25+CA28+CA30+CA29</f>
        <v>122.50000000000023</v>
      </c>
      <c r="CB31" s="705">
        <f t="shared" si="61"/>
        <v>148.20000000000033</v>
      </c>
      <c r="CC31" s="705"/>
      <c r="CD31" s="654"/>
      <c r="CE31" s="828">
        <f>CE25+CE28+CE30+CE29</f>
        <v>270.70000000000141</v>
      </c>
      <c r="CF31" s="930"/>
      <c r="CG31" s="943"/>
      <c r="CH31" s="944"/>
      <c r="CI31" s="768"/>
      <c r="CK31" s="768"/>
    </row>
    <row r="32" spans="1:89" ht="20.100000000000001" customHeight="1">
      <c r="A32" s="864" t="s">
        <v>79</v>
      </c>
      <c r="B32" s="860" t="s">
        <v>80</v>
      </c>
      <c r="C32" s="53">
        <v>-41.2</v>
      </c>
      <c r="D32" s="52">
        <v>-13.4</v>
      </c>
      <c r="E32" s="52">
        <v>-26.2</v>
      </c>
      <c r="F32" s="52">
        <v>-16.600000000000001</v>
      </c>
      <c r="G32" s="832">
        <f>SUM(C32:F32)</f>
        <v>-97.4</v>
      </c>
      <c r="H32" s="53">
        <v>-14.1</v>
      </c>
      <c r="I32" s="52">
        <v>-13.4</v>
      </c>
      <c r="J32" s="52">
        <v>-24.4</v>
      </c>
      <c r="K32" s="52">
        <v>-15.5</v>
      </c>
      <c r="L32" s="832">
        <f>SUM(H32:K32)</f>
        <v>-67.400000000000006</v>
      </c>
      <c r="M32" s="53">
        <v>-14.400000000000002</v>
      </c>
      <c r="N32" s="52">
        <v>-16.7</v>
      </c>
      <c r="O32" s="52">
        <v>-1.1000000000000001</v>
      </c>
      <c r="P32" s="52">
        <v>10.5</v>
      </c>
      <c r="Q32" s="832">
        <f>SUM(M32:P32)</f>
        <v>-21.700000000000003</v>
      </c>
      <c r="R32" s="53">
        <v>-26</v>
      </c>
      <c r="S32" s="52">
        <v>-45.9</v>
      </c>
      <c r="T32" s="52">
        <v>-110.8</v>
      </c>
      <c r="U32" s="53">
        <v>13.7</v>
      </c>
      <c r="V32" s="832">
        <v>-169</v>
      </c>
      <c r="W32" s="53">
        <v>-27.2</v>
      </c>
      <c r="X32" s="53">
        <v>-21.2</v>
      </c>
      <c r="Y32" s="36">
        <v>-65.099999999999994</v>
      </c>
      <c r="Z32" s="53">
        <v>101.1</v>
      </c>
      <c r="AA32" s="832">
        <f t="shared" si="7"/>
        <v>-12.400000000000006</v>
      </c>
      <c r="AB32" s="53">
        <v>-30.8</v>
      </c>
      <c r="AC32" s="53">
        <v>-107.6</v>
      </c>
      <c r="AD32" s="36">
        <v>-54.2</v>
      </c>
      <c r="AE32" s="53">
        <v>-197.2</v>
      </c>
      <c r="AF32" s="832">
        <f t="shared" si="8"/>
        <v>-389.8</v>
      </c>
      <c r="AG32" s="53">
        <v>-78</v>
      </c>
      <c r="AH32" s="53">
        <v>-102.1</v>
      </c>
      <c r="AI32" s="75">
        <v>-77.3</v>
      </c>
      <c r="AJ32" s="53">
        <v>-246.74845572261776</v>
      </c>
      <c r="AK32" s="832">
        <f>SUM(AG32:AJ32)</f>
        <v>-504.14845572261777</v>
      </c>
      <c r="AL32" s="844"/>
      <c r="AM32" s="53">
        <v>-72.5</v>
      </c>
      <c r="AN32" s="53">
        <v>-99.3</v>
      </c>
      <c r="AO32" s="704">
        <v>-76</v>
      </c>
      <c r="AP32" s="53">
        <v>-242.2</v>
      </c>
      <c r="AQ32" s="832">
        <f>SUM(AM32:AP32)</f>
        <v>-490</v>
      </c>
      <c r="AR32" s="53">
        <v>-78</v>
      </c>
      <c r="AS32" s="53">
        <v>-86.9</v>
      </c>
      <c r="AT32" s="53">
        <v>-72</v>
      </c>
      <c r="AU32" s="53">
        <v>-118.9</v>
      </c>
      <c r="AV32" s="832">
        <f>SUM(AR32:AU32)</f>
        <v>-355.8</v>
      </c>
      <c r="AW32" s="53">
        <v>-77.3</v>
      </c>
      <c r="AX32" s="53">
        <v>-86.5</v>
      </c>
      <c r="AY32" s="704">
        <v>-69.5</v>
      </c>
      <c r="AZ32" s="53">
        <v>-119.7</v>
      </c>
      <c r="BA32" s="832">
        <f>SUM(AW32:AZ32)</f>
        <v>-353</v>
      </c>
      <c r="BB32" s="53">
        <v>-66.7</v>
      </c>
      <c r="BC32" s="53">
        <v>-72.3</v>
      </c>
      <c r="BD32" s="704">
        <v>-81.599999999999994</v>
      </c>
      <c r="BE32" s="53">
        <v>-75.3</v>
      </c>
      <c r="BF32" s="832">
        <f>SUM(BB32:BE32)</f>
        <v>-295.89999999999998</v>
      </c>
      <c r="BG32" s="53">
        <v>-108.1</v>
      </c>
      <c r="BH32" s="52">
        <v>-114.3</v>
      </c>
      <c r="BI32" s="52">
        <v>-934</v>
      </c>
      <c r="BJ32" s="52">
        <v>-95.2</v>
      </c>
      <c r="BK32" s="832">
        <f>SUM(BG32:BJ32)</f>
        <v>-1251.6000000000001</v>
      </c>
      <c r="BL32" s="53">
        <v>-52.3</v>
      </c>
      <c r="BM32" s="52">
        <v>-42.3</v>
      </c>
      <c r="BN32" s="92">
        <v>-66.2</v>
      </c>
      <c r="BO32" s="52">
        <f>-209.2-BN32-BM32-BL32</f>
        <v>-48.400000000000006</v>
      </c>
      <c r="BP32" s="832">
        <f>SUM(BL32:BO32)</f>
        <v>-209.20000000000002</v>
      </c>
      <c r="BQ32" s="708">
        <v>-13.1</v>
      </c>
      <c r="BR32" s="52">
        <v>-32.1</v>
      </c>
      <c r="BS32" s="92">
        <v>-68.900000000000006</v>
      </c>
      <c r="BT32" s="92">
        <v>3.9</v>
      </c>
      <c r="BU32" s="832">
        <f>SUM(BQ32:BT32)</f>
        <v>-110.2</v>
      </c>
      <c r="BV32" s="708">
        <v>-86.3</v>
      </c>
      <c r="BW32" s="52">
        <v>-37.700000000000003</v>
      </c>
      <c r="BX32" s="92">
        <v>-122.1</v>
      </c>
      <c r="BY32" s="92">
        <v>-56.1</v>
      </c>
      <c r="BZ32" s="832">
        <f>SUM(BV32:BY32)</f>
        <v>-302.2</v>
      </c>
      <c r="CA32" s="708">
        <v>-35.799999999999997</v>
      </c>
      <c r="CB32" s="52">
        <v>-35.200000000000003</v>
      </c>
      <c r="CC32" s="92"/>
      <c r="CD32" s="92"/>
      <c r="CE32" s="832">
        <f>SUM(CA32:CD32)</f>
        <v>-71</v>
      </c>
      <c r="CF32" s="930"/>
      <c r="CG32" s="943"/>
      <c r="CH32" s="944"/>
      <c r="CI32" s="768"/>
      <c r="CK32" s="768"/>
    </row>
    <row r="33" spans="1:16357" s="378" customFormat="1" ht="22.5" customHeight="1">
      <c r="A33" s="867" t="s">
        <v>81</v>
      </c>
      <c r="B33" s="867" t="s">
        <v>82</v>
      </c>
      <c r="C33" s="654">
        <f t="shared" ref="C33:AK33" si="62">C31+C32</f>
        <v>205.10000000000002</v>
      </c>
      <c r="D33" s="654">
        <f t="shared" si="62"/>
        <v>99.499999999999957</v>
      </c>
      <c r="E33" s="654">
        <f t="shared" si="62"/>
        <v>172.00000000000006</v>
      </c>
      <c r="F33" s="654">
        <f t="shared" si="62"/>
        <v>121.60000000000019</v>
      </c>
      <c r="G33" s="828">
        <f>G31+G32</f>
        <v>598.19999999999914</v>
      </c>
      <c r="H33" s="654">
        <f t="shared" si="62"/>
        <v>95.179999999999964</v>
      </c>
      <c r="I33" s="654">
        <f t="shared" si="62"/>
        <v>80.699999999999974</v>
      </c>
      <c r="J33" s="654">
        <f t="shared" si="62"/>
        <v>176.39999999999998</v>
      </c>
      <c r="K33" s="654">
        <f t="shared" si="62"/>
        <v>173.19999999999993</v>
      </c>
      <c r="L33" s="828">
        <f t="shared" si="62"/>
        <v>525.48000000000036</v>
      </c>
      <c r="M33" s="654">
        <f t="shared" si="62"/>
        <v>98.199999999999761</v>
      </c>
      <c r="N33" s="654">
        <f t="shared" si="62"/>
        <v>132.09999999999991</v>
      </c>
      <c r="O33" s="654">
        <f t="shared" si="62"/>
        <v>48.199999999999683</v>
      </c>
      <c r="P33" s="654">
        <f t="shared" si="62"/>
        <v>14.000000000000773</v>
      </c>
      <c r="Q33" s="828">
        <f t="shared" si="62"/>
        <v>292.49999999999926</v>
      </c>
      <c r="R33" s="654">
        <f t="shared" si="62"/>
        <v>170.79999999999995</v>
      </c>
      <c r="S33" s="654">
        <f t="shared" si="62"/>
        <v>304.5</v>
      </c>
      <c r="T33" s="654">
        <f t="shared" si="62"/>
        <v>502.4999999999996</v>
      </c>
      <c r="U33" s="654">
        <f t="shared" si="62"/>
        <v>185.60000000000036</v>
      </c>
      <c r="V33" s="828">
        <f t="shared" si="62"/>
        <v>1163.3999999999994</v>
      </c>
      <c r="W33" s="654">
        <f t="shared" si="62"/>
        <v>178.50000000000006</v>
      </c>
      <c r="X33" s="654">
        <f t="shared" si="62"/>
        <v>230.90000000000015</v>
      </c>
      <c r="Y33" s="655">
        <f t="shared" si="62"/>
        <v>269.80000000000041</v>
      </c>
      <c r="Z33" s="655">
        <f t="shared" si="62"/>
        <v>341.79999999999995</v>
      </c>
      <c r="AA33" s="828">
        <f t="shared" si="62"/>
        <v>1021.0000000000001</v>
      </c>
      <c r="AB33" s="654">
        <f t="shared" si="62"/>
        <v>271.40000000000032</v>
      </c>
      <c r="AC33" s="654">
        <f t="shared" si="62"/>
        <v>281.69999999999993</v>
      </c>
      <c r="AD33" s="654">
        <f t="shared" si="62"/>
        <v>234.90000000000003</v>
      </c>
      <c r="AE33" s="654">
        <f t="shared" si="62"/>
        <v>157.20000000000005</v>
      </c>
      <c r="AF33" s="828">
        <f t="shared" si="62"/>
        <v>945.20000000000073</v>
      </c>
      <c r="AG33" s="654">
        <f t="shared" si="62"/>
        <v>315.49999999999972</v>
      </c>
      <c r="AH33" s="654">
        <f t="shared" si="62"/>
        <v>253.09999999999988</v>
      </c>
      <c r="AI33" s="654">
        <f t="shared" si="62"/>
        <v>227.00000000000006</v>
      </c>
      <c r="AJ33" s="656">
        <f t="shared" si="62"/>
        <v>57.851544277382203</v>
      </c>
      <c r="AK33" s="828">
        <f t="shared" si="62"/>
        <v>853.45154427738191</v>
      </c>
      <c r="AL33" s="842"/>
      <c r="AM33" s="883">
        <f t="shared" ref="AM33:BK33" si="63">AM31+AM32</f>
        <v>292.2</v>
      </c>
      <c r="AN33" s="654">
        <f t="shared" si="63"/>
        <v>231.39999999999981</v>
      </c>
      <c r="AO33" s="654">
        <f t="shared" si="63"/>
        <v>227.0999999999998</v>
      </c>
      <c r="AP33" s="656">
        <f t="shared" si="63"/>
        <v>65.399999999999977</v>
      </c>
      <c r="AQ33" s="828">
        <f t="shared" si="63"/>
        <v>816.10000000000286</v>
      </c>
      <c r="AR33" s="654">
        <f>AR31+AR32</f>
        <v>300.80000000000024</v>
      </c>
      <c r="AS33" s="654">
        <f t="shared" si="63"/>
        <v>270.10000000000002</v>
      </c>
      <c r="AT33" s="654">
        <f t="shared" si="63"/>
        <v>246.99999999999972</v>
      </c>
      <c r="AU33" s="654">
        <f t="shared" si="63"/>
        <v>308.40000000000089</v>
      </c>
      <c r="AV33" s="828">
        <f t="shared" si="63"/>
        <v>1126.3000000000025</v>
      </c>
      <c r="AW33" s="654">
        <f t="shared" si="63"/>
        <v>297.2999999999995</v>
      </c>
      <c r="AX33" s="654">
        <f t="shared" si="63"/>
        <v>268.89999999999975</v>
      </c>
      <c r="AY33" s="654">
        <f t="shared" si="63"/>
        <v>236.49999999999983</v>
      </c>
      <c r="AZ33" s="654">
        <f t="shared" si="63"/>
        <v>311.9000000000002</v>
      </c>
      <c r="BA33" s="828">
        <f t="shared" si="63"/>
        <v>1114.600000000001</v>
      </c>
      <c r="BB33" s="654">
        <f t="shared" si="63"/>
        <v>183.78882651999987</v>
      </c>
      <c r="BC33" s="654">
        <f t="shared" si="63"/>
        <v>290.70000000000084</v>
      </c>
      <c r="BD33" s="654">
        <f t="shared" si="63"/>
        <v>344.99999999999977</v>
      </c>
      <c r="BE33" s="654">
        <f t="shared" si="63"/>
        <v>326.7000000000001</v>
      </c>
      <c r="BF33" s="828">
        <f t="shared" si="63"/>
        <v>1146.1888265199991</v>
      </c>
      <c r="BG33" s="654">
        <f t="shared" si="63"/>
        <v>390.4</v>
      </c>
      <c r="BH33" s="654">
        <f t="shared" si="63"/>
        <v>541.69999999999993</v>
      </c>
      <c r="BI33" s="654">
        <f t="shared" si="63"/>
        <v>3148.7000000000007</v>
      </c>
      <c r="BJ33" s="654">
        <f t="shared" si="63"/>
        <v>333.69999999999965</v>
      </c>
      <c r="BK33" s="828">
        <f t="shared" si="63"/>
        <v>4414.4999999999982</v>
      </c>
      <c r="BL33" s="654">
        <f>BL31+BL32</f>
        <v>212.79999999999995</v>
      </c>
      <c r="BM33" s="654">
        <f t="shared" ref="BM33:BP33" si="64">BM31+BM32</f>
        <v>282.69999999999982</v>
      </c>
      <c r="BN33" s="654">
        <f t="shared" si="64"/>
        <v>231.10000000000076</v>
      </c>
      <c r="BO33" s="654">
        <f t="shared" si="64"/>
        <v>174.49999999999895</v>
      </c>
      <c r="BP33" s="828">
        <f t="shared" si="64"/>
        <v>901.10000000000014</v>
      </c>
      <c r="BQ33" s="705">
        <f>BQ31+BQ32</f>
        <v>71.000000000000583</v>
      </c>
      <c r="BR33" s="654">
        <f t="shared" ref="BR33:BU33" si="65">BR31+BR32</f>
        <v>8.1000000000001933</v>
      </c>
      <c r="BS33" s="654">
        <f t="shared" si="65"/>
        <v>102.20000000000041</v>
      </c>
      <c r="BT33" s="654">
        <f t="shared" si="65"/>
        <v>130.30000000000021</v>
      </c>
      <c r="BU33" s="828">
        <f t="shared" si="65"/>
        <v>311.60000000000196</v>
      </c>
      <c r="BV33" s="705">
        <f>BV31+BV32</f>
        <v>184.29862972000097</v>
      </c>
      <c r="BW33" s="705">
        <f>BW31+BW32</f>
        <v>175.5000000000004</v>
      </c>
      <c r="BX33" s="705">
        <f>BX31+BX32</f>
        <v>249.7999999999997</v>
      </c>
      <c r="BY33" s="654">
        <f>BY31+BY32</f>
        <v>167.69999999999985</v>
      </c>
      <c r="BZ33" s="828">
        <f t="shared" ref="BZ33:CB33" si="66">BZ31+BZ32</f>
        <v>777.29862971999955</v>
      </c>
      <c r="CA33" s="705">
        <f t="shared" si="66"/>
        <v>86.70000000000023</v>
      </c>
      <c r="CB33" s="705">
        <f t="shared" si="66"/>
        <v>113.00000000000033</v>
      </c>
      <c r="CC33" s="705"/>
      <c r="CD33" s="654"/>
      <c r="CE33" s="828">
        <f t="shared" ref="CE33" si="67">CE31+CE32</f>
        <v>199.70000000000141</v>
      </c>
      <c r="CF33" s="766"/>
      <c r="CG33" s="943"/>
      <c r="CH33" s="944"/>
      <c r="CI33" s="769"/>
    </row>
    <row r="34" spans="1:16357" ht="30" customHeight="1">
      <c r="A34" s="864" t="s">
        <v>83</v>
      </c>
      <c r="B34" s="855" t="s">
        <v>84</v>
      </c>
      <c r="C34" s="36">
        <f>C33</f>
        <v>205.10000000000002</v>
      </c>
      <c r="D34" s="52">
        <f t="shared" ref="D34:V34" si="68">D33</f>
        <v>99.499999999999957</v>
      </c>
      <c r="E34" s="52">
        <f t="shared" si="68"/>
        <v>172.00000000000006</v>
      </c>
      <c r="F34" s="52">
        <f t="shared" si="68"/>
        <v>121.60000000000019</v>
      </c>
      <c r="G34" s="832">
        <f t="shared" si="68"/>
        <v>598.19999999999914</v>
      </c>
      <c r="H34" s="36">
        <f t="shared" si="68"/>
        <v>95.179999999999964</v>
      </c>
      <c r="I34" s="52">
        <f t="shared" si="68"/>
        <v>80.699999999999974</v>
      </c>
      <c r="J34" s="52">
        <f t="shared" si="68"/>
        <v>176.39999999999998</v>
      </c>
      <c r="K34" s="52">
        <f t="shared" si="68"/>
        <v>173.19999999999993</v>
      </c>
      <c r="L34" s="832">
        <f t="shared" si="68"/>
        <v>525.48000000000036</v>
      </c>
      <c r="M34" s="36">
        <f t="shared" si="68"/>
        <v>98.199999999999761</v>
      </c>
      <c r="N34" s="52">
        <f t="shared" si="68"/>
        <v>132.09999999999991</v>
      </c>
      <c r="O34" s="52">
        <f t="shared" si="68"/>
        <v>48.199999999999683</v>
      </c>
      <c r="P34" s="52">
        <f t="shared" si="68"/>
        <v>14.000000000000773</v>
      </c>
      <c r="Q34" s="832">
        <f t="shared" si="68"/>
        <v>292.49999999999926</v>
      </c>
      <c r="R34" s="36">
        <f t="shared" si="68"/>
        <v>170.79999999999995</v>
      </c>
      <c r="S34" s="52">
        <f t="shared" si="68"/>
        <v>304.5</v>
      </c>
      <c r="T34" s="52">
        <f t="shared" si="68"/>
        <v>502.4999999999996</v>
      </c>
      <c r="U34" s="54">
        <f t="shared" si="68"/>
        <v>185.60000000000036</v>
      </c>
      <c r="V34" s="832">
        <f t="shared" si="68"/>
        <v>1163.3999999999994</v>
      </c>
      <c r="W34" s="36">
        <v>175.5</v>
      </c>
      <c r="X34" s="53">
        <v>237.7</v>
      </c>
      <c r="Y34" s="36">
        <v>278.2</v>
      </c>
      <c r="Z34" s="54">
        <v>349.9</v>
      </c>
      <c r="AA34" s="832">
        <f t="shared" si="7"/>
        <v>1041.3</v>
      </c>
      <c r="AB34" s="36">
        <v>279.39999999999998</v>
      </c>
      <c r="AC34" s="53">
        <v>291.2</v>
      </c>
      <c r="AD34" s="36">
        <v>242.9</v>
      </c>
      <c r="AE34" s="36">
        <v>167.1</v>
      </c>
      <c r="AF34" s="832">
        <f t="shared" si="8"/>
        <v>980.59999999999991</v>
      </c>
      <c r="AG34" s="36"/>
      <c r="AH34" s="53"/>
      <c r="AI34" s="75"/>
      <c r="AJ34" s="36"/>
      <c r="AK34" s="832">
        <f t="shared" ref="AK34:AK35" si="69">SUM(AG34:AJ34)</f>
        <v>0</v>
      </c>
      <c r="AL34" s="844"/>
      <c r="AM34" s="36">
        <v>300.8</v>
      </c>
      <c r="AN34" s="53">
        <v>235.8</v>
      </c>
      <c r="AO34" s="53">
        <v>226.1</v>
      </c>
      <c r="AP34" s="36">
        <v>70.900000000000006</v>
      </c>
      <c r="AQ34" s="832">
        <f t="shared" ref="AQ34:AQ35" si="70">SUM(AM34:AP34)</f>
        <v>833.6</v>
      </c>
      <c r="AR34" s="36"/>
      <c r="AS34" s="53"/>
      <c r="AT34" s="53"/>
      <c r="AU34" s="36"/>
      <c r="AV34" s="832"/>
      <c r="AW34" s="36">
        <v>291.89999999999998</v>
      </c>
      <c r="AX34" s="53">
        <v>263.60000000000002</v>
      </c>
      <c r="AY34" s="53">
        <v>231.3</v>
      </c>
      <c r="AZ34" s="36">
        <v>313.8</v>
      </c>
      <c r="BA34" s="832">
        <f t="shared" ref="BA34:BA35" si="71">SUM(AW34:AZ34)</f>
        <v>1100.5999999999999</v>
      </c>
      <c r="BB34" s="36">
        <v>182.4</v>
      </c>
      <c r="BC34" s="53">
        <v>288.39999999999998</v>
      </c>
      <c r="BD34" s="379">
        <v>345.9</v>
      </c>
      <c r="BE34" s="36">
        <v>324.89999999999998</v>
      </c>
      <c r="BF34" s="832">
        <f>SUM(BB34:BE34)</f>
        <v>1141.5999999999999</v>
      </c>
      <c r="BG34" s="36">
        <v>389.6</v>
      </c>
      <c r="BH34" s="52">
        <v>539.29999999999995</v>
      </c>
      <c r="BI34" s="49">
        <v>3142.4</v>
      </c>
      <c r="BJ34" s="36">
        <v>337.5</v>
      </c>
      <c r="BK34" s="832">
        <f>SUM(BG34:BJ34)</f>
        <v>4408.8</v>
      </c>
      <c r="BL34" s="36">
        <v>214.9</v>
      </c>
      <c r="BM34" s="92">
        <v>288.89999999999998</v>
      </c>
      <c r="BN34" s="671">
        <v>236.7</v>
      </c>
      <c r="BO34" s="52">
        <f>900-BN34-BM34-BL34</f>
        <v>159.49999999999997</v>
      </c>
      <c r="BP34" s="832">
        <f>SUM(BL34:BO34)</f>
        <v>900</v>
      </c>
      <c r="BQ34" s="711">
        <v>64.5</v>
      </c>
      <c r="BR34" s="92">
        <v>-7.3</v>
      </c>
      <c r="BS34" s="671">
        <v>120.8</v>
      </c>
      <c r="BT34" s="671">
        <v>100.5</v>
      </c>
      <c r="BU34" s="832">
        <f>SUM(BQ34:BT34)</f>
        <v>278.5</v>
      </c>
      <c r="BV34" s="711">
        <v>180.1</v>
      </c>
      <c r="BW34" s="92">
        <v>146.4</v>
      </c>
      <c r="BX34" s="92">
        <v>248.9</v>
      </c>
      <c r="BY34" s="671">
        <v>135.1</v>
      </c>
      <c r="BZ34" s="832">
        <f>SUM(BV34:BY34)</f>
        <v>710.5</v>
      </c>
      <c r="CA34" s="711">
        <v>82.6</v>
      </c>
      <c r="CB34" s="92">
        <v>112.9</v>
      </c>
      <c r="CC34" s="92"/>
      <c r="CD34" s="671"/>
      <c r="CE34" s="832">
        <f>SUM(CA34:CD34)</f>
        <v>195.5</v>
      </c>
      <c r="CF34" s="378"/>
      <c r="CG34" s="943"/>
      <c r="CH34" s="944"/>
    </row>
    <row r="35" spans="1:16357" ht="30" customHeight="1">
      <c r="A35" s="864" t="s">
        <v>85</v>
      </c>
      <c r="B35" s="855" t="s">
        <v>86</v>
      </c>
      <c r="C35" s="36"/>
      <c r="D35" s="52"/>
      <c r="E35" s="52"/>
      <c r="F35" s="52"/>
      <c r="G35" s="832"/>
      <c r="H35" s="36"/>
      <c r="I35" s="52"/>
      <c r="J35" s="52"/>
      <c r="K35" s="52"/>
      <c r="L35" s="832"/>
      <c r="M35" s="36"/>
      <c r="N35" s="52"/>
      <c r="O35" s="52"/>
      <c r="P35" s="52"/>
      <c r="Q35" s="832"/>
      <c r="R35" s="36"/>
      <c r="S35" s="52"/>
      <c r="T35" s="52"/>
      <c r="U35" s="54"/>
      <c r="V35" s="832"/>
      <c r="W35" s="36">
        <v>3</v>
      </c>
      <c r="X35" s="53">
        <v>-6.8</v>
      </c>
      <c r="Y35" s="36">
        <v>-8.4</v>
      </c>
      <c r="Z35" s="54">
        <v>-8.1</v>
      </c>
      <c r="AA35" s="832">
        <f t="shared" si="7"/>
        <v>-20.299999999999997</v>
      </c>
      <c r="AB35" s="36">
        <v>-8</v>
      </c>
      <c r="AC35" s="53">
        <v>-9.5</v>
      </c>
      <c r="AD35" s="36">
        <v>-8</v>
      </c>
      <c r="AE35" s="36">
        <v>-9.9</v>
      </c>
      <c r="AF35" s="832">
        <f t="shared" si="8"/>
        <v>-35.4</v>
      </c>
      <c r="AG35" s="36"/>
      <c r="AH35" s="53"/>
      <c r="AI35" s="75"/>
      <c r="AJ35" s="36"/>
      <c r="AK35" s="832">
        <f t="shared" si="69"/>
        <v>0</v>
      </c>
      <c r="AL35" s="844"/>
      <c r="AM35" s="36">
        <v>-8.6</v>
      </c>
      <c r="AN35" s="53">
        <v>-4.4000000000000004</v>
      </c>
      <c r="AO35" s="53">
        <v>1</v>
      </c>
      <c r="AP35" s="36">
        <v>-5.5</v>
      </c>
      <c r="AQ35" s="832">
        <f t="shared" si="70"/>
        <v>-17.5</v>
      </c>
      <c r="AR35" s="36"/>
      <c r="AS35" s="53"/>
      <c r="AT35" s="53"/>
      <c r="AU35" s="36"/>
      <c r="AV35" s="832"/>
      <c r="AW35" s="36">
        <v>5.4</v>
      </c>
      <c r="AX35" s="53">
        <v>5.3</v>
      </c>
      <c r="AY35" s="53">
        <v>5.2</v>
      </c>
      <c r="AZ35" s="36">
        <v>-1.9</v>
      </c>
      <c r="BA35" s="832">
        <f t="shared" si="71"/>
        <v>13.999999999999998</v>
      </c>
      <c r="BB35" s="36">
        <v>1.4</v>
      </c>
      <c r="BC35" s="53">
        <v>2.2999999999999998</v>
      </c>
      <c r="BD35" s="53">
        <v>-0.9</v>
      </c>
      <c r="BE35" s="36">
        <v>1.8</v>
      </c>
      <c r="BF35" s="832">
        <f t="shared" ref="BF35" si="72">SUM(BB35:BE35)</f>
        <v>4.5999999999999996</v>
      </c>
      <c r="BG35" s="36">
        <v>0.8</v>
      </c>
      <c r="BH35" s="52">
        <v>2.4</v>
      </c>
      <c r="BI35" s="53">
        <v>6.3</v>
      </c>
      <c r="BJ35" s="36">
        <v>-3.8</v>
      </c>
      <c r="BK35" s="832">
        <f t="shared" ref="BK35" si="73">SUM(BG35:BJ35)</f>
        <v>5.7</v>
      </c>
      <c r="BL35" s="36">
        <v>-2.1</v>
      </c>
      <c r="BM35" s="92">
        <v>-6.2</v>
      </c>
      <c r="BN35" s="93">
        <v>-5.6</v>
      </c>
      <c r="BO35" s="52">
        <f>1.1-BN35-BM35-BL35</f>
        <v>14.999999999999998</v>
      </c>
      <c r="BP35" s="832">
        <f>SUM(BL35:BO35)</f>
        <v>1.0999999999999979</v>
      </c>
      <c r="BQ35" s="711">
        <v>6.5</v>
      </c>
      <c r="BR35" s="92">
        <v>15.4</v>
      </c>
      <c r="BS35" s="93">
        <v>-18.600000000000001</v>
      </c>
      <c r="BT35" s="93">
        <v>29.8</v>
      </c>
      <c r="BU35" s="832">
        <f>SUM(BQ35:BT35)</f>
        <v>33.099999999999994</v>
      </c>
      <c r="BV35" s="711">
        <v>4.2</v>
      </c>
      <c r="BW35" s="92">
        <v>29.1</v>
      </c>
      <c r="BX35" s="92">
        <v>0.9</v>
      </c>
      <c r="BY35" s="93">
        <v>32.6</v>
      </c>
      <c r="BZ35" s="832">
        <f>SUM(BV35:BY35)</f>
        <v>66.800000000000011</v>
      </c>
      <c r="CA35" s="711">
        <v>4.0999999999999996</v>
      </c>
      <c r="CB35" s="92">
        <v>0.1</v>
      </c>
      <c r="CC35" s="92"/>
      <c r="CD35" s="93"/>
      <c r="CE35" s="832">
        <f>SUM(CA35:CD35)</f>
        <v>4.1999999999999993</v>
      </c>
      <c r="CF35" s="378"/>
      <c r="CG35" s="943"/>
      <c r="CH35" s="944"/>
    </row>
    <row r="36" spans="1:16357" s="51" customFormat="1" ht="20.100000000000001" customHeight="1">
      <c r="A36" s="865" t="s">
        <v>87</v>
      </c>
      <c r="B36" s="862" t="s">
        <v>88</v>
      </c>
      <c r="C36" s="87">
        <f t="shared" ref="C36:M36" si="74">ROUND(C33/348.352836,2)</f>
        <v>0.59</v>
      </c>
      <c r="D36" s="55">
        <f t="shared" si="74"/>
        <v>0.28999999999999998</v>
      </c>
      <c r="E36" s="55">
        <f t="shared" si="74"/>
        <v>0.49</v>
      </c>
      <c r="F36" s="55">
        <f t="shared" si="74"/>
        <v>0.35</v>
      </c>
      <c r="G36" s="834">
        <f t="shared" si="74"/>
        <v>1.72</v>
      </c>
      <c r="H36" s="87">
        <f t="shared" si="74"/>
        <v>0.27</v>
      </c>
      <c r="I36" s="55">
        <f t="shared" si="74"/>
        <v>0.23</v>
      </c>
      <c r="J36" s="55">
        <f t="shared" si="74"/>
        <v>0.51</v>
      </c>
      <c r="K36" s="55">
        <f t="shared" si="74"/>
        <v>0.5</v>
      </c>
      <c r="L36" s="834">
        <f t="shared" si="74"/>
        <v>1.51</v>
      </c>
      <c r="M36" s="87">
        <f t="shared" si="74"/>
        <v>0.28000000000000003</v>
      </c>
      <c r="N36" s="55">
        <f>ROUND(N33/524.348714,2)</f>
        <v>0.25</v>
      </c>
      <c r="O36" s="55">
        <f>ROUND(O33/639.546016,2)</f>
        <v>0.08</v>
      </c>
      <c r="P36" s="55">
        <f>ROUND(P33/639.546016,2)</f>
        <v>0.02</v>
      </c>
      <c r="Q36" s="834">
        <f>ROUND(Q33/539.024535,2)</f>
        <v>0.54</v>
      </c>
      <c r="R36" s="87">
        <f t="shared" ref="R36:AK36" si="75">ROUND(R33/639.546016,2)</f>
        <v>0.27</v>
      </c>
      <c r="S36" s="55">
        <f t="shared" si="75"/>
        <v>0.48</v>
      </c>
      <c r="T36" s="55">
        <f t="shared" si="75"/>
        <v>0.79</v>
      </c>
      <c r="U36" s="56">
        <f t="shared" si="75"/>
        <v>0.28999999999999998</v>
      </c>
      <c r="V36" s="834">
        <f t="shared" si="75"/>
        <v>1.82</v>
      </c>
      <c r="W36" s="87">
        <f t="shared" si="75"/>
        <v>0.28000000000000003</v>
      </c>
      <c r="X36" s="57">
        <f>ROUNDUP(X33/639.546016,2)</f>
        <v>0.37</v>
      </c>
      <c r="Y36" s="37">
        <f t="shared" si="75"/>
        <v>0.42</v>
      </c>
      <c r="Z36" s="37">
        <f>ROUNDUP(Z33/639.546016,2)</f>
        <v>0.54</v>
      </c>
      <c r="AA36" s="834">
        <f t="shared" si="75"/>
        <v>1.6</v>
      </c>
      <c r="AB36" s="87">
        <f t="shared" si="75"/>
        <v>0.42</v>
      </c>
      <c r="AC36" s="57">
        <f t="shared" si="75"/>
        <v>0.44</v>
      </c>
      <c r="AD36" s="57">
        <f t="shared" si="75"/>
        <v>0.37</v>
      </c>
      <c r="AE36" s="57">
        <f t="shared" si="75"/>
        <v>0.25</v>
      </c>
      <c r="AF36" s="834">
        <f t="shared" si="75"/>
        <v>1.48</v>
      </c>
      <c r="AG36" s="87">
        <f t="shared" si="75"/>
        <v>0.49</v>
      </c>
      <c r="AH36" s="57">
        <f t="shared" si="75"/>
        <v>0.4</v>
      </c>
      <c r="AI36" s="57">
        <f t="shared" si="75"/>
        <v>0.35</v>
      </c>
      <c r="AJ36" s="87">
        <f t="shared" si="75"/>
        <v>0.09</v>
      </c>
      <c r="AK36" s="834">
        <f t="shared" si="75"/>
        <v>1.33</v>
      </c>
      <c r="AL36" s="849"/>
      <c r="AM36" s="57">
        <f t="shared" ref="AM36:AQ36" si="76">ROUND(AM33/639.546016,2)</f>
        <v>0.46</v>
      </c>
      <c r="AN36" s="57">
        <f t="shared" si="76"/>
        <v>0.36</v>
      </c>
      <c r="AO36" s="57">
        <v>0.35</v>
      </c>
      <c r="AP36" s="87">
        <v>0.11</v>
      </c>
      <c r="AQ36" s="834">
        <f t="shared" si="76"/>
        <v>1.28</v>
      </c>
      <c r="AR36" s="87"/>
      <c r="AS36" s="57"/>
      <c r="AT36" s="57"/>
      <c r="AU36" s="87"/>
      <c r="AV36" s="834"/>
      <c r="AW36" s="87">
        <f>ROUND(AW33/639.546016,2)</f>
        <v>0.46</v>
      </c>
      <c r="AX36" s="57">
        <v>0.43</v>
      </c>
      <c r="AY36" s="57">
        <v>0.37</v>
      </c>
      <c r="AZ36" s="87">
        <v>0.48</v>
      </c>
      <c r="BA36" s="834">
        <f t="shared" ref="BA36" si="77">ROUND(BA33/639.546016,2)</f>
        <v>1.74</v>
      </c>
      <c r="BB36" s="87">
        <f>ROUND(BB33/639.546016,2)</f>
        <v>0.28999999999999998</v>
      </c>
      <c r="BC36" s="87">
        <f t="shared" ref="BC36:BF36" si="78">ROUND(BC33/639.546016,2)</f>
        <v>0.45</v>
      </c>
      <c r="BD36" s="87">
        <f t="shared" si="78"/>
        <v>0.54</v>
      </c>
      <c r="BE36" s="87">
        <f t="shared" si="78"/>
        <v>0.51</v>
      </c>
      <c r="BF36" s="834">
        <f t="shared" si="78"/>
        <v>1.79</v>
      </c>
      <c r="BG36" s="87">
        <f>ROUND(BG33/639.546016,2)</f>
        <v>0.61</v>
      </c>
      <c r="BH36" s="87">
        <f t="shared" ref="BH36" si="79">ROUND(BH33/639.546016,2)</f>
        <v>0.85</v>
      </c>
      <c r="BI36" s="87">
        <f>ROUNDDOWN(BI33/639.546016,2)</f>
        <v>4.92</v>
      </c>
      <c r="BJ36" s="87">
        <f>BJ33/621.258207</f>
        <v>0.53713576133087548</v>
      </c>
      <c r="BK36" s="834">
        <f>BK33/634.936486</f>
        <v>6.9526639236164458</v>
      </c>
      <c r="BL36" s="87">
        <f>BL33/568.37189</f>
        <v>0.37440275239509108</v>
      </c>
      <c r="BM36" s="672">
        <f>BM33/561.525804</f>
        <v>0.50344970433451319</v>
      </c>
      <c r="BN36" s="680">
        <f>BN33/550.703531</f>
        <v>0.41964503038568818</v>
      </c>
      <c r="BO36" s="680">
        <f>BP36-BL36-BM36-BN36</f>
        <v>0.32250251288470771</v>
      </c>
      <c r="BP36" s="834">
        <v>1.62</v>
      </c>
      <c r="BQ36" s="718">
        <v>0.13</v>
      </c>
      <c r="BR36" s="672">
        <v>0.01</v>
      </c>
      <c r="BS36" s="680">
        <v>0.19</v>
      </c>
      <c r="BT36" s="680">
        <v>0.24</v>
      </c>
      <c r="BU36" s="834">
        <f>SUM(BQ36:BT36)</f>
        <v>0.57000000000000006</v>
      </c>
      <c r="BV36" s="718">
        <v>0.33</v>
      </c>
      <c r="BW36" s="672">
        <v>0.32</v>
      </c>
      <c r="BX36" s="680">
        <v>0.46</v>
      </c>
      <c r="BY36" s="680">
        <v>0.3</v>
      </c>
      <c r="BZ36" s="834">
        <f>SUM(BV36:BY36)</f>
        <v>1.4100000000000001</v>
      </c>
      <c r="CA36" s="718">
        <v>0.16</v>
      </c>
      <c r="CB36" s="672">
        <v>0.21</v>
      </c>
      <c r="CC36" s="680"/>
      <c r="CD36" s="680"/>
      <c r="CE36" s="834">
        <v>0.36</v>
      </c>
      <c r="CF36" s="747"/>
      <c r="CG36" s="943"/>
      <c r="CH36" s="944"/>
    </row>
    <row r="37" spans="1:16357" s="378" customFormat="1" ht="22.5" customHeight="1">
      <c r="A37" s="868" t="s">
        <v>89</v>
      </c>
      <c r="B37" s="868" t="s">
        <v>89</v>
      </c>
      <c r="C37" s="872">
        <f t="shared" ref="C37:AK37" si="80">C25-C13</f>
        <v>257.40000000000003</v>
      </c>
      <c r="D37" s="872">
        <f t="shared" si="80"/>
        <v>269.7</v>
      </c>
      <c r="E37" s="872">
        <f t="shared" si="80"/>
        <v>257.8</v>
      </c>
      <c r="F37" s="872">
        <f t="shared" si="80"/>
        <v>247.20000000000016</v>
      </c>
      <c r="G37" s="885">
        <f t="shared" si="80"/>
        <v>1032.0999999999992</v>
      </c>
      <c r="H37" s="872">
        <f t="shared" si="80"/>
        <v>245.37999999999994</v>
      </c>
      <c r="I37" s="872">
        <f t="shared" si="80"/>
        <v>257.3</v>
      </c>
      <c r="J37" s="872">
        <f t="shared" si="80"/>
        <v>268.2</v>
      </c>
      <c r="K37" s="872">
        <f t="shared" si="80"/>
        <v>275.39999999999998</v>
      </c>
      <c r="L37" s="885">
        <f t="shared" si="80"/>
        <v>1046.2800000000002</v>
      </c>
      <c r="M37" s="872">
        <f t="shared" si="80"/>
        <v>281.99999999999977</v>
      </c>
      <c r="N37" s="872">
        <f t="shared" si="80"/>
        <v>708.89999999999986</v>
      </c>
      <c r="O37" s="872">
        <f t="shared" si="80"/>
        <v>910.09999999999968</v>
      </c>
      <c r="P37" s="872">
        <f t="shared" si="80"/>
        <v>837.30000000000075</v>
      </c>
      <c r="Q37" s="885">
        <f t="shared" si="80"/>
        <v>2738.2999999999993</v>
      </c>
      <c r="R37" s="872">
        <f t="shared" si="80"/>
        <v>896.59999999999991</v>
      </c>
      <c r="S37" s="872">
        <f t="shared" si="80"/>
        <v>977</v>
      </c>
      <c r="T37" s="872">
        <f t="shared" si="80"/>
        <v>930.39999999999964</v>
      </c>
      <c r="U37" s="872">
        <f t="shared" si="80"/>
        <v>881.10000000000036</v>
      </c>
      <c r="V37" s="885">
        <f t="shared" si="80"/>
        <v>3685.0999999999995</v>
      </c>
      <c r="W37" s="872">
        <f t="shared" si="80"/>
        <v>846.5</v>
      </c>
      <c r="X37" s="872">
        <f t="shared" si="80"/>
        <v>935.00000000000011</v>
      </c>
      <c r="Y37" s="891">
        <f t="shared" si="80"/>
        <v>957.00000000000034</v>
      </c>
      <c r="Z37" s="891">
        <f t="shared" si="80"/>
        <v>902.3</v>
      </c>
      <c r="AA37" s="885">
        <f t="shared" si="80"/>
        <v>3640.8</v>
      </c>
      <c r="AB37" s="872">
        <f t="shared" si="80"/>
        <v>929.50000000000034</v>
      </c>
      <c r="AC37" s="872">
        <f t="shared" si="80"/>
        <v>963.69999999999982</v>
      </c>
      <c r="AD37" s="872">
        <f t="shared" si="80"/>
        <v>851.1</v>
      </c>
      <c r="AE37" s="872">
        <f t="shared" si="80"/>
        <v>872.7</v>
      </c>
      <c r="AF37" s="885">
        <f t="shared" si="80"/>
        <v>3617.0000000000009</v>
      </c>
      <c r="AG37" s="872">
        <f t="shared" si="80"/>
        <v>918.79999999999973</v>
      </c>
      <c r="AH37" s="872">
        <f t="shared" si="80"/>
        <v>927.59999999999991</v>
      </c>
      <c r="AI37" s="872">
        <f t="shared" si="80"/>
        <v>848.50000000000011</v>
      </c>
      <c r="AJ37" s="870">
        <f t="shared" si="80"/>
        <v>846.6</v>
      </c>
      <c r="AK37" s="885">
        <f t="shared" si="80"/>
        <v>3541.4999999999995</v>
      </c>
      <c r="AL37" s="842"/>
      <c r="AM37" s="884">
        <f t="shared" ref="AM37:BR37" si="81">AM25-AM13</f>
        <v>890</v>
      </c>
      <c r="AN37" s="872">
        <f t="shared" si="81"/>
        <v>946.39999999999986</v>
      </c>
      <c r="AO37" s="872">
        <f t="shared" si="81"/>
        <v>919.99999999999977</v>
      </c>
      <c r="AP37" s="870">
        <f t="shared" si="81"/>
        <v>941.3</v>
      </c>
      <c r="AQ37" s="885">
        <f t="shared" si="81"/>
        <v>3697.700000000003</v>
      </c>
      <c r="AR37" s="872">
        <f t="shared" si="81"/>
        <v>922.00000000000023</v>
      </c>
      <c r="AS37" s="872">
        <f t="shared" si="81"/>
        <v>959.9</v>
      </c>
      <c r="AT37" s="872">
        <f t="shared" si="81"/>
        <v>901.1999999999997</v>
      </c>
      <c r="AU37" s="872">
        <f t="shared" si="81"/>
        <v>938.20000000000095</v>
      </c>
      <c r="AV37" s="885">
        <f t="shared" si="81"/>
        <v>3721.3000000000029</v>
      </c>
      <c r="AW37" s="872">
        <f t="shared" si="81"/>
        <v>1038.2999999999995</v>
      </c>
      <c r="AX37" s="872">
        <f t="shared" si="81"/>
        <v>1076.0999999999999</v>
      </c>
      <c r="AY37" s="872">
        <f t="shared" si="81"/>
        <v>1020.4999999999999</v>
      </c>
      <c r="AZ37" s="872">
        <f t="shared" si="81"/>
        <v>1061.8000000000002</v>
      </c>
      <c r="BA37" s="885">
        <f t="shared" si="81"/>
        <v>4196.7000000000007</v>
      </c>
      <c r="BB37" s="872">
        <f t="shared" si="81"/>
        <v>1026.6888265199998</v>
      </c>
      <c r="BC37" s="872">
        <f t="shared" si="81"/>
        <v>960.0000000000008</v>
      </c>
      <c r="BD37" s="872">
        <f t="shared" si="81"/>
        <v>1078.8999999999999</v>
      </c>
      <c r="BE37" s="872">
        <f t="shared" si="81"/>
        <v>1126.3000000000002</v>
      </c>
      <c r="BF37" s="885">
        <f t="shared" si="81"/>
        <v>4191.8888265199985</v>
      </c>
      <c r="BG37" s="872">
        <f t="shared" si="81"/>
        <v>1082.7</v>
      </c>
      <c r="BH37" s="872">
        <f t="shared" si="81"/>
        <v>1140.8999999999999</v>
      </c>
      <c r="BI37" s="872">
        <f t="shared" si="81"/>
        <v>4595.0000000000009</v>
      </c>
      <c r="BJ37" s="872">
        <f t="shared" si="81"/>
        <v>880.99999999999966</v>
      </c>
      <c r="BK37" s="885">
        <f t="shared" si="81"/>
        <v>7699.5999999999985</v>
      </c>
      <c r="BL37" s="872">
        <f t="shared" si="81"/>
        <v>766.6</v>
      </c>
      <c r="BM37" s="872">
        <f t="shared" si="81"/>
        <v>893.29999999999984</v>
      </c>
      <c r="BN37" s="872">
        <f t="shared" si="81"/>
        <v>953.0000000000008</v>
      </c>
      <c r="BO37" s="872">
        <f t="shared" si="81"/>
        <v>858.29999999999905</v>
      </c>
      <c r="BP37" s="885">
        <f t="shared" si="81"/>
        <v>3471.2000000000003</v>
      </c>
      <c r="BQ37" s="886">
        <f t="shared" si="81"/>
        <v>761.2000000000005</v>
      </c>
      <c r="BR37" s="872">
        <f t="shared" si="81"/>
        <v>798.50000000000023</v>
      </c>
      <c r="BS37" s="872">
        <f t="shared" ref="BS37:CB37" si="82">BS25-BS13-BS18-BS22</f>
        <v>994.80000000000041</v>
      </c>
      <c r="BT37" s="872">
        <f t="shared" si="82"/>
        <v>676.70000000000016</v>
      </c>
      <c r="BU37" s="885">
        <f t="shared" si="82"/>
        <v>3231.2000000000021</v>
      </c>
      <c r="BV37" s="872">
        <f t="shared" si="82"/>
        <v>946.29862972000103</v>
      </c>
      <c r="BW37" s="872">
        <f t="shared" si="82"/>
        <v>865.00000000000045</v>
      </c>
      <c r="BX37" s="872">
        <f t="shared" si="82"/>
        <v>886.39999999999975</v>
      </c>
      <c r="BY37" s="872">
        <f t="shared" si="82"/>
        <v>739.89999999999986</v>
      </c>
      <c r="BZ37" s="885">
        <f t="shared" si="82"/>
        <v>3437.5986297199997</v>
      </c>
      <c r="CA37" s="872">
        <f t="shared" si="82"/>
        <v>809.10000000000025</v>
      </c>
      <c r="CB37" s="872">
        <f t="shared" si="82"/>
        <v>805.00000000000023</v>
      </c>
      <c r="CC37" s="872"/>
      <c r="CD37" s="872"/>
      <c r="CE37" s="885">
        <f>CE25-CE13-CE18-CE22</f>
        <v>1614.1000000000017</v>
      </c>
      <c r="CG37" s="943"/>
      <c r="CH37" s="944"/>
    </row>
    <row r="38" spans="1:16357" s="378" customFormat="1" ht="22.5" customHeight="1">
      <c r="A38" s="892" t="s">
        <v>90</v>
      </c>
      <c r="B38" s="892" t="s">
        <v>91</v>
      </c>
      <c r="C38" s="888">
        <f t="shared" ref="C38:AK38" si="83">C37/C5</f>
        <v>0.38463837417812313</v>
      </c>
      <c r="D38" s="888">
        <f t="shared" si="83"/>
        <v>0.377836929111796</v>
      </c>
      <c r="E38" s="888">
        <f t="shared" si="83"/>
        <v>0.4</v>
      </c>
      <c r="F38" s="888">
        <f t="shared" si="83"/>
        <v>0.32933653077537983</v>
      </c>
      <c r="G38" s="889">
        <f t="shared" si="83"/>
        <v>0.37151290450307745</v>
      </c>
      <c r="H38" s="888">
        <f t="shared" si="83"/>
        <v>0.35200114761153339</v>
      </c>
      <c r="I38" s="888">
        <f t="shared" si="83"/>
        <v>0.34963989672509854</v>
      </c>
      <c r="J38" s="888">
        <f t="shared" si="83"/>
        <v>0.39598405433338257</v>
      </c>
      <c r="K38" s="888">
        <f t="shared" si="83"/>
        <v>0.34403497813866329</v>
      </c>
      <c r="L38" s="889">
        <f t="shared" si="83"/>
        <v>0.35944757454995196</v>
      </c>
      <c r="M38" s="888">
        <f t="shared" si="83"/>
        <v>0.38987971795935272</v>
      </c>
      <c r="N38" s="888">
        <f t="shared" si="83"/>
        <v>0.40603700097370976</v>
      </c>
      <c r="O38" s="888">
        <f t="shared" si="83"/>
        <v>0.37613655149611497</v>
      </c>
      <c r="P38" s="888">
        <f t="shared" si="83"/>
        <v>0.33211693308476481</v>
      </c>
      <c r="Q38" s="889">
        <f t="shared" si="83"/>
        <v>0.36954614772129168</v>
      </c>
      <c r="R38" s="888">
        <f t="shared" si="83"/>
        <v>0.38497209102619145</v>
      </c>
      <c r="S38" s="888">
        <f t="shared" si="83"/>
        <v>0.39567471245747615</v>
      </c>
      <c r="T38" s="888">
        <f t="shared" si="83"/>
        <v>0.3852747525777464</v>
      </c>
      <c r="U38" s="888">
        <f t="shared" si="83"/>
        <v>0.33759914172956829</v>
      </c>
      <c r="V38" s="889">
        <f t="shared" si="83"/>
        <v>0.37515015779293487</v>
      </c>
      <c r="W38" s="888">
        <f t="shared" si="83"/>
        <v>0.35807952622673433</v>
      </c>
      <c r="X38" s="888">
        <f t="shared" si="83"/>
        <v>0.3827418232428671</v>
      </c>
      <c r="Y38" s="893">
        <f t="shared" si="83"/>
        <v>0.4007873356227491</v>
      </c>
      <c r="Z38" s="893">
        <f t="shared" si="83"/>
        <v>0.35592284328034396</v>
      </c>
      <c r="AA38" s="889">
        <f t="shared" si="83"/>
        <v>0.37419063084544396</v>
      </c>
      <c r="AB38" s="888">
        <f t="shared" si="83"/>
        <v>0.38914008205643491</v>
      </c>
      <c r="AC38" s="888">
        <f t="shared" si="83"/>
        <v>0.39017773998947319</v>
      </c>
      <c r="AD38" s="888">
        <f t="shared" si="83"/>
        <v>0.35597473754653058</v>
      </c>
      <c r="AE38" s="888">
        <f t="shared" si="83"/>
        <v>0.33836073200992561</v>
      </c>
      <c r="AF38" s="889">
        <f t="shared" si="83"/>
        <v>0.36800765114054906</v>
      </c>
      <c r="AG38" s="888">
        <f t="shared" si="83"/>
        <v>0.3892065912653026</v>
      </c>
      <c r="AH38" s="888">
        <f t="shared" si="83"/>
        <v>0.37450038354394599</v>
      </c>
      <c r="AI38" s="888">
        <f t="shared" si="83"/>
        <v>0.34840272645150699</v>
      </c>
      <c r="AJ38" s="888">
        <f t="shared" si="83"/>
        <v>0.3156599552572707</v>
      </c>
      <c r="AK38" s="889">
        <f t="shared" si="83"/>
        <v>0.35575087895529878</v>
      </c>
      <c r="AL38" s="850"/>
      <c r="AM38" s="887">
        <f t="shared" ref="AM38:CB38" si="84">AM37/AM5</f>
        <v>0.37938531054179631</v>
      </c>
      <c r="AN38" s="888">
        <f t="shared" si="84"/>
        <v>0.36355255070682235</v>
      </c>
      <c r="AO38" s="888">
        <f t="shared" si="84"/>
        <v>0.33638025594149901</v>
      </c>
      <c r="AP38" s="888">
        <f t="shared" si="84"/>
        <v>0.31355762824783479</v>
      </c>
      <c r="AQ38" s="889">
        <f t="shared" si="84"/>
        <v>0.3460289535003418</v>
      </c>
      <c r="AR38" s="888">
        <f t="shared" si="84"/>
        <v>0.33136860264519846</v>
      </c>
      <c r="AS38" s="888">
        <f t="shared" si="84"/>
        <v>0.32952282869893579</v>
      </c>
      <c r="AT38" s="888">
        <f t="shared" si="84"/>
        <v>0.31266696735246147</v>
      </c>
      <c r="AU38" s="888">
        <f t="shared" si="84"/>
        <v>0.30670153644982046</v>
      </c>
      <c r="AV38" s="889">
        <f t="shared" si="84"/>
        <v>0.31978997482104055</v>
      </c>
      <c r="AW38" s="888">
        <f t="shared" si="84"/>
        <v>0.37193724029230529</v>
      </c>
      <c r="AX38" s="888">
        <f t="shared" si="84"/>
        <v>0.36814916182004787</v>
      </c>
      <c r="AY38" s="888">
        <f t="shared" si="84"/>
        <v>0.35282118655787575</v>
      </c>
      <c r="AZ38" s="888">
        <f t="shared" si="84"/>
        <v>0.34596461503372328</v>
      </c>
      <c r="BA38" s="889">
        <f t="shared" si="84"/>
        <v>0.35942652084171944</v>
      </c>
      <c r="BB38" s="888">
        <f t="shared" si="84"/>
        <v>0.36043139424960502</v>
      </c>
      <c r="BC38" s="888">
        <f t="shared" si="84"/>
        <v>0.33534774862891703</v>
      </c>
      <c r="BD38" s="888">
        <f t="shared" si="84"/>
        <v>0.35921425004161806</v>
      </c>
      <c r="BE38" s="888">
        <f t="shared" si="84"/>
        <v>0.34674589003140205</v>
      </c>
      <c r="BF38" s="889">
        <f t="shared" si="84"/>
        <v>0.35040741179145513</v>
      </c>
      <c r="BG38" s="888">
        <f t="shared" si="84"/>
        <v>0.36242217312713398</v>
      </c>
      <c r="BH38" s="888">
        <f t="shared" si="84"/>
        <v>0.3610785834098173</v>
      </c>
      <c r="BI38" s="888">
        <f t="shared" si="84"/>
        <v>1.5155513044625486</v>
      </c>
      <c r="BJ38" s="888">
        <f t="shared" si="84"/>
        <v>0.2698315467075037</v>
      </c>
      <c r="BK38" s="889">
        <f t="shared" si="84"/>
        <v>0.61873995499839274</v>
      </c>
      <c r="BL38" s="888">
        <f t="shared" si="84"/>
        <v>0.25667124250845413</v>
      </c>
      <c r="BM38" s="888">
        <f t="shared" si="84"/>
        <v>0.27672624763792941</v>
      </c>
      <c r="BN38" s="888">
        <f t="shared" si="84"/>
        <v>0.29135711883579463</v>
      </c>
      <c r="BO38" s="888">
        <f t="shared" si="84"/>
        <v>0.2502624212736177</v>
      </c>
      <c r="BP38" s="889">
        <f t="shared" si="84"/>
        <v>0.2687665017459912</v>
      </c>
      <c r="BQ38" s="890">
        <f t="shared" si="84"/>
        <v>0.23792704654143107</v>
      </c>
      <c r="BR38" s="888">
        <f t="shared" si="84"/>
        <v>0.24271992218371943</v>
      </c>
      <c r="BS38" s="888">
        <f t="shared" si="84"/>
        <v>0.28787221112943845</v>
      </c>
      <c r="BT38" s="888">
        <f t="shared" si="84"/>
        <v>0.18381094662501704</v>
      </c>
      <c r="BU38" s="889">
        <f t="shared" si="84"/>
        <v>0.2371296683619179</v>
      </c>
      <c r="BV38" s="890">
        <f t="shared" si="84"/>
        <v>0.27791454054059839</v>
      </c>
      <c r="BW38" s="890">
        <f t="shared" si="84"/>
        <v>0.25041252931129326</v>
      </c>
      <c r="BX38" s="890">
        <f t="shared" si="84"/>
        <v>0.24763235088699534</v>
      </c>
      <c r="BY38" s="888">
        <f t="shared" si="84"/>
        <v>0.19333176556661699</v>
      </c>
      <c r="BZ38" s="889">
        <f t="shared" si="84"/>
        <v>0.24096614723999829</v>
      </c>
      <c r="CA38" s="890">
        <f t="shared" si="84"/>
        <v>0.22919381338167816</v>
      </c>
      <c r="CB38" s="890">
        <f t="shared" si="84"/>
        <v>0.22420900178253125</v>
      </c>
      <c r="CC38" s="890"/>
      <c r="CD38" s="888"/>
      <c r="CE38" s="889">
        <f>CE37/CE5</f>
        <v>0.22668033592674797</v>
      </c>
      <c r="CG38" s="943"/>
      <c r="CH38" s="944"/>
    </row>
    <row r="39" spans="1:16357" s="51" customFormat="1" ht="20.100000000000001" customHeight="1">
      <c r="A39" s="864" t="s">
        <v>92</v>
      </c>
      <c r="B39" s="863" t="s">
        <v>93</v>
      </c>
      <c r="C39" s="46"/>
      <c r="D39" s="110"/>
      <c r="E39" s="110"/>
      <c r="F39" s="110"/>
      <c r="G39" s="832"/>
      <c r="H39" s="46"/>
      <c r="I39" s="110"/>
      <c r="J39" s="110"/>
      <c r="K39" s="110"/>
      <c r="L39" s="832"/>
      <c r="M39" s="46"/>
      <c r="N39" s="110"/>
      <c r="O39" s="110"/>
      <c r="P39" s="110"/>
      <c r="Q39" s="832"/>
      <c r="R39" s="46"/>
      <c r="S39" s="110"/>
      <c r="T39" s="110"/>
      <c r="U39" s="110"/>
      <c r="V39" s="832"/>
      <c r="W39" s="46"/>
      <c r="X39" s="110"/>
      <c r="Y39" s="111"/>
      <c r="Z39" s="111"/>
      <c r="AA39" s="832"/>
      <c r="AB39" s="46"/>
      <c r="AC39" s="110"/>
      <c r="AD39" s="110"/>
      <c r="AE39" s="110"/>
      <c r="AF39" s="832"/>
      <c r="AG39" s="46"/>
      <c r="AH39" s="110"/>
      <c r="AI39" s="110"/>
      <c r="AJ39" s="111"/>
      <c r="AK39" s="832"/>
      <c r="AL39" s="851"/>
      <c r="AM39" s="110"/>
      <c r="AN39" s="110"/>
      <c r="AO39" s="110"/>
      <c r="AP39" s="111"/>
      <c r="AQ39" s="832"/>
      <c r="AR39" s="46"/>
      <c r="AS39" s="110"/>
      <c r="AT39" s="110"/>
      <c r="AU39" s="110"/>
      <c r="AV39" s="832"/>
      <c r="AW39" s="46"/>
      <c r="AX39" s="110"/>
      <c r="AY39" s="110"/>
      <c r="AZ39" s="110"/>
      <c r="BA39" s="832"/>
      <c r="BB39" s="46"/>
      <c r="BC39" s="53">
        <v>-41.5</v>
      </c>
      <c r="BD39" s="53">
        <v>-3.3</v>
      </c>
      <c r="BE39" s="53">
        <v>-1.1000000000000001</v>
      </c>
      <c r="BF39" s="832">
        <f>SUM(BB39:BE39)</f>
        <v>-45.9</v>
      </c>
      <c r="BG39" s="46"/>
      <c r="BH39" s="93"/>
      <c r="BI39" s="93"/>
      <c r="BJ39" s="93"/>
      <c r="BK39" s="832">
        <f>SUM(BG39:BJ39)</f>
        <v>0</v>
      </c>
      <c r="BL39" s="46">
        <v>0</v>
      </c>
      <c r="BM39" s="46">
        <v>0</v>
      </c>
      <c r="BN39" s="46">
        <v>0</v>
      </c>
      <c r="BO39" s="53"/>
      <c r="BP39" s="832">
        <f>SUM(BL39:BO39)</f>
        <v>0</v>
      </c>
      <c r="BQ39" s="710">
        <v>0</v>
      </c>
      <c r="BR39" s="46">
        <v>0</v>
      </c>
      <c r="BS39" s="46">
        <v>0</v>
      </c>
      <c r="BT39" s="46">
        <v>0</v>
      </c>
      <c r="BU39" s="832">
        <f>SUM(BQ39:BT39)</f>
        <v>0</v>
      </c>
      <c r="BV39" s="710">
        <v>0</v>
      </c>
      <c r="BW39" s="46">
        <v>0</v>
      </c>
      <c r="BX39" s="46">
        <v>0</v>
      </c>
      <c r="BY39" s="46">
        <v>0</v>
      </c>
      <c r="BZ39" s="832">
        <f>SUM(BV39:BY39)</f>
        <v>0</v>
      </c>
      <c r="CA39" s="710">
        <v>0</v>
      </c>
      <c r="CB39" s="46">
        <v>0</v>
      </c>
      <c r="CC39" s="46"/>
      <c r="CD39" s="46"/>
      <c r="CE39" s="832">
        <f>SUM(CA39:CD39)</f>
        <v>0</v>
      </c>
      <c r="CF39" s="378"/>
      <c r="CG39" s="943"/>
      <c r="CH39" s="944"/>
    </row>
    <row r="40" spans="1:16357" s="51" customFormat="1" ht="20.100000000000001" customHeight="1">
      <c r="A40" s="864" t="s">
        <v>94</v>
      </c>
      <c r="B40" s="863" t="s">
        <v>95</v>
      </c>
      <c r="C40" s="53"/>
      <c r="D40" s="110"/>
      <c r="E40" s="110"/>
      <c r="F40" s="110"/>
      <c r="G40" s="832"/>
      <c r="H40" s="53"/>
      <c r="I40" s="110"/>
      <c r="J40" s="110"/>
      <c r="K40" s="110"/>
      <c r="L40" s="832"/>
      <c r="M40" s="53"/>
      <c r="N40" s="110"/>
      <c r="O40" s="110"/>
      <c r="P40" s="110"/>
      <c r="Q40" s="832"/>
      <c r="R40" s="53"/>
      <c r="S40" s="110"/>
      <c r="T40" s="110"/>
      <c r="U40" s="110"/>
      <c r="V40" s="832"/>
      <c r="W40" s="53"/>
      <c r="X40" s="110"/>
      <c r="Y40" s="111"/>
      <c r="Z40" s="111"/>
      <c r="AA40" s="832"/>
      <c r="AB40" s="53"/>
      <c r="AC40" s="110"/>
      <c r="AD40" s="110"/>
      <c r="AE40" s="110"/>
      <c r="AF40" s="832"/>
      <c r="AG40" s="53"/>
      <c r="AH40" s="110"/>
      <c r="AI40" s="110"/>
      <c r="AJ40" s="111"/>
      <c r="AK40" s="832"/>
      <c r="AL40" s="851"/>
      <c r="AM40" s="110"/>
      <c r="AN40" s="110"/>
      <c r="AO40" s="110"/>
      <c r="AP40" s="111"/>
      <c r="AQ40" s="832"/>
      <c r="AR40" s="53"/>
      <c r="AS40" s="110"/>
      <c r="AT40" s="110"/>
      <c r="AU40" s="110"/>
      <c r="AV40" s="832"/>
      <c r="AW40" s="53"/>
      <c r="AX40" s="110"/>
      <c r="AY40" s="110"/>
      <c r="AZ40" s="110"/>
      <c r="BA40" s="832"/>
      <c r="BB40" s="53"/>
      <c r="BC40" s="53"/>
      <c r="BD40" s="53"/>
      <c r="BE40" s="53"/>
      <c r="BF40" s="832"/>
      <c r="BG40" s="53"/>
      <c r="BH40" s="93"/>
      <c r="BI40" s="93"/>
      <c r="BJ40" s="93"/>
      <c r="BK40" s="832"/>
      <c r="BL40" s="53">
        <v>-34.1</v>
      </c>
      <c r="BM40" s="46">
        <v>0</v>
      </c>
      <c r="BN40" s="46">
        <v>0</v>
      </c>
      <c r="BO40" s="53"/>
      <c r="BP40" s="832">
        <f>SUM(BL40:BO40)</f>
        <v>-34.1</v>
      </c>
      <c r="BQ40" s="710">
        <v>0</v>
      </c>
      <c r="BR40" s="46">
        <v>0</v>
      </c>
      <c r="BS40" s="46">
        <v>0</v>
      </c>
      <c r="BT40" s="46">
        <v>0</v>
      </c>
      <c r="BU40" s="832">
        <f t="shared" ref="BU40:BU43" si="85">SUM(BQ40:BT40)</f>
        <v>0</v>
      </c>
      <c r="BV40" s="710">
        <v>0</v>
      </c>
      <c r="BW40" s="46">
        <v>0</v>
      </c>
      <c r="BX40" s="46">
        <v>0</v>
      </c>
      <c r="BY40" s="46">
        <v>0</v>
      </c>
      <c r="BZ40" s="832">
        <f t="shared" ref="BZ40:BZ43" si="86">SUM(BV40:BY40)</f>
        <v>0</v>
      </c>
      <c r="CA40" s="710">
        <v>0</v>
      </c>
      <c r="CB40" s="46">
        <v>0</v>
      </c>
      <c r="CC40" s="46"/>
      <c r="CD40" s="46"/>
      <c r="CE40" s="832">
        <f t="shared" ref="CE40:CE43" si="87">SUM(CA40:CD40)</f>
        <v>0</v>
      </c>
      <c r="CF40" s="378"/>
      <c r="CG40" s="943"/>
      <c r="CH40" s="944"/>
    </row>
    <row r="41" spans="1:16357" s="51" customFormat="1" ht="29.4" customHeight="1">
      <c r="A41" s="864" t="s">
        <v>813</v>
      </c>
      <c r="B41" s="864" t="s">
        <v>814</v>
      </c>
      <c r="C41" s="46"/>
      <c r="D41" s="110"/>
      <c r="E41" s="110"/>
      <c r="F41" s="110"/>
      <c r="G41" s="832"/>
      <c r="H41" s="46"/>
      <c r="I41" s="110"/>
      <c r="J41" s="110"/>
      <c r="K41" s="110"/>
      <c r="L41" s="832"/>
      <c r="M41" s="46"/>
      <c r="N41" s="110"/>
      <c r="O41" s="110"/>
      <c r="P41" s="110"/>
      <c r="Q41" s="832"/>
      <c r="R41" s="46"/>
      <c r="S41" s="110"/>
      <c r="T41" s="110"/>
      <c r="U41" s="110"/>
      <c r="V41" s="832"/>
      <c r="W41" s="46"/>
      <c r="X41" s="110"/>
      <c r="Y41" s="111"/>
      <c r="Z41" s="111"/>
      <c r="AA41" s="832"/>
      <c r="AB41" s="46"/>
      <c r="AC41" s="110"/>
      <c r="AD41" s="110"/>
      <c r="AE41" s="110"/>
      <c r="AF41" s="832"/>
      <c r="AG41" s="46"/>
      <c r="AH41" s="110"/>
      <c r="AI41" s="110"/>
      <c r="AJ41" s="111"/>
      <c r="AK41" s="832"/>
      <c r="AL41" s="851"/>
      <c r="AM41" s="110"/>
      <c r="AN41" s="110"/>
      <c r="AO41" s="110"/>
      <c r="AP41" s="111"/>
      <c r="AQ41" s="832"/>
      <c r="AR41" s="46"/>
      <c r="AS41" s="110"/>
      <c r="AT41" s="110"/>
      <c r="AU41" s="110"/>
      <c r="AV41" s="832"/>
      <c r="AW41" s="46"/>
      <c r="AX41" s="110"/>
      <c r="AY41" s="110"/>
      <c r="AZ41" s="110"/>
      <c r="BA41" s="832"/>
      <c r="BB41" s="46"/>
      <c r="BC41" s="53"/>
      <c r="BD41" s="53"/>
      <c r="BE41" s="53"/>
      <c r="BF41" s="832"/>
      <c r="BG41" s="46"/>
      <c r="BH41" s="93"/>
      <c r="BI41" s="93"/>
      <c r="BJ41" s="93"/>
      <c r="BK41" s="832"/>
      <c r="BL41" s="46"/>
      <c r="BM41" s="46"/>
      <c r="BN41" s="46"/>
      <c r="BO41" s="53"/>
      <c r="BP41" s="832"/>
      <c r="BQ41" s="710">
        <v>0</v>
      </c>
      <c r="BR41" s="46">
        <v>0</v>
      </c>
      <c r="BS41" s="46">
        <v>220.1</v>
      </c>
      <c r="BT41" s="46">
        <v>-0.4</v>
      </c>
      <c r="BU41" s="832">
        <f t="shared" si="85"/>
        <v>219.7</v>
      </c>
      <c r="BV41" s="710">
        <v>10</v>
      </c>
      <c r="BW41" s="46">
        <v>0</v>
      </c>
      <c r="BX41" s="46">
        <v>0</v>
      </c>
      <c r="BY41" s="46">
        <v>0</v>
      </c>
      <c r="BZ41" s="832">
        <f t="shared" si="86"/>
        <v>10</v>
      </c>
      <c r="CA41" s="710">
        <v>-0.2</v>
      </c>
      <c r="CB41" s="46">
        <v>0</v>
      </c>
      <c r="CC41" s="46"/>
      <c r="CD41" s="46"/>
      <c r="CE41" s="832">
        <f t="shared" si="87"/>
        <v>-0.2</v>
      </c>
      <c r="CF41" s="378"/>
      <c r="CG41" s="943"/>
      <c r="CH41" s="944"/>
    </row>
    <row r="42" spans="1:16357" s="51" customFormat="1" ht="20.100000000000001" customHeight="1">
      <c r="A42" s="864" t="s">
        <v>797</v>
      </c>
      <c r="B42" s="864" t="s">
        <v>803</v>
      </c>
      <c r="C42" s="46"/>
      <c r="D42" s="110"/>
      <c r="E42" s="110"/>
      <c r="F42" s="110"/>
      <c r="G42" s="832"/>
      <c r="H42" s="46"/>
      <c r="I42" s="110"/>
      <c r="J42" s="110"/>
      <c r="K42" s="110"/>
      <c r="L42" s="832"/>
      <c r="M42" s="46"/>
      <c r="N42" s="110"/>
      <c r="O42" s="110"/>
      <c r="P42" s="110"/>
      <c r="Q42" s="832"/>
      <c r="R42" s="46"/>
      <c r="S42" s="110"/>
      <c r="T42" s="110"/>
      <c r="U42" s="110"/>
      <c r="V42" s="832"/>
      <c r="W42" s="46"/>
      <c r="X42" s="110"/>
      <c r="Y42" s="111"/>
      <c r="Z42" s="111"/>
      <c r="AA42" s="832"/>
      <c r="AB42" s="46"/>
      <c r="AC42" s="110"/>
      <c r="AD42" s="110"/>
      <c r="AE42" s="110"/>
      <c r="AF42" s="832"/>
      <c r="AG42" s="46"/>
      <c r="AH42" s="110"/>
      <c r="AI42" s="110"/>
      <c r="AJ42" s="111"/>
      <c r="AK42" s="832"/>
      <c r="AL42" s="851"/>
      <c r="AM42" s="110"/>
      <c r="AN42" s="110"/>
      <c r="AO42" s="110"/>
      <c r="AP42" s="111"/>
      <c r="AQ42" s="832"/>
      <c r="AR42" s="46"/>
      <c r="AS42" s="110"/>
      <c r="AT42" s="110"/>
      <c r="AU42" s="110"/>
      <c r="AV42" s="832"/>
      <c r="AW42" s="46"/>
      <c r="AX42" s="110"/>
      <c r="AY42" s="110"/>
      <c r="AZ42" s="110"/>
      <c r="BA42" s="832"/>
      <c r="BB42" s="46"/>
      <c r="BC42" s="53"/>
      <c r="BD42" s="53"/>
      <c r="BE42" s="53"/>
      <c r="BF42" s="832"/>
      <c r="BG42" s="46"/>
      <c r="BH42" s="93"/>
      <c r="BI42" s="93"/>
      <c r="BJ42" s="93"/>
      <c r="BK42" s="832"/>
      <c r="BL42" s="46"/>
      <c r="BM42" s="46"/>
      <c r="BN42" s="46"/>
      <c r="BO42" s="53"/>
      <c r="BP42" s="832"/>
      <c r="BQ42" s="710">
        <v>0</v>
      </c>
      <c r="BR42" s="46">
        <v>0</v>
      </c>
      <c r="BS42" s="46">
        <v>0</v>
      </c>
      <c r="BT42" s="46">
        <v>0</v>
      </c>
      <c r="BU42" s="832">
        <f t="shared" si="85"/>
        <v>0</v>
      </c>
      <c r="BV42" s="710">
        <v>164</v>
      </c>
      <c r="BW42" s="46">
        <v>21.1</v>
      </c>
      <c r="BX42" s="46">
        <v>13.6</v>
      </c>
      <c r="BY42" s="46">
        <v>0</v>
      </c>
      <c r="BZ42" s="832">
        <f t="shared" si="86"/>
        <v>198.7</v>
      </c>
      <c r="CA42" s="710">
        <v>0</v>
      </c>
      <c r="CB42" s="46">
        <v>0</v>
      </c>
      <c r="CC42" s="46"/>
      <c r="CD42" s="46"/>
      <c r="CE42" s="832">
        <f t="shared" si="87"/>
        <v>0</v>
      </c>
      <c r="CF42" s="378"/>
      <c r="CG42" s="943"/>
      <c r="CH42" s="944"/>
    </row>
    <row r="43" spans="1:16357" s="51" customFormat="1" ht="20.100000000000001" customHeight="1">
      <c r="A43" s="864" t="s">
        <v>806</v>
      </c>
      <c r="B43" s="864" t="s">
        <v>807</v>
      </c>
      <c r="C43" s="46"/>
      <c r="D43" s="110"/>
      <c r="E43" s="110"/>
      <c r="F43" s="110"/>
      <c r="G43" s="832"/>
      <c r="H43" s="46"/>
      <c r="I43" s="110"/>
      <c r="J43" s="110"/>
      <c r="K43" s="110"/>
      <c r="L43" s="832"/>
      <c r="M43" s="46"/>
      <c r="N43" s="110"/>
      <c r="O43" s="110"/>
      <c r="P43" s="110"/>
      <c r="Q43" s="832"/>
      <c r="R43" s="46"/>
      <c r="S43" s="110"/>
      <c r="T43" s="110"/>
      <c r="U43" s="110"/>
      <c r="V43" s="832"/>
      <c r="W43" s="46"/>
      <c r="X43" s="110"/>
      <c r="Y43" s="111"/>
      <c r="Z43" s="111"/>
      <c r="AA43" s="832"/>
      <c r="AB43" s="46"/>
      <c r="AC43" s="110"/>
      <c r="AD43" s="110"/>
      <c r="AE43" s="110"/>
      <c r="AF43" s="832"/>
      <c r="AG43" s="46"/>
      <c r="AH43" s="110"/>
      <c r="AI43" s="110"/>
      <c r="AJ43" s="111"/>
      <c r="AK43" s="832"/>
      <c r="AL43" s="851"/>
      <c r="AM43" s="110"/>
      <c r="AN43" s="110"/>
      <c r="AO43" s="110"/>
      <c r="AP43" s="111"/>
      <c r="AQ43" s="832"/>
      <c r="AR43" s="46"/>
      <c r="AS43" s="110"/>
      <c r="AT43" s="110"/>
      <c r="AU43" s="110"/>
      <c r="AV43" s="832"/>
      <c r="AW43" s="46"/>
      <c r="AX43" s="110"/>
      <c r="AY43" s="110"/>
      <c r="AZ43" s="110"/>
      <c r="BA43" s="832"/>
      <c r="BB43" s="46"/>
      <c r="BC43" s="53"/>
      <c r="BD43" s="53"/>
      <c r="BE43" s="53"/>
      <c r="BF43" s="832"/>
      <c r="BG43" s="46"/>
      <c r="BH43" s="93"/>
      <c r="BI43" s="93"/>
      <c r="BJ43" s="93"/>
      <c r="BK43" s="832"/>
      <c r="BL43" s="46"/>
      <c r="BM43" s="46"/>
      <c r="BN43" s="46"/>
      <c r="BO43" s="53"/>
      <c r="BP43" s="832"/>
      <c r="BQ43" s="710">
        <v>0</v>
      </c>
      <c r="BR43" s="46">
        <v>0</v>
      </c>
      <c r="BS43" s="46">
        <v>0</v>
      </c>
      <c r="BT43" s="46">
        <v>0</v>
      </c>
      <c r="BU43" s="832">
        <f t="shared" si="85"/>
        <v>0</v>
      </c>
      <c r="BV43" s="710">
        <v>0</v>
      </c>
      <c r="BW43" s="46">
        <v>0</v>
      </c>
      <c r="BX43" s="46">
        <v>-30</v>
      </c>
      <c r="BY43" s="46">
        <v>-41</v>
      </c>
      <c r="BZ43" s="832">
        <f t="shared" si="86"/>
        <v>-71</v>
      </c>
      <c r="CA43" s="710">
        <v>0</v>
      </c>
      <c r="CB43" s="46">
        <v>-18.8</v>
      </c>
      <c r="CC43" s="46"/>
      <c r="CD43" s="46"/>
      <c r="CE43" s="832">
        <f t="shared" si="87"/>
        <v>-18.8</v>
      </c>
      <c r="CF43" s="378"/>
      <c r="CG43" s="943"/>
      <c r="CH43" s="944"/>
    </row>
    <row r="44" spans="1:16357" s="378" customFormat="1" ht="22.5" customHeight="1">
      <c r="A44" s="868" t="s">
        <v>96</v>
      </c>
      <c r="B44" s="868" t="s">
        <v>798</v>
      </c>
      <c r="C44" s="872"/>
      <c r="D44" s="872"/>
      <c r="E44" s="872"/>
      <c r="F44" s="872"/>
      <c r="G44" s="885"/>
      <c r="H44" s="872"/>
      <c r="I44" s="872"/>
      <c r="J44" s="872"/>
      <c r="K44" s="872"/>
      <c r="L44" s="885"/>
      <c r="M44" s="872"/>
      <c r="N44" s="872"/>
      <c r="O44" s="872"/>
      <c r="P44" s="872"/>
      <c r="Q44" s="885"/>
      <c r="R44" s="872"/>
      <c r="S44" s="872"/>
      <c r="T44" s="872"/>
      <c r="U44" s="872"/>
      <c r="V44" s="885"/>
      <c r="W44" s="872"/>
      <c r="X44" s="872"/>
      <c r="Y44" s="891"/>
      <c r="Z44" s="891"/>
      <c r="AA44" s="885"/>
      <c r="AB44" s="872"/>
      <c r="AC44" s="872"/>
      <c r="AD44" s="872"/>
      <c r="AE44" s="872"/>
      <c r="AF44" s="885"/>
      <c r="AG44" s="872"/>
      <c r="AH44" s="872"/>
      <c r="AI44" s="872"/>
      <c r="AJ44" s="870"/>
      <c r="AK44" s="885"/>
      <c r="AL44" s="842"/>
      <c r="AM44" s="884"/>
      <c r="AN44" s="872"/>
      <c r="AO44" s="872"/>
      <c r="AP44" s="870"/>
      <c r="AQ44" s="885"/>
      <c r="AR44" s="872"/>
      <c r="AS44" s="872"/>
      <c r="AT44" s="872"/>
      <c r="AU44" s="872"/>
      <c r="AV44" s="885"/>
      <c r="AW44" s="872"/>
      <c r="AX44" s="872"/>
      <c r="AY44" s="872"/>
      <c r="AZ44" s="872"/>
      <c r="BA44" s="885"/>
      <c r="BB44" s="872"/>
      <c r="BC44" s="872"/>
      <c r="BD44" s="872"/>
      <c r="BE44" s="872"/>
      <c r="BF44" s="885"/>
      <c r="BG44" s="872"/>
      <c r="BH44" s="872"/>
      <c r="BI44" s="872"/>
      <c r="BJ44" s="872"/>
      <c r="BK44" s="885"/>
      <c r="BL44" s="872"/>
      <c r="BM44" s="872"/>
      <c r="BN44" s="872"/>
      <c r="BO44" s="872"/>
      <c r="BP44" s="885"/>
      <c r="BQ44" s="886">
        <f>BQ37-SUM(BQ39:BQ43)</f>
        <v>761.2000000000005</v>
      </c>
      <c r="BR44" s="872">
        <f t="shared" ref="BR44:BT44" si="88">BR37-SUM(BR39:BR43)</f>
        <v>798.50000000000023</v>
      </c>
      <c r="BS44" s="872">
        <f t="shared" si="88"/>
        <v>774.70000000000039</v>
      </c>
      <c r="BT44" s="872">
        <f t="shared" si="88"/>
        <v>677.10000000000014</v>
      </c>
      <c r="BU44" s="885">
        <f>SUM(BQ44:BT44)</f>
        <v>3011.5000000000009</v>
      </c>
      <c r="BV44" s="886">
        <f>BV37-SUM(BV39:BV43)</f>
        <v>772.29862972000103</v>
      </c>
      <c r="BW44" s="872">
        <f t="shared" ref="BW44" si="89">BW37-SUM(BW39:BW43)</f>
        <v>843.90000000000043</v>
      </c>
      <c r="BX44" s="872">
        <f t="shared" ref="BX44" si="90">BX37-SUM(BX39:BX43)</f>
        <v>902.79999999999973</v>
      </c>
      <c r="BY44" s="872">
        <f t="shared" ref="BY44" si="91">BY37-SUM(BY39:BY43)</f>
        <v>780.89999999999986</v>
      </c>
      <c r="BZ44" s="885">
        <f>SUM(BV44:BY44)</f>
        <v>3299.8986297200008</v>
      </c>
      <c r="CA44" s="872">
        <f>CA37-SUM(CA39:CA43)</f>
        <v>809.3000000000003</v>
      </c>
      <c r="CB44" s="872">
        <f>CB37-SUM(CB39:CB43)</f>
        <v>823.80000000000018</v>
      </c>
      <c r="CC44" s="872"/>
      <c r="CD44" s="872"/>
      <c r="CE44" s="885">
        <f>SUM(CA44:CD44)</f>
        <v>1633.1000000000004</v>
      </c>
      <c r="CG44" s="943"/>
      <c r="CH44" s="944"/>
    </row>
    <row r="45" spans="1:16357" s="378" customFormat="1" ht="22.5" customHeight="1">
      <c r="A45" s="892" t="s">
        <v>97</v>
      </c>
      <c r="B45" s="892" t="s">
        <v>799</v>
      </c>
      <c r="C45" s="888"/>
      <c r="D45" s="888"/>
      <c r="E45" s="888"/>
      <c r="F45" s="888"/>
      <c r="G45" s="889"/>
      <c r="H45" s="888"/>
      <c r="I45" s="888"/>
      <c r="J45" s="888"/>
      <c r="K45" s="888"/>
      <c r="L45" s="889"/>
      <c r="M45" s="888"/>
      <c r="N45" s="888"/>
      <c r="O45" s="888"/>
      <c r="P45" s="888"/>
      <c r="Q45" s="889"/>
      <c r="R45" s="888"/>
      <c r="S45" s="888"/>
      <c r="T45" s="888"/>
      <c r="U45" s="888"/>
      <c r="V45" s="889"/>
      <c r="W45" s="888"/>
      <c r="X45" s="888"/>
      <c r="Y45" s="893"/>
      <c r="Z45" s="893"/>
      <c r="AA45" s="889"/>
      <c r="AB45" s="888"/>
      <c r="AC45" s="888"/>
      <c r="AD45" s="888"/>
      <c r="AE45" s="888"/>
      <c r="AF45" s="889"/>
      <c r="AG45" s="888"/>
      <c r="AH45" s="888"/>
      <c r="AI45" s="888"/>
      <c r="AJ45" s="888"/>
      <c r="AK45" s="889"/>
      <c r="AL45" s="850"/>
      <c r="AM45" s="887"/>
      <c r="AN45" s="888"/>
      <c r="AO45" s="888"/>
      <c r="AP45" s="888"/>
      <c r="AQ45" s="889"/>
      <c r="AR45" s="888"/>
      <c r="AS45" s="888"/>
      <c r="AT45" s="888"/>
      <c r="AU45" s="888"/>
      <c r="AV45" s="889"/>
      <c r="AW45" s="888"/>
      <c r="AX45" s="888"/>
      <c r="AY45" s="888"/>
      <c r="AZ45" s="888"/>
      <c r="BA45" s="889"/>
      <c r="BB45" s="888"/>
      <c r="BC45" s="888"/>
      <c r="BD45" s="888"/>
      <c r="BE45" s="888"/>
      <c r="BF45" s="889"/>
      <c r="BG45" s="888"/>
      <c r="BH45" s="888"/>
      <c r="BI45" s="888"/>
      <c r="BJ45" s="888"/>
      <c r="BK45" s="889"/>
      <c r="BL45" s="888"/>
      <c r="BM45" s="888"/>
      <c r="BN45" s="888"/>
      <c r="BO45" s="888"/>
      <c r="BP45" s="889"/>
      <c r="BQ45" s="890"/>
      <c r="BR45" s="888"/>
      <c r="BS45" s="888"/>
      <c r="BT45" s="888"/>
      <c r="BU45" s="889"/>
      <c r="BV45" s="890">
        <f t="shared" ref="BV45:CB45" si="92">BV44/BV5</f>
        <v>0.22681319838989439</v>
      </c>
      <c r="BW45" s="890">
        <f t="shared" si="92"/>
        <v>0.24430420056161894</v>
      </c>
      <c r="BX45" s="890">
        <f t="shared" si="92"/>
        <v>0.25221399636820779</v>
      </c>
      <c r="BY45" s="888">
        <f t="shared" si="92"/>
        <v>0.20404483812808652</v>
      </c>
      <c r="BZ45" s="889">
        <f t="shared" si="92"/>
        <v>0.23131375845089461</v>
      </c>
      <c r="CA45" s="890">
        <f t="shared" si="92"/>
        <v>0.22925046739561505</v>
      </c>
      <c r="CB45" s="890">
        <f t="shared" si="92"/>
        <v>0.22944518716577544</v>
      </c>
      <c r="CC45" s="890"/>
      <c r="CD45" s="888"/>
      <c r="CE45" s="889">
        <f>CE44/CE5</f>
        <v>0.22934865039462971</v>
      </c>
      <c r="CG45" s="943"/>
      <c r="CH45" s="944"/>
    </row>
    <row r="46" spans="1:16357" ht="15" customHeight="1">
      <c r="U46" s="6"/>
      <c r="V46" s="6"/>
      <c r="W46" s="6"/>
      <c r="X46" s="6"/>
      <c r="Y46" s="38"/>
      <c r="Z46" s="6"/>
      <c r="AA46" s="6"/>
      <c r="AB46" s="6"/>
      <c r="AC46" s="6"/>
      <c r="AD46" s="38"/>
      <c r="AE46" s="6"/>
      <c r="AF46" s="6"/>
      <c r="AG46" s="6"/>
      <c r="AH46" s="6"/>
      <c r="AI46" s="38"/>
      <c r="AJ46" s="6"/>
      <c r="AK46" s="89"/>
      <c r="AL46" s="5"/>
      <c r="AM46" s="6"/>
      <c r="AN46" s="68"/>
      <c r="AO46" s="38"/>
      <c r="AP46" s="6"/>
      <c r="AQ46" s="68"/>
      <c r="AR46" s="6"/>
      <c r="AS46" s="68"/>
      <c r="AT46" s="38"/>
      <c r="AU46" s="6"/>
      <c r="AV46" s="68"/>
      <c r="AW46" s="6"/>
      <c r="AX46" s="68"/>
      <c r="AY46" s="38"/>
      <c r="AZ46" s="6"/>
      <c r="BA46" s="68"/>
      <c r="BB46" s="6"/>
      <c r="BC46" s="68"/>
      <c r="BD46" s="38"/>
      <c r="BE46" s="6"/>
      <c r="BF46" s="632"/>
      <c r="BG46" s="758"/>
      <c r="BH46" s="758"/>
      <c r="BI46" s="758"/>
      <c r="BJ46" s="758"/>
      <c r="BK46" s="627"/>
      <c r="BL46" s="758"/>
      <c r="BM46" s="758"/>
      <c r="BN46" s="758"/>
      <c r="BO46" s="758"/>
      <c r="BP46" s="758"/>
      <c r="BQ46" s="758"/>
      <c r="BR46" s="758"/>
      <c r="BS46" s="758"/>
      <c r="BT46" s="6"/>
      <c r="BU46" s="659"/>
      <c r="BV46" s="761"/>
      <c r="BW46" s="761"/>
      <c r="BX46" s="766"/>
      <c r="BY46" s="712"/>
      <c r="BZ46" s="712"/>
      <c r="CA46" s="761"/>
      <c r="CB46" s="761"/>
      <c r="CC46" s="766"/>
      <c r="CD46" s="712"/>
      <c r="CE46" s="712"/>
      <c r="CF46" s="378"/>
      <c r="CG46" s="712"/>
      <c r="CH46" s="712"/>
    </row>
    <row r="47" spans="1:16357" ht="23.25" customHeight="1">
      <c r="A47" s="97" t="s">
        <v>98</v>
      </c>
      <c r="B47" s="101" t="s">
        <v>99</v>
      </c>
      <c r="C47" s="100"/>
      <c r="D47" s="100"/>
      <c r="E47" s="100"/>
      <c r="F47" s="100"/>
      <c r="G47" s="100"/>
      <c r="H47" s="100"/>
      <c r="I47" s="100"/>
      <c r="J47" s="100"/>
      <c r="K47" s="100"/>
      <c r="L47" s="100"/>
      <c r="M47" s="100"/>
      <c r="N47" s="100"/>
      <c r="O47" s="97"/>
      <c r="P47" s="97"/>
      <c r="Q47" s="97"/>
      <c r="R47" s="97"/>
      <c r="S47" s="971"/>
      <c r="T47" s="971"/>
      <c r="U47" s="971"/>
      <c r="V47" s="971"/>
      <c r="W47" s="971"/>
      <c r="X47" s="971"/>
      <c r="Y47" s="971"/>
      <c r="Z47" s="971"/>
      <c r="AA47" s="971"/>
      <c r="AB47" s="971"/>
      <c r="AC47" s="971"/>
      <c r="AD47" s="971"/>
      <c r="AE47" s="971"/>
      <c r="AF47" s="971"/>
      <c r="AG47" s="971"/>
      <c r="AH47" s="7"/>
      <c r="AI47" s="35"/>
      <c r="AJ47" s="7"/>
      <c r="AK47" s="90"/>
      <c r="AL47" s="5"/>
      <c r="AM47" s="7"/>
      <c r="AN47" s="7"/>
      <c r="AO47" s="35"/>
      <c r="AP47" s="7"/>
      <c r="AQ47" s="7"/>
      <c r="AR47" s="7"/>
      <c r="AS47" s="7"/>
      <c r="AT47" s="35"/>
      <c r="AU47" s="7"/>
      <c r="AV47" s="7"/>
      <c r="AW47" s="7"/>
      <c r="AX47" s="971"/>
      <c r="AY47" s="971"/>
      <c r="AZ47" s="971"/>
      <c r="BA47" s="971"/>
      <c r="BB47" s="971"/>
      <c r="BC47" s="971"/>
      <c r="BD47" s="971"/>
      <c r="BE47" s="971"/>
      <c r="BF47" s="971"/>
      <c r="BG47" s="971"/>
      <c r="BH47" s="971"/>
      <c r="BI47" s="971"/>
      <c r="BJ47" s="971"/>
      <c r="BK47" s="971"/>
      <c r="BL47" s="971"/>
      <c r="BM47" s="971"/>
      <c r="BN47" s="971"/>
      <c r="BO47" s="971"/>
      <c r="BP47" s="971"/>
      <c r="BQ47" s="971"/>
      <c r="BR47" s="971"/>
      <c r="BS47" s="971"/>
      <c r="BT47" s="971"/>
      <c r="BU47" s="971"/>
      <c r="BY47" s="971"/>
      <c r="BZ47" s="971"/>
      <c r="CA47" s="971"/>
      <c r="CB47" s="971"/>
      <c r="CC47" s="971"/>
      <c r="CD47" s="971"/>
      <c r="CE47" s="971"/>
      <c r="CF47" s="971"/>
      <c r="CG47" s="971"/>
      <c r="CH47" s="971"/>
      <c r="CI47" s="971"/>
      <c r="CJ47" s="971"/>
      <c r="CK47" s="971"/>
      <c r="CL47" s="971"/>
      <c r="CM47" s="971"/>
      <c r="CN47" s="971"/>
      <c r="CO47" s="971"/>
      <c r="CP47" s="971"/>
      <c r="CQ47" s="971"/>
      <c r="CR47" s="971"/>
      <c r="CS47" s="971"/>
      <c r="CT47" s="971"/>
      <c r="CU47" s="971"/>
      <c r="CV47" s="971"/>
      <c r="CW47" s="971"/>
      <c r="CX47" s="971"/>
      <c r="CY47" s="971"/>
      <c r="CZ47" s="971"/>
      <c r="DA47" s="971"/>
      <c r="DB47" s="971"/>
      <c r="DC47" s="971"/>
      <c r="DD47" s="971"/>
      <c r="DE47" s="971"/>
      <c r="DF47" s="971"/>
      <c r="DG47" s="971"/>
      <c r="DH47" s="971"/>
      <c r="DI47" s="971"/>
      <c r="DJ47" s="971"/>
      <c r="DK47" s="971"/>
      <c r="DL47" s="971"/>
      <c r="DM47" s="971"/>
      <c r="DN47" s="971"/>
      <c r="DO47" s="971"/>
      <c r="DP47" s="971"/>
      <c r="DQ47" s="971"/>
      <c r="DR47" s="971"/>
      <c r="DS47" s="971"/>
      <c r="DT47" s="971"/>
      <c r="DU47" s="971"/>
      <c r="DV47" s="971"/>
      <c r="DW47" s="971"/>
      <c r="DX47" s="971"/>
      <c r="DY47" s="971"/>
      <c r="DZ47" s="971"/>
      <c r="EA47" s="971"/>
      <c r="EB47" s="971"/>
      <c r="EC47" s="971"/>
      <c r="ED47" s="971"/>
      <c r="EE47" s="971"/>
      <c r="EF47" s="971"/>
      <c r="EG47" s="971"/>
      <c r="EH47" s="971"/>
      <c r="EI47" s="971"/>
      <c r="EJ47" s="971"/>
      <c r="EK47" s="971"/>
      <c r="EL47" s="971"/>
      <c r="EM47" s="971"/>
      <c r="EN47" s="971"/>
      <c r="EO47" s="971"/>
      <c r="EP47" s="971"/>
      <c r="EQ47" s="971"/>
      <c r="ER47" s="971"/>
      <c r="ES47" s="971"/>
      <c r="ET47" s="971"/>
      <c r="EU47" s="971"/>
      <c r="EV47" s="971"/>
      <c r="EW47" s="971"/>
      <c r="EX47" s="971"/>
      <c r="EY47" s="971"/>
      <c r="EZ47" s="971"/>
      <c r="FA47" s="971"/>
      <c r="FB47" s="971"/>
      <c r="FC47" s="971"/>
      <c r="FD47" s="971"/>
      <c r="FE47" s="971"/>
      <c r="FF47" s="971"/>
      <c r="FG47" s="971"/>
      <c r="FH47" s="971"/>
      <c r="FI47" s="971"/>
      <c r="FJ47" s="971"/>
      <c r="FK47" s="971"/>
      <c r="FL47" s="971"/>
      <c r="FM47" s="971"/>
      <c r="FN47" s="971"/>
      <c r="FO47" s="971"/>
      <c r="FP47" s="971"/>
      <c r="FQ47" s="971"/>
      <c r="FR47" s="971"/>
      <c r="FS47" s="971"/>
      <c r="FT47" s="971"/>
      <c r="FU47" s="971"/>
      <c r="FV47" s="971"/>
      <c r="FW47" s="971"/>
      <c r="FX47" s="971"/>
      <c r="FY47" s="971"/>
      <c r="FZ47" s="971"/>
      <c r="GA47" s="971"/>
      <c r="GB47" s="971"/>
      <c r="GC47" s="971"/>
      <c r="GD47" s="971"/>
      <c r="GE47" s="971"/>
      <c r="GF47" s="971"/>
      <c r="GG47" s="971"/>
      <c r="GH47" s="971"/>
      <c r="GI47" s="971"/>
      <c r="GJ47" s="971"/>
      <c r="GK47" s="971"/>
      <c r="GL47" s="971"/>
      <c r="GM47" s="971"/>
      <c r="GN47" s="971"/>
      <c r="GO47" s="971"/>
      <c r="GP47" s="971"/>
      <c r="GQ47" s="971"/>
      <c r="GR47" s="971"/>
      <c r="GS47" s="971"/>
      <c r="GT47" s="971"/>
      <c r="GU47" s="971"/>
      <c r="GV47" s="971"/>
      <c r="GW47" s="971"/>
      <c r="GX47" s="971"/>
      <c r="GY47" s="971"/>
      <c r="GZ47" s="971"/>
      <c r="HA47" s="971"/>
      <c r="HB47" s="971"/>
      <c r="HC47" s="971"/>
      <c r="HD47" s="971"/>
      <c r="HE47" s="971"/>
      <c r="HF47" s="971"/>
      <c r="HG47" s="971"/>
      <c r="HH47" s="971"/>
      <c r="HI47" s="971"/>
      <c r="HJ47" s="971"/>
      <c r="HK47" s="971"/>
      <c r="HL47" s="971"/>
      <c r="HM47" s="971"/>
      <c r="HN47" s="971"/>
      <c r="HO47" s="971"/>
      <c r="HP47" s="971"/>
      <c r="HQ47" s="971"/>
      <c r="HR47" s="971"/>
      <c r="HS47" s="971"/>
      <c r="HT47" s="971"/>
      <c r="HU47" s="971"/>
      <c r="HV47" s="971"/>
      <c r="HW47" s="971"/>
      <c r="HX47" s="971"/>
      <c r="HY47" s="971"/>
      <c r="HZ47" s="971"/>
      <c r="IA47" s="971"/>
      <c r="IB47" s="971"/>
      <c r="IC47" s="971"/>
      <c r="ID47" s="971"/>
      <c r="IE47" s="971"/>
      <c r="IF47" s="971"/>
      <c r="IG47" s="971"/>
      <c r="IH47" s="971"/>
      <c r="II47" s="971"/>
      <c r="IJ47" s="971"/>
      <c r="IK47" s="971"/>
      <c r="IL47" s="971"/>
      <c r="IM47" s="971"/>
      <c r="IN47" s="971"/>
      <c r="IO47" s="971"/>
      <c r="IP47" s="971"/>
      <c r="IQ47" s="971"/>
      <c r="IR47" s="971"/>
      <c r="IS47" s="971"/>
      <c r="IT47" s="971"/>
      <c r="IU47" s="971"/>
      <c r="IV47" s="971"/>
      <c r="IW47" s="971"/>
      <c r="IX47" s="971"/>
      <c r="IY47" s="971"/>
      <c r="IZ47" s="971"/>
      <c r="JA47" s="971"/>
      <c r="JB47" s="971"/>
      <c r="JC47" s="971"/>
      <c r="JD47" s="971"/>
      <c r="JE47" s="971"/>
      <c r="JF47" s="971"/>
      <c r="JG47" s="971"/>
      <c r="JH47" s="971"/>
      <c r="JI47" s="971"/>
      <c r="JJ47" s="971"/>
      <c r="JK47" s="971"/>
      <c r="JL47" s="971"/>
      <c r="JM47" s="971"/>
      <c r="JN47" s="971"/>
      <c r="JO47" s="971"/>
      <c r="JP47" s="971"/>
      <c r="JQ47" s="971"/>
      <c r="JR47" s="971"/>
      <c r="JS47" s="971"/>
      <c r="JT47" s="971"/>
      <c r="JU47" s="971"/>
      <c r="JV47" s="971"/>
      <c r="JW47" s="971"/>
      <c r="JX47" s="971"/>
      <c r="JY47" s="971"/>
      <c r="JZ47" s="971"/>
      <c r="KA47" s="971"/>
      <c r="KB47" s="971"/>
      <c r="KC47" s="971"/>
      <c r="KD47" s="971"/>
      <c r="KE47" s="971"/>
      <c r="KF47" s="971"/>
      <c r="KG47" s="971"/>
      <c r="KH47" s="971"/>
      <c r="KI47" s="971"/>
      <c r="KJ47" s="971"/>
      <c r="KK47" s="971"/>
      <c r="KL47" s="971"/>
      <c r="KM47" s="971"/>
      <c r="KN47" s="971"/>
      <c r="KO47" s="971"/>
      <c r="KP47" s="971"/>
      <c r="KQ47" s="971"/>
      <c r="KR47" s="971"/>
      <c r="KS47" s="971"/>
      <c r="KT47" s="971"/>
      <c r="KU47" s="971"/>
      <c r="KV47" s="971"/>
      <c r="KW47" s="971"/>
      <c r="KX47" s="971"/>
      <c r="KY47" s="971"/>
      <c r="KZ47" s="971"/>
      <c r="LA47" s="971"/>
      <c r="LB47" s="971"/>
      <c r="LC47" s="971"/>
      <c r="LD47" s="971"/>
      <c r="LE47" s="971"/>
      <c r="LF47" s="971"/>
      <c r="LG47" s="971"/>
      <c r="LH47" s="971"/>
      <c r="LI47" s="971"/>
      <c r="LJ47" s="971"/>
      <c r="LK47" s="971"/>
      <c r="LL47" s="971"/>
      <c r="LM47" s="971"/>
      <c r="LN47" s="971"/>
      <c r="LO47" s="971"/>
      <c r="LP47" s="971"/>
      <c r="LQ47" s="971"/>
      <c r="LR47" s="971"/>
      <c r="LS47" s="971"/>
      <c r="LT47" s="971"/>
      <c r="LU47" s="971"/>
      <c r="LV47" s="971"/>
      <c r="LW47" s="971"/>
      <c r="LX47" s="971"/>
      <c r="LY47" s="971"/>
      <c r="LZ47" s="971"/>
      <c r="MA47" s="971"/>
      <c r="MB47" s="971"/>
      <c r="MC47" s="971"/>
      <c r="MD47" s="971"/>
      <c r="ME47" s="971"/>
      <c r="MF47" s="971"/>
      <c r="MG47" s="971"/>
      <c r="MH47" s="971"/>
      <c r="MI47" s="971"/>
      <c r="MJ47" s="971"/>
      <c r="MK47" s="971"/>
      <c r="ML47" s="971"/>
      <c r="MM47" s="971"/>
      <c r="MN47" s="971"/>
      <c r="MO47" s="971"/>
      <c r="MP47" s="971"/>
      <c r="MQ47" s="971"/>
      <c r="MR47" s="971"/>
      <c r="MS47" s="971"/>
      <c r="MT47" s="971"/>
      <c r="MU47" s="971"/>
      <c r="MV47" s="971"/>
      <c r="MW47" s="971"/>
      <c r="MX47" s="971"/>
      <c r="MY47" s="971"/>
      <c r="MZ47" s="971"/>
      <c r="NA47" s="971"/>
      <c r="NB47" s="971"/>
      <c r="NC47" s="971"/>
      <c r="ND47" s="971"/>
      <c r="NE47" s="971"/>
      <c r="NF47" s="971"/>
      <c r="NG47" s="971"/>
      <c r="NH47" s="971"/>
      <c r="NI47" s="971"/>
      <c r="NJ47" s="971"/>
      <c r="NK47" s="971"/>
      <c r="NL47" s="971"/>
      <c r="NM47" s="971"/>
      <c r="NN47" s="971"/>
      <c r="NO47" s="971"/>
      <c r="NP47" s="971"/>
      <c r="NQ47" s="971"/>
      <c r="NR47" s="971"/>
      <c r="NS47" s="971"/>
      <c r="NT47" s="971"/>
      <c r="NU47" s="971"/>
      <c r="NV47" s="971"/>
      <c r="NW47" s="971"/>
      <c r="NX47" s="971"/>
      <c r="NY47" s="971"/>
      <c r="NZ47" s="971"/>
      <c r="OA47" s="971"/>
      <c r="OB47" s="971"/>
      <c r="OC47" s="971"/>
      <c r="OD47" s="971"/>
      <c r="OE47" s="971"/>
      <c r="OF47" s="971"/>
      <c r="OG47" s="971"/>
      <c r="OH47" s="971"/>
      <c r="OI47" s="971"/>
      <c r="OJ47" s="971"/>
      <c r="OK47" s="971"/>
      <c r="OL47" s="971"/>
      <c r="OM47" s="971"/>
      <c r="ON47" s="971"/>
      <c r="OO47" s="971"/>
      <c r="OP47" s="971"/>
      <c r="OQ47" s="971"/>
      <c r="OR47" s="971"/>
      <c r="OS47" s="971"/>
      <c r="OT47" s="971"/>
      <c r="OU47" s="971"/>
      <c r="OV47" s="971"/>
      <c r="OW47" s="971"/>
      <c r="OX47" s="971"/>
      <c r="OY47" s="971"/>
      <c r="OZ47" s="971"/>
      <c r="PA47" s="971"/>
      <c r="PB47" s="971"/>
      <c r="PC47" s="971"/>
      <c r="PD47" s="971"/>
      <c r="PE47" s="971"/>
      <c r="PF47" s="971"/>
      <c r="PG47" s="971"/>
      <c r="PH47" s="971"/>
      <c r="PI47" s="971"/>
      <c r="PJ47" s="971"/>
      <c r="PK47" s="971"/>
      <c r="PL47" s="971"/>
      <c r="PM47" s="971"/>
      <c r="PN47" s="971"/>
      <c r="PO47" s="971"/>
      <c r="PP47" s="971"/>
      <c r="PQ47" s="971"/>
      <c r="PR47" s="971"/>
      <c r="PS47" s="971"/>
      <c r="PT47" s="971"/>
      <c r="PU47" s="971"/>
      <c r="PV47" s="971"/>
      <c r="PW47" s="971"/>
      <c r="PX47" s="971"/>
      <c r="PY47" s="971"/>
      <c r="PZ47" s="971"/>
      <c r="QA47" s="971"/>
      <c r="QB47" s="971"/>
      <c r="QC47" s="971"/>
      <c r="QD47" s="971"/>
      <c r="QE47" s="971"/>
      <c r="QF47" s="971"/>
      <c r="QG47" s="971"/>
      <c r="QH47" s="971"/>
      <c r="QI47" s="971"/>
      <c r="QJ47" s="971"/>
      <c r="QK47" s="971"/>
      <c r="QL47" s="971"/>
      <c r="QM47" s="971"/>
      <c r="QN47" s="971"/>
      <c r="QO47" s="971"/>
      <c r="QP47" s="971"/>
      <c r="QQ47" s="971"/>
      <c r="QR47" s="971"/>
      <c r="QS47" s="971"/>
      <c r="QT47" s="971"/>
      <c r="QU47" s="971"/>
      <c r="QV47" s="971"/>
      <c r="QW47" s="971"/>
      <c r="QX47" s="971"/>
      <c r="QY47" s="971"/>
      <c r="QZ47" s="971"/>
      <c r="RA47" s="971"/>
      <c r="RB47" s="971"/>
      <c r="RC47" s="971"/>
      <c r="RD47" s="971"/>
      <c r="RE47" s="971"/>
      <c r="RF47" s="971"/>
      <c r="RG47" s="971"/>
      <c r="RH47" s="971"/>
      <c r="RI47" s="971"/>
      <c r="RJ47" s="971"/>
      <c r="RK47" s="971"/>
      <c r="RL47" s="971"/>
      <c r="RM47" s="971"/>
      <c r="RN47" s="971"/>
      <c r="RO47" s="971"/>
      <c r="RP47" s="971"/>
      <c r="RQ47" s="971"/>
      <c r="RR47" s="971"/>
      <c r="RS47" s="971"/>
      <c r="RT47" s="971"/>
      <c r="RU47" s="971"/>
      <c r="RV47" s="971"/>
      <c r="RW47" s="971"/>
      <c r="RX47" s="971"/>
      <c r="RY47" s="971"/>
      <c r="RZ47" s="971"/>
      <c r="SA47" s="971"/>
      <c r="SB47" s="971"/>
      <c r="SC47" s="971"/>
      <c r="SD47" s="971"/>
      <c r="SE47" s="971"/>
      <c r="SF47" s="971"/>
      <c r="SG47" s="971"/>
      <c r="SH47" s="971"/>
      <c r="SI47" s="971"/>
      <c r="SJ47" s="971"/>
      <c r="SK47" s="971"/>
      <c r="SL47" s="971"/>
      <c r="SM47" s="971"/>
      <c r="SN47" s="971"/>
      <c r="SO47" s="971"/>
      <c r="SP47" s="971"/>
      <c r="SQ47" s="971"/>
      <c r="SR47" s="971"/>
      <c r="SS47" s="971"/>
      <c r="ST47" s="971"/>
      <c r="SU47" s="971"/>
      <c r="SV47" s="971"/>
      <c r="SW47" s="971"/>
      <c r="SX47" s="971"/>
      <c r="SY47" s="971"/>
      <c r="SZ47" s="971"/>
      <c r="TA47" s="971"/>
      <c r="TB47" s="971"/>
      <c r="TC47" s="971"/>
      <c r="TD47" s="971"/>
      <c r="TE47" s="971"/>
      <c r="TF47" s="971"/>
      <c r="TG47" s="971"/>
      <c r="TH47" s="971"/>
      <c r="TI47" s="971"/>
      <c r="TJ47" s="971"/>
      <c r="TK47" s="971"/>
      <c r="TL47" s="971"/>
      <c r="TM47" s="971"/>
      <c r="TN47" s="971"/>
      <c r="TO47" s="971"/>
      <c r="TP47" s="971"/>
      <c r="TQ47" s="971"/>
      <c r="TR47" s="971"/>
      <c r="TS47" s="971"/>
      <c r="TT47" s="971"/>
      <c r="TU47" s="971"/>
      <c r="TV47" s="971"/>
      <c r="TW47" s="971"/>
      <c r="TX47" s="971"/>
      <c r="TY47" s="971"/>
      <c r="TZ47" s="971"/>
      <c r="UA47" s="971"/>
      <c r="UB47" s="971"/>
      <c r="UC47" s="971"/>
      <c r="UD47" s="971"/>
      <c r="UE47" s="971"/>
      <c r="UF47" s="971"/>
      <c r="UG47" s="971"/>
      <c r="UH47" s="971"/>
      <c r="UI47" s="971"/>
      <c r="UJ47" s="971"/>
      <c r="UK47" s="971"/>
      <c r="UL47" s="971"/>
      <c r="UM47" s="971"/>
      <c r="UN47" s="971"/>
      <c r="UO47" s="971"/>
      <c r="UP47" s="971"/>
      <c r="UQ47" s="971"/>
      <c r="UR47" s="971"/>
      <c r="US47" s="971"/>
      <c r="UT47" s="971"/>
      <c r="UU47" s="971"/>
      <c r="UV47" s="971"/>
      <c r="UW47" s="971"/>
      <c r="UX47" s="971"/>
      <c r="UY47" s="971"/>
      <c r="UZ47" s="971"/>
      <c r="VA47" s="971"/>
      <c r="VB47" s="971"/>
      <c r="VC47" s="971"/>
      <c r="VD47" s="971"/>
      <c r="VE47" s="971"/>
      <c r="VF47" s="971"/>
      <c r="VG47" s="971"/>
      <c r="VH47" s="971"/>
      <c r="VI47" s="971"/>
      <c r="VJ47" s="971"/>
      <c r="VK47" s="971"/>
      <c r="VL47" s="971"/>
      <c r="VM47" s="971"/>
      <c r="VN47" s="971"/>
      <c r="VO47" s="971"/>
      <c r="VP47" s="971"/>
      <c r="VQ47" s="971"/>
      <c r="VR47" s="971"/>
      <c r="VS47" s="971"/>
      <c r="VT47" s="971"/>
      <c r="VU47" s="971"/>
      <c r="VV47" s="971"/>
      <c r="VW47" s="971"/>
      <c r="VX47" s="971"/>
      <c r="VY47" s="971"/>
      <c r="VZ47" s="971"/>
      <c r="WA47" s="971"/>
      <c r="WB47" s="971"/>
      <c r="WC47" s="971"/>
      <c r="WD47" s="971"/>
      <c r="WE47" s="971"/>
      <c r="WF47" s="971"/>
      <c r="WG47" s="971"/>
      <c r="WH47" s="971"/>
      <c r="WI47" s="971"/>
      <c r="WJ47" s="971"/>
      <c r="WK47" s="971"/>
      <c r="WL47" s="971"/>
      <c r="WM47" s="971"/>
      <c r="WN47" s="971"/>
      <c r="WO47" s="971"/>
      <c r="WP47" s="971"/>
      <c r="WQ47" s="971"/>
      <c r="WR47" s="971"/>
      <c r="WS47" s="971"/>
      <c r="WT47" s="971"/>
      <c r="WU47" s="971"/>
      <c r="WV47" s="971"/>
      <c r="WW47" s="971"/>
      <c r="WX47" s="971"/>
      <c r="WY47" s="971"/>
      <c r="WZ47" s="971"/>
      <c r="XA47" s="971"/>
      <c r="XB47" s="971"/>
      <c r="XC47" s="971"/>
      <c r="XD47" s="971"/>
      <c r="XE47" s="971"/>
      <c r="XF47" s="971"/>
      <c r="XG47" s="971"/>
      <c r="XH47" s="971"/>
      <c r="XI47" s="971"/>
      <c r="XJ47" s="971"/>
      <c r="XK47" s="971"/>
      <c r="XL47" s="971"/>
      <c r="XM47" s="971"/>
      <c r="XN47" s="971"/>
      <c r="XO47" s="971"/>
      <c r="XP47" s="971"/>
      <c r="XQ47" s="971"/>
      <c r="XR47" s="971"/>
      <c r="XS47" s="971"/>
      <c r="XT47" s="971"/>
      <c r="XU47" s="971"/>
      <c r="XV47" s="971"/>
      <c r="XW47" s="971"/>
      <c r="XX47" s="971"/>
      <c r="XY47" s="971"/>
      <c r="XZ47" s="971"/>
      <c r="YA47" s="971"/>
      <c r="YB47" s="971"/>
      <c r="YC47" s="971"/>
      <c r="YD47" s="971"/>
      <c r="YE47" s="971"/>
      <c r="YF47" s="971"/>
      <c r="YG47" s="971"/>
      <c r="YH47" s="971"/>
      <c r="YI47" s="971"/>
      <c r="YJ47" s="971"/>
      <c r="YK47" s="971"/>
      <c r="YL47" s="971"/>
      <c r="YM47" s="971"/>
      <c r="YN47" s="971"/>
      <c r="YO47" s="971"/>
      <c r="YP47" s="971"/>
      <c r="YQ47" s="971"/>
      <c r="YR47" s="971"/>
      <c r="YS47" s="971"/>
      <c r="YT47" s="971"/>
      <c r="YU47" s="971"/>
      <c r="YV47" s="971"/>
      <c r="YW47" s="971"/>
      <c r="YX47" s="971"/>
      <c r="YY47" s="971"/>
      <c r="YZ47" s="971"/>
      <c r="ZA47" s="971"/>
      <c r="ZB47" s="971"/>
      <c r="ZC47" s="971"/>
      <c r="ZD47" s="971"/>
      <c r="ZE47" s="971"/>
      <c r="ZF47" s="971"/>
      <c r="ZG47" s="971"/>
      <c r="ZH47" s="971"/>
      <c r="ZI47" s="971"/>
      <c r="ZJ47" s="971"/>
      <c r="ZK47" s="971"/>
      <c r="ZL47" s="971"/>
      <c r="ZM47" s="971"/>
      <c r="ZN47" s="971"/>
      <c r="ZO47" s="971"/>
      <c r="ZP47" s="971"/>
      <c r="ZQ47" s="971"/>
      <c r="ZR47" s="971"/>
      <c r="ZS47" s="971"/>
      <c r="ZT47" s="971"/>
      <c r="ZU47" s="971"/>
      <c r="ZV47" s="971"/>
      <c r="ZW47" s="971"/>
      <c r="ZX47" s="971"/>
      <c r="ZY47" s="971"/>
      <c r="ZZ47" s="971"/>
      <c r="AAA47" s="971"/>
      <c r="AAB47" s="971"/>
      <c r="AAC47" s="971"/>
      <c r="AAD47" s="971"/>
      <c r="AAE47" s="971"/>
      <c r="AAF47" s="971"/>
      <c r="AAG47" s="971"/>
      <c r="AAH47" s="971"/>
      <c r="AAI47" s="971"/>
      <c r="AAJ47" s="971"/>
      <c r="AAK47" s="971"/>
      <c r="AAL47" s="971"/>
      <c r="AAM47" s="971"/>
      <c r="AAN47" s="971"/>
      <c r="AAO47" s="971"/>
      <c r="AAP47" s="971"/>
      <c r="AAQ47" s="971"/>
      <c r="AAR47" s="971"/>
      <c r="AAS47" s="971"/>
      <c r="AAT47" s="971"/>
      <c r="AAU47" s="971"/>
      <c r="AAV47" s="971"/>
      <c r="AAW47" s="971"/>
      <c r="AAX47" s="971"/>
      <c r="AAY47" s="971"/>
      <c r="AAZ47" s="971"/>
      <c r="ABA47" s="971"/>
      <c r="ABB47" s="971"/>
      <c r="ABC47" s="971"/>
      <c r="ABD47" s="971"/>
      <c r="ABE47" s="971"/>
      <c r="ABF47" s="971"/>
      <c r="ABG47" s="971"/>
      <c r="ABH47" s="971"/>
      <c r="ABI47" s="971"/>
      <c r="ABJ47" s="971"/>
      <c r="ABK47" s="971"/>
      <c r="ABL47" s="971"/>
      <c r="ABM47" s="971"/>
      <c r="ABN47" s="971"/>
      <c r="ABO47" s="971"/>
      <c r="ABP47" s="971"/>
      <c r="ABQ47" s="971"/>
      <c r="ABR47" s="971"/>
      <c r="ABS47" s="971"/>
      <c r="ABT47" s="971"/>
      <c r="ABU47" s="971"/>
      <c r="ABV47" s="971"/>
      <c r="ABW47" s="971"/>
      <c r="ABX47" s="971"/>
      <c r="ABY47" s="971"/>
      <c r="ABZ47" s="971"/>
      <c r="ACA47" s="971"/>
      <c r="ACB47" s="971"/>
      <c r="ACC47" s="971"/>
      <c r="ACD47" s="971"/>
      <c r="ACE47" s="971"/>
      <c r="ACF47" s="971"/>
      <c r="ACG47" s="971"/>
      <c r="ACH47" s="971"/>
      <c r="ACI47" s="971"/>
      <c r="ACJ47" s="971"/>
      <c r="ACK47" s="971"/>
      <c r="ACL47" s="971"/>
      <c r="ACM47" s="971"/>
      <c r="ACN47" s="971"/>
      <c r="ACO47" s="971"/>
      <c r="ACP47" s="971"/>
      <c r="ACQ47" s="971"/>
      <c r="ACR47" s="971"/>
      <c r="ACS47" s="971"/>
      <c r="ACT47" s="971"/>
      <c r="ACU47" s="971"/>
      <c r="ACV47" s="971"/>
      <c r="ACW47" s="971"/>
      <c r="ACX47" s="971"/>
      <c r="ACY47" s="971"/>
      <c r="ACZ47" s="971"/>
      <c r="ADA47" s="971"/>
      <c r="ADB47" s="971"/>
      <c r="ADC47" s="971"/>
      <c r="ADD47" s="971"/>
      <c r="ADE47" s="971"/>
      <c r="ADF47" s="971"/>
      <c r="ADG47" s="971"/>
      <c r="ADH47" s="971"/>
      <c r="ADI47" s="971"/>
      <c r="ADJ47" s="971"/>
      <c r="ADK47" s="971"/>
      <c r="ADL47" s="971"/>
      <c r="ADM47" s="971"/>
      <c r="ADN47" s="971"/>
      <c r="ADO47" s="971"/>
      <c r="ADP47" s="971"/>
      <c r="ADQ47" s="971"/>
      <c r="ADR47" s="971"/>
      <c r="ADS47" s="971"/>
      <c r="ADT47" s="971"/>
      <c r="ADU47" s="971"/>
      <c r="ADV47" s="971"/>
      <c r="ADW47" s="971"/>
      <c r="ADX47" s="971"/>
      <c r="ADY47" s="971"/>
      <c r="ADZ47" s="971"/>
      <c r="AEA47" s="971"/>
      <c r="AEB47" s="971"/>
      <c r="AEC47" s="971"/>
      <c r="AED47" s="971"/>
      <c r="AEE47" s="971"/>
      <c r="AEF47" s="971"/>
      <c r="AEG47" s="971"/>
      <c r="AEH47" s="971"/>
      <c r="AEI47" s="971"/>
      <c r="AEJ47" s="971"/>
      <c r="AEK47" s="971"/>
      <c r="AEL47" s="971"/>
      <c r="AEM47" s="971"/>
      <c r="AEN47" s="971"/>
      <c r="AEO47" s="971"/>
      <c r="AEP47" s="971"/>
      <c r="AEQ47" s="971"/>
      <c r="AER47" s="971"/>
      <c r="AES47" s="971"/>
      <c r="AET47" s="971"/>
      <c r="AEU47" s="971"/>
      <c r="AEV47" s="971"/>
      <c r="AEW47" s="971"/>
      <c r="AEX47" s="971"/>
      <c r="AEY47" s="971"/>
      <c r="AEZ47" s="971"/>
      <c r="AFA47" s="971"/>
      <c r="AFB47" s="971"/>
      <c r="AFC47" s="971"/>
      <c r="AFD47" s="971"/>
      <c r="AFE47" s="971"/>
      <c r="AFF47" s="971"/>
      <c r="AFG47" s="971"/>
      <c r="AFH47" s="971"/>
      <c r="AFI47" s="971"/>
      <c r="AFJ47" s="971"/>
      <c r="AFK47" s="971"/>
      <c r="AFL47" s="971"/>
      <c r="AFM47" s="971"/>
      <c r="AFN47" s="971"/>
      <c r="AFO47" s="971"/>
      <c r="AFP47" s="971"/>
      <c r="AFQ47" s="971"/>
      <c r="AFR47" s="971"/>
      <c r="AFS47" s="971"/>
      <c r="AFT47" s="971"/>
      <c r="AFU47" s="971"/>
      <c r="AFV47" s="971"/>
      <c r="AFW47" s="971"/>
      <c r="AFX47" s="971"/>
      <c r="AFY47" s="971"/>
      <c r="AFZ47" s="971"/>
      <c r="AGA47" s="971"/>
      <c r="AGB47" s="971"/>
      <c r="AGC47" s="971"/>
      <c r="AGD47" s="971"/>
      <c r="AGE47" s="971"/>
      <c r="AGF47" s="971"/>
      <c r="AGG47" s="971"/>
      <c r="AGH47" s="971"/>
      <c r="AGI47" s="971"/>
      <c r="AGJ47" s="971"/>
      <c r="AGK47" s="971"/>
      <c r="AGL47" s="971"/>
      <c r="AGM47" s="971"/>
      <c r="AGN47" s="971"/>
      <c r="AGO47" s="971"/>
      <c r="AGP47" s="971"/>
      <c r="AGQ47" s="971"/>
      <c r="AGR47" s="971"/>
      <c r="AGS47" s="971"/>
      <c r="AGT47" s="971"/>
      <c r="AGU47" s="971"/>
      <c r="AGV47" s="971"/>
      <c r="AGW47" s="971"/>
      <c r="AGX47" s="971"/>
      <c r="AGY47" s="971"/>
      <c r="AGZ47" s="971"/>
      <c r="AHA47" s="971"/>
      <c r="AHB47" s="971"/>
      <c r="AHC47" s="971"/>
      <c r="AHD47" s="971"/>
      <c r="AHE47" s="971"/>
      <c r="AHF47" s="971"/>
      <c r="AHG47" s="971"/>
      <c r="AHH47" s="971"/>
      <c r="AHI47" s="971"/>
      <c r="AHJ47" s="971"/>
      <c r="AHK47" s="971"/>
      <c r="AHL47" s="971"/>
      <c r="AHM47" s="971"/>
      <c r="AHN47" s="971"/>
      <c r="AHO47" s="971"/>
      <c r="AHP47" s="971"/>
      <c r="AHQ47" s="971"/>
      <c r="AHR47" s="971"/>
      <c r="AHS47" s="971"/>
      <c r="AHT47" s="971"/>
      <c r="AHU47" s="971"/>
      <c r="AHV47" s="971"/>
      <c r="AHW47" s="971"/>
      <c r="AHX47" s="971"/>
      <c r="AHY47" s="971"/>
      <c r="AHZ47" s="971"/>
      <c r="AIA47" s="971"/>
      <c r="AIB47" s="971"/>
      <c r="AIC47" s="971"/>
      <c r="AID47" s="971"/>
      <c r="AIE47" s="971"/>
      <c r="AIF47" s="971"/>
      <c r="AIG47" s="971"/>
      <c r="AIH47" s="971"/>
      <c r="AII47" s="971"/>
      <c r="AIJ47" s="971"/>
      <c r="AIK47" s="971"/>
      <c r="AIL47" s="971"/>
      <c r="AIM47" s="971"/>
      <c r="AIN47" s="971"/>
      <c r="AIO47" s="971"/>
      <c r="AIP47" s="971"/>
      <c r="AIQ47" s="971"/>
      <c r="AIR47" s="971"/>
      <c r="AIS47" s="971"/>
      <c r="AIT47" s="971"/>
      <c r="AIU47" s="971"/>
      <c r="AIV47" s="971"/>
      <c r="AIW47" s="971"/>
      <c r="AIX47" s="971"/>
      <c r="AIY47" s="971"/>
      <c r="AIZ47" s="971"/>
      <c r="AJA47" s="971"/>
      <c r="AJB47" s="971"/>
      <c r="AJC47" s="971"/>
      <c r="AJD47" s="971"/>
      <c r="AJE47" s="971"/>
      <c r="AJF47" s="971"/>
      <c r="AJG47" s="971"/>
      <c r="AJH47" s="971"/>
      <c r="AJI47" s="971"/>
      <c r="AJJ47" s="971"/>
      <c r="AJK47" s="971"/>
      <c r="AJL47" s="971"/>
      <c r="AJM47" s="971"/>
      <c r="AJN47" s="971"/>
      <c r="AJO47" s="971"/>
      <c r="AJP47" s="971"/>
      <c r="AJQ47" s="971"/>
      <c r="AJR47" s="971"/>
      <c r="AJS47" s="971"/>
      <c r="AJT47" s="971"/>
      <c r="AJU47" s="971"/>
      <c r="AJV47" s="971"/>
      <c r="AJW47" s="971"/>
      <c r="AJX47" s="971"/>
      <c r="AJY47" s="971"/>
      <c r="AJZ47" s="971"/>
      <c r="AKA47" s="971"/>
      <c r="AKB47" s="971"/>
      <c r="AKC47" s="971"/>
      <c r="AKD47" s="971"/>
      <c r="AKE47" s="971"/>
      <c r="AKF47" s="971"/>
      <c r="AKG47" s="971"/>
      <c r="AKH47" s="971"/>
      <c r="AKI47" s="971"/>
      <c r="AKJ47" s="971"/>
      <c r="AKK47" s="971"/>
      <c r="AKL47" s="971"/>
      <c r="AKM47" s="971"/>
      <c r="AKN47" s="971"/>
      <c r="AKO47" s="971"/>
      <c r="AKP47" s="971"/>
      <c r="AKQ47" s="971"/>
      <c r="AKR47" s="971"/>
      <c r="AKS47" s="971"/>
      <c r="AKT47" s="971"/>
      <c r="AKU47" s="971"/>
      <c r="AKV47" s="971"/>
      <c r="AKW47" s="971"/>
      <c r="AKX47" s="971"/>
      <c r="AKY47" s="971"/>
      <c r="AKZ47" s="971"/>
      <c r="ALA47" s="971"/>
      <c r="ALB47" s="971"/>
      <c r="ALC47" s="971"/>
      <c r="ALD47" s="971"/>
      <c r="ALE47" s="971"/>
      <c r="ALF47" s="971"/>
      <c r="ALG47" s="971"/>
      <c r="ALH47" s="971"/>
      <c r="ALI47" s="971"/>
      <c r="ALJ47" s="971"/>
      <c r="ALK47" s="971"/>
      <c r="ALL47" s="971"/>
      <c r="ALM47" s="971"/>
      <c r="ALN47" s="971"/>
      <c r="ALO47" s="971"/>
      <c r="ALP47" s="971"/>
      <c r="ALQ47" s="971"/>
      <c r="ALR47" s="971"/>
      <c r="ALS47" s="971"/>
      <c r="ALT47" s="971"/>
      <c r="ALU47" s="971"/>
      <c r="ALV47" s="971"/>
      <c r="ALW47" s="971"/>
      <c r="ALX47" s="971"/>
      <c r="ALY47" s="971"/>
      <c r="ALZ47" s="971"/>
      <c r="AMA47" s="971"/>
      <c r="AMB47" s="971"/>
      <c r="AMC47" s="971"/>
      <c r="AMD47" s="971"/>
      <c r="AME47" s="971"/>
      <c r="AMF47" s="971"/>
      <c r="AMG47" s="971"/>
      <c r="AMH47" s="971"/>
      <c r="AMI47" s="971"/>
      <c r="AMJ47" s="971"/>
      <c r="AMK47" s="971"/>
      <c r="AML47" s="971"/>
      <c r="AMM47" s="971"/>
      <c r="AMN47" s="971"/>
      <c r="AMO47" s="971"/>
      <c r="AMP47" s="971"/>
      <c r="AMQ47" s="971"/>
      <c r="AMR47" s="971"/>
      <c r="AMS47" s="971"/>
      <c r="AMT47" s="971"/>
      <c r="AMU47" s="971"/>
      <c r="AMV47" s="971"/>
      <c r="AMW47" s="971"/>
      <c r="AMX47" s="971"/>
      <c r="AMY47" s="971"/>
      <c r="AMZ47" s="971"/>
      <c r="ANA47" s="971"/>
      <c r="ANB47" s="971"/>
      <c r="ANC47" s="971"/>
      <c r="AND47" s="971"/>
      <c r="ANE47" s="971"/>
      <c r="ANF47" s="971"/>
      <c r="ANG47" s="971"/>
      <c r="ANH47" s="971"/>
      <c r="ANI47" s="971"/>
      <c r="ANJ47" s="971"/>
      <c r="ANK47" s="971"/>
      <c r="ANL47" s="971"/>
      <c r="ANM47" s="971"/>
      <c r="ANN47" s="971"/>
      <c r="ANO47" s="971"/>
      <c r="ANP47" s="971"/>
      <c r="ANQ47" s="971"/>
      <c r="ANR47" s="971"/>
      <c r="ANS47" s="971"/>
      <c r="ANT47" s="971"/>
      <c r="ANU47" s="971"/>
      <c r="ANV47" s="971"/>
      <c r="ANW47" s="971"/>
      <c r="ANX47" s="971"/>
      <c r="ANY47" s="971"/>
      <c r="ANZ47" s="971"/>
      <c r="AOA47" s="971"/>
      <c r="AOB47" s="971"/>
      <c r="AOC47" s="971"/>
      <c r="AOD47" s="971"/>
      <c r="AOE47" s="971"/>
      <c r="AOF47" s="971"/>
      <c r="AOG47" s="971"/>
      <c r="AOH47" s="971"/>
      <c r="AOI47" s="971"/>
      <c r="AOJ47" s="971"/>
      <c r="AOK47" s="971"/>
      <c r="AOL47" s="971"/>
      <c r="AOM47" s="971"/>
      <c r="AON47" s="971"/>
      <c r="AOO47" s="971"/>
      <c r="AOP47" s="971"/>
      <c r="AOQ47" s="971"/>
      <c r="AOR47" s="971"/>
      <c r="AOS47" s="971"/>
      <c r="AOT47" s="971"/>
      <c r="AOU47" s="971"/>
      <c r="AOV47" s="971"/>
      <c r="AOW47" s="971"/>
      <c r="AOX47" s="971"/>
      <c r="AOY47" s="971"/>
      <c r="AOZ47" s="971"/>
      <c r="APA47" s="971"/>
      <c r="APB47" s="971"/>
      <c r="APC47" s="971"/>
      <c r="APD47" s="971"/>
      <c r="APE47" s="971"/>
      <c r="APF47" s="971"/>
      <c r="APG47" s="971"/>
      <c r="APH47" s="971"/>
      <c r="API47" s="971"/>
      <c r="APJ47" s="971"/>
      <c r="APK47" s="971"/>
      <c r="APL47" s="971"/>
      <c r="APM47" s="971"/>
      <c r="APN47" s="971"/>
      <c r="APO47" s="971"/>
      <c r="APP47" s="971"/>
      <c r="APQ47" s="971"/>
      <c r="APR47" s="971"/>
      <c r="APS47" s="971"/>
      <c r="APT47" s="971"/>
      <c r="APU47" s="971"/>
      <c r="APV47" s="971"/>
      <c r="APW47" s="971"/>
      <c r="APX47" s="971"/>
      <c r="APY47" s="971"/>
      <c r="APZ47" s="971"/>
      <c r="AQA47" s="971"/>
      <c r="AQB47" s="971"/>
      <c r="AQC47" s="971"/>
      <c r="AQD47" s="971"/>
      <c r="AQE47" s="971"/>
      <c r="AQF47" s="971"/>
      <c r="AQG47" s="971"/>
      <c r="AQH47" s="971"/>
      <c r="AQI47" s="971"/>
      <c r="AQJ47" s="971"/>
      <c r="AQK47" s="971"/>
      <c r="AQL47" s="971"/>
      <c r="AQM47" s="971"/>
      <c r="AQN47" s="971"/>
      <c r="AQO47" s="971"/>
      <c r="AQP47" s="971"/>
      <c r="AQQ47" s="971"/>
      <c r="AQR47" s="971"/>
      <c r="AQS47" s="971"/>
      <c r="AQT47" s="971"/>
      <c r="AQU47" s="971"/>
      <c r="AQV47" s="971"/>
      <c r="AQW47" s="971"/>
      <c r="AQX47" s="971"/>
      <c r="AQY47" s="971"/>
      <c r="AQZ47" s="971"/>
      <c r="ARA47" s="971"/>
      <c r="ARB47" s="971"/>
      <c r="ARC47" s="971"/>
      <c r="ARD47" s="971"/>
      <c r="ARE47" s="971"/>
      <c r="ARF47" s="971"/>
      <c r="ARG47" s="971"/>
      <c r="ARH47" s="971"/>
      <c r="ARI47" s="971"/>
      <c r="ARJ47" s="971"/>
      <c r="ARK47" s="971"/>
      <c r="ARL47" s="971"/>
      <c r="ARM47" s="971"/>
      <c r="ARN47" s="971"/>
      <c r="ARO47" s="971"/>
      <c r="ARP47" s="971"/>
      <c r="ARQ47" s="971"/>
      <c r="ARR47" s="971"/>
      <c r="ARS47" s="971"/>
      <c r="ART47" s="971"/>
      <c r="ARU47" s="971"/>
      <c r="ARV47" s="971"/>
      <c r="ARW47" s="971"/>
      <c r="ARX47" s="971"/>
      <c r="ARY47" s="971"/>
      <c r="ARZ47" s="971"/>
      <c r="ASA47" s="971"/>
      <c r="ASB47" s="971"/>
      <c r="ASC47" s="971"/>
      <c r="ASD47" s="971"/>
      <c r="ASE47" s="971"/>
      <c r="ASF47" s="971"/>
      <c r="ASG47" s="971"/>
      <c r="ASH47" s="971"/>
      <c r="ASI47" s="971"/>
      <c r="ASJ47" s="971"/>
      <c r="ASK47" s="971"/>
      <c r="ASL47" s="971"/>
      <c r="ASM47" s="971"/>
      <c r="ASN47" s="971"/>
      <c r="ASO47" s="971"/>
      <c r="ASP47" s="971"/>
      <c r="ASQ47" s="971"/>
      <c r="ASR47" s="971"/>
      <c r="ASS47" s="971"/>
      <c r="AST47" s="971"/>
      <c r="ASU47" s="971"/>
      <c r="ASV47" s="971"/>
      <c r="ASW47" s="971"/>
      <c r="ASX47" s="971"/>
      <c r="ASY47" s="971"/>
      <c r="ASZ47" s="971"/>
      <c r="ATA47" s="971"/>
      <c r="ATB47" s="971"/>
      <c r="ATC47" s="971"/>
      <c r="ATD47" s="971"/>
      <c r="ATE47" s="971"/>
      <c r="ATF47" s="971"/>
      <c r="ATG47" s="971"/>
      <c r="ATH47" s="971"/>
      <c r="ATI47" s="971"/>
      <c r="ATJ47" s="971"/>
      <c r="ATK47" s="971"/>
      <c r="ATL47" s="971"/>
      <c r="ATM47" s="971"/>
      <c r="ATN47" s="971"/>
      <c r="ATO47" s="971"/>
      <c r="ATP47" s="971"/>
      <c r="ATQ47" s="971"/>
      <c r="ATR47" s="971"/>
      <c r="ATS47" s="971"/>
      <c r="ATT47" s="971"/>
      <c r="ATU47" s="971"/>
      <c r="ATV47" s="971"/>
      <c r="ATW47" s="971"/>
      <c r="ATX47" s="971"/>
      <c r="ATY47" s="971"/>
      <c r="ATZ47" s="971"/>
      <c r="AUA47" s="971"/>
      <c r="AUB47" s="971"/>
      <c r="AUC47" s="971"/>
      <c r="AUD47" s="971"/>
      <c r="AUE47" s="971"/>
      <c r="AUF47" s="971"/>
      <c r="AUG47" s="971"/>
      <c r="AUH47" s="971"/>
      <c r="AUI47" s="971"/>
      <c r="AUJ47" s="971"/>
      <c r="AUK47" s="971"/>
      <c r="AUL47" s="971"/>
      <c r="AUM47" s="971"/>
      <c r="AUN47" s="971"/>
      <c r="AUO47" s="971"/>
      <c r="AUP47" s="971"/>
      <c r="AUQ47" s="971"/>
      <c r="AUR47" s="971"/>
      <c r="AUS47" s="971"/>
      <c r="AUT47" s="971"/>
      <c r="AUU47" s="971"/>
      <c r="AUV47" s="971"/>
      <c r="AUW47" s="971"/>
      <c r="AUX47" s="971"/>
      <c r="AUY47" s="971"/>
      <c r="AUZ47" s="971"/>
      <c r="AVA47" s="971"/>
      <c r="AVB47" s="971"/>
      <c r="AVC47" s="971"/>
      <c r="AVD47" s="971"/>
      <c r="AVE47" s="971"/>
      <c r="AVF47" s="971"/>
      <c r="AVG47" s="971"/>
      <c r="AVH47" s="971"/>
      <c r="AVI47" s="971"/>
      <c r="AVJ47" s="971"/>
      <c r="AVK47" s="971"/>
      <c r="AVL47" s="971"/>
      <c r="AVM47" s="971"/>
      <c r="AVN47" s="971"/>
      <c r="AVO47" s="971"/>
      <c r="AVP47" s="971"/>
      <c r="AVQ47" s="971"/>
      <c r="AVR47" s="971"/>
      <c r="AVS47" s="971"/>
      <c r="AVT47" s="971"/>
      <c r="AVU47" s="971"/>
      <c r="AVV47" s="971"/>
      <c r="AVW47" s="971"/>
      <c r="AVX47" s="971"/>
      <c r="AVY47" s="971"/>
      <c r="AVZ47" s="971"/>
      <c r="AWA47" s="971"/>
      <c r="AWB47" s="971"/>
      <c r="AWC47" s="971"/>
      <c r="AWD47" s="971"/>
      <c r="AWE47" s="971"/>
      <c r="AWF47" s="971"/>
      <c r="AWG47" s="971"/>
      <c r="AWH47" s="971"/>
      <c r="AWI47" s="971"/>
      <c r="AWJ47" s="971"/>
      <c r="AWK47" s="971"/>
      <c r="AWL47" s="971"/>
      <c r="AWM47" s="971"/>
      <c r="AWN47" s="971"/>
      <c r="AWO47" s="971"/>
      <c r="AWP47" s="971"/>
      <c r="AWQ47" s="971"/>
      <c r="AWR47" s="971"/>
      <c r="AWS47" s="971"/>
      <c r="AWT47" s="971"/>
      <c r="AWU47" s="971"/>
      <c r="AWV47" s="971"/>
      <c r="AWW47" s="971"/>
      <c r="AWX47" s="971"/>
      <c r="AWY47" s="971"/>
      <c r="AWZ47" s="971"/>
      <c r="AXA47" s="971"/>
      <c r="AXB47" s="971"/>
      <c r="AXC47" s="971"/>
      <c r="AXD47" s="971"/>
      <c r="AXE47" s="971"/>
      <c r="AXF47" s="971"/>
      <c r="AXG47" s="971"/>
      <c r="AXH47" s="971"/>
      <c r="AXI47" s="971"/>
      <c r="AXJ47" s="971"/>
      <c r="AXK47" s="971"/>
      <c r="AXL47" s="971"/>
      <c r="AXM47" s="971"/>
      <c r="AXN47" s="971"/>
      <c r="AXO47" s="971"/>
      <c r="AXP47" s="971"/>
      <c r="AXQ47" s="971"/>
      <c r="AXR47" s="971"/>
      <c r="AXS47" s="971"/>
      <c r="AXT47" s="971"/>
      <c r="AXU47" s="971"/>
      <c r="AXV47" s="971"/>
      <c r="AXW47" s="971"/>
      <c r="AXX47" s="971"/>
      <c r="AXY47" s="971"/>
      <c r="AXZ47" s="971"/>
      <c r="AYA47" s="971"/>
      <c r="AYB47" s="971"/>
      <c r="AYC47" s="971"/>
      <c r="AYD47" s="971"/>
      <c r="AYE47" s="971"/>
      <c r="AYF47" s="971"/>
      <c r="AYG47" s="971"/>
      <c r="AYH47" s="971"/>
      <c r="AYI47" s="971"/>
      <c r="AYJ47" s="971"/>
      <c r="AYK47" s="971"/>
      <c r="AYL47" s="971"/>
      <c r="AYM47" s="971"/>
      <c r="AYN47" s="971"/>
      <c r="AYO47" s="971"/>
      <c r="AYP47" s="971"/>
      <c r="AYQ47" s="971"/>
      <c r="AYR47" s="971"/>
      <c r="AYS47" s="971"/>
      <c r="AYT47" s="971"/>
      <c r="AYU47" s="971"/>
      <c r="AYV47" s="971"/>
      <c r="AYW47" s="971"/>
      <c r="AYX47" s="971"/>
      <c r="AYY47" s="971"/>
      <c r="AYZ47" s="971"/>
      <c r="AZA47" s="971"/>
      <c r="AZB47" s="971"/>
      <c r="AZC47" s="971"/>
      <c r="AZD47" s="971"/>
      <c r="AZE47" s="971"/>
      <c r="AZF47" s="971"/>
      <c r="AZG47" s="971"/>
      <c r="AZH47" s="971"/>
      <c r="AZI47" s="971"/>
      <c r="AZJ47" s="971"/>
      <c r="AZK47" s="971"/>
      <c r="AZL47" s="971"/>
      <c r="AZM47" s="971"/>
      <c r="AZN47" s="971"/>
      <c r="AZO47" s="971"/>
      <c r="AZP47" s="971"/>
      <c r="AZQ47" s="971"/>
      <c r="AZR47" s="971"/>
      <c r="AZS47" s="971"/>
      <c r="AZT47" s="971"/>
      <c r="AZU47" s="971"/>
      <c r="AZV47" s="971"/>
      <c r="AZW47" s="971"/>
      <c r="AZX47" s="971"/>
      <c r="AZY47" s="971"/>
      <c r="AZZ47" s="971"/>
      <c r="BAA47" s="971"/>
      <c r="BAB47" s="971"/>
      <c r="BAC47" s="971"/>
      <c r="BAD47" s="971"/>
      <c r="BAE47" s="971"/>
      <c r="BAF47" s="971"/>
      <c r="BAG47" s="971"/>
      <c r="BAH47" s="971"/>
      <c r="BAI47" s="971"/>
      <c r="BAJ47" s="971"/>
      <c r="BAK47" s="971"/>
      <c r="BAL47" s="971"/>
      <c r="BAM47" s="971"/>
      <c r="BAN47" s="971"/>
      <c r="BAO47" s="971"/>
      <c r="BAP47" s="971"/>
      <c r="BAQ47" s="971"/>
      <c r="BAR47" s="971"/>
      <c r="BAS47" s="971"/>
      <c r="BAT47" s="971"/>
      <c r="BAU47" s="971"/>
      <c r="BAV47" s="971"/>
      <c r="BAW47" s="971"/>
      <c r="BAX47" s="971"/>
      <c r="BAY47" s="971"/>
      <c r="BAZ47" s="971"/>
      <c r="BBA47" s="971"/>
      <c r="BBB47" s="971"/>
      <c r="BBC47" s="971"/>
      <c r="BBD47" s="971"/>
      <c r="BBE47" s="971"/>
      <c r="BBF47" s="971"/>
      <c r="BBG47" s="971"/>
      <c r="BBH47" s="971"/>
      <c r="BBI47" s="971"/>
      <c r="BBJ47" s="971"/>
      <c r="BBK47" s="971"/>
      <c r="BBL47" s="971"/>
      <c r="BBM47" s="971"/>
      <c r="BBN47" s="971"/>
      <c r="BBO47" s="971"/>
      <c r="BBP47" s="971"/>
      <c r="BBQ47" s="971"/>
      <c r="BBR47" s="971"/>
      <c r="BBS47" s="971"/>
      <c r="BBT47" s="971"/>
      <c r="BBU47" s="971"/>
      <c r="BBV47" s="971"/>
      <c r="BBW47" s="971"/>
      <c r="BBX47" s="971"/>
      <c r="BBY47" s="971"/>
      <c r="BBZ47" s="971"/>
      <c r="BCA47" s="971"/>
      <c r="BCB47" s="971"/>
      <c r="BCC47" s="971"/>
      <c r="BCD47" s="971"/>
      <c r="BCE47" s="971"/>
      <c r="BCF47" s="971"/>
      <c r="BCG47" s="971"/>
      <c r="BCH47" s="971"/>
      <c r="BCI47" s="971"/>
      <c r="BCJ47" s="971"/>
      <c r="BCK47" s="971"/>
      <c r="BCL47" s="971"/>
      <c r="BCM47" s="971"/>
      <c r="BCN47" s="971"/>
      <c r="BCO47" s="971"/>
      <c r="BCP47" s="971"/>
      <c r="BCQ47" s="971"/>
      <c r="BCR47" s="971"/>
      <c r="BCS47" s="971"/>
      <c r="BCT47" s="971"/>
      <c r="BCU47" s="971"/>
      <c r="BCV47" s="971"/>
      <c r="BCW47" s="971"/>
      <c r="BCX47" s="971"/>
      <c r="BCY47" s="971"/>
      <c r="BCZ47" s="971"/>
      <c r="BDA47" s="971"/>
      <c r="BDB47" s="971"/>
      <c r="BDC47" s="971"/>
      <c r="BDD47" s="971"/>
      <c r="BDE47" s="971"/>
      <c r="BDF47" s="971"/>
      <c r="BDG47" s="971"/>
      <c r="BDH47" s="971"/>
      <c r="BDI47" s="971"/>
      <c r="BDJ47" s="971"/>
      <c r="BDK47" s="971"/>
      <c r="BDL47" s="971"/>
      <c r="BDM47" s="971"/>
      <c r="BDN47" s="971"/>
      <c r="BDO47" s="971"/>
      <c r="BDP47" s="971"/>
      <c r="BDQ47" s="971"/>
      <c r="BDR47" s="971"/>
      <c r="BDS47" s="971"/>
      <c r="BDT47" s="971"/>
      <c r="BDU47" s="971"/>
      <c r="BDV47" s="971"/>
      <c r="BDW47" s="971"/>
      <c r="BDX47" s="971"/>
      <c r="BDY47" s="971"/>
      <c r="BDZ47" s="971"/>
      <c r="BEA47" s="971"/>
      <c r="BEB47" s="971"/>
      <c r="BEC47" s="971"/>
      <c r="BED47" s="971"/>
      <c r="BEE47" s="971"/>
      <c r="BEF47" s="971"/>
      <c r="BEG47" s="971"/>
      <c r="BEH47" s="971"/>
      <c r="BEI47" s="971"/>
      <c r="BEJ47" s="971"/>
      <c r="BEK47" s="971"/>
      <c r="BEL47" s="971"/>
      <c r="BEM47" s="971"/>
      <c r="BEN47" s="971"/>
      <c r="BEO47" s="971"/>
      <c r="BEP47" s="971"/>
      <c r="BEQ47" s="971"/>
      <c r="BER47" s="971"/>
      <c r="BES47" s="971"/>
      <c r="BET47" s="971"/>
      <c r="BEU47" s="971"/>
      <c r="BEV47" s="971"/>
      <c r="BEW47" s="971"/>
      <c r="BEX47" s="971"/>
      <c r="BEY47" s="971"/>
      <c r="BEZ47" s="971"/>
      <c r="BFA47" s="971"/>
      <c r="BFB47" s="971"/>
      <c r="BFC47" s="971"/>
      <c r="BFD47" s="971"/>
      <c r="BFE47" s="971"/>
      <c r="BFF47" s="971"/>
      <c r="BFG47" s="971"/>
      <c r="BFH47" s="971"/>
      <c r="BFI47" s="971"/>
      <c r="BFJ47" s="971"/>
      <c r="BFK47" s="971"/>
      <c r="BFL47" s="971"/>
      <c r="BFM47" s="971"/>
      <c r="BFN47" s="971"/>
      <c r="BFO47" s="971"/>
      <c r="BFP47" s="971"/>
      <c r="BFQ47" s="971"/>
      <c r="BFR47" s="971"/>
      <c r="BFS47" s="971"/>
      <c r="BFT47" s="971"/>
      <c r="BFU47" s="971"/>
      <c r="BFV47" s="971"/>
      <c r="BFW47" s="971"/>
      <c r="BFX47" s="971"/>
      <c r="BFY47" s="971"/>
      <c r="BFZ47" s="971"/>
      <c r="BGA47" s="971"/>
      <c r="BGB47" s="971"/>
      <c r="BGC47" s="971"/>
      <c r="BGD47" s="971"/>
      <c r="BGE47" s="971"/>
      <c r="BGF47" s="971"/>
      <c r="BGG47" s="971"/>
      <c r="BGH47" s="971"/>
      <c r="BGI47" s="971"/>
      <c r="BGJ47" s="971"/>
      <c r="BGK47" s="971"/>
      <c r="BGL47" s="971"/>
      <c r="BGM47" s="971"/>
      <c r="BGN47" s="971"/>
      <c r="BGO47" s="971"/>
      <c r="BGP47" s="971"/>
      <c r="BGQ47" s="971"/>
      <c r="BGR47" s="971"/>
      <c r="BGS47" s="971"/>
      <c r="BGT47" s="971"/>
      <c r="BGU47" s="971"/>
      <c r="BGV47" s="971"/>
      <c r="BGW47" s="971"/>
      <c r="BGX47" s="971"/>
      <c r="BGY47" s="971"/>
      <c r="BGZ47" s="971"/>
      <c r="BHA47" s="971"/>
      <c r="BHB47" s="971"/>
      <c r="BHC47" s="971"/>
      <c r="BHD47" s="971"/>
      <c r="BHE47" s="971"/>
      <c r="BHF47" s="971"/>
      <c r="BHG47" s="971"/>
      <c r="BHH47" s="971"/>
      <c r="BHI47" s="971"/>
      <c r="BHJ47" s="971"/>
      <c r="BHK47" s="971"/>
      <c r="BHL47" s="971"/>
      <c r="BHM47" s="971"/>
      <c r="BHN47" s="971"/>
      <c r="BHO47" s="971"/>
      <c r="BHP47" s="971"/>
      <c r="BHQ47" s="971"/>
      <c r="BHR47" s="971"/>
      <c r="BHS47" s="971"/>
      <c r="BHT47" s="971"/>
      <c r="BHU47" s="971"/>
      <c r="BHV47" s="971"/>
      <c r="BHW47" s="971"/>
      <c r="BHX47" s="971"/>
      <c r="BHY47" s="971"/>
      <c r="BHZ47" s="971"/>
      <c r="BIA47" s="971"/>
      <c r="BIB47" s="971"/>
      <c r="BIC47" s="971"/>
      <c r="BID47" s="971"/>
      <c r="BIE47" s="971"/>
      <c r="BIF47" s="971"/>
      <c r="BIG47" s="971"/>
      <c r="BIH47" s="971"/>
      <c r="BII47" s="971"/>
      <c r="BIJ47" s="971"/>
      <c r="BIK47" s="971"/>
      <c r="BIL47" s="971"/>
      <c r="BIM47" s="971"/>
      <c r="BIN47" s="971"/>
      <c r="BIO47" s="971"/>
      <c r="BIP47" s="971"/>
      <c r="BIQ47" s="971"/>
      <c r="BIR47" s="971"/>
      <c r="BIS47" s="971"/>
      <c r="BIT47" s="971"/>
      <c r="BIU47" s="971"/>
      <c r="BIV47" s="971"/>
      <c r="BIW47" s="971"/>
      <c r="BIX47" s="971"/>
      <c r="BIY47" s="971"/>
      <c r="BIZ47" s="971"/>
      <c r="BJA47" s="971"/>
      <c r="BJB47" s="971"/>
      <c r="BJC47" s="971"/>
      <c r="BJD47" s="971"/>
      <c r="BJE47" s="971"/>
      <c r="BJF47" s="971"/>
      <c r="BJG47" s="971"/>
      <c r="BJH47" s="971"/>
      <c r="BJI47" s="971"/>
      <c r="BJJ47" s="971"/>
      <c r="BJK47" s="971"/>
      <c r="BJL47" s="971"/>
      <c r="BJM47" s="971"/>
      <c r="BJN47" s="971"/>
      <c r="BJO47" s="971"/>
      <c r="BJP47" s="971"/>
      <c r="BJQ47" s="971"/>
      <c r="BJR47" s="971"/>
      <c r="BJS47" s="971"/>
      <c r="BJT47" s="971"/>
      <c r="BJU47" s="971"/>
      <c r="BJV47" s="971"/>
      <c r="BJW47" s="971"/>
      <c r="BJX47" s="971"/>
      <c r="BJY47" s="971"/>
      <c r="BJZ47" s="971"/>
      <c r="BKA47" s="971"/>
      <c r="BKB47" s="971"/>
      <c r="BKC47" s="971"/>
      <c r="BKD47" s="971"/>
      <c r="BKE47" s="971"/>
      <c r="BKF47" s="971"/>
      <c r="BKG47" s="971"/>
      <c r="BKH47" s="971"/>
      <c r="BKI47" s="971"/>
      <c r="BKJ47" s="971"/>
      <c r="BKK47" s="971"/>
      <c r="BKL47" s="971"/>
      <c r="BKM47" s="971"/>
      <c r="BKN47" s="971"/>
      <c r="BKO47" s="971"/>
      <c r="BKP47" s="971"/>
      <c r="BKQ47" s="971"/>
      <c r="BKR47" s="971"/>
      <c r="BKS47" s="971"/>
      <c r="BKT47" s="971"/>
      <c r="BKU47" s="971"/>
      <c r="BKV47" s="971"/>
      <c r="BKW47" s="971"/>
      <c r="BKX47" s="971"/>
      <c r="BKY47" s="971"/>
      <c r="BKZ47" s="971"/>
      <c r="BLA47" s="971"/>
      <c r="BLB47" s="971"/>
      <c r="BLC47" s="971"/>
      <c r="BLD47" s="971"/>
      <c r="BLE47" s="971"/>
      <c r="BLF47" s="971"/>
      <c r="BLG47" s="971"/>
      <c r="BLH47" s="971"/>
      <c r="BLI47" s="971"/>
      <c r="BLJ47" s="971"/>
      <c r="BLK47" s="971"/>
      <c r="BLL47" s="971"/>
      <c r="BLM47" s="971"/>
      <c r="BLN47" s="971"/>
      <c r="BLO47" s="971"/>
      <c r="BLP47" s="971"/>
      <c r="BLQ47" s="971"/>
      <c r="BLR47" s="971"/>
      <c r="BLS47" s="971"/>
      <c r="BLT47" s="971"/>
      <c r="BLU47" s="971"/>
      <c r="BLV47" s="971"/>
      <c r="BLW47" s="971"/>
      <c r="BLX47" s="971"/>
      <c r="BLY47" s="971"/>
      <c r="BLZ47" s="971"/>
      <c r="BMA47" s="971"/>
      <c r="BMB47" s="971"/>
      <c r="BMC47" s="971"/>
      <c r="BMD47" s="971"/>
      <c r="BME47" s="971"/>
      <c r="BMF47" s="971"/>
      <c r="BMG47" s="971"/>
      <c r="BMH47" s="971"/>
      <c r="BMI47" s="971"/>
      <c r="BMJ47" s="971"/>
      <c r="BMK47" s="971"/>
      <c r="BML47" s="971"/>
      <c r="BMM47" s="971"/>
      <c r="BMN47" s="971"/>
      <c r="BMO47" s="971"/>
      <c r="BMP47" s="971"/>
      <c r="BMQ47" s="971"/>
      <c r="BMR47" s="971"/>
      <c r="BMS47" s="971"/>
      <c r="BMT47" s="971"/>
      <c r="BMU47" s="971"/>
      <c r="BMV47" s="971"/>
      <c r="BMW47" s="971"/>
      <c r="BMX47" s="971"/>
      <c r="BMY47" s="971"/>
      <c r="BMZ47" s="971"/>
      <c r="BNA47" s="971"/>
      <c r="BNB47" s="971"/>
      <c r="BNC47" s="971"/>
      <c r="BND47" s="971"/>
      <c r="BNE47" s="971"/>
      <c r="BNF47" s="971"/>
      <c r="BNG47" s="971"/>
      <c r="BNH47" s="971"/>
      <c r="BNI47" s="971"/>
      <c r="BNJ47" s="971"/>
      <c r="BNK47" s="971"/>
      <c r="BNL47" s="971"/>
      <c r="BNM47" s="971"/>
      <c r="BNN47" s="971"/>
      <c r="BNO47" s="971"/>
      <c r="BNP47" s="971"/>
      <c r="BNQ47" s="971"/>
      <c r="BNR47" s="971"/>
      <c r="BNS47" s="971"/>
      <c r="BNT47" s="971"/>
      <c r="BNU47" s="971"/>
      <c r="BNV47" s="971"/>
      <c r="BNW47" s="971"/>
      <c r="BNX47" s="971"/>
      <c r="BNY47" s="971"/>
      <c r="BNZ47" s="971"/>
      <c r="BOA47" s="971"/>
      <c r="BOB47" s="971"/>
      <c r="BOC47" s="971"/>
      <c r="BOD47" s="971"/>
      <c r="BOE47" s="971"/>
      <c r="BOF47" s="971"/>
      <c r="BOG47" s="971"/>
      <c r="BOH47" s="971"/>
      <c r="BOI47" s="971"/>
      <c r="BOJ47" s="971"/>
      <c r="BOK47" s="971"/>
      <c r="BOL47" s="971"/>
      <c r="BOM47" s="971"/>
      <c r="BON47" s="971"/>
      <c r="BOO47" s="971"/>
      <c r="BOP47" s="971"/>
      <c r="BOQ47" s="971"/>
      <c r="BOR47" s="971"/>
      <c r="BOS47" s="971"/>
      <c r="BOT47" s="971"/>
      <c r="BOU47" s="971"/>
      <c r="BOV47" s="971"/>
      <c r="BOW47" s="971"/>
      <c r="BOX47" s="971"/>
      <c r="BOY47" s="971"/>
      <c r="BOZ47" s="971"/>
      <c r="BPA47" s="971"/>
      <c r="BPB47" s="971"/>
      <c r="BPC47" s="971"/>
      <c r="BPD47" s="971"/>
      <c r="BPE47" s="971"/>
      <c r="BPF47" s="971"/>
      <c r="BPG47" s="971"/>
      <c r="BPH47" s="971"/>
      <c r="BPI47" s="971"/>
      <c r="BPJ47" s="971"/>
      <c r="BPK47" s="971"/>
      <c r="BPL47" s="971"/>
      <c r="BPM47" s="971"/>
      <c r="BPN47" s="971"/>
      <c r="BPO47" s="971"/>
      <c r="BPP47" s="971"/>
      <c r="BPQ47" s="971"/>
      <c r="BPR47" s="971"/>
      <c r="BPS47" s="971"/>
      <c r="BPT47" s="971"/>
      <c r="BPU47" s="971"/>
      <c r="BPV47" s="971"/>
      <c r="BPW47" s="971"/>
      <c r="BPX47" s="971"/>
      <c r="BPY47" s="971"/>
      <c r="BPZ47" s="971"/>
      <c r="BQA47" s="971"/>
      <c r="BQB47" s="971"/>
      <c r="BQC47" s="971"/>
      <c r="BQD47" s="971"/>
      <c r="BQE47" s="971"/>
      <c r="BQF47" s="971"/>
      <c r="BQG47" s="971"/>
      <c r="BQH47" s="971"/>
      <c r="BQI47" s="971"/>
      <c r="BQJ47" s="971"/>
      <c r="BQK47" s="971"/>
      <c r="BQL47" s="971"/>
      <c r="BQM47" s="971"/>
      <c r="BQN47" s="971"/>
      <c r="BQO47" s="971"/>
      <c r="BQP47" s="971"/>
      <c r="BQQ47" s="971"/>
      <c r="BQR47" s="971"/>
      <c r="BQS47" s="971"/>
      <c r="BQT47" s="971"/>
      <c r="BQU47" s="971"/>
      <c r="BQV47" s="971"/>
      <c r="BQW47" s="971"/>
      <c r="BQX47" s="971"/>
      <c r="BQY47" s="971"/>
      <c r="BQZ47" s="971"/>
      <c r="BRA47" s="971"/>
      <c r="BRB47" s="971"/>
      <c r="BRC47" s="971"/>
      <c r="BRD47" s="971"/>
      <c r="BRE47" s="971"/>
      <c r="BRF47" s="971"/>
      <c r="BRG47" s="971"/>
      <c r="BRH47" s="971"/>
      <c r="BRI47" s="971"/>
      <c r="BRJ47" s="971"/>
      <c r="BRK47" s="971"/>
      <c r="BRL47" s="971"/>
      <c r="BRM47" s="971"/>
      <c r="BRN47" s="971"/>
      <c r="BRO47" s="971"/>
      <c r="BRP47" s="971"/>
      <c r="BRQ47" s="971"/>
      <c r="BRR47" s="971"/>
      <c r="BRS47" s="971"/>
      <c r="BRT47" s="971"/>
      <c r="BRU47" s="971"/>
      <c r="BRV47" s="971"/>
      <c r="BRW47" s="971"/>
      <c r="BRX47" s="971"/>
      <c r="BRY47" s="971"/>
      <c r="BRZ47" s="971"/>
      <c r="BSA47" s="971"/>
      <c r="BSB47" s="971"/>
      <c r="BSC47" s="971"/>
      <c r="BSD47" s="971"/>
      <c r="BSE47" s="971"/>
      <c r="BSF47" s="971"/>
      <c r="BSG47" s="971"/>
      <c r="BSH47" s="971"/>
      <c r="BSI47" s="971"/>
      <c r="BSJ47" s="971"/>
      <c r="BSK47" s="971"/>
      <c r="BSL47" s="971"/>
      <c r="BSM47" s="971"/>
      <c r="BSN47" s="971"/>
      <c r="BSO47" s="971"/>
      <c r="BSP47" s="971"/>
      <c r="BSQ47" s="971"/>
      <c r="BSR47" s="971"/>
      <c r="BSS47" s="971"/>
      <c r="BST47" s="971"/>
      <c r="BSU47" s="971"/>
      <c r="BSV47" s="971"/>
      <c r="BSW47" s="971"/>
      <c r="BSX47" s="971"/>
      <c r="BSY47" s="971"/>
      <c r="BSZ47" s="971"/>
      <c r="BTA47" s="971"/>
      <c r="BTB47" s="971"/>
      <c r="BTC47" s="971"/>
      <c r="BTD47" s="971"/>
      <c r="BTE47" s="971"/>
      <c r="BTF47" s="971"/>
      <c r="BTG47" s="971"/>
      <c r="BTH47" s="971"/>
      <c r="BTI47" s="971"/>
      <c r="BTJ47" s="971"/>
      <c r="BTK47" s="971"/>
      <c r="BTL47" s="971"/>
      <c r="BTM47" s="971"/>
      <c r="BTN47" s="971"/>
      <c r="BTO47" s="971"/>
      <c r="BTP47" s="971"/>
      <c r="BTQ47" s="971"/>
      <c r="BTR47" s="971"/>
      <c r="BTS47" s="971"/>
      <c r="BTT47" s="971"/>
      <c r="BTU47" s="971"/>
      <c r="BTV47" s="971"/>
      <c r="BTW47" s="971"/>
      <c r="BTX47" s="971"/>
      <c r="BTY47" s="971"/>
      <c r="BTZ47" s="971"/>
      <c r="BUA47" s="971"/>
      <c r="BUB47" s="971"/>
      <c r="BUC47" s="971"/>
      <c r="BUD47" s="971"/>
      <c r="BUE47" s="971"/>
      <c r="BUF47" s="971"/>
      <c r="BUG47" s="971"/>
      <c r="BUH47" s="971"/>
      <c r="BUI47" s="971"/>
      <c r="BUJ47" s="971"/>
      <c r="BUK47" s="971"/>
      <c r="BUL47" s="971"/>
      <c r="BUM47" s="971"/>
      <c r="BUN47" s="971"/>
      <c r="BUO47" s="971"/>
      <c r="BUP47" s="971"/>
      <c r="BUQ47" s="971"/>
      <c r="BUR47" s="971"/>
      <c r="BUS47" s="971"/>
      <c r="BUT47" s="971"/>
      <c r="BUU47" s="971"/>
      <c r="BUV47" s="971"/>
      <c r="BUW47" s="971"/>
      <c r="BUX47" s="971"/>
      <c r="BUY47" s="971"/>
      <c r="BUZ47" s="971"/>
      <c r="BVA47" s="971"/>
      <c r="BVB47" s="971"/>
      <c r="BVC47" s="971"/>
      <c r="BVD47" s="971"/>
      <c r="BVE47" s="971"/>
      <c r="BVF47" s="971"/>
      <c r="BVG47" s="971"/>
      <c r="BVH47" s="971"/>
      <c r="BVI47" s="971"/>
      <c r="BVJ47" s="971"/>
      <c r="BVK47" s="971"/>
      <c r="BVL47" s="971"/>
      <c r="BVM47" s="971"/>
      <c r="BVN47" s="971"/>
      <c r="BVO47" s="971"/>
      <c r="BVP47" s="971"/>
      <c r="BVQ47" s="971"/>
      <c r="BVR47" s="971"/>
      <c r="BVS47" s="971"/>
      <c r="BVT47" s="971"/>
      <c r="BVU47" s="971"/>
      <c r="BVV47" s="971"/>
      <c r="BVW47" s="971"/>
      <c r="BVX47" s="971"/>
      <c r="BVY47" s="971"/>
      <c r="BVZ47" s="971"/>
      <c r="BWA47" s="971"/>
      <c r="BWB47" s="971"/>
      <c r="BWC47" s="971"/>
      <c r="BWD47" s="971"/>
      <c r="BWE47" s="971"/>
      <c r="BWF47" s="971"/>
      <c r="BWG47" s="971"/>
      <c r="BWH47" s="971"/>
      <c r="BWI47" s="971"/>
      <c r="BWJ47" s="971"/>
      <c r="BWK47" s="971"/>
      <c r="BWL47" s="971"/>
      <c r="BWM47" s="971"/>
      <c r="BWN47" s="971"/>
      <c r="BWO47" s="971"/>
      <c r="BWP47" s="971"/>
      <c r="BWQ47" s="971"/>
      <c r="BWR47" s="971"/>
      <c r="BWS47" s="971"/>
      <c r="BWT47" s="971"/>
      <c r="BWU47" s="971"/>
      <c r="BWV47" s="971"/>
      <c r="BWW47" s="971"/>
      <c r="BWX47" s="971"/>
      <c r="BWY47" s="971"/>
      <c r="BWZ47" s="971"/>
      <c r="BXA47" s="971"/>
      <c r="BXB47" s="971"/>
      <c r="BXC47" s="971"/>
      <c r="BXD47" s="971"/>
      <c r="BXE47" s="971"/>
      <c r="BXF47" s="971"/>
      <c r="BXG47" s="971"/>
      <c r="BXH47" s="971"/>
      <c r="BXI47" s="971"/>
      <c r="BXJ47" s="971"/>
      <c r="BXK47" s="971"/>
      <c r="BXL47" s="971"/>
      <c r="BXM47" s="971"/>
      <c r="BXN47" s="971"/>
      <c r="BXO47" s="971"/>
      <c r="BXP47" s="971"/>
      <c r="BXQ47" s="971"/>
      <c r="BXR47" s="971"/>
      <c r="BXS47" s="971"/>
      <c r="BXT47" s="971"/>
      <c r="BXU47" s="971"/>
      <c r="BXV47" s="971"/>
      <c r="BXW47" s="971"/>
      <c r="BXX47" s="971"/>
      <c r="BXY47" s="971"/>
      <c r="BXZ47" s="971"/>
      <c r="BYA47" s="971"/>
      <c r="BYB47" s="971"/>
      <c r="BYC47" s="971"/>
      <c r="BYD47" s="971"/>
      <c r="BYE47" s="971"/>
      <c r="BYF47" s="971"/>
      <c r="BYG47" s="971"/>
      <c r="BYH47" s="971"/>
      <c r="BYI47" s="971"/>
      <c r="BYJ47" s="971"/>
      <c r="BYK47" s="971"/>
      <c r="BYL47" s="971"/>
      <c r="BYM47" s="971"/>
      <c r="BYN47" s="971"/>
      <c r="BYO47" s="971"/>
      <c r="BYP47" s="971"/>
      <c r="BYQ47" s="971"/>
      <c r="BYR47" s="971"/>
      <c r="BYS47" s="971"/>
      <c r="BYT47" s="971"/>
      <c r="BYU47" s="971"/>
      <c r="BYV47" s="971"/>
      <c r="BYW47" s="971"/>
      <c r="BYX47" s="971"/>
      <c r="BYY47" s="971"/>
      <c r="BYZ47" s="971"/>
      <c r="BZA47" s="971"/>
      <c r="BZB47" s="971"/>
      <c r="BZC47" s="971"/>
      <c r="BZD47" s="971"/>
      <c r="BZE47" s="971"/>
      <c r="BZF47" s="971"/>
      <c r="BZG47" s="971"/>
      <c r="BZH47" s="971"/>
      <c r="BZI47" s="971"/>
      <c r="BZJ47" s="971"/>
      <c r="BZK47" s="971"/>
      <c r="BZL47" s="971"/>
      <c r="BZM47" s="971"/>
      <c r="BZN47" s="971"/>
      <c r="BZO47" s="971"/>
      <c r="BZP47" s="971"/>
      <c r="BZQ47" s="971"/>
      <c r="BZR47" s="971"/>
      <c r="BZS47" s="971"/>
      <c r="BZT47" s="971"/>
      <c r="BZU47" s="971"/>
      <c r="BZV47" s="971"/>
      <c r="BZW47" s="971"/>
      <c r="BZX47" s="971"/>
      <c r="BZY47" s="971"/>
      <c r="BZZ47" s="971"/>
      <c r="CAA47" s="971"/>
      <c r="CAB47" s="971"/>
      <c r="CAC47" s="971"/>
      <c r="CAD47" s="971"/>
      <c r="CAE47" s="971"/>
      <c r="CAF47" s="971"/>
      <c r="CAG47" s="971"/>
      <c r="CAH47" s="971"/>
      <c r="CAI47" s="971"/>
      <c r="CAJ47" s="971"/>
      <c r="CAK47" s="971"/>
      <c r="CAL47" s="971"/>
      <c r="CAM47" s="971"/>
      <c r="CAN47" s="971"/>
      <c r="CAO47" s="971"/>
      <c r="CAP47" s="971"/>
      <c r="CAQ47" s="971"/>
      <c r="CAR47" s="971"/>
      <c r="CAS47" s="971"/>
      <c r="CAT47" s="971"/>
      <c r="CAU47" s="971"/>
      <c r="CAV47" s="971"/>
      <c r="CAW47" s="971"/>
      <c r="CAX47" s="971"/>
      <c r="CAY47" s="971"/>
      <c r="CAZ47" s="971"/>
      <c r="CBA47" s="971"/>
      <c r="CBB47" s="971"/>
      <c r="CBC47" s="971"/>
      <c r="CBD47" s="971"/>
      <c r="CBE47" s="971"/>
      <c r="CBF47" s="971"/>
      <c r="CBG47" s="971"/>
      <c r="CBH47" s="971"/>
      <c r="CBI47" s="971"/>
      <c r="CBJ47" s="971"/>
      <c r="CBK47" s="971"/>
      <c r="CBL47" s="971"/>
      <c r="CBM47" s="971"/>
      <c r="CBN47" s="971"/>
      <c r="CBO47" s="971"/>
      <c r="CBP47" s="971"/>
      <c r="CBQ47" s="971"/>
      <c r="CBR47" s="971"/>
      <c r="CBS47" s="971"/>
      <c r="CBT47" s="971"/>
      <c r="CBU47" s="971"/>
      <c r="CBV47" s="971"/>
      <c r="CBW47" s="971"/>
      <c r="CBX47" s="971"/>
      <c r="CBY47" s="971"/>
      <c r="CBZ47" s="971"/>
      <c r="CCA47" s="971"/>
      <c r="CCB47" s="971"/>
      <c r="CCC47" s="971"/>
      <c r="CCD47" s="971"/>
      <c r="CCE47" s="971"/>
      <c r="CCF47" s="971"/>
      <c r="CCG47" s="971"/>
      <c r="CCH47" s="971"/>
      <c r="CCI47" s="971"/>
      <c r="CCJ47" s="971"/>
      <c r="CCK47" s="971"/>
      <c r="CCL47" s="971"/>
      <c r="CCM47" s="971"/>
      <c r="CCN47" s="971"/>
      <c r="CCO47" s="971"/>
      <c r="CCP47" s="971"/>
      <c r="CCQ47" s="971"/>
      <c r="CCR47" s="971"/>
      <c r="CCS47" s="971"/>
      <c r="CCT47" s="971"/>
      <c r="CCU47" s="971"/>
      <c r="CCV47" s="971"/>
      <c r="CCW47" s="971"/>
      <c r="CCX47" s="971"/>
      <c r="CCY47" s="971"/>
      <c r="CCZ47" s="971"/>
      <c r="CDA47" s="971"/>
      <c r="CDB47" s="971"/>
      <c r="CDC47" s="971"/>
      <c r="CDD47" s="971"/>
      <c r="CDE47" s="971"/>
      <c r="CDF47" s="971"/>
      <c r="CDG47" s="971"/>
      <c r="CDH47" s="971"/>
      <c r="CDI47" s="971"/>
      <c r="CDJ47" s="971"/>
      <c r="CDK47" s="971"/>
      <c r="CDL47" s="971"/>
      <c r="CDM47" s="971"/>
      <c r="CDN47" s="971"/>
      <c r="CDO47" s="971"/>
      <c r="CDP47" s="971"/>
      <c r="CDQ47" s="971"/>
      <c r="CDR47" s="971"/>
      <c r="CDS47" s="971"/>
      <c r="CDT47" s="971"/>
      <c r="CDU47" s="971"/>
      <c r="CDV47" s="971"/>
      <c r="CDW47" s="971"/>
      <c r="CDX47" s="971"/>
      <c r="CDY47" s="971"/>
      <c r="CDZ47" s="971"/>
      <c r="CEA47" s="971"/>
      <c r="CEB47" s="971"/>
      <c r="CEC47" s="971"/>
      <c r="CED47" s="971"/>
      <c r="CEE47" s="971"/>
      <c r="CEF47" s="971"/>
      <c r="CEG47" s="971"/>
      <c r="CEH47" s="971"/>
      <c r="CEI47" s="971"/>
      <c r="CEJ47" s="971"/>
      <c r="CEK47" s="971"/>
      <c r="CEL47" s="971"/>
      <c r="CEM47" s="971"/>
      <c r="CEN47" s="971"/>
      <c r="CEO47" s="971"/>
      <c r="CEP47" s="971"/>
      <c r="CEQ47" s="971"/>
      <c r="CER47" s="971"/>
      <c r="CES47" s="971"/>
      <c r="CET47" s="971"/>
      <c r="CEU47" s="971"/>
      <c r="CEV47" s="971"/>
      <c r="CEW47" s="971"/>
      <c r="CEX47" s="971"/>
      <c r="CEY47" s="971"/>
      <c r="CEZ47" s="971"/>
      <c r="CFA47" s="971"/>
      <c r="CFB47" s="971"/>
      <c r="CFC47" s="971"/>
      <c r="CFD47" s="971"/>
      <c r="CFE47" s="971"/>
      <c r="CFF47" s="971"/>
      <c r="CFG47" s="971"/>
      <c r="CFH47" s="971"/>
      <c r="CFI47" s="971"/>
      <c r="CFJ47" s="971"/>
      <c r="CFK47" s="971"/>
      <c r="CFL47" s="971"/>
      <c r="CFM47" s="971"/>
      <c r="CFN47" s="971"/>
      <c r="CFO47" s="971"/>
      <c r="CFP47" s="971"/>
      <c r="CFQ47" s="971"/>
      <c r="CFR47" s="971"/>
      <c r="CFS47" s="971"/>
      <c r="CFT47" s="971"/>
      <c r="CFU47" s="971"/>
      <c r="CFV47" s="971"/>
      <c r="CFW47" s="971"/>
      <c r="CFX47" s="971"/>
      <c r="CFY47" s="971"/>
      <c r="CFZ47" s="971"/>
      <c r="CGA47" s="971"/>
      <c r="CGB47" s="971"/>
      <c r="CGC47" s="971"/>
      <c r="CGD47" s="971"/>
      <c r="CGE47" s="971"/>
      <c r="CGF47" s="971"/>
      <c r="CGG47" s="971"/>
      <c r="CGH47" s="971"/>
      <c r="CGI47" s="971"/>
      <c r="CGJ47" s="971"/>
      <c r="CGK47" s="971"/>
      <c r="CGL47" s="971"/>
      <c r="CGM47" s="971"/>
      <c r="CGN47" s="971"/>
      <c r="CGO47" s="971"/>
      <c r="CGP47" s="971"/>
      <c r="CGQ47" s="971"/>
      <c r="CGR47" s="971"/>
      <c r="CGS47" s="971"/>
      <c r="CGT47" s="971"/>
      <c r="CGU47" s="971"/>
      <c r="CGV47" s="971"/>
      <c r="CGW47" s="971"/>
      <c r="CGX47" s="971"/>
      <c r="CGY47" s="971"/>
      <c r="CGZ47" s="971"/>
      <c r="CHA47" s="971"/>
      <c r="CHB47" s="971"/>
      <c r="CHC47" s="971"/>
      <c r="CHD47" s="971"/>
      <c r="CHE47" s="971"/>
      <c r="CHF47" s="971"/>
      <c r="CHG47" s="971"/>
      <c r="CHH47" s="971"/>
      <c r="CHI47" s="971"/>
      <c r="CHJ47" s="971"/>
      <c r="CHK47" s="971"/>
      <c r="CHL47" s="971"/>
      <c r="CHM47" s="971"/>
      <c r="CHN47" s="971"/>
      <c r="CHO47" s="971"/>
      <c r="CHP47" s="971"/>
      <c r="CHQ47" s="971"/>
      <c r="CHR47" s="971"/>
      <c r="CHS47" s="971"/>
      <c r="CHT47" s="971"/>
      <c r="CHU47" s="971"/>
      <c r="CHV47" s="971"/>
      <c r="CHW47" s="971"/>
      <c r="CHX47" s="971"/>
      <c r="CHY47" s="971"/>
      <c r="CHZ47" s="971"/>
      <c r="CIA47" s="971"/>
      <c r="CIB47" s="971"/>
      <c r="CIC47" s="971"/>
      <c r="CID47" s="971"/>
      <c r="CIE47" s="971"/>
      <c r="CIF47" s="971"/>
      <c r="CIG47" s="971"/>
      <c r="CIH47" s="971"/>
      <c r="CII47" s="971"/>
      <c r="CIJ47" s="971"/>
      <c r="CIK47" s="971"/>
      <c r="CIL47" s="971"/>
      <c r="CIM47" s="971"/>
      <c r="CIN47" s="971"/>
      <c r="CIO47" s="971"/>
      <c r="CIP47" s="971"/>
      <c r="CIQ47" s="971"/>
      <c r="CIR47" s="971"/>
      <c r="CIS47" s="971"/>
      <c r="CIT47" s="971"/>
      <c r="CIU47" s="971"/>
      <c r="CIV47" s="971"/>
      <c r="CIW47" s="971"/>
      <c r="CIX47" s="971"/>
      <c r="CIY47" s="971"/>
      <c r="CIZ47" s="971"/>
      <c r="CJA47" s="971"/>
      <c r="CJB47" s="971"/>
      <c r="CJC47" s="971"/>
      <c r="CJD47" s="971"/>
      <c r="CJE47" s="971"/>
      <c r="CJF47" s="971"/>
      <c r="CJG47" s="971"/>
      <c r="CJH47" s="971"/>
      <c r="CJI47" s="971"/>
      <c r="CJJ47" s="971"/>
      <c r="CJK47" s="971"/>
      <c r="CJL47" s="971"/>
      <c r="CJM47" s="971"/>
      <c r="CJN47" s="971"/>
      <c r="CJO47" s="971"/>
      <c r="CJP47" s="971"/>
      <c r="CJQ47" s="971"/>
      <c r="CJR47" s="971"/>
      <c r="CJS47" s="971"/>
      <c r="CJT47" s="971"/>
      <c r="CJU47" s="971"/>
      <c r="CJV47" s="971"/>
      <c r="CJW47" s="971"/>
      <c r="CJX47" s="971"/>
      <c r="CJY47" s="971"/>
      <c r="CJZ47" s="971"/>
      <c r="CKA47" s="971"/>
      <c r="CKB47" s="971"/>
      <c r="CKC47" s="971"/>
      <c r="CKD47" s="971"/>
      <c r="CKE47" s="971"/>
      <c r="CKF47" s="971"/>
      <c r="CKG47" s="971"/>
      <c r="CKH47" s="971"/>
      <c r="CKI47" s="971"/>
      <c r="CKJ47" s="971"/>
      <c r="CKK47" s="971"/>
      <c r="CKL47" s="971"/>
      <c r="CKM47" s="971"/>
      <c r="CKN47" s="971"/>
      <c r="CKO47" s="971"/>
      <c r="CKP47" s="971"/>
      <c r="CKQ47" s="971"/>
      <c r="CKR47" s="971"/>
      <c r="CKS47" s="971"/>
      <c r="CKT47" s="971"/>
      <c r="CKU47" s="971"/>
      <c r="CKV47" s="971"/>
      <c r="CKW47" s="971"/>
      <c r="CKX47" s="971"/>
      <c r="CKY47" s="971"/>
      <c r="CKZ47" s="971"/>
      <c r="CLA47" s="971"/>
      <c r="CLB47" s="971"/>
      <c r="CLC47" s="971"/>
      <c r="CLD47" s="971"/>
      <c r="CLE47" s="971"/>
      <c r="CLF47" s="971"/>
      <c r="CLG47" s="971"/>
      <c r="CLH47" s="971"/>
      <c r="CLI47" s="971"/>
      <c r="CLJ47" s="971"/>
      <c r="CLK47" s="971"/>
      <c r="CLL47" s="971"/>
      <c r="CLM47" s="971"/>
      <c r="CLN47" s="971"/>
      <c r="CLO47" s="971"/>
      <c r="CLP47" s="971"/>
      <c r="CLQ47" s="971"/>
      <c r="CLR47" s="971"/>
      <c r="CLS47" s="971"/>
      <c r="CLT47" s="971"/>
      <c r="CLU47" s="971"/>
      <c r="CLV47" s="971"/>
      <c r="CLW47" s="971"/>
      <c r="CLX47" s="971"/>
      <c r="CLY47" s="971"/>
      <c r="CLZ47" s="971"/>
      <c r="CMA47" s="971"/>
      <c r="CMB47" s="971"/>
      <c r="CMC47" s="971"/>
      <c r="CMD47" s="971"/>
      <c r="CME47" s="971"/>
      <c r="CMF47" s="971"/>
      <c r="CMG47" s="971"/>
      <c r="CMH47" s="971"/>
      <c r="CMI47" s="971"/>
      <c r="CMJ47" s="971"/>
      <c r="CMK47" s="971"/>
      <c r="CML47" s="971"/>
      <c r="CMM47" s="971"/>
      <c r="CMN47" s="971"/>
      <c r="CMO47" s="971"/>
      <c r="CMP47" s="971"/>
      <c r="CMQ47" s="971"/>
      <c r="CMR47" s="971"/>
      <c r="CMS47" s="971"/>
      <c r="CMT47" s="971"/>
      <c r="CMU47" s="971"/>
      <c r="CMV47" s="971"/>
      <c r="CMW47" s="971"/>
      <c r="CMX47" s="971"/>
      <c r="CMY47" s="971"/>
      <c r="CMZ47" s="971"/>
      <c r="CNA47" s="971"/>
      <c r="CNB47" s="971"/>
      <c r="CNC47" s="971"/>
      <c r="CND47" s="971"/>
      <c r="CNE47" s="971"/>
      <c r="CNF47" s="971"/>
      <c r="CNG47" s="971"/>
      <c r="CNH47" s="971"/>
      <c r="CNI47" s="971"/>
      <c r="CNJ47" s="971"/>
      <c r="CNK47" s="971"/>
      <c r="CNL47" s="971"/>
      <c r="CNM47" s="971"/>
      <c r="CNN47" s="971"/>
      <c r="CNO47" s="971"/>
      <c r="CNP47" s="971"/>
      <c r="CNQ47" s="971"/>
      <c r="CNR47" s="971"/>
      <c r="CNS47" s="971"/>
      <c r="CNT47" s="971"/>
      <c r="CNU47" s="971"/>
      <c r="CNV47" s="971"/>
      <c r="CNW47" s="971"/>
      <c r="CNX47" s="971"/>
      <c r="CNY47" s="971"/>
      <c r="CNZ47" s="971"/>
      <c r="COA47" s="971"/>
      <c r="COB47" s="971"/>
      <c r="COC47" s="971"/>
      <c r="COD47" s="971"/>
      <c r="COE47" s="971"/>
      <c r="COF47" s="971"/>
      <c r="COG47" s="971"/>
      <c r="COH47" s="971"/>
      <c r="COI47" s="971"/>
      <c r="COJ47" s="971"/>
      <c r="COK47" s="971"/>
      <c r="COL47" s="971"/>
      <c r="COM47" s="971"/>
      <c r="CON47" s="971"/>
      <c r="COO47" s="971"/>
      <c r="COP47" s="971"/>
      <c r="COQ47" s="971"/>
      <c r="COR47" s="971"/>
      <c r="COS47" s="971"/>
      <c r="COT47" s="971"/>
      <c r="COU47" s="971"/>
      <c r="COV47" s="971"/>
      <c r="COW47" s="971"/>
      <c r="COX47" s="971"/>
      <c r="COY47" s="971"/>
      <c r="COZ47" s="971"/>
      <c r="CPA47" s="971"/>
      <c r="CPB47" s="971"/>
      <c r="CPC47" s="971"/>
      <c r="CPD47" s="971"/>
      <c r="CPE47" s="971"/>
      <c r="CPF47" s="971"/>
      <c r="CPG47" s="971"/>
      <c r="CPH47" s="971"/>
      <c r="CPI47" s="971"/>
      <c r="CPJ47" s="971"/>
      <c r="CPK47" s="971"/>
      <c r="CPL47" s="971"/>
      <c r="CPM47" s="971"/>
      <c r="CPN47" s="971"/>
      <c r="CPO47" s="971"/>
      <c r="CPP47" s="971"/>
      <c r="CPQ47" s="971"/>
      <c r="CPR47" s="971"/>
      <c r="CPS47" s="971"/>
      <c r="CPT47" s="971"/>
      <c r="CPU47" s="971"/>
      <c r="CPV47" s="971"/>
      <c r="CPW47" s="971"/>
      <c r="CPX47" s="971"/>
      <c r="CPY47" s="971"/>
      <c r="CPZ47" s="971"/>
      <c r="CQA47" s="971"/>
      <c r="CQB47" s="971"/>
      <c r="CQC47" s="971"/>
      <c r="CQD47" s="971"/>
      <c r="CQE47" s="971"/>
      <c r="CQF47" s="971"/>
      <c r="CQG47" s="971"/>
      <c r="CQH47" s="971"/>
      <c r="CQI47" s="971"/>
      <c r="CQJ47" s="971"/>
      <c r="CQK47" s="971"/>
      <c r="CQL47" s="971"/>
      <c r="CQM47" s="971"/>
      <c r="CQN47" s="971"/>
      <c r="CQO47" s="971"/>
      <c r="CQP47" s="971"/>
      <c r="CQQ47" s="971"/>
      <c r="CQR47" s="971"/>
      <c r="CQS47" s="971"/>
      <c r="CQT47" s="971"/>
      <c r="CQU47" s="971"/>
      <c r="CQV47" s="971"/>
      <c r="CQW47" s="971"/>
      <c r="CQX47" s="971"/>
      <c r="CQY47" s="971"/>
      <c r="CQZ47" s="971"/>
      <c r="CRA47" s="971"/>
      <c r="CRB47" s="971"/>
      <c r="CRC47" s="971"/>
      <c r="CRD47" s="971"/>
      <c r="CRE47" s="971"/>
      <c r="CRF47" s="971"/>
      <c r="CRG47" s="971"/>
      <c r="CRH47" s="971"/>
      <c r="CRI47" s="971"/>
      <c r="CRJ47" s="971"/>
      <c r="CRK47" s="971"/>
      <c r="CRL47" s="971"/>
      <c r="CRM47" s="971"/>
      <c r="CRN47" s="971"/>
      <c r="CRO47" s="971"/>
      <c r="CRP47" s="971"/>
      <c r="CRQ47" s="971"/>
      <c r="CRR47" s="971"/>
      <c r="CRS47" s="971"/>
      <c r="CRT47" s="971"/>
      <c r="CRU47" s="971"/>
      <c r="CRV47" s="971"/>
      <c r="CRW47" s="971"/>
      <c r="CRX47" s="971"/>
      <c r="CRY47" s="971"/>
      <c r="CRZ47" s="971"/>
      <c r="CSA47" s="971"/>
      <c r="CSB47" s="971"/>
      <c r="CSC47" s="971"/>
      <c r="CSD47" s="971"/>
      <c r="CSE47" s="971"/>
      <c r="CSF47" s="971"/>
      <c r="CSG47" s="971"/>
      <c r="CSH47" s="971"/>
      <c r="CSI47" s="971"/>
      <c r="CSJ47" s="971"/>
      <c r="CSK47" s="971"/>
      <c r="CSL47" s="971"/>
      <c r="CSM47" s="971"/>
      <c r="CSN47" s="971"/>
      <c r="CSO47" s="971"/>
      <c r="CSP47" s="971"/>
      <c r="CSQ47" s="971"/>
      <c r="CSR47" s="971"/>
      <c r="CSS47" s="971"/>
      <c r="CST47" s="971"/>
      <c r="CSU47" s="971"/>
      <c r="CSV47" s="971"/>
      <c r="CSW47" s="971"/>
      <c r="CSX47" s="971"/>
      <c r="CSY47" s="971"/>
      <c r="CSZ47" s="971"/>
      <c r="CTA47" s="971"/>
      <c r="CTB47" s="971"/>
      <c r="CTC47" s="971"/>
      <c r="CTD47" s="971"/>
      <c r="CTE47" s="971"/>
      <c r="CTF47" s="971"/>
      <c r="CTG47" s="971"/>
      <c r="CTH47" s="971"/>
      <c r="CTI47" s="971"/>
      <c r="CTJ47" s="971"/>
      <c r="CTK47" s="971"/>
      <c r="CTL47" s="971"/>
      <c r="CTM47" s="971"/>
      <c r="CTN47" s="971"/>
      <c r="CTO47" s="971"/>
      <c r="CTP47" s="971"/>
      <c r="CTQ47" s="971"/>
      <c r="CTR47" s="971"/>
      <c r="CTS47" s="971"/>
      <c r="CTT47" s="971"/>
      <c r="CTU47" s="971"/>
      <c r="CTV47" s="971"/>
      <c r="CTW47" s="971"/>
      <c r="CTX47" s="971"/>
      <c r="CTY47" s="971"/>
      <c r="CTZ47" s="971"/>
      <c r="CUA47" s="971"/>
      <c r="CUB47" s="971"/>
      <c r="CUC47" s="971"/>
      <c r="CUD47" s="971"/>
      <c r="CUE47" s="971"/>
      <c r="CUF47" s="971"/>
      <c r="CUG47" s="971"/>
      <c r="CUH47" s="971"/>
      <c r="CUI47" s="971"/>
      <c r="CUJ47" s="971"/>
      <c r="CUK47" s="971"/>
      <c r="CUL47" s="971"/>
      <c r="CUM47" s="971"/>
      <c r="CUN47" s="971"/>
      <c r="CUO47" s="971"/>
      <c r="CUP47" s="971"/>
      <c r="CUQ47" s="971"/>
      <c r="CUR47" s="971"/>
      <c r="CUS47" s="971"/>
      <c r="CUT47" s="971"/>
      <c r="CUU47" s="971"/>
      <c r="CUV47" s="971"/>
      <c r="CUW47" s="971"/>
      <c r="CUX47" s="971"/>
      <c r="CUY47" s="971"/>
      <c r="CUZ47" s="971"/>
      <c r="CVA47" s="971"/>
      <c r="CVB47" s="971"/>
      <c r="CVC47" s="971"/>
      <c r="CVD47" s="971"/>
      <c r="CVE47" s="971"/>
      <c r="CVF47" s="971"/>
      <c r="CVG47" s="971"/>
      <c r="CVH47" s="971"/>
      <c r="CVI47" s="971"/>
      <c r="CVJ47" s="971"/>
      <c r="CVK47" s="971"/>
      <c r="CVL47" s="971"/>
      <c r="CVM47" s="971"/>
      <c r="CVN47" s="971"/>
      <c r="CVO47" s="971"/>
      <c r="CVP47" s="971"/>
      <c r="CVQ47" s="971"/>
      <c r="CVR47" s="971"/>
      <c r="CVS47" s="971"/>
      <c r="CVT47" s="971"/>
      <c r="CVU47" s="971"/>
      <c r="CVV47" s="971"/>
      <c r="CVW47" s="971"/>
      <c r="CVX47" s="971"/>
      <c r="CVY47" s="971"/>
      <c r="CVZ47" s="971"/>
      <c r="CWA47" s="971"/>
      <c r="CWB47" s="971"/>
      <c r="CWC47" s="971"/>
      <c r="CWD47" s="971"/>
      <c r="CWE47" s="971"/>
      <c r="CWF47" s="971"/>
      <c r="CWG47" s="971"/>
      <c r="CWH47" s="971"/>
      <c r="CWI47" s="971"/>
      <c r="CWJ47" s="971"/>
      <c r="CWK47" s="971"/>
      <c r="CWL47" s="971"/>
      <c r="CWM47" s="971"/>
      <c r="CWN47" s="971"/>
      <c r="CWO47" s="971"/>
      <c r="CWP47" s="971"/>
      <c r="CWQ47" s="971"/>
      <c r="CWR47" s="971"/>
      <c r="CWS47" s="971"/>
      <c r="CWT47" s="971"/>
      <c r="CWU47" s="971"/>
      <c r="CWV47" s="971"/>
      <c r="CWW47" s="971"/>
      <c r="CWX47" s="971"/>
      <c r="CWY47" s="971"/>
      <c r="CWZ47" s="971"/>
      <c r="CXA47" s="971"/>
      <c r="CXB47" s="971"/>
      <c r="CXC47" s="971"/>
      <c r="CXD47" s="971"/>
      <c r="CXE47" s="971"/>
      <c r="CXF47" s="971"/>
      <c r="CXG47" s="971"/>
      <c r="CXH47" s="971"/>
      <c r="CXI47" s="971"/>
      <c r="CXJ47" s="971"/>
      <c r="CXK47" s="971"/>
      <c r="CXL47" s="971"/>
      <c r="CXM47" s="971"/>
      <c r="CXN47" s="971"/>
      <c r="CXO47" s="971"/>
      <c r="CXP47" s="971"/>
      <c r="CXQ47" s="971"/>
      <c r="CXR47" s="971"/>
      <c r="CXS47" s="971"/>
      <c r="CXT47" s="971"/>
      <c r="CXU47" s="971"/>
      <c r="CXV47" s="971"/>
      <c r="CXW47" s="971"/>
      <c r="CXX47" s="971"/>
      <c r="CXY47" s="971"/>
      <c r="CXZ47" s="971"/>
      <c r="CYA47" s="971"/>
      <c r="CYB47" s="971"/>
      <c r="CYC47" s="971"/>
      <c r="CYD47" s="971"/>
      <c r="CYE47" s="971"/>
      <c r="CYF47" s="971"/>
      <c r="CYG47" s="971"/>
      <c r="CYH47" s="971"/>
      <c r="CYI47" s="971"/>
      <c r="CYJ47" s="971"/>
      <c r="CYK47" s="971"/>
      <c r="CYL47" s="971"/>
      <c r="CYM47" s="971"/>
      <c r="CYN47" s="971"/>
      <c r="CYO47" s="971"/>
      <c r="CYP47" s="971"/>
      <c r="CYQ47" s="971"/>
      <c r="CYR47" s="971"/>
      <c r="CYS47" s="971"/>
      <c r="CYT47" s="971"/>
      <c r="CYU47" s="971"/>
      <c r="CYV47" s="971"/>
      <c r="CYW47" s="971"/>
      <c r="CYX47" s="971"/>
      <c r="CYY47" s="971"/>
      <c r="CYZ47" s="971"/>
      <c r="CZA47" s="971"/>
      <c r="CZB47" s="971"/>
      <c r="CZC47" s="971"/>
      <c r="CZD47" s="971"/>
      <c r="CZE47" s="971"/>
      <c r="CZF47" s="971"/>
      <c r="CZG47" s="971"/>
      <c r="CZH47" s="971"/>
      <c r="CZI47" s="971"/>
      <c r="CZJ47" s="971"/>
      <c r="CZK47" s="971"/>
      <c r="CZL47" s="971"/>
      <c r="CZM47" s="971"/>
      <c r="CZN47" s="971"/>
      <c r="CZO47" s="971"/>
      <c r="CZP47" s="971"/>
      <c r="CZQ47" s="971"/>
      <c r="CZR47" s="971"/>
      <c r="CZS47" s="971"/>
      <c r="CZT47" s="971"/>
      <c r="CZU47" s="971"/>
      <c r="CZV47" s="971"/>
      <c r="CZW47" s="971"/>
      <c r="CZX47" s="971"/>
      <c r="CZY47" s="971"/>
      <c r="CZZ47" s="971"/>
      <c r="DAA47" s="971"/>
      <c r="DAB47" s="971"/>
      <c r="DAC47" s="971"/>
      <c r="DAD47" s="971"/>
      <c r="DAE47" s="971"/>
      <c r="DAF47" s="971"/>
      <c r="DAG47" s="971"/>
      <c r="DAH47" s="971"/>
      <c r="DAI47" s="971"/>
      <c r="DAJ47" s="971"/>
      <c r="DAK47" s="971"/>
      <c r="DAL47" s="971"/>
      <c r="DAM47" s="971"/>
      <c r="DAN47" s="971"/>
      <c r="DAO47" s="971"/>
      <c r="DAP47" s="971"/>
      <c r="DAQ47" s="971"/>
      <c r="DAR47" s="971"/>
      <c r="DAS47" s="971"/>
      <c r="DAT47" s="971"/>
      <c r="DAU47" s="971"/>
      <c r="DAV47" s="971"/>
      <c r="DAW47" s="971"/>
      <c r="DAX47" s="971"/>
      <c r="DAY47" s="971"/>
      <c r="DAZ47" s="971"/>
      <c r="DBA47" s="971"/>
      <c r="DBB47" s="971"/>
      <c r="DBC47" s="971"/>
      <c r="DBD47" s="971"/>
      <c r="DBE47" s="971"/>
      <c r="DBF47" s="971"/>
      <c r="DBG47" s="971"/>
      <c r="DBH47" s="971"/>
      <c r="DBI47" s="971"/>
      <c r="DBJ47" s="971"/>
      <c r="DBK47" s="971"/>
      <c r="DBL47" s="971"/>
      <c r="DBM47" s="971"/>
      <c r="DBN47" s="971"/>
      <c r="DBO47" s="971"/>
      <c r="DBP47" s="971"/>
      <c r="DBQ47" s="971"/>
      <c r="DBR47" s="971"/>
      <c r="DBS47" s="971"/>
      <c r="DBT47" s="971"/>
      <c r="DBU47" s="971"/>
      <c r="DBV47" s="971"/>
      <c r="DBW47" s="971"/>
      <c r="DBX47" s="971"/>
      <c r="DBY47" s="971"/>
      <c r="DBZ47" s="971"/>
      <c r="DCA47" s="971"/>
      <c r="DCB47" s="971"/>
      <c r="DCC47" s="971"/>
      <c r="DCD47" s="971"/>
      <c r="DCE47" s="971"/>
      <c r="DCF47" s="971"/>
      <c r="DCG47" s="971"/>
      <c r="DCH47" s="971"/>
      <c r="DCI47" s="971"/>
      <c r="DCJ47" s="971"/>
      <c r="DCK47" s="971"/>
      <c r="DCL47" s="971"/>
      <c r="DCM47" s="971"/>
      <c r="DCN47" s="971"/>
      <c r="DCO47" s="971"/>
      <c r="DCP47" s="971"/>
      <c r="DCQ47" s="971"/>
      <c r="DCR47" s="971"/>
      <c r="DCS47" s="971"/>
      <c r="DCT47" s="971"/>
      <c r="DCU47" s="971"/>
      <c r="DCV47" s="971"/>
      <c r="DCW47" s="971"/>
      <c r="DCX47" s="971"/>
      <c r="DCY47" s="971"/>
      <c r="DCZ47" s="971"/>
      <c r="DDA47" s="971"/>
      <c r="DDB47" s="971"/>
      <c r="DDC47" s="971"/>
      <c r="DDD47" s="971"/>
      <c r="DDE47" s="971"/>
      <c r="DDF47" s="971"/>
      <c r="DDG47" s="971"/>
      <c r="DDH47" s="971"/>
      <c r="DDI47" s="971"/>
      <c r="DDJ47" s="971"/>
      <c r="DDK47" s="971"/>
      <c r="DDL47" s="971"/>
      <c r="DDM47" s="971"/>
      <c r="DDN47" s="971"/>
      <c r="DDO47" s="971"/>
      <c r="DDP47" s="971"/>
      <c r="DDQ47" s="971"/>
      <c r="DDR47" s="971"/>
      <c r="DDS47" s="971"/>
      <c r="DDT47" s="971"/>
      <c r="DDU47" s="971"/>
      <c r="DDV47" s="971"/>
      <c r="DDW47" s="971"/>
      <c r="DDX47" s="971"/>
      <c r="DDY47" s="971"/>
      <c r="DDZ47" s="971"/>
      <c r="DEA47" s="971"/>
      <c r="DEB47" s="971"/>
      <c r="DEC47" s="971"/>
      <c r="DED47" s="971"/>
      <c r="DEE47" s="971"/>
      <c r="DEF47" s="971"/>
      <c r="DEG47" s="971"/>
      <c r="DEH47" s="971"/>
      <c r="DEI47" s="971"/>
      <c r="DEJ47" s="971"/>
      <c r="DEK47" s="971"/>
      <c r="DEL47" s="971"/>
      <c r="DEM47" s="971"/>
      <c r="DEN47" s="971"/>
      <c r="DEO47" s="971"/>
      <c r="DEP47" s="971"/>
      <c r="DEQ47" s="971"/>
      <c r="DER47" s="971"/>
      <c r="DES47" s="971"/>
      <c r="DET47" s="971"/>
      <c r="DEU47" s="971"/>
      <c r="DEV47" s="971"/>
      <c r="DEW47" s="971"/>
      <c r="DEX47" s="971"/>
      <c r="DEY47" s="971"/>
      <c r="DEZ47" s="971"/>
      <c r="DFA47" s="971"/>
      <c r="DFB47" s="971"/>
      <c r="DFC47" s="971"/>
      <c r="DFD47" s="971"/>
      <c r="DFE47" s="971"/>
      <c r="DFF47" s="971"/>
      <c r="DFG47" s="971"/>
      <c r="DFH47" s="971"/>
      <c r="DFI47" s="971"/>
      <c r="DFJ47" s="971"/>
      <c r="DFK47" s="971"/>
      <c r="DFL47" s="971"/>
      <c r="DFM47" s="971"/>
      <c r="DFN47" s="971"/>
      <c r="DFO47" s="971"/>
      <c r="DFP47" s="971"/>
      <c r="DFQ47" s="971"/>
      <c r="DFR47" s="971"/>
      <c r="DFS47" s="971"/>
      <c r="DFT47" s="971"/>
      <c r="DFU47" s="971"/>
      <c r="DFV47" s="971"/>
      <c r="DFW47" s="971"/>
      <c r="DFX47" s="971"/>
      <c r="DFY47" s="971"/>
      <c r="DFZ47" s="971"/>
      <c r="DGA47" s="971"/>
      <c r="DGB47" s="971"/>
      <c r="DGC47" s="971"/>
      <c r="DGD47" s="971"/>
      <c r="DGE47" s="971"/>
      <c r="DGF47" s="971"/>
      <c r="DGG47" s="971"/>
      <c r="DGH47" s="971"/>
      <c r="DGI47" s="971"/>
      <c r="DGJ47" s="971"/>
      <c r="DGK47" s="971"/>
      <c r="DGL47" s="971"/>
      <c r="DGM47" s="971"/>
      <c r="DGN47" s="971"/>
      <c r="DGO47" s="971"/>
      <c r="DGP47" s="971"/>
      <c r="DGQ47" s="971"/>
      <c r="DGR47" s="971"/>
      <c r="DGS47" s="971"/>
      <c r="DGT47" s="971"/>
      <c r="DGU47" s="971"/>
      <c r="DGV47" s="971"/>
      <c r="DGW47" s="971"/>
      <c r="DGX47" s="971"/>
      <c r="DGY47" s="971"/>
      <c r="DGZ47" s="971"/>
      <c r="DHA47" s="971"/>
      <c r="DHB47" s="971"/>
      <c r="DHC47" s="971"/>
      <c r="DHD47" s="971"/>
      <c r="DHE47" s="971"/>
      <c r="DHF47" s="971"/>
      <c r="DHG47" s="971"/>
      <c r="DHH47" s="971"/>
      <c r="DHI47" s="971"/>
      <c r="DHJ47" s="971"/>
      <c r="DHK47" s="971"/>
      <c r="DHL47" s="971"/>
      <c r="DHM47" s="971"/>
      <c r="DHN47" s="971"/>
      <c r="DHO47" s="971"/>
      <c r="DHP47" s="971"/>
      <c r="DHQ47" s="971"/>
      <c r="DHR47" s="971"/>
      <c r="DHS47" s="971"/>
      <c r="DHT47" s="971"/>
      <c r="DHU47" s="971"/>
      <c r="DHV47" s="971"/>
      <c r="DHW47" s="971"/>
      <c r="DHX47" s="971"/>
      <c r="DHY47" s="971"/>
      <c r="DHZ47" s="971"/>
      <c r="DIA47" s="971"/>
      <c r="DIB47" s="971"/>
      <c r="DIC47" s="971"/>
      <c r="DID47" s="971"/>
      <c r="DIE47" s="971"/>
      <c r="DIF47" s="971"/>
      <c r="DIG47" s="971"/>
      <c r="DIH47" s="971"/>
      <c r="DII47" s="971"/>
      <c r="DIJ47" s="971"/>
      <c r="DIK47" s="971"/>
      <c r="DIL47" s="971"/>
      <c r="DIM47" s="971"/>
      <c r="DIN47" s="971"/>
      <c r="DIO47" s="971"/>
      <c r="DIP47" s="971"/>
      <c r="DIQ47" s="971"/>
      <c r="DIR47" s="971"/>
      <c r="DIS47" s="971"/>
      <c r="DIT47" s="971"/>
      <c r="DIU47" s="971"/>
      <c r="DIV47" s="971"/>
      <c r="DIW47" s="971"/>
      <c r="DIX47" s="971"/>
      <c r="DIY47" s="971"/>
      <c r="DIZ47" s="971"/>
      <c r="DJA47" s="971"/>
      <c r="DJB47" s="971"/>
      <c r="DJC47" s="971"/>
      <c r="DJD47" s="971"/>
      <c r="DJE47" s="971"/>
      <c r="DJF47" s="971"/>
      <c r="DJG47" s="971"/>
      <c r="DJH47" s="971"/>
      <c r="DJI47" s="971"/>
      <c r="DJJ47" s="971"/>
      <c r="DJK47" s="971"/>
      <c r="DJL47" s="971"/>
      <c r="DJM47" s="971"/>
      <c r="DJN47" s="971"/>
      <c r="DJO47" s="971"/>
      <c r="DJP47" s="971"/>
      <c r="DJQ47" s="971"/>
      <c r="DJR47" s="971"/>
      <c r="DJS47" s="971"/>
      <c r="DJT47" s="971"/>
      <c r="DJU47" s="971"/>
      <c r="DJV47" s="971"/>
      <c r="DJW47" s="971"/>
      <c r="DJX47" s="971"/>
      <c r="DJY47" s="971"/>
      <c r="DJZ47" s="971"/>
      <c r="DKA47" s="971"/>
      <c r="DKB47" s="971"/>
      <c r="DKC47" s="971"/>
      <c r="DKD47" s="971"/>
      <c r="DKE47" s="971"/>
      <c r="DKF47" s="971"/>
      <c r="DKG47" s="971"/>
      <c r="DKH47" s="971"/>
      <c r="DKI47" s="971"/>
      <c r="DKJ47" s="971"/>
      <c r="DKK47" s="971"/>
      <c r="DKL47" s="971"/>
      <c r="DKM47" s="971"/>
      <c r="DKN47" s="971"/>
      <c r="DKO47" s="971"/>
      <c r="DKP47" s="971"/>
      <c r="DKQ47" s="971"/>
      <c r="DKR47" s="971"/>
      <c r="DKS47" s="971"/>
      <c r="DKT47" s="971"/>
      <c r="DKU47" s="971"/>
      <c r="DKV47" s="971"/>
      <c r="DKW47" s="971"/>
      <c r="DKX47" s="971"/>
      <c r="DKY47" s="971"/>
      <c r="DKZ47" s="971"/>
      <c r="DLA47" s="971"/>
      <c r="DLB47" s="971"/>
      <c r="DLC47" s="971"/>
      <c r="DLD47" s="971"/>
      <c r="DLE47" s="971"/>
      <c r="DLF47" s="971"/>
      <c r="DLG47" s="971"/>
      <c r="DLH47" s="971"/>
      <c r="DLI47" s="971"/>
      <c r="DLJ47" s="971"/>
      <c r="DLK47" s="971"/>
      <c r="DLL47" s="971"/>
      <c r="DLM47" s="971"/>
      <c r="DLN47" s="971"/>
      <c r="DLO47" s="971"/>
      <c r="DLP47" s="971"/>
      <c r="DLQ47" s="971"/>
      <c r="DLR47" s="971"/>
      <c r="DLS47" s="971"/>
      <c r="DLT47" s="971"/>
      <c r="DLU47" s="971"/>
      <c r="DLV47" s="971"/>
      <c r="DLW47" s="971"/>
      <c r="DLX47" s="971"/>
      <c r="DLY47" s="971"/>
      <c r="DLZ47" s="971"/>
      <c r="DMA47" s="971"/>
      <c r="DMB47" s="971"/>
      <c r="DMC47" s="971"/>
      <c r="DMD47" s="971"/>
      <c r="DME47" s="971"/>
      <c r="DMF47" s="971"/>
      <c r="DMG47" s="971"/>
      <c r="DMH47" s="971"/>
      <c r="DMI47" s="971"/>
      <c r="DMJ47" s="971"/>
      <c r="DMK47" s="971"/>
      <c r="DML47" s="971"/>
      <c r="DMM47" s="971"/>
      <c r="DMN47" s="971"/>
      <c r="DMO47" s="971"/>
      <c r="DMP47" s="971"/>
      <c r="DMQ47" s="971"/>
      <c r="DMR47" s="971"/>
      <c r="DMS47" s="971"/>
      <c r="DMT47" s="971"/>
      <c r="DMU47" s="971"/>
      <c r="DMV47" s="971"/>
      <c r="DMW47" s="971"/>
      <c r="DMX47" s="971"/>
      <c r="DMY47" s="971"/>
      <c r="DMZ47" s="971"/>
      <c r="DNA47" s="971"/>
      <c r="DNB47" s="971"/>
      <c r="DNC47" s="971"/>
      <c r="DND47" s="971"/>
      <c r="DNE47" s="971"/>
      <c r="DNF47" s="971"/>
      <c r="DNG47" s="971"/>
      <c r="DNH47" s="971"/>
      <c r="DNI47" s="971"/>
      <c r="DNJ47" s="971"/>
      <c r="DNK47" s="971"/>
      <c r="DNL47" s="971"/>
      <c r="DNM47" s="971"/>
      <c r="DNN47" s="971"/>
      <c r="DNO47" s="971"/>
      <c r="DNP47" s="971"/>
      <c r="DNQ47" s="971"/>
      <c r="DNR47" s="971"/>
      <c r="DNS47" s="971"/>
      <c r="DNT47" s="971"/>
      <c r="DNU47" s="971"/>
      <c r="DNV47" s="971"/>
      <c r="DNW47" s="971"/>
      <c r="DNX47" s="971"/>
      <c r="DNY47" s="971"/>
      <c r="DNZ47" s="971"/>
      <c r="DOA47" s="971"/>
      <c r="DOB47" s="971"/>
      <c r="DOC47" s="971"/>
      <c r="DOD47" s="971"/>
      <c r="DOE47" s="971"/>
      <c r="DOF47" s="971"/>
      <c r="DOG47" s="971"/>
      <c r="DOH47" s="971"/>
      <c r="DOI47" s="971"/>
      <c r="DOJ47" s="971"/>
      <c r="DOK47" s="971"/>
      <c r="DOL47" s="971"/>
      <c r="DOM47" s="971"/>
      <c r="DON47" s="971"/>
      <c r="DOO47" s="971"/>
      <c r="DOP47" s="971"/>
      <c r="DOQ47" s="971"/>
      <c r="DOR47" s="971"/>
      <c r="DOS47" s="971"/>
      <c r="DOT47" s="971"/>
      <c r="DOU47" s="971"/>
      <c r="DOV47" s="971"/>
      <c r="DOW47" s="971"/>
      <c r="DOX47" s="971"/>
      <c r="DOY47" s="971"/>
      <c r="DOZ47" s="971"/>
      <c r="DPA47" s="971"/>
      <c r="DPB47" s="971"/>
      <c r="DPC47" s="971"/>
      <c r="DPD47" s="971"/>
      <c r="DPE47" s="971"/>
      <c r="DPF47" s="971"/>
      <c r="DPG47" s="971"/>
      <c r="DPH47" s="971"/>
      <c r="DPI47" s="971"/>
      <c r="DPJ47" s="971"/>
      <c r="DPK47" s="971"/>
      <c r="DPL47" s="971"/>
      <c r="DPM47" s="971"/>
      <c r="DPN47" s="971"/>
      <c r="DPO47" s="971"/>
      <c r="DPP47" s="971"/>
      <c r="DPQ47" s="971"/>
      <c r="DPR47" s="971"/>
      <c r="DPS47" s="971"/>
      <c r="DPT47" s="971"/>
      <c r="DPU47" s="971"/>
      <c r="DPV47" s="971"/>
      <c r="DPW47" s="971"/>
      <c r="DPX47" s="971"/>
      <c r="DPY47" s="971"/>
      <c r="DPZ47" s="971"/>
      <c r="DQA47" s="971"/>
      <c r="DQB47" s="971"/>
      <c r="DQC47" s="971"/>
      <c r="DQD47" s="971"/>
      <c r="DQE47" s="971"/>
      <c r="DQF47" s="971"/>
      <c r="DQG47" s="971"/>
      <c r="DQH47" s="971"/>
      <c r="DQI47" s="971"/>
      <c r="DQJ47" s="971"/>
      <c r="DQK47" s="971"/>
      <c r="DQL47" s="971"/>
      <c r="DQM47" s="971"/>
      <c r="DQN47" s="971"/>
      <c r="DQO47" s="971"/>
      <c r="DQP47" s="971"/>
      <c r="DQQ47" s="971"/>
      <c r="DQR47" s="971"/>
      <c r="DQS47" s="971"/>
      <c r="DQT47" s="971"/>
      <c r="DQU47" s="971"/>
      <c r="DQV47" s="971"/>
      <c r="DQW47" s="971"/>
      <c r="DQX47" s="971"/>
      <c r="DQY47" s="971"/>
      <c r="DQZ47" s="971"/>
      <c r="DRA47" s="971"/>
      <c r="DRB47" s="971"/>
      <c r="DRC47" s="971"/>
      <c r="DRD47" s="971"/>
      <c r="DRE47" s="971"/>
      <c r="DRF47" s="971"/>
      <c r="DRG47" s="971"/>
      <c r="DRH47" s="971"/>
      <c r="DRI47" s="971"/>
      <c r="DRJ47" s="971"/>
      <c r="DRK47" s="971"/>
      <c r="DRL47" s="971"/>
      <c r="DRM47" s="971"/>
      <c r="DRN47" s="971"/>
      <c r="DRO47" s="971"/>
      <c r="DRP47" s="971"/>
      <c r="DRQ47" s="971"/>
      <c r="DRR47" s="971"/>
      <c r="DRS47" s="971"/>
      <c r="DRT47" s="971"/>
      <c r="DRU47" s="971"/>
      <c r="DRV47" s="971"/>
      <c r="DRW47" s="971"/>
      <c r="DRX47" s="971"/>
      <c r="DRY47" s="971"/>
      <c r="DRZ47" s="971"/>
      <c r="DSA47" s="971"/>
      <c r="DSB47" s="971"/>
      <c r="DSC47" s="971"/>
      <c r="DSD47" s="971"/>
      <c r="DSE47" s="971"/>
      <c r="DSF47" s="971"/>
      <c r="DSG47" s="971"/>
      <c r="DSH47" s="971"/>
      <c r="DSI47" s="971"/>
      <c r="DSJ47" s="971"/>
      <c r="DSK47" s="971"/>
      <c r="DSL47" s="971"/>
      <c r="DSM47" s="971"/>
      <c r="DSN47" s="971"/>
      <c r="DSO47" s="971"/>
      <c r="DSP47" s="971"/>
      <c r="DSQ47" s="971"/>
      <c r="DSR47" s="971"/>
      <c r="DSS47" s="971"/>
      <c r="DST47" s="971"/>
      <c r="DSU47" s="971"/>
      <c r="DSV47" s="971"/>
      <c r="DSW47" s="971"/>
      <c r="DSX47" s="971"/>
      <c r="DSY47" s="971"/>
      <c r="DSZ47" s="971"/>
      <c r="DTA47" s="971"/>
      <c r="DTB47" s="971"/>
      <c r="DTC47" s="971"/>
      <c r="DTD47" s="971"/>
      <c r="DTE47" s="971"/>
      <c r="DTF47" s="971"/>
      <c r="DTG47" s="971"/>
      <c r="DTH47" s="971"/>
      <c r="DTI47" s="971"/>
      <c r="DTJ47" s="971"/>
      <c r="DTK47" s="971"/>
      <c r="DTL47" s="971"/>
      <c r="DTM47" s="971"/>
      <c r="DTN47" s="971"/>
      <c r="DTO47" s="971"/>
      <c r="DTP47" s="971"/>
      <c r="DTQ47" s="971"/>
      <c r="DTR47" s="971"/>
      <c r="DTS47" s="971"/>
      <c r="DTT47" s="971"/>
      <c r="DTU47" s="971"/>
      <c r="DTV47" s="971"/>
      <c r="DTW47" s="971"/>
      <c r="DTX47" s="971"/>
      <c r="DTY47" s="971"/>
      <c r="DTZ47" s="971"/>
      <c r="DUA47" s="971"/>
      <c r="DUB47" s="971"/>
      <c r="DUC47" s="971"/>
      <c r="DUD47" s="971"/>
      <c r="DUE47" s="971"/>
      <c r="DUF47" s="971"/>
      <c r="DUG47" s="971"/>
      <c r="DUH47" s="971"/>
      <c r="DUI47" s="971"/>
      <c r="DUJ47" s="971"/>
      <c r="DUK47" s="971"/>
      <c r="DUL47" s="971"/>
      <c r="DUM47" s="971"/>
      <c r="DUN47" s="971"/>
      <c r="DUO47" s="971"/>
      <c r="DUP47" s="971"/>
      <c r="DUQ47" s="971"/>
      <c r="DUR47" s="971"/>
      <c r="DUS47" s="971"/>
      <c r="DUT47" s="971"/>
      <c r="DUU47" s="971"/>
      <c r="DUV47" s="971"/>
      <c r="DUW47" s="971"/>
      <c r="DUX47" s="971"/>
      <c r="DUY47" s="971"/>
      <c r="DUZ47" s="971"/>
      <c r="DVA47" s="971"/>
      <c r="DVB47" s="971"/>
      <c r="DVC47" s="971"/>
      <c r="DVD47" s="971"/>
      <c r="DVE47" s="971"/>
      <c r="DVF47" s="971"/>
      <c r="DVG47" s="971"/>
      <c r="DVH47" s="971"/>
      <c r="DVI47" s="971"/>
      <c r="DVJ47" s="971"/>
      <c r="DVK47" s="971"/>
      <c r="DVL47" s="971"/>
      <c r="DVM47" s="971"/>
      <c r="DVN47" s="971"/>
      <c r="DVO47" s="971"/>
      <c r="DVP47" s="971"/>
      <c r="DVQ47" s="971"/>
      <c r="DVR47" s="971"/>
      <c r="DVS47" s="971"/>
      <c r="DVT47" s="971"/>
      <c r="DVU47" s="971"/>
      <c r="DVV47" s="971"/>
      <c r="DVW47" s="971"/>
      <c r="DVX47" s="971"/>
      <c r="DVY47" s="971"/>
      <c r="DVZ47" s="971"/>
      <c r="DWA47" s="971"/>
      <c r="DWB47" s="971"/>
      <c r="DWC47" s="971"/>
      <c r="DWD47" s="971"/>
      <c r="DWE47" s="971"/>
      <c r="DWF47" s="971"/>
      <c r="DWG47" s="971"/>
      <c r="DWH47" s="971"/>
      <c r="DWI47" s="971"/>
      <c r="DWJ47" s="971"/>
      <c r="DWK47" s="971"/>
      <c r="DWL47" s="971"/>
      <c r="DWM47" s="971"/>
      <c r="DWN47" s="971"/>
      <c r="DWO47" s="971"/>
      <c r="DWP47" s="971"/>
      <c r="DWQ47" s="971"/>
      <c r="DWR47" s="971"/>
      <c r="DWS47" s="971"/>
      <c r="DWT47" s="971"/>
      <c r="DWU47" s="971"/>
      <c r="DWV47" s="971"/>
      <c r="DWW47" s="971"/>
      <c r="DWX47" s="971"/>
      <c r="DWY47" s="971"/>
      <c r="DWZ47" s="971"/>
      <c r="DXA47" s="971"/>
      <c r="DXB47" s="971"/>
      <c r="DXC47" s="971"/>
      <c r="DXD47" s="971"/>
      <c r="DXE47" s="971"/>
      <c r="DXF47" s="971"/>
      <c r="DXG47" s="971"/>
      <c r="DXH47" s="971"/>
      <c r="DXI47" s="971"/>
      <c r="DXJ47" s="971"/>
      <c r="DXK47" s="971"/>
      <c r="DXL47" s="971"/>
      <c r="DXM47" s="971"/>
      <c r="DXN47" s="971"/>
      <c r="DXO47" s="971"/>
      <c r="DXP47" s="971"/>
      <c r="DXQ47" s="971"/>
      <c r="DXR47" s="971"/>
      <c r="DXS47" s="971"/>
      <c r="DXT47" s="971"/>
      <c r="DXU47" s="971"/>
      <c r="DXV47" s="971"/>
      <c r="DXW47" s="971"/>
      <c r="DXX47" s="971"/>
      <c r="DXY47" s="971"/>
      <c r="DXZ47" s="971"/>
      <c r="DYA47" s="971"/>
      <c r="DYB47" s="971"/>
      <c r="DYC47" s="971"/>
      <c r="DYD47" s="971"/>
      <c r="DYE47" s="971"/>
      <c r="DYF47" s="971"/>
      <c r="DYG47" s="971"/>
      <c r="DYH47" s="971"/>
      <c r="DYI47" s="971"/>
      <c r="DYJ47" s="971"/>
      <c r="DYK47" s="971"/>
      <c r="DYL47" s="971"/>
      <c r="DYM47" s="971"/>
      <c r="DYN47" s="971"/>
      <c r="DYO47" s="971"/>
      <c r="DYP47" s="971"/>
      <c r="DYQ47" s="971"/>
      <c r="DYR47" s="971"/>
      <c r="DYS47" s="971"/>
      <c r="DYT47" s="971"/>
      <c r="DYU47" s="971"/>
      <c r="DYV47" s="971"/>
      <c r="DYW47" s="971"/>
      <c r="DYX47" s="971"/>
      <c r="DYY47" s="971"/>
      <c r="DYZ47" s="971"/>
      <c r="DZA47" s="971"/>
      <c r="DZB47" s="971"/>
      <c r="DZC47" s="971"/>
      <c r="DZD47" s="971"/>
      <c r="DZE47" s="971"/>
      <c r="DZF47" s="971"/>
      <c r="DZG47" s="971"/>
      <c r="DZH47" s="971"/>
      <c r="DZI47" s="971"/>
      <c r="DZJ47" s="971"/>
      <c r="DZK47" s="971"/>
      <c r="DZL47" s="971"/>
      <c r="DZM47" s="971"/>
      <c r="DZN47" s="971"/>
      <c r="DZO47" s="971"/>
      <c r="DZP47" s="971"/>
      <c r="DZQ47" s="971"/>
      <c r="DZR47" s="971"/>
      <c r="DZS47" s="971"/>
      <c r="DZT47" s="971"/>
      <c r="DZU47" s="971"/>
      <c r="DZV47" s="971"/>
      <c r="DZW47" s="971"/>
      <c r="DZX47" s="971"/>
      <c r="DZY47" s="971"/>
      <c r="DZZ47" s="971"/>
      <c r="EAA47" s="971"/>
      <c r="EAB47" s="971"/>
      <c r="EAC47" s="971"/>
      <c r="EAD47" s="971"/>
      <c r="EAE47" s="971"/>
      <c r="EAF47" s="971"/>
      <c r="EAG47" s="971"/>
      <c r="EAH47" s="971"/>
      <c r="EAI47" s="971"/>
      <c r="EAJ47" s="971"/>
      <c r="EAK47" s="971"/>
      <c r="EAL47" s="971"/>
      <c r="EAM47" s="971"/>
      <c r="EAN47" s="971"/>
      <c r="EAO47" s="971"/>
      <c r="EAP47" s="971"/>
      <c r="EAQ47" s="971"/>
      <c r="EAR47" s="971"/>
      <c r="EAS47" s="971"/>
      <c r="EAT47" s="971"/>
      <c r="EAU47" s="971"/>
      <c r="EAV47" s="971"/>
      <c r="EAW47" s="971"/>
      <c r="EAX47" s="971"/>
      <c r="EAY47" s="971"/>
      <c r="EAZ47" s="971"/>
      <c r="EBA47" s="971"/>
      <c r="EBB47" s="971"/>
      <c r="EBC47" s="971"/>
      <c r="EBD47" s="971"/>
      <c r="EBE47" s="971"/>
      <c r="EBF47" s="971"/>
      <c r="EBG47" s="971"/>
      <c r="EBH47" s="971"/>
      <c r="EBI47" s="971"/>
      <c r="EBJ47" s="971"/>
      <c r="EBK47" s="971"/>
      <c r="EBL47" s="971"/>
      <c r="EBM47" s="971"/>
      <c r="EBN47" s="971"/>
      <c r="EBO47" s="971"/>
      <c r="EBP47" s="971"/>
      <c r="EBQ47" s="971"/>
      <c r="EBR47" s="971"/>
      <c r="EBS47" s="971"/>
      <c r="EBT47" s="971"/>
      <c r="EBU47" s="971"/>
      <c r="EBV47" s="971"/>
      <c r="EBW47" s="971"/>
      <c r="EBX47" s="971"/>
      <c r="EBY47" s="971"/>
      <c r="EBZ47" s="971"/>
      <c r="ECA47" s="971"/>
      <c r="ECB47" s="971"/>
      <c r="ECC47" s="971"/>
      <c r="ECD47" s="971"/>
      <c r="ECE47" s="971"/>
      <c r="ECF47" s="971"/>
      <c r="ECG47" s="971"/>
      <c r="ECH47" s="971"/>
      <c r="ECI47" s="971"/>
      <c r="ECJ47" s="971"/>
      <c r="ECK47" s="971"/>
      <c r="ECL47" s="971"/>
      <c r="ECM47" s="971"/>
      <c r="ECN47" s="971"/>
      <c r="ECO47" s="971"/>
      <c r="ECP47" s="971"/>
      <c r="ECQ47" s="971"/>
      <c r="ECR47" s="971"/>
      <c r="ECS47" s="971"/>
      <c r="ECT47" s="971"/>
      <c r="ECU47" s="971"/>
      <c r="ECV47" s="971"/>
      <c r="ECW47" s="971"/>
      <c r="ECX47" s="971"/>
      <c r="ECY47" s="971"/>
      <c r="ECZ47" s="971"/>
      <c r="EDA47" s="971"/>
      <c r="EDB47" s="971"/>
      <c r="EDC47" s="971"/>
      <c r="EDD47" s="971"/>
      <c r="EDE47" s="971"/>
      <c r="EDF47" s="971"/>
      <c r="EDG47" s="971"/>
      <c r="EDH47" s="971"/>
      <c r="EDI47" s="971"/>
      <c r="EDJ47" s="971"/>
      <c r="EDK47" s="971"/>
      <c r="EDL47" s="971"/>
      <c r="EDM47" s="971"/>
      <c r="EDN47" s="971"/>
      <c r="EDO47" s="971"/>
      <c r="EDP47" s="971"/>
      <c r="EDQ47" s="971"/>
      <c r="EDR47" s="971"/>
      <c r="EDS47" s="971"/>
      <c r="EDT47" s="971"/>
      <c r="EDU47" s="971"/>
      <c r="EDV47" s="971"/>
      <c r="EDW47" s="971"/>
      <c r="EDX47" s="971"/>
      <c r="EDY47" s="971"/>
      <c r="EDZ47" s="971"/>
      <c r="EEA47" s="971"/>
      <c r="EEB47" s="971"/>
      <c r="EEC47" s="971"/>
      <c r="EED47" s="971"/>
      <c r="EEE47" s="971"/>
      <c r="EEF47" s="971"/>
      <c r="EEG47" s="971"/>
      <c r="EEH47" s="971"/>
      <c r="EEI47" s="971"/>
      <c r="EEJ47" s="971"/>
      <c r="EEK47" s="971"/>
      <c r="EEL47" s="971"/>
      <c r="EEM47" s="971"/>
      <c r="EEN47" s="971"/>
      <c r="EEO47" s="971"/>
      <c r="EEP47" s="971"/>
      <c r="EEQ47" s="971"/>
      <c r="EER47" s="971"/>
      <c r="EES47" s="971"/>
      <c r="EET47" s="971"/>
      <c r="EEU47" s="971"/>
      <c r="EEV47" s="971"/>
      <c r="EEW47" s="971"/>
      <c r="EEX47" s="971"/>
      <c r="EEY47" s="971"/>
      <c r="EEZ47" s="971"/>
      <c r="EFA47" s="971"/>
      <c r="EFB47" s="971"/>
      <c r="EFC47" s="971"/>
      <c r="EFD47" s="971"/>
      <c r="EFE47" s="971"/>
      <c r="EFF47" s="971"/>
      <c r="EFG47" s="971"/>
      <c r="EFH47" s="971"/>
      <c r="EFI47" s="971"/>
      <c r="EFJ47" s="971"/>
      <c r="EFK47" s="971"/>
      <c r="EFL47" s="971"/>
      <c r="EFM47" s="971"/>
      <c r="EFN47" s="971"/>
      <c r="EFO47" s="971"/>
      <c r="EFP47" s="971"/>
      <c r="EFQ47" s="971"/>
      <c r="EFR47" s="971"/>
      <c r="EFS47" s="971"/>
      <c r="EFT47" s="971"/>
      <c r="EFU47" s="971"/>
      <c r="EFV47" s="971"/>
      <c r="EFW47" s="971"/>
      <c r="EFX47" s="971"/>
      <c r="EFY47" s="971"/>
      <c r="EFZ47" s="971"/>
      <c r="EGA47" s="971"/>
      <c r="EGB47" s="971"/>
      <c r="EGC47" s="971"/>
      <c r="EGD47" s="971"/>
      <c r="EGE47" s="971"/>
      <c r="EGF47" s="971"/>
      <c r="EGG47" s="971"/>
      <c r="EGH47" s="971"/>
      <c r="EGI47" s="971"/>
      <c r="EGJ47" s="971"/>
      <c r="EGK47" s="971"/>
      <c r="EGL47" s="971"/>
      <c r="EGM47" s="971"/>
      <c r="EGN47" s="971"/>
      <c r="EGO47" s="971"/>
      <c r="EGP47" s="971"/>
      <c r="EGQ47" s="971"/>
      <c r="EGR47" s="971"/>
      <c r="EGS47" s="971"/>
      <c r="EGT47" s="971"/>
      <c r="EGU47" s="971"/>
      <c r="EGV47" s="971"/>
      <c r="EGW47" s="971"/>
      <c r="EGX47" s="971"/>
      <c r="EGY47" s="971"/>
      <c r="EGZ47" s="971"/>
      <c r="EHA47" s="971"/>
      <c r="EHB47" s="971"/>
      <c r="EHC47" s="971"/>
      <c r="EHD47" s="971"/>
      <c r="EHE47" s="971"/>
      <c r="EHF47" s="971"/>
      <c r="EHG47" s="971"/>
      <c r="EHH47" s="971"/>
      <c r="EHI47" s="971"/>
      <c r="EHJ47" s="971"/>
      <c r="EHK47" s="971"/>
      <c r="EHL47" s="971"/>
      <c r="EHM47" s="971"/>
      <c r="EHN47" s="971"/>
      <c r="EHO47" s="971"/>
      <c r="EHP47" s="971"/>
      <c r="EHQ47" s="971"/>
      <c r="EHR47" s="971"/>
      <c r="EHS47" s="971"/>
      <c r="EHT47" s="971"/>
      <c r="EHU47" s="971"/>
      <c r="EHV47" s="971"/>
      <c r="EHW47" s="971"/>
      <c r="EHX47" s="971"/>
      <c r="EHY47" s="971"/>
      <c r="EHZ47" s="971"/>
      <c r="EIA47" s="971"/>
      <c r="EIB47" s="971"/>
      <c r="EIC47" s="971"/>
      <c r="EID47" s="971"/>
      <c r="EIE47" s="971"/>
      <c r="EIF47" s="971"/>
      <c r="EIG47" s="971"/>
      <c r="EIH47" s="971"/>
      <c r="EII47" s="971"/>
      <c r="EIJ47" s="971"/>
      <c r="EIK47" s="971"/>
      <c r="EIL47" s="971"/>
      <c r="EIM47" s="971"/>
      <c r="EIN47" s="971"/>
      <c r="EIO47" s="971"/>
      <c r="EIP47" s="971"/>
      <c r="EIQ47" s="971"/>
      <c r="EIR47" s="971"/>
      <c r="EIS47" s="971"/>
      <c r="EIT47" s="971"/>
      <c r="EIU47" s="971"/>
      <c r="EIV47" s="971"/>
      <c r="EIW47" s="971"/>
      <c r="EIX47" s="971"/>
      <c r="EIY47" s="971"/>
      <c r="EIZ47" s="971"/>
      <c r="EJA47" s="971"/>
      <c r="EJB47" s="971"/>
      <c r="EJC47" s="971"/>
      <c r="EJD47" s="971"/>
      <c r="EJE47" s="971"/>
      <c r="EJF47" s="971"/>
      <c r="EJG47" s="971"/>
      <c r="EJH47" s="971"/>
      <c r="EJI47" s="971"/>
      <c r="EJJ47" s="971"/>
      <c r="EJK47" s="971"/>
      <c r="EJL47" s="971"/>
      <c r="EJM47" s="971"/>
      <c r="EJN47" s="971"/>
      <c r="EJO47" s="971"/>
      <c r="EJP47" s="971"/>
      <c r="EJQ47" s="971"/>
      <c r="EJR47" s="971"/>
      <c r="EJS47" s="971"/>
      <c r="EJT47" s="971"/>
      <c r="EJU47" s="971"/>
      <c r="EJV47" s="971"/>
      <c r="EJW47" s="971"/>
      <c r="EJX47" s="971"/>
      <c r="EJY47" s="971"/>
      <c r="EJZ47" s="971"/>
      <c r="EKA47" s="971"/>
      <c r="EKB47" s="971"/>
      <c r="EKC47" s="971"/>
      <c r="EKD47" s="971"/>
      <c r="EKE47" s="971"/>
      <c r="EKF47" s="971"/>
      <c r="EKG47" s="971"/>
      <c r="EKH47" s="971"/>
      <c r="EKI47" s="971"/>
      <c r="EKJ47" s="971"/>
      <c r="EKK47" s="971"/>
      <c r="EKL47" s="971"/>
      <c r="EKM47" s="971"/>
      <c r="EKN47" s="971"/>
      <c r="EKO47" s="971"/>
      <c r="EKP47" s="971"/>
      <c r="EKQ47" s="971"/>
      <c r="EKR47" s="971"/>
      <c r="EKS47" s="971"/>
      <c r="EKT47" s="971"/>
      <c r="EKU47" s="971"/>
      <c r="EKV47" s="971"/>
      <c r="EKW47" s="971"/>
      <c r="EKX47" s="971"/>
      <c r="EKY47" s="971"/>
      <c r="EKZ47" s="971"/>
      <c r="ELA47" s="971"/>
      <c r="ELB47" s="971"/>
      <c r="ELC47" s="971"/>
      <c r="ELD47" s="971"/>
      <c r="ELE47" s="971"/>
      <c r="ELF47" s="971"/>
      <c r="ELG47" s="971"/>
      <c r="ELH47" s="971"/>
      <c r="ELI47" s="971"/>
      <c r="ELJ47" s="971"/>
      <c r="ELK47" s="971"/>
      <c r="ELL47" s="971"/>
      <c r="ELM47" s="971"/>
      <c r="ELN47" s="971"/>
      <c r="ELO47" s="971"/>
      <c r="ELP47" s="971"/>
      <c r="ELQ47" s="971"/>
      <c r="ELR47" s="971"/>
      <c r="ELS47" s="971"/>
      <c r="ELT47" s="971"/>
      <c r="ELU47" s="971"/>
      <c r="ELV47" s="971"/>
      <c r="ELW47" s="971"/>
      <c r="ELX47" s="971"/>
      <c r="ELY47" s="971"/>
      <c r="ELZ47" s="971"/>
      <c r="EMA47" s="971"/>
      <c r="EMB47" s="971"/>
      <c r="EMC47" s="971"/>
      <c r="EMD47" s="971"/>
      <c r="EME47" s="971"/>
      <c r="EMF47" s="971"/>
      <c r="EMG47" s="971"/>
      <c r="EMH47" s="971"/>
      <c r="EMI47" s="971"/>
      <c r="EMJ47" s="971"/>
      <c r="EMK47" s="971"/>
      <c r="EML47" s="971"/>
      <c r="EMM47" s="971"/>
      <c r="EMN47" s="971"/>
      <c r="EMO47" s="971"/>
      <c r="EMP47" s="971"/>
      <c r="EMQ47" s="971"/>
      <c r="EMR47" s="971"/>
      <c r="EMS47" s="971"/>
      <c r="EMT47" s="971"/>
      <c r="EMU47" s="971"/>
      <c r="EMV47" s="971"/>
      <c r="EMW47" s="971"/>
      <c r="EMX47" s="971"/>
      <c r="EMY47" s="971"/>
      <c r="EMZ47" s="971"/>
      <c r="ENA47" s="971"/>
      <c r="ENB47" s="971"/>
      <c r="ENC47" s="971"/>
      <c r="END47" s="971"/>
      <c r="ENE47" s="971"/>
      <c r="ENF47" s="971"/>
      <c r="ENG47" s="971"/>
      <c r="ENH47" s="971"/>
      <c r="ENI47" s="971"/>
      <c r="ENJ47" s="971"/>
      <c r="ENK47" s="971"/>
      <c r="ENL47" s="971"/>
      <c r="ENM47" s="971"/>
      <c r="ENN47" s="971"/>
      <c r="ENO47" s="971"/>
      <c r="ENP47" s="971"/>
      <c r="ENQ47" s="971"/>
      <c r="ENR47" s="971"/>
      <c r="ENS47" s="971"/>
      <c r="ENT47" s="971"/>
      <c r="ENU47" s="971"/>
      <c r="ENV47" s="971"/>
      <c r="ENW47" s="971"/>
      <c r="ENX47" s="971"/>
      <c r="ENY47" s="971"/>
      <c r="ENZ47" s="971"/>
      <c r="EOA47" s="971"/>
      <c r="EOB47" s="971"/>
      <c r="EOC47" s="971"/>
      <c r="EOD47" s="971"/>
      <c r="EOE47" s="971"/>
      <c r="EOF47" s="971"/>
      <c r="EOG47" s="971"/>
      <c r="EOH47" s="971"/>
      <c r="EOI47" s="971"/>
      <c r="EOJ47" s="971"/>
      <c r="EOK47" s="971"/>
      <c r="EOL47" s="971"/>
      <c r="EOM47" s="971"/>
      <c r="EON47" s="971"/>
      <c r="EOO47" s="971"/>
      <c r="EOP47" s="971"/>
      <c r="EOQ47" s="971"/>
      <c r="EOR47" s="971"/>
      <c r="EOS47" s="971"/>
      <c r="EOT47" s="971"/>
      <c r="EOU47" s="971"/>
      <c r="EOV47" s="971"/>
      <c r="EOW47" s="971"/>
      <c r="EOX47" s="971"/>
      <c r="EOY47" s="971"/>
      <c r="EOZ47" s="971"/>
      <c r="EPA47" s="971"/>
      <c r="EPB47" s="971"/>
      <c r="EPC47" s="971"/>
      <c r="EPD47" s="971"/>
      <c r="EPE47" s="971"/>
      <c r="EPF47" s="971"/>
      <c r="EPG47" s="971"/>
      <c r="EPH47" s="971"/>
      <c r="EPI47" s="971"/>
      <c r="EPJ47" s="971"/>
      <c r="EPK47" s="971"/>
      <c r="EPL47" s="971"/>
      <c r="EPM47" s="971"/>
      <c r="EPN47" s="971"/>
      <c r="EPO47" s="971"/>
      <c r="EPP47" s="971"/>
      <c r="EPQ47" s="971"/>
      <c r="EPR47" s="971"/>
      <c r="EPS47" s="971"/>
      <c r="EPT47" s="971"/>
      <c r="EPU47" s="971"/>
      <c r="EPV47" s="971"/>
      <c r="EPW47" s="971"/>
      <c r="EPX47" s="971"/>
      <c r="EPY47" s="971"/>
      <c r="EPZ47" s="971"/>
      <c r="EQA47" s="971"/>
      <c r="EQB47" s="971"/>
      <c r="EQC47" s="971"/>
      <c r="EQD47" s="971"/>
      <c r="EQE47" s="971"/>
      <c r="EQF47" s="971"/>
      <c r="EQG47" s="971"/>
      <c r="EQH47" s="971"/>
      <c r="EQI47" s="971"/>
      <c r="EQJ47" s="971"/>
      <c r="EQK47" s="971"/>
      <c r="EQL47" s="971"/>
      <c r="EQM47" s="971"/>
      <c r="EQN47" s="971"/>
      <c r="EQO47" s="971"/>
      <c r="EQP47" s="971"/>
      <c r="EQQ47" s="971"/>
      <c r="EQR47" s="971"/>
      <c r="EQS47" s="971"/>
      <c r="EQT47" s="971"/>
      <c r="EQU47" s="971"/>
      <c r="EQV47" s="971"/>
      <c r="EQW47" s="971"/>
      <c r="EQX47" s="971"/>
      <c r="EQY47" s="971"/>
      <c r="EQZ47" s="971"/>
      <c r="ERA47" s="971"/>
      <c r="ERB47" s="971"/>
      <c r="ERC47" s="971"/>
      <c r="ERD47" s="971"/>
      <c r="ERE47" s="971"/>
      <c r="ERF47" s="971"/>
      <c r="ERG47" s="971"/>
      <c r="ERH47" s="971"/>
      <c r="ERI47" s="971"/>
      <c r="ERJ47" s="971"/>
      <c r="ERK47" s="971"/>
      <c r="ERL47" s="971"/>
      <c r="ERM47" s="971"/>
      <c r="ERN47" s="971"/>
      <c r="ERO47" s="971"/>
      <c r="ERP47" s="971"/>
      <c r="ERQ47" s="971"/>
      <c r="ERR47" s="971"/>
      <c r="ERS47" s="971"/>
      <c r="ERT47" s="971"/>
      <c r="ERU47" s="971"/>
      <c r="ERV47" s="971"/>
      <c r="ERW47" s="971"/>
      <c r="ERX47" s="971"/>
      <c r="ERY47" s="971"/>
      <c r="ERZ47" s="971"/>
      <c r="ESA47" s="971"/>
      <c r="ESB47" s="971"/>
      <c r="ESC47" s="971"/>
      <c r="ESD47" s="971"/>
      <c r="ESE47" s="971"/>
      <c r="ESF47" s="971"/>
      <c r="ESG47" s="971"/>
      <c r="ESH47" s="971"/>
      <c r="ESI47" s="971"/>
      <c r="ESJ47" s="971"/>
      <c r="ESK47" s="971"/>
      <c r="ESL47" s="971"/>
      <c r="ESM47" s="971"/>
      <c r="ESN47" s="971"/>
      <c r="ESO47" s="971"/>
      <c r="ESP47" s="971"/>
      <c r="ESQ47" s="971"/>
      <c r="ESR47" s="971"/>
      <c r="ESS47" s="971"/>
      <c r="EST47" s="971"/>
      <c r="ESU47" s="971"/>
      <c r="ESV47" s="971"/>
      <c r="ESW47" s="971"/>
      <c r="ESX47" s="971"/>
      <c r="ESY47" s="971"/>
      <c r="ESZ47" s="971"/>
      <c r="ETA47" s="971"/>
      <c r="ETB47" s="971"/>
      <c r="ETC47" s="971"/>
      <c r="ETD47" s="971"/>
      <c r="ETE47" s="971"/>
      <c r="ETF47" s="971"/>
      <c r="ETG47" s="971"/>
      <c r="ETH47" s="971"/>
      <c r="ETI47" s="971"/>
      <c r="ETJ47" s="971"/>
      <c r="ETK47" s="971"/>
      <c r="ETL47" s="971"/>
      <c r="ETM47" s="971"/>
      <c r="ETN47" s="971"/>
      <c r="ETO47" s="971"/>
      <c r="ETP47" s="971"/>
      <c r="ETQ47" s="971"/>
      <c r="ETR47" s="971"/>
      <c r="ETS47" s="971"/>
      <c r="ETT47" s="971"/>
      <c r="ETU47" s="971"/>
      <c r="ETV47" s="971"/>
      <c r="ETW47" s="971"/>
      <c r="ETX47" s="971"/>
      <c r="ETY47" s="971"/>
      <c r="ETZ47" s="971"/>
      <c r="EUA47" s="971"/>
      <c r="EUB47" s="971"/>
      <c r="EUC47" s="971"/>
      <c r="EUD47" s="971"/>
      <c r="EUE47" s="971"/>
      <c r="EUF47" s="971"/>
      <c r="EUG47" s="971"/>
      <c r="EUH47" s="971"/>
      <c r="EUI47" s="971"/>
      <c r="EUJ47" s="971"/>
      <c r="EUK47" s="971"/>
      <c r="EUL47" s="971"/>
      <c r="EUM47" s="971"/>
      <c r="EUN47" s="971"/>
      <c r="EUO47" s="971"/>
      <c r="EUP47" s="971"/>
      <c r="EUQ47" s="971"/>
      <c r="EUR47" s="971"/>
      <c r="EUS47" s="971"/>
      <c r="EUT47" s="971"/>
      <c r="EUU47" s="971"/>
      <c r="EUV47" s="971"/>
      <c r="EUW47" s="971"/>
      <c r="EUX47" s="971"/>
      <c r="EUY47" s="971"/>
      <c r="EUZ47" s="971"/>
      <c r="EVA47" s="971"/>
      <c r="EVB47" s="971"/>
      <c r="EVC47" s="971"/>
      <c r="EVD47" s="971"/>
      <c r="EVE47" s="971"/>
      <c r="EVF47" s="971"/>
      <c r="EVG47" s="971"/>
      <c r="EVH47" s="971"/>
      <c r="EVI47" s="971"/>
      <c r="EVJ47" s="971"/>
      <c r="EVK47" s="971"/>
      <c r="EVL47" s="971"/>
      <c r="EVM47" s="971"/>
      <c r="EVN47" s="971"/>
      <c r="EVO47" s="971"/>
      <c r="EVP47" s="971"/>
      <c r="EVQ47" s="971"/>
      <c r="EVR47" s="971"/>
      <c r="EVS47" s="971"/>
      <c r="EVT47" s="971"/>
      <c r="EVU47" s="971"/>
      <c r="EVV47" s="971"/>
      <c r="EVW47" s="971"/>
      <c r="EVX47" s="971"/>
      <c r="EVY47" s="971"/>
      <c r="EVZ47" s="971"/>
      <c r="EWA47" s="971"/>
      <c r="EWB47" s="971"/>
      <c r="EWC47" s="971"/>
      <c r="EWD47" s="971"/>
      <c r="EWE47" s="971"/>
      <c r="EWF47" s="971"/>
      <c r="EWG47" s="971"/>
      <c r="EWH47" s="971"/>
      <c r="EWI47" s="971"/>
      <c r="EWJ47" s="971"/>
      <c r="EWK47" s="971"/>
      <c r="EWL47" s="971"/>
      <c r="EWM47" s="971"/>
      <c r="EWN47" s="971"/>
      <c r="EWO47" s="971"/>
      <c r="EWP47" s="971"/>
      <c r="EWQ47" s="971"/>
      <c r="EWR47" s="971"/>
      <c r="EWS47" s="971"/>
      <c r="EWT47" s="971"/>
      <c r="EWU47" s="971"/>
      <c r="EWV47" s="971"/>
      <c r="EWW47" s="971"/>
      <c r="EWX47" s="971"/>
      <c r="EWY47" s="971"/>
      <c r="EWZ47" s="971"/>
      <c r="EXA47" s="971"/>
      <c r="EXB47" s="971"/>
      <c r="EXC47" s="971"/>
      <c r="EXD47" s="971"/>
      <c r="EXE47" s="971"/>
      <c r="EXF47" s="971"/>
      <c r="EXG47" s="971"/>
      <c r="EXH47" s="971"/>
      <c r="EXI47" s="971"/>
      <c r="EXJ47" s="971"/>
      <c r="EXK47" s="971"/>
      <c r="EXL47" s="971"/>
      <c r="EXM47" s="971"/>
      <c r="EXN47" s="971"/>
      <c r="EXO47" s="971"/>
      <c r="EXP47" s="971"/>
      <c r="EXQ47" s="971"/>
      <c r="EXR47" s="971"/>
      <c r="EXS47" s="971"/>
      <c r="EXT47" s="971"/>
      <c r="EXU47" s="971"/>
      <c r="EXV47" s="971"/>
      <c r="EXW47" s="971"/>
      <c r="EXX47" s="971"/>
      <c r="EXY47" s="971"/>
      <c r="EXZ47" s="971"/>
      <c r="EYA47" s="971"/>
      <c r="EYB47" s="971"/>
      <c r="EYC47" s="971"/>
      <c r="EYD47" s="971"/>
      <c r="EYE47" s="971"/>
      <c r="EYF47" s="971"/>
      <c r="EYG47" s="971"/>
      <c r="EYH47" s="971"/>
      <c r="EYI47" s="971"/>
      <c r="EYJ47" s="971"/>
      <c r="EYK47" s="971"/>
      <c r="EYL47" s="971"/>
      <c r="EYM47" s="971"/>
      <c r="EYN47" s="971"/>
      <c r="EYO47" s="971"/>
      <c r="EYP47" s="971"/>
      <c r="EYQ47" s="971"/>
      <c r="EYR47" s="971"/>
      <c r="EYS47" s="971"/>
      <c r="EYT47" s="971"/>
      <c r="EYU47" s="971"/>
      <c r="EYV47" s="971"/>
      <c r="EYW47" s="971"/>
      <c r="EYX47" s="971"/>
      <c r="EYY47" s="971"/>
      <c r="EYZ47" s="971"/>
      <c r="EZA47" s="971"/>
      <c r="EZB47" s="971"/>
      <c r="EZC47" s="971"/>
      <c r="EZD47" s="971"/>
      <c r="EZE47" s="971"/>
      <c r="EZF47" s="971"/>
      <c r="EZG47" s="971"/>
      <c r="EZH47" s="971"/>
      <c r="EZI47" s="971"/>
      <c r="EZJ47" s="971"/>
      <c r="EZK47" s="971"/>
      <c r="EZL47" s="971"/>
      <c r="EZM47" s="971"/>
      <c r="EZN47" s="971"/>
      <c r="EZO47" s="971"/>
      <c r="EZP47" s="971"/>
      <c r="EZQ47" s="971"/>
      <c r="EZR47" s="971"/>
      <c r="EZS47" s="971"/>
      <c r="EZT47" s="971"/>
      <c r="EZU47" s="971"/>
      <c r="EZV47" s="971"/>
      <c r="EZW47" s="971"/>
      <c r="EZX47" s="971"/>
      <c r="EZY47" s="971"/>
      <c r="EZZ47" s="971"/>
      <c r="FAA47" s="971"/>
      <c r="FAB47" s="971"/>
      <c r="FAC47" s="971"/>
      <c r="FAD47" s="971"/>
      <c r="FAE47" s="971"/>
      <c r="FAF47" s="971"/>
      <c r="FAG47" s="971"/>
      <c r="FAH47" s="971"/>
      <c r="FAI47" s="971"/>
      <c r="FAJ47" s="971"/>
      <c r="FAK47" s="971"/>
      <c r="FAL47" s="971"/>
      <c r="FAM47" s="971"/>
      <c r="FAN47" s="971"/>
      <c r="FAO47" s="971"/>
      <c r="FAP47" s="971"/>
      <c r="FAQ47" s="971"/>
      <c r="FAR47" s="971"/>
      <c r="FAS47" s="971"/>
      <c r="FAT47" s="971"/>
      <c r="FAU47" s="971"/>
      <c r="FAV47" s="971"/>
      <c r="FAW47" s="971"/>
      <c r="FAX47" s="971"/>
      <c r="FAY47" s="971"/>
      <c r="FAZ47" s="971"/>
      <c r="FBA47" s="971"/>
      <c r="FBB47" s="971"/>
      <c r="FBC47" s="971"/>
      <c r="FBD47" s="971"/>
      <c r="FBE47" s="971"/>
      <c r="FBF47" s="971"/>
      <c r="FBG47" s="971"/>
      <c r="FBH47" s="971"/>
      <c r="FBI47" s="971"/>
      <c r="FBJ47" s="971"/>
      <c r="FBK47" s="971"/>
      <c r="FBL47" s="971"/>
      <c r="FBM47" s="971"/>
      <c r="FBN47" s="971"/>
      <c r="FBO47" s="971"/>
      <c r="FBP47" s="971"/>
      <c r="FBQ47" s="971"/>
      <c r="FBR47" s="971"/>
      <c r="FBS47" s="971"/>
      <c r="FBT47" s="971"/>
      <c r="FBU47" s="971"/>
      <c r="FBV47" s="971"/>
      <c r="FBW47" s="971"/>
      <c r="FBX47" s="971"/>
      <c r="FBY47" s="971"/>
      <c r="FBZ47" s="971"/>
      <c r="FCA47" s="971"/>
      <c r="FCB47" s="971"/>
      <c r="FCC47" s="971"/>
      <c r="FCD47" s="971"/>
      <c r="FCE47" s="971"/>
      <c r="FCF47" s="971"/>
      <c r="FCG47" s="971"/>
      <c r="FCH47" s="971"/>
      <c r="FCI47" s="971"/>
      <c r="FCJ47" s="971"/>
      <c r="FCK47" s="971"/>
      <c r="FCL47" s="971"/>
      <c r="FCM47" s="971"/>
      <c r="FCN47" s="971"/>
      <c r="FCO47" s="971"/>
      <c r="FCP47" s="971"/>
      <c r="FCQ47" s="971"/>
      <c r="FCR47" s="971"/>
      <c r="FCS47" s="971"/>
      <c r="FCT47" s="971"/>
      <c r="FCU47" s="971"/>
      <c r="FCV47" s="971"/>
      <c r="FCW47" s="971"/>
      <c r="FCX47" s="971"/>
      <c r="FCY47" s="971"/>
      <c r="FCZ47" s="971"/>
      <c r="FDA47" s="971"/>
      <c r="FDB47" s="971"/>
      <c r="FDC47" s="971"/>
      <c r="FDD47" s="971"/>
      <c r="FDE47" s="971"/>
      <c r="FDF47" s="971"/>
      <c r="FDG47" s="971"/>
      <c r="FDH47" s="971"/>
      <c r="FDI47" s="971"/>
      <c r="FDJ47" s="971"/>
      <c r="FDK47" s="971"/>
      <c r="FDL47" s="971"/>
      <c r="FDM47" s="971"/>
      <c r="FDN47" s="971"/>
      <c r="FDO47" s="971"/>
      <c r="FDP47" s="971"/>
      <c r="FDQ47" s="971"/>
      <c r="FDR47" s="971"/>
      <c r="FDS47" s="971"/>
      <c r="FDT47" s="971"/>
      <c r="FDU47" s="971"/>
      <c r="FDV47" s="971"/>
      <c r="FDW47" s="971"/>
      <c r="FDX47" s="971"/>
      <c r="FDY47" s="971"/>
      <c r="FDZ47" s="971"/>
      <c r="FEA47" s="971"/>
      <c r="FEB47" s="971"/>
      <c r="FEC47" s="971"/>
      <c r="FED47" s="971"/>
      <c r="FEE47" s="971"/>
      <c r="FEF47" s="971"/>
      <c r="FEG47" s="971"/>
      <c r="FEH47" s="971"/>
      <c r="FEI47" s="971"/>
      <c r="FEJ47" s="971"/>
      <c r="FEK47" s="971"/>
      <c r="FEL47" s="971"/>
      <c r="FEM47" s="971"/>
      <c r="FEN47" s="971"/>
      <c r="FEO47" s="971"/>
      <c r="FEP47" s="971"/>
      <c r="FEQ47" s="971"/>
      <c r="FER47" s="971"/>
      <c r="FES47" s="971"/>
      <c r="FET47" s="971"/>
      <c r="FEU47" s="971"/>
      <c r="FEV47" s="971"/>
      <c r="FEW47" s="971"/>
      <c r="FEX47" s="971"/>
      <c r="FEY47" s="971"/>
      <c r="FEZ47" s="971"/>
      <c r="FFA47" s="971"/>
      <c r="FFB47" s="971"/>
      <c r="FFC47" s="971"/>
      <c r="FFD47" s="971"/>
      <c r="FFE47" s="971"/>
      <c r="FFF47" s="971"/>
      <c r="FFG47" s="971"/>
      <c r="FFH47" s="971"/>
      <c r="FFI47" s="971"/>
      <c r="FFJ47" s="971"/>
      <c r="FFK47" s="971"/>
      <c r="FFL47" s="971"/>
      <c r="FFM47" s="971"/>
      <c r="FFN47" s="971"/>
      <c r="FFO47" s="971"/>
      <c r="FFP47" s="971"/>
      <c r="FFQ47" s="971"/>
      <c r="FFR47" s="971"/>
      <c r="FFS47" s="971"/>
      <c r="FFT47" s="971"/>
      <c r="FFU47" s="971"/>
      <c r="FFV47" s="971"/>
      <c r="FFW47" s="971"/>
      <c r="FFX47" s="971"/>
      <c r="FFY47" s="971"/>
      <c r="FFZ47" s="971"/>
      <c r="FGA47" s="971"/>
      <c r="FGB47" s="971"/>
      <c r="FGC47" s="971"/>
      <c r="FGD47" s="971"/>
      <c r="FGE47" s="971"/>
      <c r="FGF47" s="971"/>
      <c r="FGG47" s="971"/>
      <c r="FGH47" s="971"/>
      <c r="FGI47" s="971"/>
      <c r="FGJ47" s="971"/>
      <c r="FGK47" s="971"/>
      <c r="FGL47" s="971"/>
      <c r="FGM47" s="971"/>
      <c r="FGN47" s="971"/>
      <c r="FGO47" s="971"/>
      <c r="FGP47" s="971"/>
      <c r="FGQ47" s="971"/>
      <c r="FGR47" s="971"/>
      <c r="FGS47" s="971"/>
      <c r="FGT47" s="971"/>
      <c r="FGU47" s="971"/>
      <c r="FGV47" s="971"/>
      <c r="FGW47" s="971"/>
      <c r="FGX47" s="971"/>
      <c r="FGY47" s="971"/>
      <c r="FGZ47" s="971"/>
      <c r="FHA47" s="971"/>
      <c r="FHB47" s="971"/>
      <c r="FHC47" s="971"/>
      <c r="FHD47" s="971"/>
      <c r="FHE47" s="971"/>
      <c r="FHF47" s="971"/>
      <c r="FHG47" s="971"/>
      <c r="FHH47" s="971"/>
      <c r="FHI47" s="971"/>
      <c r="FHJ47" s="971"/>
      <c r="FHK47" s="971"/>
      <c r="FHL47" s="971"/>
      <c r="FHM47" s="971"/>
      <c r="FHN47" s="971"/>
      <c r="FHO47" s="971"/>
      <c r="FHP47" s="971"/>
      <c r="FHQ47" s="971"/>
      <c r="FHR47" s="971"/>
      <c r="FHS47" s="971"/>
      <c r="FHT47" s="971"/>
      <c r="FHU47" s="971"/>
      <c r="FHV47" s="971"/>
      <c r="FHW47" s="971"/>
      <c r="FHX47" s="971"/>
      <c r="FHY47" s="971"/>
      <c r="FHZ47" s="971"/>
      <c r="FIA47" s="971"/>
      <c r="FIB47" s="971"/>
      <c r="FIC47" s="971"/>
      <c r="FID47" s="971"/>
      <c r="FIE47" s="971"/>
      <c r="FIF47" s="971"/>
      <c r="FIG47" s="971"/>
      <c r="FIH47" s="971"/>
      <c r="FII47" s="971"/>
      <c r="FIJ47" s="971"/>
      <c r="FIK47" s="971"/>
      <c r="FIL47" s="971"/>
      <c r="FIM47" s="971"/>
      <c r="FIN47" s="971"/>
      <c r="FIO47" s="971"/>
      <c r="FIP47" s="971"/>
      <c r="FIQ47" s="971"/>
      <c r="FIR47" s="971"/>
      <c r="FIS47" s="971"/>
      <c r="FIT47" s="971"/>
      <c r="FIU47" s="971"/>
      <c r="FIV47" s="971"/>
      <c r="FIW47" s="971"/>
      <c r="FIX47" s="971"/>
      <c r="FIY47" s="971"/>
      <c r="FIZ47" s="971"/>
      <c r="FJA47" s="971"/>
      <c r="FJB47" s="971"/>
      <c r="FJC47" s="971"/>
      <c r="FJD47" s="971"/>
      <c r="FJE47" s="971"/>
      <c r="FJF47" s="971"/>
      <c r="FJG47" s="971"/>
      <c r="FJH47" s="971"/>
      <c r="FJI47" s="971"/>
      <c r="FJJ47" s="971"/>
      <c r="FJK47" s="971"/>
      <c r="FJL47" s="971"/>
      <c r="FJM47" s="971"/>
      <c r="FJN47" s="971"/>
      <c r="FJO47" s="971"/>
      <c r="FJP47" s="971"/>
      <c r="FJQ47" s="971"/>
      <c r="FJR47" s="971"/>
      <c r="FJS47" s="971"/>
      <c r="FJT47" s="971"/>
      <c r="FJU47" s="971"/>
      <c r="FJV47" s="971"/>
      <c r="FJW47" s="971"/>
      <c r="FJX47" s="971"/>
      <c r="FJY47" s="971"/>
      <c r="FJZ47" s="971"/>
      <c r="FKA47" s="971"/>
      <c r="FKB47" s="971"/>
      <c r="FKC47" s="971"/>
      <c r="FKD47" s="971"/>
      <c r="FKE47" s="971"/>
      <c r="FKF47" s="971"/>
      <c r="FKG47" s="971"/>
      <c r="FKH47" s="971"/>
      <c r="FKI47" s="971"/>
      <c r="FKJ47" s="971"/>
      <c r="FKK47" s="971"/>
      <c r="FKL47" s="971"/>
      <c r="FKM47" s="971"/>
      <c r="FKN47" s="971"/>
      <c r="FKO47" s="971"/>
      <c r="FKP47" s="971"/>
      <c r="FKQ47" s="971"/>
      <c r="FKR47" s="971"/>
      <c r="FKS47" s="971"/>
      <c r="FKT47" s="971"/>
      <c r="FKU47" s="971"/>
      <c r="FKV47" s="971"/>
      <c r="FKW47" s="971"/>
      <c r="FKX47" s="971"/>
      <c r="FKY47" s="971"/>
      <c r="FKZ47" s="971"/>
      <c r="FLA47" s="971"/>
      <c r="FLB47" s="971"/>
      <c r="FLC47" s="971"/>
      <c r="FLD47" s="971"/>
      <c r="FLE47" s="971"/>
      <c r="FLF47" s="971"/>
      <c r="FLG47" s="971"/>
      <c r="FLH47" s="971"/>
      <c r="FLI47" s="971"/>
      <c r="FLJ47" s="971"/>
      <c r="FLK47" s="971"/>
      <c r="FLL47" s="971"/>
      <c r="FLM47" s="971"/>
      <c r="FLN47" s="971"/>
      <c r="FLO47" s="971"/>
      <c r="FLP47" s="971"/>
      <c r="FLQ47" s="971"/>
      <c r="FLR47" s="971"/>
      <c r="FLS47" s="971"/>
      <c r="FLT47" s="971"/>
      <c r="FLU47" s="971"/>
      <c r="FLV47" s="971"/>
      <c r="FLW47" s="971"/>
      <c r="FLX47" s="971"/>
      <c r="FLY47" s="971"/>
      <c r="FLZ47" s="971"/>
      <c r="FMA47" s="971"/>
      <c r="FMB47" s="971"/>
      <c r="FMC47" s="971"/>
      <c r="FMD47" s="971"/>
      <c r="FME47" s="971"/>
      <c r="FMF47" s="971"/>
      <c r="FMG47" s="971"/>
      <c r="FMH47" s="971"/>
      <c r="FMI47" s="971"/>
      <c r="FMJ47" s="971"/>
      <c r="FMK47" s="971"/>
      <c r="FML47" s="971"/>
      <c r="FMM47" s="971"/>
      <c r="FMN47" s="971"/>
      <c r="FMO47" s="971"/>
      <c r="FMP47" s="971"/>
      <c r="FMQ47" s="971"/>
      <c r="FMR47" s="971"/>
      <c r="FMS47" s="971"/>
      <c r="FMT47" s="971"/>
      <c r="FMU47" s="971"/>
      <c r="FMV47" s="971"/>
      <c r="FMW47" s="971"/>
      <c r="FMX47" s="971"/>
      <c r="FMY47" s="971"/>
      <c r="FMZ47" s="971"/>
      <c r="FNA47" s="971"/>
      <c r="FNB47" s="971"/>
      <c r="FNC47" s="971"/>
      <c r="FND47" s="971"/>
      <c r="FNE47" s="971"/>
      <c r="FNF47" s="971"/>
      <c r="FNG47" s="971"/>
      <c r="FNH47" s="971"/>
      <c r="FNI47" s="971"/>
      <c r="FNJ47" s="971"/>
      <c r="FNK47" s="971"/>
      <c r="FNL47" s="971"/>
      <c r="FNM47" s="971"/>
      <c r="FNN47" s="971"/>
      <c r="FNO47" s="971"/>
      <c r="FNP47" s="971"/>
      <c r="FNQ47" s="971"/>
      <c r="FNR47" s="971"/>
      <c r="FNS47" s="971"/>
      <c r="FNT47" s="971"/>
      <c r="FNU47" s="971"/>
      <c r="FNV47" s="971"/>
      <c r="FNW47" s="971"/>
      <c r="FNX47" s="971"/>
      <c r="FNY47" s="971"/>
      <c r="FNZ47" s="971"/>
      <c r="FOA47" s="971"/>
      <c r="FOB47" s="971"/>
      <c r="FOC47" s="971"/>
      <c r="FOD47" s="971"/>
      <c r="FOE47" s="971"/>
      <c r="FOF47" s="971"/>
      <c r="FOG47" s="971"/>
      <c r="FOH47" s="971"/>
      <c r="FOI47" s="971"/>
      <c r="FOJ47" s="971"/>
      <c r="FOK47" s="971"/>
      <c r="FOL47" s="971"/>
      <c r="FOM47" s="971"/>
      <c r="FON47" s="971"/>
      <c r="FOO47" s="971"/>
      <c r="FOP47" s="971"/>
      <c r="FOQ47" s="971"/>
      <c r="FOR47" s="971"/>
      <c r="FOS47" s="971"/>
      <c r="FOT47" s="971"/>
      <c r="FOU47" s="971"/>
      <c r="FOV47" s="971"/>
      <c r="FOW47" s="971"/>
      <c r="FOX47" s="971"/>
      <c r="FOY47" s="971"/>
      <c r="FOZ47" s="971"/>
      <c r="FPA47" s="971"/>
      <c r="FPB47" s="971"/>
      <c r="FPC47" s="971"/>
      <c r="FPD47" s="971"/>
      <c r="FPE47" s="971"/>
      <c r="FPF47" s="971"/>
      <c r="FPG47" s="971"/>
      <c r="FPH47" s="971"/>
      <c r="FPI47" s="971"/>
      <c r="FPJ47" s="971"/>
      <c r="FPK47" s="971"/>
      <c r="FPL47" s="971"/>
      <c r="FPM47" s="971"/>
      <c r="FPN47" s="971"/>
      <c r="FPO47" s="971"/>
      <c r="FPP47" s="971"/>
      <c r="FPQ47" s="971"/>
      <c r="FPR47" s="971"/>
      <c r="FPS47" s="971"/>
      <c r="FPT47" s="971"/>
      <c r="FPU47" s="971"/>
      <c r="FPV47" s="971"/>
      <c r="FPW47" s="971"/>
      <c r="FPX47" s="971"/>
      <c r="FPY47" s="971"/>
      <c r="FPZ47" s="971"/>
      <c r="FQA47" s="971"/>
      <c r="FQB47" s="971"/>
      <c r="FQC47" s="971"/>
      <c r="FQD47" s="971"/>
      <c r="FQE47" s="971"/>
      <c r="FQF47" s="971"/>
      <c r="FQG47" s="971"/>
      <c r="FQH47" s="971"/>
      <c r="FQI47" s="971"/>
      <c r="FQJ47" s="971"/>
      <c r="FQK47" s="971"/>
      <c r="FQL47" s="971"/>
      <c r="FQM47" s="971"/>
      <c r="FQN47" s="971"/>
      <c r="FQO47" s="971"/>
      <c r="FQP47" s="971"/>
      <c r="FQQ47" s="971"/>
      <c r="FQR47" s="971"/>
      <c r="FQS47" s="971"/>
      <c r="FQT47" s="971"/>
      <c r="FQU47" s="971"/>
      <c r="FQV47" s="971"/>
      <c r="FQW47" s="971"/>
      <c r="FQX47" s="971"/>
      <c r="FQY47" s="971"/>
      <c r="FQZ47" s="971"/>
      <c r="FRA47" s="971"/>
      <c r="FRB47" s="971"/>
      <c r="FRC47" s="971"/>
      <c r="FRD47" s="971"/>
      <c r="FRE47" s="971"/>
      <c r="FRF47" s="971"/>
      <c r="FRG47" s="971"/>
      <c r="FRH47" s="971"/>
      <c r="FRI47" s="971"/>
      <c r="FRJ47" s="971"/>
      <c r="FRK47" s="971"/>
      <c r="FRL47" s="971"/>
      <c r="FRM47" s="971"/>
      <c r="FRN47" s="971"/>
      <c r="FRO47" s="971"/>
      <c r="FRP47" s="971"/>
      <c r="FRQ47" s="971"/>
      <c r="FRR47" s="971"/>
      <c r="FRS47" s="971"/>
      <c r="FRT47" s="971"/>
      <c r="FRU47" s="971"/>
      <c r="FRV47" s="971"/>
      <c r="FRW47" s="971"/>
      <c r="FRX47" s="971"/>
      <c r="FRY47" s="971"/>
      <c r="FRZ47" s="971"/>
      <c r="FSA47" s="971"/>
      <c r="FSB47" s="971"/>
      <c r="FSC47" s="971"/>
      <c r="FSD47" s="971"/>
      <c r="FSE47" s="971"/>
      <c r="FSF47" s="971"/>
      <c r="FSG47" s="971"/>
      <c r="FSH47" s="971"/>
      <c r="FSI47" s="971"/>
      <c r="FSJ47" s="971"/>
      <c r="FSK47" s="971"/>
      <c r="FSL47" s="971"/>
      <c r="FSM47" s="971"/>
      <c r="FSN47" s="971"/>
      <c r="FSO47" s="971"/>
      <c r="FSP47" s="971"/>
      <c r="FSQ47" s="971"/>
      <c r="FSR47" s="971"/>
      <c r="FSS47" s="971"/>
      <c r="FST47" s="971"/>
      <c r="FSU47" s="971"/>
      <c r="FSV47" s="971"/>
      <c r="FSW47" s="971"/>
      <c r="FSX47" s="971"/>
      <c r="FSY47" s="971"/>
      <c r="FSZ47" s="971"/>
      <c r="FTA47" s="971"/>
      <c r="FTB47" s="971"/>
      <c r="FTC47" s="971"/>
      <c r="FTD47" s="971"/>
      <c r="FTE47" s="971"/>
      <c r="FTF47" s="971"/>
      <c r="FTG47" s="971"/>
      <c r="FTH47" s="971"/>
      <c r="FTI47" s="971"/>
      <c r="FTJ47" s="971"/>
      <c r="FTK47" s="971"/>
      <c r="FTL47" s="971"/>
      <c r="FTM47" s="971"/>
      <c r="FTN47" s="971"/>
      <c r="FTO47" s="971"/>
      <c r="FTP47" s="971"/>
      <c r="FTQ47" s="971"/>
      <c r="FTR47" s="971"/>
      <c r="FTS47" s="971"/>
      <c r="FTT47" s="971"/>
      <c r="FTU47" s="971"/>
      <c r="FTV47" s="971"/>
      <c r="FTW47" s="971"/>
      <c r="FTX47" s="971"/>
      <c r="FTY47" s="971"/>
      <c r="FTZ47" s="971"/>
      <c r="FUA47" s="971"/>
      <c r="FUB47" s="971"/>
      <c r="FUC47" s="971"/>
      <c r="FUD47" s="971"/>
      <c r="FUE47" s="971"/>
      <c r="FUF47" s="971"/>
      <c r="FUG47" s="971"/>
      <c r="FUH47" s="971"/>
      <c r="FUI47" s="971"/>
      <c r="FUJ47" s="971"/>
      <c r="FUK47" s="971"/>
      <c r="FUL47" s="971"/>
      <c r="FUM47" s="971"/>
      <c r="FUN47" s="971"/>
      <c r="FUO47" s="971"/>
      <c r="FUP47" s="971"/>
      <c r="FUQ47" s="971"/>
      <c r="FUR47" s="971"/>
      <c r="FUS47" s="971"/>
      <c r="FUT47" s="971"/>
      <c r="FUU47" s="971"/>
      <c r="FUV47" s="971"/>
      <c r="FUW47" s="971"/>
      <c r="FUX47" s="971"/>
      <c r="FUY47" s="971"/>
      <c r="FUZ47" s="971"/>
      <c r="FVA47" s="971"/>
      <c r="FVB47" s="971"/>
      <c r="FVC47" s="971"/>
      <c r="FVD47" s="971"/>
      <c r="FVE47" s="971"/>
      <c r="FVF47" s="971"/>
      <c r="FVG47" s="971"/>
      <c r="FVH47" s="971"/>
      <c r="FVI47" s="971"/>
      <c r="FVJ47" s="971"/>
      <c r="FVK47" s="971"/>
      <c r="FVL47" s="971"/>
      <c r="FVM47" s="971"/>
      <c r="FVN47" s="971"/>
      <c r="FVO47" s="971"/>
      <c r="FVP47" s="971"/>
      <c r="FVQ47" s="971"/>
      <c r="FVR47" s="971"/>
      <c r="FVS47" s="971"/>
      <c r="FVT47" s="971"/>
      <c r="FVU47" s="971"/>
      <c r="FVV47" s="971"/>
      <c r="FVW47" s="971"/>
      <c r="FVX47" s="971"/>
      <c r="FVY47" s="971"/>
      <c r="FVZ47" s="971"/>
      <c r="FWA47" s="971"/>
      <c r="FWB47" s="971"/>
      <c r="FWC47" s="971"/>
      <c r="FWD47" s="971"/>
      <c r="FWE47" s="971"/>
      <c r="FWF47" s="971"/>
      <c r="FWG47" s="971"/>
      <c r="FWH47" s="971"/>
      <c r="FWI47" s="971"/>
      <c r="FWJ47" s="971"/>
      <c r="FWK47" s="971"/>
      <c r="FWL47" s="971"/>
      <c r="FWM47" s="971"/>
      <c r="FWN47" s="971"/>
      <c r="FWO47" s="971"/>
      <c r="FWP47" s="971"/>
      <c r="FWQ47" s="971"/>
      <c r="FWR47" s="971"/>
      <c r="FWS47" s="971"/>
      <c r="FWT47" s="971"/>
      <c r="FWU47" s="971"/>
      <c r="FWV47" s="971"/>
      <c r="FWW47" s="971"/>
      <c r="FWX47" s="971"/>
      <c r="FWY47" s="971"/>
      <c r="FWZ47" s="971"/>
      <c r="FXA47" s="971"/>
      <c r="FXB47" s="971"/>
      <c r="FXC47" s="971"/>
      <c r="FXD47" s="971"/>
      <c r="FXE47" s="971"/>
      <c r="FXF47" s="971"/>
      <c r="FXG47" s="971"/>
      <c r="FXH47" s="971"/>
      <c r="FXI47" s="971"/>
      <c r="FXJ47" s="971"/>
      <c r="FXK47" s="971"/>
      <c r="FXL47" s="971"/>
      <c r="FXM47" s="971"/>
      <c r="FXN47" s="971"/>
      <c r="FXO47" s="971"/>
      <c r="FXP47" s="971"/>
      <c r="FXQ47" s="971"/>
      <c r="FXR47" s="971"/>
      <c r="FXS47" s="971"/>
      <c r="FXT47" s="971"/>
      <c r="FXU47" s="971"/>
      <c r="FXV47" s="971"/>
      <c r="FXW47" s="971"/>
      <c r="FXX47" s="971"/>
      <c r="FXY47" s="971"/>
      <c r="FXZ47" s="971"/>
      <c r="FYA47" s="971"/>
      <c r="FYB47" s="971"/>
      <c r="FYC47" s="971"/>
      <c r="FYD47" s="971"/>
      <c r="FYE47" s="971"/>
      <c r="FYF47" s="971"/>
      <c r="FYG47" s="971"/>
      <c r="FYH47" s="971"/>
      <c r="FYI47" s="971"/>
      <c r="FYJ47" s="971"/>
      <c r="FYK47" s="971"/>
      <c r="FYL47" s="971"/>
      <c r="FYM47" s="971"/>
      <c r="FYN47" s="971"/>
      <c r="FYO47" s="971"/>
      <c r="FYP47" s="971"/>
      <c r="FYQ47" s="971"/>
      <c r="FYR47" s="971"/>
      <c r="FYS47" s="971"/>
      <c r="FYT47" s="971"/>
      <c r="FYU47" s="971"/>
      <c r="FYV47" s="971"/>
      <c r="FYW47" s="971"/>
      <c r="FYX47" s="971"/>
      <c r="FYY47" s="971"/>
      <c r="FYZ47" s="971"/>
      <c r="FZA47" s="971"/>
      <c r="FZB47" s="971"/>
      <c r="FZC47" s="971"/>
      <c r="FZD47" s="971"/>
      <c r="FZE47" s="971"/>
      <c r="FZF47" s="971"/>
      <c r="FZG47" s="971"/>
      <c r="FZH47" s="971"/>
      <c r="FZI47" s="971"/>
      <c r="FZJ47" s="971"/>
      <c r="FZK47" s="971"/>
      <c r="FZL47" s="971"/>
      <c r="FZM47" s="971"/>
      <c r="FZN47" s="971"/>
      <c r="FZO47" s="971"/>
      <c r="FZP47" s="971"/>
      <c r="FZQ47" s="971"/>
      <c r="FZR47" s="971"/>
      <c r="FZS47" s="971"/>
      <c r="FZT47" s="971"/>
      <c r="FZU47" s="971"/>
      <c r="FZV47" s="971"/>
      <c r="FZW47" s="971"/>
      <c r="FZX47" s="971"/>
      <c r="FZY47" s="971"/>
      <c r="FZZ47" s="971"/>
      <c r="GAA47" s="971"/>
      <c r="GAB47" s="971"/>
      <c r="GAC47" s="971"/>
      <c r="GAD47" s="971"/>
      <c r="GAE47" s="971"/>
      <c r="GAF47" s="971"/>
      <c r="GAG47" s="971"/>
      <c r="GAH47" s="971"/>
      <c r="GAI47" s="971"/>
      <c r="GAJ47" s="971"/>
      <c r="GAK47" s="971"/>
      <c r="GAL47" s="971"/>
      <c r="GAM47" s="971"/>
      <c r="GAN47" s="971"/>
      <c r="GAO47" s="971"/>
      <c r="GAP47" s="971"/>
      <c r="GAQ47" s="971"/>
      <c r="GAR47" s="971"/>
      <c r="GAS47" s="971"/>
      <c r="GAT47" s="971"/>
      <c r="GAU47" s="971"/>
      <c r="GAV47" s="971"/>
      <c r="GAW47" s="971"/>
      <c r="GAX47" s="971"/>
      <c r="GAY47" s="971"/>
      <c r="GAZ47" s="971"/>
      <c r="GBA47" s="971"/>
      <c r="GBB47" s="971"/>
      <c r="GBC47" s="971"/>
      <c r="GBD47" s="971"/>
      <c r="GBE47" s="971"/>
      <c r="GBF47" s="971"/>
      <c r="GBG47" s="971"/>
      <c r="GBH47" s="971"/>
      <c r="GBI47" s="971"/>
      <c r="GBJ47" s="971"/>
      <c r="GBK47" s="971"/>
      <c r="GBL47" s="971"/>
      <c r="GBM47" s="971"/>
      <c r="GBN47" s="971"/>
      <c r="GBO47" s="971"/>
      <c r="GBP47" s="971"/>
      <c r="GBQ47" s="971"/>
      <c r="GBR47" s="971"/>
      <c r="GBS47" s="971"/>
      <c r="GBT47" s="971"/>
      <c r="GBU47" s="971"/>
      <c r="GBV47" s="971"/>
      <c r="GBW47" s="971"/>
      <c r="GBX47" s="971"/>
      <c r="GBY47" s="971"/>
      <c r="GBZ47" s="971"/>
      <c r="GCA47" s="971"/>
      <c r="GCB47" s="971"/>
      <c r="GCC47" s="971"/>
      <c r="GCD47" s="971"/>
      <c r="GCE47" s="971"/>
      <c r="GCF47" s="971"/>
      <c r="GCG47" s="971"/>
      <c r="GCH47" s="971"/>
      <c r="GCI47" s="971"/>
      <c r="GCJ47" s="971"/>
      <c r="GCK47" s="971"/>
      <c r="GCL47" s="971"/>
      <c r="GCM47" s="971"/>
      <c r="GCN47" s="971"/>
      <c r="GCO47" s="971"/>
      <c r="GCP47" s="971"/>
      <c r="GCQ47" s="971"/>
      <c r="GCR47" s="971"/>
      <c r="GCS47" s="971"/>
      <c r="GCT47" s="971"/>
      <c r="GCU47" s="971"/>
      <c r="GCV47" s="971"/>
      <c r="GCW47" s="971"/>
      <c r="GCX47" s="971"/>
      <c r="GCY47" s="971"/>
      <c r="GCZ47" s="971"/>
      <c r="GDA47" s="971"/>
      <c r="GDB47" s="971"/>
      <c r="GDC47" s="971"/>
      <c r="GDD47" s="971"/>
      <c r="GDE47" s="971"/>
      <c r="GDF47" s="971"/>
      <c r="GDG47" s="971"/>
      <c r="GDH47" s="971"/>
      <c r="GDI47" s="971"/>
      <c r="GDJ47" s="971"/>
      <c r="GDK47" s="971"/>
      <c r="GDL47" s="971"/>
      <c r="GDM47" s="971"/>
      <c r="GDN47" s="971"/>
      <c r="GDO47" s="971"/>
      <c r="GDP47" s="971"/>
      <c r="GDQ47" s="971"/>
      <c r="GDR47" s="971"/>
      <c r="GDS47" s="971"/>
      <c r="GDT47" s="971"/>
      <c r="GDU47" s="971"/>
      <c r="GDV47" s="971"/>
      <c r="GDW47" s="971"/>
      <c r="GDX47" s="971"/>
      <c r="GDY47" s="971"/>
      <c r="GDZ47" s="971"/>
      <c r="GEA47" s="971"/>
      <c r="GEB47" s="971"/>
      <c r="GEC47" s="971"/>
      <c r="GED47" s="971"/>
      <c r="GEE47" s="971"/>
      <c r="GEF47" s="971"/>
      <c r="GEG47" s="971"/>
      <c r="GEH47" s="971"/>
      <c r="GEI47" s="971"/>
      <c r="GEJ47" s="971"/>
      <c r="GEK47" s="971"/>
      <c r="GEL47" s="971"/>
      <c r="GEM47" s="971"/>
      <c r="GEN47" s="971"/>
      <c r="GEO47" s="971"/>
      <c r="GEP47" s="971"/>
      <c r="GEQ47" s="971"/>
      <c r="GER47" s="971"/>
      <c r="GES47" s="971"/>
      <c r="GET47" s="971"/>
      <c r="GEU47" s="971"/>
      <c r="GEV47" s="971"/>
      <c r="GEW47" s="971"/>
      <c r="GEX47" s="971"/>
      <c r="GEY47" s="971"/>
      <c r="GEZ47" s="971"/>
      <c r="GFA47" s="971"/>
      <c r="GFB47" s="971"/>
      <c r="GFC47" s="971"/>
      <c r="GFD47" s="971"/>
      <c r="GFE47" s="971"/>
      <c r="GFF47" s="971"/>
      <c r="GFG47" s="971"/>
      <c r="GFH47" s="971"/>
      <c r="GFI47" s="971"/>
      <c r="GFJ47" s="971"/>
      <c r="GFK47" s="971"/>
      <c r="GFL47" s="971"/>
      <c r="GFM47" s="971"/>
      <c r="GFN47" s="971"/>
      <c r="GFO47" s="971"/>
      <c r="GFP47" s="971"/>
      <c r="GFQ47" s="971"/>
      <c r="GFR47" s="971"/>
      <c r="GFS47" s="971"/>
      <c r="GFT47" s="971"/>
      <c r="GFU47" s="971"/>
      <c r="GFV47" s="971"/>
      <c r="GFW47" s="971"/>
      <c r="GFX47" s="971"/>
      <c r="GFY47" s="971"/>
      <c r="GFZ47" s="971"/>
      <c r="GGA47" s="971"/>
      <c r="GGB47" s="971"/>
      <c r="GGC47" s="971"/>
      <c r="GGD47" s="971"/>
      <c r="GGE47" s="971"/>
      <c r="GGF47" s="971"/>
      <c r="GGG47" s="971"/>
      <c r="GGH47" s="971"/>
      <c r="GGI47" s="971"/>
      <c r="GGJ47" s="971"/>
      <c r="GGK47" s="971"/>
      <c r="GGL47" s="971"/>
      <c r="GGM47" s="971"/>
      <c r="GGN47" s="971"/>
      <c r="GGO47" s="971"/>
      <c r="GGP47" s="971"/>
      <c r="GGQ47" s="971"/>
      <c r="GGR47" s="971"/>
      <c r="GGS47" s="971"/>
      <c r="GGT47" s="971"/>
      <c r="GGU47" s="971"/>
      <c r="GGV47" s="971"/>
      <c r="GGW47" s="971"/>
      <c r="GGX47" s="971"/>
      <c r="GGY47" s="971"/>
      <c r="GGZ47" s="971"/>
      <c r="GHA47" s="971"/>
      <c r="GHB47" s="971"/>
      <c r="GHC47" s="971"/>
      <c r="GHD47" s="971"/>
      <c r="GHE47" s="971"/>
      <c r="GHF47" s="971"/>
      <c r="GHG47" s="971"/>
      <c r="GHH47" s="971"/>
      <c r="GHI47" s="971"/>
      <c r="GHJ47" s="971"/>
      <c r="GHK47" s="971"/>
      <c r="GHL47" s="971"/>
      <c r="GHM47" s="971"/>
      <c r="GHN47" s="971"/>
      <c r="GHO47" s="971"/>
      <c r="GHP47" s="971"/>
      <c r="GHQ47" s="971"/>
      <c r="GHR47" s="971"/>
      <c r="GHS47" s="971"/>
      <c r="GHT47" s="971"/>
      <c r="GHU47" s="971"/>
      <c r="GHV47" s="971"/>
      <c r="GHW47" s="971"/>
      <c r="GHX47" s="971"/>
      <c r="GHY47" s="971"/>
      <c r="GHZ47" s="971"/>
      <c r="GIA47" s="971"/>
      <c r="GIB47" s="971"/>
      <c r="GIC47" s="971"/>
      <c r="GID47" s="971"/>
      <c r="GIE47" s="971"/>
      <c r="GIF47" s="971"/>
      <c r="GIG47" s="971"/>
      <c r="GIH47" s="971"/>
      <c r="GII47" s="971"/>
      <c r="GIJ47" s="971"/>
      <c r="GIK47" s="971"/>
      <c r="GIL47" s="971"/>
      <c r="GIM47" s="971"/>
      <c r="GIN47" s="971"/>
      <c r="GIO47" s="971"/>
      <c r="GIP47" s="971"/>
      <c r="GIQ47" s="971"/>
      <c r="GIR47" s="971"/>
      <c r="GIS47" s="971"/>
      <c r="GIT47" s="971"/>
      <c r="GIU47" s="971"/>
      <c r="GIV47" s="971"/>
      <c r="GIW47" s="971"/>
      <c r="GIX47" s="971"/>
      <c r="GIY47" s="971"/>
      <c r="GIZ47" s="971"/>
      <c r="GJA47" s="971"/>
      <c r="GJB47" s="971"/>
      <c r="GJC47" s="971"/>
      <c r="GJD47" s="971"/>
      <c r="GJE47" s="971"/>
      <c r="GJF47" s="971"/>
      <c r="GJG47" s="971"/>
      <c r="GJH47" s="971"/>
      <c r="GJI47" s="971"/>
      <c r="GJJ47" s="971"/>
      <c r="GJK47" s="971"/>
      <c r="GJL47" s="971"/>
      <c r="GJM47" s="971"/>
      <c r="GJN47" s="971"/>
      <c r="GJO47" s="971"/>
      <c r="GJP47" s="971"/>
      <c r="GJQ47" s="971"/>
      <c r="GJR47" s="971"/>
      <c r="GJS47" s="971"/>
      <c r="GJT47" s="971"/>
      <c r="GJU47" s="971"/>
      <c r="GJV47" s="971"/>
      <c r="GJW47" s="971"/>
      <c r="GJX47" s="971"/>
      <c r="GJY47" s="971"/>
      <c r="GJZ47" s="971"/>
      <c r="GKA47" s="971"/>
      <c r="GKB47" s="971"/>
      <c r="GKC47" s="971"/>
      <c r="GKD47" s="971"/>
      <c r="GKE47" s="971"/>
      <c r="GKF47" s="971"/>
      <c r="GKG47" s="971"/>
      <c r="GKH47" s="971"/>
      <c r="GKI47" s="971"/>
      <c r="GKJ47" s="971"/>
      <c r="GKK47" s="971"/>
      <c r="GKL47" s="971"/>
      <c r="GKM47" s="971"/>
      <c r="GKN47" s="971"/>
      <c r="GKO47" s="971"/>
      <c r="GKP47" s="971"/>
      <c r="GKQ47" s="971"/>
      <c r="GKR47" s="971"/>
      <c r="GKS47" s="971"/>
      <c r="GKT47" s="971"/>
      <c r="GKU47" s="971"/>
      <c r="GKV47" s="971"/>
      <c r="GKW47" s="971"/>
      <c r="GKX47" s="971"/>
      <c r="GKY47" s="971"/>
      <c r="GKZ47" s="971"/>
      <c r="GLA47" s="971"/>
      <c r="GLB47" s="971"/>
      <c r="GLC47" s="971"/>
      <c r="GLD47" s="971"/>
      <c r="GLE47" s="971"/>
      <c r="GLF47" s="971"/>
      <c r="GLG47" s="971"/>
      <c r="GLH47" s="971"/>
      <c r="GLI47" s="971"/>
      <c r="GLJ47" s="971"/>
      <c r="GLK47" s="971"/>
      <c r="GLL47" s="971"/>
      <c r="GLM47" s="971"/>
      <c r="GLN47" s="971"/>
      <c r="GLO47" s="971"/>
      <c r="GLP47" s="971"/>
      <c r="GLQ47" s="971"/>
      <c r="GLR47" s="971"/>
      <c r="GLS47" s="971"/>
      <c r="GLT47" s="971"/>
      <c r="GLU47" s="971"/>
      <c r="GLV47" s="971"/>
      <c r="GLW47" s="971"/>
      <c r="GLX47" s="971"/>
      <c r="GLY47" s="971"/>
      <c r="GLZ47" s="971"/>
      <c r="GMA47" s="971"/>
      <c r="GMB47" s="971"/>
      <c r="GMC47" s="971"/>
      <c r="GMD47" s="971"/>
      <c r="GME47" s="971"/>
      <c r="GMF47" s="971"/>
      <c r="GMG47" s="971"/>
      <c r="GMH47" s="971"/>
      <c r="GMI47" s="971"/>
      <c r="GMJ47" s="971"/>
      <c r="GMK47" s="971"/>
      <c r="GML47" s="971"/>
      <c r="GMM47" s="971"/>
      <c r="GMN47" s="971"/>
      <c r="GMO47" s="971"/>
      <c r="GMP47" s="971"/>
      <c r="GMQ47" s="971"/>
      <c r="GMR47" s="971"/>
      <c r="GMS47" s="971"/>
      <c r="GMT47" s="971"/>
      <c r="GMU47" s="971"/>
      <c r="GMV47" s="971"/>
      <c r="GMW47" s="971"/>
      <c r="GMX47" s="971"/>
      <c r="GMY47" s="971"/>
      <c r="GMZ47" s="971"/>
      <c r="GNA47" s="971"/>
      <c r="GNB47" s="971"/>
      <c r="GNC47" s="971"/>
      <c r="GND47" s="971"/>
      <c r="GNE47" s="971"/>
      <c r="GNF47" s="971"/>
      <c r="GNG47" s="971"/>
      <c r="GNH47" s="971"/>
      <c r="GNI47" s="971"/>
      <c r="GNJ47" s="971"/>
      <c r="GNK47" s="971"/>
      <c r="GNL47" s="971"/>
      <c r="GNM47" s="971"/>
      <c r="GNN47" s="971"/>
      <c r="GNO47" s="971"/>
      <c r="GNP47" s="971"/>
      <c r="GNQ47" s="971"/>
      <c r="GNR47" s="971"/>
      <c r="GNS47" s="971"/>
      <c r="GNT47" s="971"/>
      <c r="GNU47" s="971"/>
      <c r="GNV47" s="971"/>
      <c r="GNW47" s="971"/>
      <c r="GNX47" s="971"/>
      <c r="GNY47" s="971"/>
      <c r="GNZ47" s="971"/>
      <c r="GOA47" s="971"/>
      <c r="GOB47" s="971"/>
      <c r="GOC47" s="971"/>
      <c r="GOD47" s="971"/>
      <c r="GOE47" s="971"/>
      <c r="GOF47" s="971"/>
      <c r="GOG47" s="971"/>
      <c r="GOH47" s="971"/>
      <c r="GOI47" s="971"/>
      <c r="GOJ47" s="971"/>
      <c r="GOK47" s="971"/>
      <c r="GOL47" s="971"/>
      <c r="GOM47" s="971"/>
      <c r="GON47" s="971"/>
      <c r="GOO47" s="971"/>
      <c r="GOP47" s="971"/>
      <c r="GOQ47" s="971"/>
      <c r="GOR47" s="971"/>
      <c r="GOS47" s="971"/>
      <c r="GOT47" s="971"/>
      <c r="GOU47" s="971"/>
      <c r="GOV47" s="971"/>
      <c r="GOW47" s="971"/>
      <c r="GOX47" s="971"/>
      <c r="GOY47" s="971"/>
      <c r="GOZ47" s="971"/>
      <c r="GPA47" s="971"/>
      <c r="GPB47" s="971"/>
      <c r="GPC47" s="971"/>
      <c r="GPD47" s="971"/>
      <c r="GPE47" s="971"/>
      <c r="GPF47" s="971"/>
      <c r="GPG47" s="971"/>
      <c r="GPH47" s="971"/>
      <c r="GPI47" s="971"/>
      <c r="GPJ47" s="971"/>
      <c r="GPK47" s="971"/>
      <c r="GPL47" s="971"/>
      <c r="GPM47" s="971"/>
      <c r="GPN47" s="971"/>
      <c r="GPO47" s="971"/>
      <c r="GPP47" s="971"/>
      <c r="GPQ47" s="971"/>
      <c r="GPR47" s="971"/>
      <c r="GPS47" s="971"/>
      <c r="GPT47" s="971"/>
      <c r="GPU47" s="971"/>
      <c r="GPV47" s="971"/>
      <c r="GPW47" s="971"/>
      <c r="GPX47" s="971"/>
      <c r="GPY47" s="971"/>
      <c r="GPZ47" s="971"/>
      <c r="GQA47" s="971"/>
      <c r="GQB47" s="971"/>
      <c r="GQC47" s="971"/>
      <c r="GQD47" s="971"/>
      <c r="GQE47" s="971"/>
      <c r="GQF47" s="971"/>
      <c r="GQG47" s="971"/>
      <c r="GQH47" s="971"/>
      <c r="GQI47" s="971"/>
      <c r="GQJ47" s="971"/>
      <c r="GQK47" s="971"/>
      <c r="GQL47" s="971"/>
      <c r="GQM47" s="971"/>
      <c r="GQN47" s="971"/>
      <c r="GQO47" s="971"/>
      <c r="GQP47" s="971"/>
      <c r="GQQ47" s="971"/>
      <c r="GQR47" s="971"/>
      <c r="GQS47" s="971"/>
      <c r="GQT47" s="971"/>
      <c r="GQU47" s="971"/>
      <c r="GQV47" s="971"/>
      <c r="GQW47" s="971"/>
      <c r="GQX47" s="971"/>
      <c r="GQY47" s="971"/>
      <c r="GQZ47" s="971"/>
      <c r="GRA47" s="971"/>
      <c r="GRB47" s="971"/>
      <c r="GRC47" s="971"/>
      <c r="GRD47" s="971"/>
      <c r="GRE47" s="971"/>
      <c r="GRF47" s="971"/>
      <c r="GRG47" s="971"/>
      <c r="GRH47" s="971"/>
      <c r="GRI47" s="971"/>
      <c r="GRJ47" s="971"/>
      <c r="GRK47" s="971"/>
      <c r="GRL47" s="971"/>
      <c r="GRM47" s="971"/>
      <c r="GRN47" s="971"/>
      <c r="GRO47" s="971"/>
      <c r="GRP47" s="971"/>
      <c r="GRQ47" s="971"/>
      <c r="GRR47" s="971"/>
      <c r="GRS47" s="971"/>
      <c r="GRT47" s="971"/>
      <c r="GRU47" s="971"/>
      <c r="GRV47" s="971"/>
      <c r="GRW47" s="971"/>
      <c r="GRX47" s="971"/>
      <c r="GRY47" s="971"/>
      <c r="GRZ47" s="971"/>
      <c r="GSA47" s="971"/>
      <c r="GSB47" s="971"/>
      <c r="GSC47" s="971"/>
      <c r="GSD47" s="971"/>
      <c r="GSE47" s="971"/>
      <c r="GSF47" s="971"/>
      <c r="GSG47" s="971"/>
      <c r="GSH47" s="971"/>
      <c r="GSI47" s="971"/>
      <c r="GSJ47" s="971"/>
      <c r="GSK47" s="971"/>
      <c r="GSL47" s="971"/>
      <c r="GSM47" s="971"/>
      <c r="GSN47" s="971"/>
      <c r="GSO47" s="971"/>
      <c r="GSP47" s="971"/>
      <c r="GSQ47" s="971"/>
      <c r="GSR47" s="971"/>
      <c r="GSS47" s="971"/>
      <c r="GST47" s="971"/>
      <c r="GSU47" s="971"/>
      <c r="GSV47" s="971"/>
      <c r="GSW47" s="971"/>
      <c r="GSX47" s="971"/>
      <c r="GSY47" s="971"/>
      <c r="GSZ47" s="971"/>
      <c r="GTA47" s="971"/>
      <c r="GTB47" s="971"/>
      <c r="GTC47" s="971"/>
      <c r="GTD47" s="971"/>
      <c r="GTE47" s="971"/>
      <c r="GTF47" s="971"/>
      <c r="GTG47" s="971"/>
      <c r="GTH47" s="971"/>
      <c r="GTI47" s="971"/>
      <c r="GTJ47" s="971"/>
      <c r="GTK47" s="971"/>
      <c r="GTL47" s="971"/>
      <c r="GTM47" s="971"/>
      <c r="GTN47" s="971"/>
      <c r="GTO47" s="971"/>
      <c r="GTP47" s="971"/>
      <c r="GTQ47" s="971"/>
      <c r="GTR47" s="971"/>
      <c r="GTS47" s="971"/>
      <c r="GTT47" s="971"/>
      <c r="GTU47" s="971"/>
      <c r="GTV47" s="971"/>
      <c r="GTW47" s="971"/>
      <c r="GTX47" s="971"/>
      <c r="GTY47" s="971"/>
      <c r="GTZ47" s="971"/>
      <c r="GUA47" s="971"/>
      <c r="GUB47" s="971"/>
      <c r="GUC47" s="971"/>
      <c r="GUD47" s="971"/>
      <c r="GUE47" s="971"/>
      <c r="GUF47" s="971"/>
      <c r="GUG47" s="971"/>
      <c r="GUH47" s="971"/>
      <c r="GUI47" s="971"/>
      <c r="GUJ47" s="971"/>
      <c r="GUK47" s="971"/>
      <c r="GUL47" s="971"/>
      <c r="GUM47" s="971"/>
      <c r="GUN47" s="971"/>
      <c r="GUO47" s="971"/>
      <c r="GUP47" s="971"/>
      <c r="GUQ47" s="971"/>
      <c r="GUR47" s="971"/>
      <c r="GUS47" s="971"/>
      <c r="GUT47" s="971"/>
      <c r="GUU47" s="971"/>
      <c r="GUV47" s="971"/>
      <c r="GUW47" s="971"/>
      <c r="GUX47" s="971"/>
      <c r="GUY47" s="971"/>
      <c r="GUZ47" s="971"/>
      <c r="GVA47" s="971"/>
      <c r="GVB47" s="971"/>
      <c r="GVC47" s="971"/>
      <c r="GVD47" s="971"/>
      <c r="GVE47" s="971"/>
      <c r="GVF47" s="971"/>
      <c r="GVG47" s="971"/>
      <c r="GVH47" s="971"/>
      <c r="GVI47" s="971"/>
      <c r="GVJ47" s="971"/>
      <c r="GVK47" s="971"/>
      <c r="GVL47" s="971"/>
      <c r="GVM47" s="971"/>
      <c r="GVN47" s="971"/>
      <c r="GVO47" s="971"/>
      <c r="GVP47" s="971"/>
      <c r="GVQ47" s="971"/>
      <c r="GVR47" s="971"/>
      <c r="GVS47" s="971"/>
      <c r="GVT47" s="971"/>
      <c r="GVU47" s="971"/>
      <c r="GVV47" s="971"/>
      <c r="GVW47" s="971"/>
      <c r="GVX47" s="971"/>
      <c r="GVY47" s="971"/>
      <c r="GVZ47" s="971"/>
      <c r="GWA47" s="971"/>
      <c r="GWB47" s="971"/>
      <c r="GWC47" s="971"/>
      <c r="GWD47" s="971"/>
      <c r="GWE47" s="971"/>
      <c r="GWF47" s="971"/>
      <c r="GWG47" s="971"/>
      <c r="GWH47" s="971"/>
      <c r="GWI47" s="971"/>
      <c r="GWJ47" s="971"/>
      <c r="GWK47" s="971"/>
      <c r="GWL47" s="971"/>
      <c r="GWM47" s="971"/>
      <c r="GWN47" s="971"/>
      <c r="GWO47" s="971"/>
      <c r="GWP47" s="971"/>
      <c r="GWQ47" s="971"/>
      <c r="GWR47" s="971"/>
      <c r="GWS47" s="971"/>
      <c r="GWT47" s="971"/>
      <c r="GWU47" s="971"/>
      <c r="GWV47" s="971"/>
      <c r="GWW47" s="971"/>
      <c r="GWX47" s="971"/>
      <c r="GWY47" s="971"/>
      <c r="GWZ47" s="971"/>
      <c r="GXA47" s="971"/>
      <c r="GXB47" s="971"/>
      <c r="GXC47" s="971"/>
      <c r="GXD47" s="971"/>
      <c r="GXE47" s="971"/>
      <c r="GXF47" s="971"/>
      <c r="GXG47" s="971"/>
      <c r="GXH47" s="971"/>
      <c r="GXI47" s="971"/>
      <c r="GXJ47" s="971"/>
      <c r="GXK47" s="971"/>
      <c r="GXL47" s="971"/>
      <c r="GXM47" s="971"/>
      <c r="GXN47" s="971"/>
      <c r="GXO47" s="971"/>
      <c r="GXP47" s="971"/>
      <c r="GXQ47" s="971"/>
      <c r="GXR47" s="971"/>
      <c r="GXS47" s="971"/>
      <c r="GXT47" s="971"/>
      <c r="GXU47" s="971"/>
      <c r="GXV47" s="971"/>
      <c r="GXW47" s="971"/>
      <c r="GXX47" s="971"/>
      <c r="GXY47" s="971"/>
      <c r="GXZ47" s="971"/>
      <c r="GYA47" s="971"/>
      <c r="GYB47" s="971"/>
      <c r="GYC47" s="971"/>
      <c r="GYD47" s="971"/>
      <c r="GYE47" s="971"/>
      <c r="GYF47" s="971"/>
      <c r="GYG47" s="971"/>
      <c r="GYH47" s="971"/>
      <c r="GYI47" s="971"/>
      <c r="GYJ47" s="971"/>
      <c r="GYK47" s="971"/>
      <c r="GYL47" s="971"/>
      <c r="GYM47" s="971"/>
      <c r="GYN47" s="971"/>
      <c r="GYO47" s="971"/>
      <c r="GYP47" s="971"/>
      <c r="GYQ47" s="971"/>
      <c r="GYR47" s="971"/>
      <c r="GYS47" s="971"/>
      <c r="GYT47" s="971"/>
      <c r="GYU47" s="971"/>
      <c r="GYV47" s="971"/>
      <c r="GYW47" s="971"/>
      <c r="GYX47" s="971"/>
      <c r="GYY47" s="971"/>
      <c r="GYZ47" s="971"/>
      <c r="GZA47" s="971"/>
      <c r="GZB47" s="971"/>
      <c r="GZC47" s="971"/>
      <c r="GZD47" s="971"/>
      <c r="GZE47" s="971"/>
      <c r="GZF47" s="971"/>
      <c r="GZG47" s="971"/>
      <c r="GZH47" s="971"/>
      <c r="GZI47" s="971"/>
      <c r="GZJ47" s="971"/>
      <c r="GZK47" s="971"/>
      <c r="GZL47" s="971"/>
      <c r="GZM47" s="971"/>
      <c r="GZN47" s="971"/>
      <c r="GZO47" s="971"/>
      <c r="GZP47" s="971"/>
      <c r="GZQ47" s="971"/>
      <c r="GZR47" s="971"/>
      <c r="GZS47" s="971"/>
      <c r="GZT47" s="971"/>
      <c r="GZU47" s="971"/>
      <c r="GZV47" s="971"/>
      <c r="GZW47" s="971"/>
      <c r="GZX47" s="971"/>
      <c r="GZY47" s="971"/>
      <c r="GZZ47" s="971"/>
      <c r="HAA47" s="971"/>
      <c r="HAB47" s="971"/>
      <c r="HAC47" s="971"/>
      <c r="HAD47" s="971"/>
      <c r="HAE47" s="971"/>
      <c r="HAF47" s="971"/>
      <c r="HAG47" s="971"/>
      <c r="HAH47" s="971"/>
      <c r="HAI47" s="971"/>
      <c r="HAJ47" s="971"/>
      <c r="HAK47" s="971"/>
      <c r="HAL47" s="971"/>
      <c r="HAM47" s="971"/>
      <c r="HAN47" s="971"/>
      <c r="HAO47" s="971"/>
      <c r="HAP47" s="971"/>
      <c r="HAQ47" s="971"/>
      <c r="HAR47" s="971"/>
      <c r="HAS47" s="971"/>
      <c r="HAT47" s="971"/>
      <c r="HAU47" s="971"/>
      <c r="HAV47" s="971"/>
      <c r="HAW47" s="971"/>
      <c r="HAX47" s="971"/>
      <c r="HAY47" s="971"/>
      <c r="HAZ47" s="971"/>
      <c r="HBA47" s="971"/>
      <c r="HBB47" s="971"/>
      <c r="HBC47" s="971"/>
      <c r="HBD47" s="971"/>
      <c r="HBE47" s="971"/>
      <c r="HBF47" s="971"/>
      <c r="HBG47" s="971"/>
      <c r="HBH47" s="971"/>
      <c r="HBI47" s="971"/>
      <c r="HBJ47" s="971"/>
      <c r="HBK47" s="971"/>
      <c r="HBL47" s="971"/>
      <c r="HBM47" s="971"/>
      <c r="HBN47" s="971"/>
      <c r="HBO47" s="971"/>
      <c r="HBP47" s="971"/>
      <c r="HBQ47" s="971"/>
      <c r="HBR47" s="971"/>
      <c r="HBS47" s="971"/>
      <c r="HBT47" s="971"/>
      <c r="HBU47" s="971"/>
      <c r="HBV47" s="971"/>
      <c r="HBW47" s="971"/>
      <c r="HBX47" s="971"/>
      <c r="HBY47" s="971"/>
      <c r="HBZ47" s="971"/>
      <c r="HCA47" s="971"/>
      <c r="HCB47" s="971"/>
      <c r="HCC47" s="971"/>
      <c r="HCD47" s="971"/>
      <c r="HCE47" s="971"/>
      <c r="HCF47" s="971"/>
      <c r="HCG47" s="971"/>
      <c r="HCH47" s="971"/>
      <c r="HCI47" s="971"/>
      <c r="HCJ47" s="971"/>
      <c r="HCK47" s="971"/>
      <c r="HCL47" s="971"/>
      <c r="HCM47" s="971"/>
      <c r="HCN47" s="971"/>
      <c r="HCO47" s="971"/>
      <c r="HCP47" s="971"/>
      <c r="HCQ47" s="971"/>
      <c r="HCR47" s="971"/>
      <c r="HCS47" s="971"/>
      <c r="HCT47" s="971"/>
      <c r="HCU47" s="971"/>
      <c r="HCV47" s="971"/>
      <c r="HCW47" s="971"/>
      <c r="HCX47" s="971"/>
      <c r="HCY47" s="971"/>
      <c r="HCZ47" s="971"/>
      <c r="HDA47" s="971"/>
      <c r="HDB47" s="971"/>
      <c r="HDC47" s="971"/>
      <c r="HDD47" s="971"/>
      <c r="HDE47" s="971"/>
      <c r="HDF47" s="971"/>
      <c r="HDG47" s="971"/>
      <c r="HDH47" s="971"/>
      <c r="HDI47" s="971"/>
      <c r="HDJ47" s="971"/>
      <c r="HDK47" s="971"/>
      <c r="HDL47" s="971"/>
      <c r="HDM47" s="971"/>
      <c r="HDN47" s="971"/>
      <c r="HDO47" s="971"/>
      <c r="HDP47" s="971"/>
      <c r="HDQ47" s="971"/>
      <c r="HDR47" s="971"/>
      <c r="HDS47" s="971"/>
      <c r="HDT47" s="971"/>
      <c r="HDU47" s="971"/>
      <c r="HDV47" s="971"/>
      <c r="HDW47" s="971"/>
      <c r="HDX47" s="971"/>
      <c r="HDY47" s="971"/>
      <c r="HDZ47" s="971"/>
      <c r="HEA47" s="971"/>
      <c r="HEB47" s="971"/>
      <c r="HEC47" s="971"/>
      <c r="HED47" s="971"/>
      <c r="HEE47" s="971"/>
      <c r="HEF47" s="971"/>
      <c r="HEG47" s="971"/>
      <c r="HEH47" s="971"/>
      <c r="HEI47" s="971"/>
      <c r="HEJ47" s="971"/>
      <c r="HEK47" s="971"/>
      <c r="HEL47" s="971"/>
      <c r="HEM47" s="971"/>
      <c r="HEN47" s="971"/>
      <c r="HEO47" s="971"/>
      <c r="HEP47" s="971"/>
      <c r="HEQ47" s="971"/>
      <c r="HER47" s="971"/>
      <c r="HES47" s="971"/>
      <c r="HET47" s="971"/>
      <c r="HEU47" s="971"/>
      <c r="HEV47" s="971"/>
      <c r="HEW47" s="971"/>
      <c r="HEX47" s="971"/>
      <c r="HEY47" s="971"/>
      <c r="HEZ47" s="971"/>
      <c r="HFA47" s="971"/>
      <c r="HFB47" s="971"/>
      <c r="HFC47" s="971"/>
      <c r="HFD47" s="971"/>
      <c r="HFE47" s="971"/>
      <c r="HFF47" s="971"/>
      <c r="HFG47" s="971"/>
      <c r="HFH47" s="971"/>
      <c r="HFI47" s="971"/>
      <c r="HFJ47" s="971"/>
      <c r="HFK47" s="971"/>
      <c r="HFL47" s="971"/>
      <c r="HFM47" s="971"/>
      <c r="HFN47" s="971"/>
      <c r="HFO47" s="971"/>
      <c r="HFP47" s="971"/>
      <c r="HFQ47" s="971"/>
      <c r="HFR47" s="971"/>
      <c r="HFS47" s="971"/>
      <c r="HFT47" s="971"/>
      <c r="HFU47" s="971"/>
      <c r="HFV47" s="971"/>
      <c r="HFW47" s="971"/>
      <c r="HFX47" s="971"/>
      <c r="HFY47" s="971"/>
      <c r="HFZ47" s="971"/>
      <c r="HGA47" s="971"/>
      <c r="HGB47" s="971"/>
      <c r="HGC47" s="971"/>
      <c r="HGD47" s="971"/>
      <c r="HGE47" s="971"/>
      <c r="HGF47" s="971"/>
      <c r="HGG47" s="971"/>
      <c r="HGH47" s="971"/>
      <c r="HGI47" s="971"/>
      <c r="HGJ47" s="971"/>
      <c r="HGK47" s="971"/>
      <c r="HGL47" s="971"/>
      <c r="HGM47" s="971"/>
      <c r="HGN47" s="971"/>
      <c r="HGO47" s="971"/>
      <c r="HGP47" s="971"/>
      <c r="HGQ47" s="971"/>
      <c r="HGR47" s="971"/>
      <c r="HGS47" s="971"/>
      <c r="HGT47" s="971"/>
      <c r="HGU47" s="971"/>
      <c r="HGV47" s="971"/>
      <c r="HGW47" s="971"/>
      <c r="HGX47" s="971"/>
      <c r="HGY47" s="971"/>
      <c r="HGZ47" s="971"/>
      <c r="HHA47" s="971"/>
      <c r="HHB47" s="971"/>
      <c r="HHC47" s="971"/>
      <c r="HHD47" s="971"/>
      <c r="HHE47" s="971"/>
      <c r="HHF47" s="971"/>
      <c r="HHG47" s="971"/>
      <c r="HHH47" s="971"/>
      <c r="HHI47" s="971"/>
      <c r="HHJ47" s="971"/>
      <c r="HHK47" s="971"/>
      <c r="HHL47" s="971"/>
      <c r="HHM47" s="971"/>
      <c r="HHN47" s="971"/>
      <c r="HHO47" s="971"/>
      <c r="HHP47" s="971"/>
      <c r="HHQ47" s="971"/>
      <c r="HHR47" s="971"/>
      <c r="HHS47" s="971"/>
      <c r="HHT47" s="971"/>
      <c r="HHU47" s="971"/>
      <c r="HHV47" s="971"/>
      <c r="HHW47" s="971"/>
      <c r="HHX47" s="971"/>
      <c r="HHY47" s="971"/>
      <c r="HHZ47" s="971"/>
      <c r="HIA47" s="971"/>
      <c r="HIB47" s="971"/>
      <c r="HIC47" s="971"/>
      <c r="HID47" s="971"/>
      <c r="HIE47" s="971"/>
      <c r="HIF47" s="971"/>
      <c r="HIG47" s="971"/>
      <c r="HIH47" s="971"/>
      <c r="HII47" s="971"/>
      <c r="HIJ47" s="971"/>
      <c r="HIK47" s="971"/>
      <c r="HIL47" s="971"/>
      <c r="HIM47" s="971"/>
      <c r="HIN47" s="971"/>
      <c r="HIO47" s="971"/>
      <c r="HIP47" s="971"/>
      <c r="HIQ47" s="971"/>
      <c r="HIR47" s="971"/>
      <c r="HIS47" s="971"/>
      <c r="HIT47" s="971"/>
      <c r="HIU47" s="971"/>
      <c r="HIV47" s="971"/>
      <c r="HIW47" s="971"/>
      <c r="HIX47" s="971"/>
      <c r="HIY47" s="971"/>
      <c r="HIZ47" s="971"/>
      <c r="HJA47" s="971"/>
      <c r="HJB47" s="971"/>
      <c r="HJC47" s="971"/>
      <c r="HJD47" s="971"/>
      <c r="HJE47" s="971"/>
      <c r="HJF47" s="971"/>
      <c r="HJG47" s="971"/>
      <c r="HJH47" s="971"/>
      <c r="HJI47" s="971"/>
      <c r="HJJ47" s="971"/>
      <c r="HJK47" s="971"/>
      <c r="HJL47" s="971"/>
      <c r="HJM47" s="971"/>
      <c r="HJN47" s="971"/>
      <c r="HJO47" s="971"/>
      <c r="HJP47" s="971"/>
      <c r="HJQ47" s="971"/>
      <c r="HJR47" s="971"/>
      <c r="HJS47" s="971"/>
      <c r="HJT47" s="971"/>
      <c r="HJU47" s="971"/>
      <c r="HJV47" s="971"/>
      <c r="HJW47" s="971"/>
      <c r="HJX47" s="971"/>
      <c r="HJY47" s="971"/>
      <c r="HJZ47" s="971"/>
      <c r="HKA47" s="971"/>
      <c r="HKB47" s="971"/>
      <c r="HKC47" s="971"/>
      <c r="HKD47" s="971"/>
      <c r="HKE47" s="971"/>
      <c r="HKF47" s="971"/>
      <c r="HKG47" s="971"/>
      <c r="HKH47" s="971"/>
      <c r="HKI47" s="971"/>
      <c r="HKJ47" s="971"/>
      <c r="HKK47" s="971"/>
      <c r="HKL47" s="971"/>
      <c r="HKM47" s="971"/>
      <c r="HKN47" s="971"/>
      <c r="HKO47" s="971"/>
      <c r="HKP47" s="971"/>
      <c r="HKQ47" s="971"/>
      <c r="HKR47" s="971"/>
      <c r="HKS47" s="971"/>
      <c r="HKT47" s="971"/>
      <c r="HKU47" s="971"/>
      <c r="HKV47" s="971"/>
      <c r="HKW47" s="971"/>
      <c r="HKX47" s="971"/>
      <c r="HKY47" s="971"/>
      <c r="HKZ47" s="971"/>
      <c r="HLA47" s="971"/>
      <c r="HLB47" s="971"/>
      <c r="HLC47" s="971"/>
      <c r="HLD47" s="971"/>
      <c r="HLE47" s="971"/>
      <c r="HLF47" s="971"/>
      <c r="HLG47" s="971"/>
      <c r="HLH47" s="971"/>
      <c r="HLI47" s="971"/>
      <c r="HLJ47" s="971"/>
      <c r="HLK47" s="971"/>
      <c r="HLL47" s="971"/>
      <c r="HLM47" s="971"/>
      <c r="HLN47" s="971"/>
      <c r="HLO47" s="971"/>
      <c r="HLP47" s="971"/>
      <c r="HLQ47" s="971"/>
      <c r="HLR47" s="971"/>
      <c r="HLS47" s="971"/>
      <c r="HLT47" s="971"/>
      <c r="HLU47" s="971"/>
      <c r="HLV47" s="971"/>
      <c r="HLW47" s="971"/>
      <c r="HLX47" s="971"/>
      <c r="HLY47" s="971"/>
      <c r="HLZ47" s="971"/>
      <c r="HMA47" s="971"/>
      <c r="HMB47" s="971"/>
      <c r="HMC47" s="971"/>
      <c r="HMD47" s="971"/>
      <c r="HME47" s="971"/>
      <c r="HMF47" s="971"/>
      <c r="HMG47" s="971"/>
      <c r="HMH47" s="971"/>
      <c r="HMI47" s="971"/>
      <c r="HMJ47" s="971"/>
      <c r="HMK47" s="971"/>
      <c r="HML47" s="971"/>
      <c r="HMM47" s="971"/>
      <c r="HMN47" s="971"/>
      <c r="HMO47" s="971"/>
      <c r="HMP47" s="971"/>
      <c r="HMQ47" s="971"/>
      <c r="HMR47" s="971"/>
      <c r="HMS47" s="971"/>
      <c r="HMT47" s="971"/>
      <c r="HMU47" s="971"/>
      <c r="HMV47" s="971"/>
      <c r="HMW47" s="971"/>
      <c r="HMX47" s="971"/>
      <c r="HMY47" s="971"/>
      <c r="HMZ47" s="971"/>
      <c r="HNA47" s="971"/>
      <c r="HNB47" s="971"/>
      <c r="HNC47" s="971"/>
      <c r="HND47" s="971"/>
      <c r="HNE47" s="971"/>
      <c r="HNF47" s="971"/>
      <c r="HNG47" s="971"/>
      <c r="HNH47" s="971"/>
      <c r="HNI47" s="971"/>
      <c r="HNJ47" s="971"/>
      <c r="HNK47" s="971"/>
      <c r="HNL47" s="971"/>
      <c r="HNM47" s="971"/>
      <c r="HNN47" s="971"/>
      <c r="HNO47" s="971"/>
      <c r="HNP47" s="971"/>
      <c r="HNQ47" s="971"/>
      <c r="HNR47" s="971"/>
      <c r="HNS47" s="971"/>
      <c r="HNT47" s="971"/>
      <c r="HNU47" s="971"/>
      <c r="HNV47" s="971"/>
      <c r="HNW47" s="971"/>
      <c r="HNX47" s="971"/>
      <c r="HNY47" s="971"/>
      <c r="HNZ47" s="971"/>
      <c r="HOA47" s="971"/>
      <c r="HOB47" s="971"/>
      <c r="HOC47" s="971"/>
      <c r="HOD47" s="971"/>
      <c r="HOE47" s="971"/>
      <c r="HOF47" s="971"/>
      <c r="HOG47" s="971"/>
      <c r="HOH47" s="971"/>
      <c r="HOI47" s="971"/>
      <c r="HOJ47" s="971"/>
      <c r="HOK47" s="971"/>
      <c r="HOL47" s="971"/>
      <c r="HOM47" s="971"/>
      <c r="HON47" s="971"/>
      <c r="HOO47" s="971"/>
      <c r="HOP47" s="971"/>
      <c r="HOQ47" s="971"/>
      <c r="HOR47" s="971"/>
      <c r="HOS47" s="971"/>
      <c r="HOT47" s="971"/>
      <c r="HOU47" s="971"/>
      <c r="HOV47" s="971"/>
      <c r="HOW47" s="971"/>
      <c r="HOX47" s="971"/>
      <c r="HOY47" s="971"/>
      <c r="HOZ47" s="971"/>
      <c r="HPA47" s="971"/>
      <c r="HPB47" s="971"/>
      <c r="HPC47" s="971"/>
      <c r="HPD47" s="971"/>
      <c r="HPE47" s="971"/>
      <c r="HPF47" s="971"/>
      <c r="HPG47" s="971"/>
      <c r="HPH47" s="971"/>
      <c r="HPI47" s="971"/>
      <c r="HPJ47" s="971"/>
      <c r="HPK47" s="971"/>
      <c r="HPL47" s="971"/>
      <c r="HPM47" s="971"/>
      <c r="HPN47" s="971"/>
      <c r="HPO47" s="971"/>
      <c r="HPP47" s="971"/>
      <c r="HPQ47" s="971"/>
      <c r="HPR47" s="971"/>
      <c r="HPS47" s="971"/>
      <c r="HPT47" s="971"/>
      <c r="HPU47" s="971"/>
      <c r="HPV47" s="971"/>
      <c r="HPW47" s="971"/>
      <c r="HPX47" s="971"/>
      <c r="HPY47" s="971"/>
      <c r="HPZ47" s="971"/>
      <c r="HQA47" s="971"/>
      <c r="HQB47" s="971"/>
      <c r="HQC47" s="971"/>
      <c r="HQD47" s="971"/>
      <c r="HQE47" s="971"/>
      <c r="HQF47" s="971"/>
      <c r="HQG47" s="971"/>
      <c r="HQH47" s="971"/>
      <c r="HQI47" s="971"/>
      <c r="HQJ47" s="971"/>
      <c r="HQK47" s="971"/>
      <c r="HQL47" s="971"/>
      <c r="HQM47" s="971"/>
      <c r="HQN47" s="971"/>
      <c r="HQO47" s="971"/>
      <c r="HQP47" s="971"/>
      <c r="HQQ47" s="971"/>
      <c r="HQR47" s="971"/>
      <c r="HQS47" s="971"/>
      <c r="HQT47" s="971"/>
      <c r="HQU47" s="971"/>
      <c r="HQV47" s="971"/>
      <c r="HQW47" s="971"/>
      <c r="HQX47" s="971"/>
      <c r="HQY47" s="971"/>
      <c r="HQZ47" s="971"/>
      <c r="HRA47" s="971"/>
      <c r="HRB47" s="971"/>
      <c r="HRC47" s="971"/>
      <c r="HRD47" s="971"/>
      <c r="HRE47" s="971"/>
      <c r="HRF47" s="971"/>
      <c r="HRG47" s="971"/>
      <c r="HRH47" s="971"/>
      <c r="HRI47" s="971"/>
      <c r="HRJ47" s="971"/>
      <c r="HRK47" s="971"/>
      <c r="HRL47" s="971"/>
      <c r="HRM47" s="971"/>
      <c r="HRN47" s="971"/>
      <c r="HRO47" s="971"/>
      <c r="HRP47" s="971"/>
      <c r="HRQ47" s="971"/>
      <c r="HRR47" s="971"/>
      <c r="HRS47" s="971"/>
      <c r="HRT47" s="971"/>
      <c r="HRU47" s="971"/>
      <c r="HRV47" s="971"/>
      <c r="HRW47" s="971"/>
      <c r="HRX47" s="971"/>
      <c r="HRY47" s="971"/>
      <c r="HRZ47" s="971"/>
      <c r="HSA47" s="971"/>
      <c r="HSB47" s="971"/>
      <c r="HSC47" s="971"/>
      <c r="HSD47" s="971"/>
      <c r="HSE47" s="971"/>
      <c r="HSF47" s="971"/>
      <c r="HSG47" s="971"/>
      <c r="HSH47" s="971"/>
      <c r="HSI47" s="971"/>
      <c r="HSJ47" s="971"/>
      <c r="HSK47" s="971"/>
      <c r="HSL47" s="971"/>
      <c r="HSM47" s="971"/>
      <c r="HSN47" s="971"/>
      <c r="HSO47" s="971"/>
      <c r="HSP47" s="971"/>
      <c r="HSQ47" s="971"/>
      <c r="HSR47" s="971"/>
      <c r="HSS47" s="971"/>
      <c r="HST47" s="971"/>
      <c r="HSU47" s="971"/>
      <c r="HSV47" s="971"/>
      <c r="HSW47" s="971"/>
      <c r="HSX47" s="971"/>
      <c r="HSY47" s="971"/>
      <c r="HSZ47" s="971"/>
      <c r="HTA47" s="971"/>
      <c r="HTB47" s="971"/>
      <c r="HTC47" s="971"/>
      <c r="HTD47" s="971"/>
      <c r="HTE47" s="971"/>
      <c r="HTF47" s="971"/>
      <c r="HTG47" s="971"/>
      <c r="HTH47" s="971"/>
      <c r="HTI47" s="971"/>
      <c r="HTJ47" s="971"/>
      <c r="HTK47" s="971"/>
      <c r="HTL47" s="971"/>
      <c r="HTM47" s="971"/>
      <c r="HTN47" s="971"/>
      <c r="HTO47" s="971"/>
      <c r="HTP47" s="971"/>
      <c r="HTQ47" s="971"/>
      <c r="HTR47" s="971"/>
      <c r="HTS47" s="971"/>
      <c r="HTT47" s="971"/>
      <c r="HTU47" s="971"/>
      <c r="HTV47" s="971"/>
      <c r="HTW47" s="971"/>
      <c r="HTX47" s="971"/>
      <c r="HTY47" s="971"/>
      <c r="HTZ47" s="971"/>
      <c r="HUA47" s="971"/>
      <c r="HUB47" s="971"/>
      <c r="HUC47" s="971"/>
      <c r="HUD47" s="971"/>
      <c r="HUE47" s="971"/>
      <c r="HUF47" s="971"/>
      <c r="HUG47" s="971"/>
      <c r="HUH47" s="971"/>
      <c r="HUI47" s="971"/>
      <c r="HUJ47" s="971"/>
      <c r="HUK47" s="971"/>
      <c r="HUL47" s="971"/>
      <c r="HUM47" s="971"/>
      <c r="HUN47" s="971"/>
      <c r="HUO47" s="971"/>
      <c r="HUP47" s="971"/>
      <c r="HUQ47" s="971"/>
      <c r="HUR47" s="971"/>
      <c r="HUS47" s="971"/>
      <c r="HUT47" s="971"/>
      <c r="HUU47" s="971"/>
      <c r="HUV47" s="971"/>
      <c r="HUW47" s="971"/>
      <c r="HUX47" s="971"/>
      <c r="HUY47" s="971"/>
      <c r="HUZ47" s="971"/>
      <c r="HVA47" s="971"/>
      <c r="HVB47" s="971"/>
      <c r="HVC47" s="971"/>
      <c r="HVD47" s="971"/>
      <c r="HVE47" s="971"/>
      <c r="HVF47" s="971"/>
      <c r="HVG47" s="971"/>
      <c r="HVH47" s="971"/>
      <c r="HVI47" s="971"/>
      <c r="HVJ47" s="971"/>
      <c r="HVK47" s="971"/>
      <c r="HVL47" s="971"/>
      <c r="HVM47" s="971"/>
      <c r="HVN47" s="971"/>
      <c r="HVO47" s="971"/>
      <c r="HVP47" s="971"/>
      <c r="HVQ47" s="971"/>
      <c r="HVR47" s="971"/>
      <c r="HVS47" s="971"/>
      <c r="HVT47" s="971"/>
      <c r="HVU47" s="971"/>
      <c r="HVV47" s="971"/>
      <c r="HVW47" s="971"/>
      <c r="HVX47" s="971"/>
      <c r="HVY47" s="971"/>
      <c r="HVZ47" s="971"/>
      <c r="HWA47" s="971"/>
      <c r="HWB47" s="971"/>
      <c r="HWC47" s="971"/>
      <c r="HWD47" s="971"/>
      <c r="HWE47" s="971"/>
      <c r="HWF47" s="971"/>
      <c r="HWG47" s="971"/>
      <c r="HWH47" s="971"/>
      <c r="HWI47" s="971"/>
      <c r="HWJ47" s="971"/>
      <c r="HWK47" s="971"/>
      <c r="HWL47" s="971"/>
      <c r="HWM47" s="971"/>
      <c r="HWN47" s="971"/>
      <c r="HWO47" s="971"/>
      <c r="HWP47" s="971"/>
      <c r="HWQ47" s="971"/>
      <c r="HWR47" s="971"/>
      <c r="HWS47" s="971"/>
      <c r="HWT47" s="971"/>
      <c r="HWU47" s="971"/>
      <c r="HWV47" s="971"/>
      <c r="HWW47" s="971"/>
      <c r="HWX47" s="971"/>
      <c r="HWY47" s="971"/>
      <c r="HWZ47" s="971"/>
      <c r="HXA47" s="971"/>
      <c r="HXB47" s="971"/>
      <c r="HXC47" s="971"/>
      <c r="HXD47" s="971"/>
      <c r="HXE47" s="971"/>
      <c r="HXF47" s="971"/>
      <c r="HXG47" s="971"/>
      <c r="HXH47" s="971"/>
      <c r="HXI47" s="971"/>
      <c r="HXJ47" s="971"/>
      <c r="HXK47" s="971"/>
      <c r="HXL47" s="971"/>
      <c r="HXM47" s="971"/>
      <c r="HXN47" s="971"/>
      <c r="HXO47" s="971"/>
      <c r="HXP47" s="971"/>
      <c r="HXQ47" s="971"/>
      <c r="HXR47" s="971"/>
      <c r="HXS47" s="971"/>
      <c r="HXT47" s="971"/>
      <c r="HXU47" s="971"/>
      <c r="HXV47" s="971"/>
      <c r="HXW47" s="971"/>
      <c r="HXX47" s="971"/>
      <c r="HXY47" s="971"/>
      <c r="HXZ47" s="971"/>
      <c r="HYA47" s="971"/>
      <c r="HYB47" s="971"/>
      <c r="HYC47" s="971"/>
      <c r="HYD47" s="971"/>
      <c r="HYE47" s="971"/>
      <c r="HYF47" s="971"/>
      <c r="HYG47" s="971"/>
      <c r="HYH47" s="971"/>
      <c r="HYI47" s="971"/>
      <c r="HYJ47" s="971"/>
      <c r="HYK47" s="971"/>
      <c r="HYL47" s="971"/>
      <c r="HYM47" s="971"/>
      <c r="HYN47" s="971"/>
      <c r="HYO47" s="971"/>
      <c r="HYP47" s="971"/>
      <c r="HYQ47" s="971"/>
      <c r="HYR47" s="971"/>
      <c r="HYS47" s="971"/>
      <c r="HYT47" s="971"/>
      <c r="HYU47" s="971"/>
      <c r="HYV47" s="971"/>
      <c r="HYW47" s="971"/>
      <c r="HYX47" s="971"/>
      <c r="HYY47" s="971"/>
      <c r="HYZ47" s="971"/>
      <c r="HZA47" s="971"/>
      <c r="HZB47" s="971"/>
      <c r="HZC47" s="971"/>
      <c r="HZD47" s="971"/>
      <c r="HZE47" s="971"/>
      <c r="HZF47" s="971"/>
      <c r="HZG47" s="971"/>
      <c r="HZH47" s="971"/>
      <c r="HZI47" s="971"/>
      <c r="HZJ47" s="971"/>
      <c r="HZK47" s="971"/>
      <c r="HZL47" s="971"/>
      <c r="HZM47" s="971"/>
      <c r="HZN47" s="971"/>
      <c r="HZO47" s="971"/>
      <c r="HZP47" s="971"/>
      <c r="HZQ47" s="971"/>
      <c r="HZR47" s="971"/>
      <c r="HZS47" s="971"/>
      <c r="HZT47" s="971"/>
      <c r="HZU47" s="971"/>
      <c r="HZV47" s="971"/>
      <c r="HZW47" s="971"/>
      <c r="HZX47" s="971"/>
      <c r="HZY47" s="971"/>
      <c r="HZZ47" s="971"/>
      <c r="IAA47" s="971"/>
      <c r="IAB47" s="971"/>
      <c r="IAC47" s="971"/>
      <c r="IAD47" s="971"/>
      <c r="IAE47" s="971"/>
      <c r="IAF47" s="971"/>
      <c r="IAG47" s="971"/>
      <c r="IAH47" s="971"/>
      <c r="IAI47" s="971"/>
      <c r="IAJ47" s="971"/>
      <c r="IAK47" s="971"/>
      <c r="IAL47" s="971"/>
      <c r="IAM47" s="971"/>
      <c r="IAN47" s="971"/>
      <c r="IAO47" s="971"/>
      <c r="IAP47" s="971"/>
      <c r="IAQ47" s="971"/>
      <c r="IAR47" s="971"/>
      <c r="IAS47" s="971"/>
      <c r="IAT47" s="971"/>
      <c r="IAU47" s="971"/>
      <c r="IAV47" s="971"/>
      <c r="IAW47" s="971"/>
      <c r="IAX47" s="971"/>
      <c r="IAY47" s="971"/>
      <c r="IAZ47" s="971"/>
      <c r="IBA47" s="971"/>
      <c r="IBB47" s="971"/>
      <c r="IBC47" s="971"/>
      <c r="IBD47" s="971"/>
      <c r="IBE47" s="971"/>
      <c r="IBF47" s="971"/>
      <c r="IBG47" s="971"/>
      <c r="IBH47" s="971"/>
      <c r="IBI47" s="971"/>
      <c r="IBJ47" s="971"/>
      <c r="IBK47" s="971"/>
      <c r="IBL47" s="971"/>
      <c r="IBM47" s="971"/>
      <c r="IBN47" s="971"/>
      <c r="IBO47" s="971"/>
      <c r="IBP47" s="971"/>
      <c r="IBQ47" s="971"/>
      <c r="IBR47" s="971"/>
      <c r="IBS47" s="971"/>
      <c r="IBT47" s="971"/>
      <c r="IBU47" s="971"/>
      <c r="IBV47" s="971"/>
      <c r="IBW47" s="971"/>
      <c r="IBX47" s="971"/>
      <c r="IBY47" s="971"/>
      <c r="IBZ47" s="971"/>
      <c r="ICA47" s="971"/>
      <c r="ICB47" s="971"/>
      <c r="ICC47" s="971"/>
      <c r="ICD47" s="971"/>
      <c r="ICE47" s="971"/>
      <c r="ICF47" s="971"/>
      <c r="ICG47" s="971"/>
      <c r="ICH47" s="971"/>
      <c r="ICI47" s="971"/>
      <c r="ICJ47" s="971"/>
      <c r="ICK47" s="971"/>
      <c r="ICL47" s="971"/>
      <c r="ICM47" s="971"/>
      <c r="ICN47" s="971"/>
      <c r="ICO47" s="971"/>
      <c r="ICP47" s="971"/>
      <c r="ICQ47" s="971"/>
      <c r="ICR47" s="971"/>
      <c r="ICS47" s="971"/>
      <c r="ICT47" s="971"/>
      <c r="ICU47" s="971"/>
      <c r="ICV47" s="971"/>
      <c r="ICW47" s="971"/>
      <c r="ICX47" s="971"/>
      <c r="ICY47" s="971"/>
      <c r="ICZ47" s="971"/>
      <c r="IDA47" s="971"/>
      <c r="IDB47" s="971"/>
      <c r="IDC47" s="971"/>
      <c r="IDD47" s="971"/>
      <c r="IDE47" s="971"/>
      <c r="IDF47" s="971"/>
      <c r="IDG47" s="971"/>
      <c r="IDH47" s="971"/>
      <c r="IDI47" s="971"/>
      <c r="IDJ47" s="971"/>
      <c r="IDK47" s="971"/>
      <c r="IDL47" s="971"/>
      <c r="IDM47" s="971"/>
      <c r="IDN47" s="971"/>
      <c r="IDO47" s="971"/>
      <c r="IDP47" s="971"/>
      <c r="IDQ47" s="971"/>
      <c r="IDR47" s="971"/>
      <c r="IDS47" s="971"/>
      <c r="IDT47" s="971"/>
      <c r="IDU47" s="971"/>
      <c r="IDV47" s="971"/>
      <c r="IDW47" s="971"/>
      <c r="IDX47" s="971"/>
      <c r="IDY47" s="971"/>
      <c r="IDZ47" s="971"/>
      <c r="IEA47" s="971"/>
      <c r="IEB47" s="971"/>
      <c r="IEC47" s="971"/>
      <c r="IED47" s="971"/>
      <c r="IEE47" s="971"/>
      <c r="IEF47" s="971"/>
      <c r="IEG47" s="971"/>
      <c r="IEH47" s="971"/>
      <c r="IEI47" s="971"/>
      <c r="IEJ47" s="971"/>
      <c r="IEK47" s="971"/>
      <c r="IEL47" s="971"/>
      <c r="IEM47" s="971"/>
      <c r="IEN47" s="971"/>
      <c r="IEO47" s="971"/>
      <c r="IEP47" s="971"/>
      <c r="IEQ47" s="971"/>
      <c r="IER47" s="971"/>
      <c r="IES47" s="971"/>
      <c r="IET47" s="971"/>
      <c r="IEU47" s="971"/>
      <c r="IEV47" s="971"/>
      <c r="IEW47" s="971"/>
      <c r="IEX47" s="971"/>
      <c r="IEY47" s="971"/>
      <c r="IEZ47" s="971"/>
      <c r="IFA47" s="971"/>
      <c r="IFB47" s="971"/>
      <c r="IFC47" s="971"/>
      <c r="IFD47" s="971"/>
      <c r="IFE47" s="971"/>
      <c r="IFF47" s="971"/>
      <c r="IFG47" s="971"/>
      <c r="IFH47" s="971"/>
      <c r="IFI47" s="971"/>
      <c r="IFJ47" s="971"/>
      <c r="IFK47" s="971"/>
      <c r="IFL47" s="971"/>
      <c r="IFM47" s="971"/>
      <c r="IFN47" s="971"/>
      <c r="IFO47" s="971"/>
      <c r="IFP47" s="971"/>
      <c r="IFQ47" s="971"/>
      <c r="IFR47" s="971"/>
      <c r="IFS47" s="971"/>
      <c r="IFT47" s="971"/>
      <c r="IFU47" s="971"/>
      <c r="IFV47" s="971"/>
      <c r="IFW47" s="971"/>
      <c r="IFX47" s="971"/>
      <c r="IFY47" s="971"/>
      <c r="IFZ47" s="971"/>
      <c r="IGA47" s="971"/>
      <c r="IGB47" s="971"/>
      <c r="IGC47" s="971"/>
      <c r="IGD47" s="971"/>
      <c r="IGE47" s="971"/>
      <c r="IGF47" s="971"/>
      <c r="IGG47" s="971"/>
      <c r="IGH47" s="971"/>
      <c r="IGI47" s="971"/>
      <c r="IGJ47" s="971"/>
      <c r="IGK47" s="971"/>
      <c r="IGL47" s="971"/>
      <c r="IGM47" s="971"/>
      <c r="IGN47" s="971"/>
      <c r="IGO47" s="971"/>
      <c r="IGP47" s="971"/>
      <c r="IGQ47" s="971"/>
      <c r="IGR47" s="971"/>
      <c r="IGS47" s="971"/>
      <c r="IGT47" s="971"/>
      <c r="IGU47" s="971"/>
      <c r="IGV47" s="971"/>
      <c r="IGW47" s="971"/>
      <c r="IGX47" s="971"/>
      <c r="IGY47" s="971"/>
      <c r="IGZ47" s="971"/>
      <c r="IHA47" s="971"/>
      <c r="IHB47" s="971"/>
      <c r="IHC47" s="971"/>
      <c r="IHD47" s="971"/>
      <c r="IHE47" s="971"/>
      <c r="IHF47" s="971"/>
      <c r="IHG47" s="971"/>
      <c r="IHH47" s="971"/>
      <c r="IHI47" s="971"/>
      <c r="IHJ47" s="971"/>
      <c r="IHK47" s="971"/>
      <c r="IHL47" s="971"/>
      <c r="IHM47" s="971"/>
      <c r="IHN47" s="971"/>
      <c r="IHO47" s="971"/>
      <c r="IHP47" s="971"/>
      <c r="IHQ47" s="971"/>
      <c r="IHR47" s="971"/>
      <c r="IHS47" s="971"/>
      <c r="IHT47" s="971"/>
      <c r="IHU47" s="971"/>
      <c r="IHV47" s="971"/>
      <c r="IHW47" s="971"/>
      <c r="IHX47" s="971"/>
      <c r="IHY47" s="971"/>
      <c r="IHZ47" s="971"/>
      <c r="IIA47" s="971"/>
      <c r="IIB47" s="971"/>
      <c r="IIC47" s="971"/>
      <c r="IID47" s="971"/>
      <c r="IIE47" s="971"/>
      <c r="IIF47" s="971"/>
      <c r="IIG47" s="971"/>
      <c r="IIH47" s="971"/>
      <c r="III47" s="971"/>
      <c r="IIJ47" s="971"/>
      <c r="IIK47" s="971"/>
      <c r="IIL47" s="971"/>
      <c r="IIM47" s="971"/>
      <c r="IIN47" s="971"/>
      <c r="IIO47" s="971"/>
      <c r="IIP47" s="971"/>
      <c r="IIQ47" s="971"/>
      <c r="IIR47" s="971"/>
      <c r="IIS47" s="971"/>
      <c r="IIT47" s="971"/>
      <c r="IIU47" s="971"/>
      <c r="IIV47" s="971"/>
      <c r="IIW47" s="971"/>
      <c r="IIX47" s="971"/>
      <c r="IIY47" s="971"/>
      <c r="IIZ47" s="971"/>
      <c r="IJA47" s="971"/>
      <c r="IJB47" s="971"/>
      <c r="IJC47" s="971"/>
      <c r="IJD47" s="971"/>
      <c r="IJE47" s="971"/>
      <c r="IJF47" s="971"/>
      <c r="IJG47" s="971"/>
      <c r="IJH47" s="971"/>
      <c r="IJI47" s="971"/>
      <c r="IJJ47" s="971"/>
      <c r="IJK47" s="971"/>
      <c r="IJL47" s="971"/>
      <c r="IJM47" s="971"/>
      <c r="IJN47" s="971"/>
      <c r="IJO47" s="971"/>
      <c r="IJP47" s="971"/>
      <c r="IJQ47" s="971"/>
      <c r="IJR47" s="971"/>
      <c r="IJS47" s="971"/>
      <c r="IJT47" s="971"/>
      <c r="IJU47" s="971"/>
      <c r="IJV47" s="971"/>
      <c r="IJW47" s="971"/>
      <c r="IJX47" s="971"/>
      <c r="IJY47" s="971"/>
      <c r="IJZ47" s="971"/>
      <c r="IKA47" s="971"/>
      <c r="IKB47" s="971"/>
      <c r="IKC47" s="971"/>
      <c r="IKD47" s="971"/>
      <c r="IKE47" s="971"/>
      <c r="IKF47" s="971"/>
      <c r="IKG47" s="971"/>
      <c r="IKH47" s="971"/>
      <c r="IKI47" s="971"/>
      <c r="IKJ47" s="971"/>
      <c r="IKK47" s="971"/>
      <c r="IKL47" s="971"/>
      <c r="IKM47" s="971"/>
      <c r="IKN47" s="971"/>
      <c r="IKO47" s="971"/>
      <c r="IKP47" s="971"/>
      <c r="IKQ47" s="971"/>
      <c r="IKR47" s="971"/>
      <c r="IKS47" s="971"/>
      <c r="IKT47" s="971"/>
      <c r="IKU47" s="971"/>
      <c r="IKV47" s="971"/>
      <c r="IKW47" s="971"/>
      <c r="IKX47" s="971"/>
      <c r="IKY47" s="971"/>
      <c r="IKZ47" s="971"/>
      <c r="ILA47" s="971"/>
      <c r="ILB47" s="971"/>
      <c r="ILC47" s="971"/>
      <c r="ILD47" s="971"/>
      <c r="ILE47" s="971"/>
      <c r="ILF47" s="971"/>
      <c r="ILG47" s="971"/>
      <c r="ILH47" s="971"/>
      <c r="ILI47" s="971"/>
      <c r="ILJ47" s="971"/>
      <c r="ILK47" s="971"/>
      <c r="ILL47" s="971"/>
      <c r="ILM47" s="971"/>
      <c r="ILN47" s="971"/>
      <c r="ILO47" s="971"/>
      <c r="ILP47" s="971"/>
      <c r="ILQ47" s="971"/>
      <c r="ILR47" s="971"/>
      <c r="ILS47" s="971"/>
      <c r="ILT47" s="971"/>
      <c r="ILU47" s="971"/>
      <c r="ILV47" s="971"/>
      <c r="ILW47" s="971"/>
      <c r="ILX47" s="971"/>
      <c r="ILY47" s="971"/>
      <c r="ILZ47" s="971"/>
      <c r="IMA47" s="971"/>
      <c r="IMB47" s="971"/>
      <c r="IMC47" s="971"/>
      <c r="IMD47" s="971"/>
      <c r="IME47" s="971"/>
      <c r="IMF47" s="971"/>
      <c r="IMG47" s="971"/>
      <c r="IMH47" s="971"/>
      <c r="IMI47" s="971"/>
      <c r="IMJ47" s="971"/>
      <c r="IMK47" s="971"/>
      <c r="IML47" s="971"/>
      <c r="IMM47" s="971"/>
      <c r="IMN47" s="971"/>
      <c r="IMO47" s="971"/>
      <c r="IMP47" s="971"/>
      <c r="IMQ47" s="971"/>
      <c r="IMR47" s="971"/>
      <c r="IMS47" s="971"/>
      <c r="IMT47" s="971"/>
      <c r="IMU47" s="971"/>
      <c r="IMV47" s="971"/>
      <c r="IMW47" s="971"/>
      <c r="IMX47" s="971"/>
      <c r="IMY47" s="971"/>
      <c r="IMZ47" s="971"/>
      <c r="INA47" s="971"/>
      <c r="INB47" s="971"/>
      <c r="INC47" s="971"/>
      <c r="IND47" s="971"/>
      <c r="INE47" s="971"/>
      <c r="INF47" s="971"/>
      <c r="ING47" s="971"/>
      <c r="INH47" s="971"/>
      <c r="INI47" s="971"/>
      <c r="INJ47" s="971"/>
      <c r="INK47" s="971"/>
      <c r="INL47" s="971"/>
      <c r="INM47" s="971"/>
      <c r="INN47" s="971"/>
      <c r="INO47" s="971"/>
      <c r="INP47" s="971"/>
      <c r="INQ47" s="971"/>
      <c r="INR47" s="971"/>
      <c r="INS47" s="971"/>
      <c r="INT47" s="971"/>
      <c r="INU47" s="971"/>
      <c r="INV47" s="971"/>
      <c r="INW47" s="971"/>
      <c r="INX47" s="971"/>
      <c r="INY47" s="971"/>
      <c r="INZ47" s="971"/>
      <c r="IOA47" s="971"/>
      <c r="IOB47" s="971"/>
      <c r="IOC47" s="971"/>
      <c r="IOD47" s="971"/>
      <c r="IOE47" s="971"/>
      <c r="IOF47" s="971"/>
      <c r="IOG47" s="971"/>
      <c r="IOH47" s="971"/>
      <c r="IOI47" s="971"/>
      <c r="IOJ47" s="971"/>
      <c r="IOK47" s="971"/>
      <c r="IOL47" s="971"/>
      <c r="IOM47" s="971"/>
      <c r="ION47" s="971"/>
      <c r="IOO47" s="971"/>
      <c r="IOP47" s="971"/>
      <c r="IOQ47" s="971"/>
      <c r="IOR47" s="971"/>
      <c r="IOS47" s="971"/>
      <c r="IOT47" s="971"/>
      <c r="IOU47" s="971"/>
      <c r="IOV47" s="971"/>
      <c r="IOW47" s="971"/>
      <c r="IOX47" s="971"/>
      <c r="IOY47" s="971"/>
      <c r="IOZ47" s="971"/>
      <c r="IPA47" s="971"/>
      <c r="IPB47" s="971"/>
      <c r="IPC47" s="971"/>
      <c r="IPD47" s="971"/>
      <c r="IPE47" s="971"/>
      <c r="IPF47" s="971"/>
      <c r="IPG47" s="971"/>
      <c r="IPH47" s="971"/>
      <c r="IPI47" s="971"/>
      <c r="IPJ47" s="971"/>
      <c r="IPK47" s="971"/>
      <c r="IPL47" s="971"/>
      <c r="IPM47" s="971"/>
      <c r="IPN47" s="971"/>
      <c r="IPO47" s="971"/>
      <c r="IPP47" s="971"/>
      <c r="IPQ47" s="971"/>
      <c r="IPR47" s="971"/>
      <c r="IPS47" s="971"/>
      <c r="IPT47" s="971"/>
      <c r="IPU47" s="971"/>
      <c r="IPV47" s="971"/>
      <c r="IPW47" s="971"/>
      <c r="IPX47" s="971"/>
      <c r="IPY47" s="971"/>
      <c r="IPZ47" s="971"/>
      <c r="IQA47" s="971"/>
      <c r="IQB47" s="971"/>
      <c r="IQC47" s="971"/>
      <c r="IQD47" s="971"/>
      <c r="IQE47" s="971"/>
      <c r="IQF47" s="971"/>
      <c r="IQG47" s="971"/>
      <c r="IQH47" s="971"/>
      <c r="IQI47" s="971"/>
      <c r="IQJ47" s="971"/>
      <c r="IQK47" s="971"/>
      <c r="IQL47" s="971"/>
      <c r="IQM47" s="971"/>
      <c r="IQN47" s="971"/>
      <c r="IQO47" s="971"/>
      <c r="IQP47" s="971"/>
      <c r="IQQ47" s="971"/>
      <c r="IQR47" s="971"/>
      <c r="IQS47" s="971"/>
      <c r="IQT47" s="971"/>
      <c r="IQU47" s="971"/>
      <c r="IQV47" s="971"/>
      <c r="IQW47" s="971"/>
      <c r="IQX47" s="971"/>
      <c r="IQY47" s="971"/>
      <c r="IQZ47" s="971"/>
      <c r="IRA47" s="971"/>
      <c r="IRB47" s="971"/>
      <c r="IRC47" s="971"/>
      <c r="IRD47" s="971"/>
      <c r="IRE47" s="971"/>
      <c r="IRF47" s="971"/>
      <c r="IRG47" s="971"/>
      <c r="IRH47" s="971"/>
      <c r="IRI47" s="971"/>
      <c r="IRJ47" s="971"/>
      <c r="IRK47" s="971"/>
      <c r="IRL47" s="971"/>
      <c r="IRM47" s="971"/>
      <c r="IRN47" s="971"/>
      <c r="IRO47" s="971"/>
      <c r="IRP47" s="971"/>
      <c r="IRQ47" s="971"/>
      <c r="IRR47" s="971"/>
      <c r="IRS47" s="971"/>
      <c r="IRT47" s="971"/>
      <c r="IRU47" s="971"/>
      <c r="IRV47" s="971"/>
      <c r="IRW47" s="971"/>
      <c r="IRX47" s="971"/>
      <c r="IRY47" s="971"/>
      <c r="IRZ47" s="971"/>
      <c r="ISA47" s="971"/>
      <c r="ISB47" s="971"/>
      <c r="ISC47" s="971"/>
      <c r="ISD47" s="971"/>
      <c r="ISE47" s="971"/>
      <c r="ISF47" s="971"/>
      <c r="ISG47" s="971"/>
      <c r="ISH47" s="971"/>
      <c r="ISI47" s="971"/>
      <c r="ISJ47" s="971"/>
      <c r="ISK47" s="971"/>
      <c r="ISL47" s="971"/>
      <c r="ISM47" s="971"/>
      <c r="ISN47" s="971"/>
      <c r="ISO47" s="971"/>
      <c r="ISP47" s="971"/>
      <c r="ISQ47" s="971"/>
      <c r="ISR47" s="971"/>
      <c r="ISS47" s="971"/>
      <c r="IST47" s="971"/>
      <c r="ISU47" s="971"/>
      <c r="ISV47" s="971"/>
      <c r="ISW47" s="971"/>
      <c r="ISX47" s="971"/>
      <c r="ISY47" s="971"/>
      <c r="ISZ47" s="971"/>
      <c r="ITA47" s="971"/>
      <c r="ITB47" s="971"/>
      <c r="ITC47" s="971"/>
      <c r="ITD47" s="971"/>
      <c r="ITE47" s="971"/>
      <c r="ITF47" s="971"/>
      <c r="ITG47" s="971"/>
      <c r="ITH47" s="971"/>
      <c r="ITI47" s="971"/>
      <c r="ITJ47" s="971"/>
      <c r="ITK47" s="971"/>
      <c r="ITL47" s="971"/>
      <c r="ITM47" s="971"/>
      <c r="ITN47" s="971"/>
      <c r="ITO47" s="971"/>
      <c r="ITP47" s="971"/>
      <c r="ITQ47" s="971"/>
      <c r="ITR47" s="971"/>
      <c r="ITS47" s="971"/>
      <c r="ITT47" s="971"/>
      <c r="ITU47" s="971"/>
      <c r="ITV47" s="971"/>
      <c r="ITW47" s="971"/>
      <c r="ITX47" s="971"/>
      <c r="ITY47" s="971"/>
      <c r="ITZ47" s="971"/>
      <c r="IUA47" s="971"/>
      <c r="IUB47" s="971"/>
      <c r="IUC47" s="971"/>
      <c r="IUD47" s="971"/>
      <c r="IUE47" s="971"/>
      <c r="IUF47" s="971"/>
      <c r="IUG47" s="971"/>
      <c r="IUH47" s="971"/>
      <c r="IUI47" s="971"/>
      <c r="IUJ47" s="971"/>
      <c r="IUK47" s="971"/>
      <c r="IUL47" s="971"/>
      <c r="IUM47" s="971"/>
      <c r="IUN47" s="971"/>
      <c r="IUO47" s="971"/>
      <c r="IUP47" s="971"/>
      <c r="IUQ47" s="971"/>
      <c r="IUR47" s="971"/>
      <c r="IUS47" s="971"/>
      <c r="IUT47" s="971"/>
      <c r="IUU47" s="971"/>
      <c r="IUV47" s="971"/>
      <c r="IUW47" s="971"/>
      <c r="IUX47" s="971"/>
      <c r="IUY47" s="971"/>
      <c r="IUZ47" s="971"/>
      <c r="IVA47" s="971"/>
      <c r="IVB47" s="971"/>
      <c r="IVC47" s="971"/>
      <c r="IVD47" s="971"/>
      <c r="IVE47" s="971"/>
      <c r="IVF47" s="971"/>
      <c r="IVG47" s="971"/>
      <c r="IVH47" s="971"/>
      <c r="IVI47" s="971"/>
      <c r="IVJ47" s="971"/>
      <c r="IVK47" s="971"/>
      <c r="IVL47" s="971"/>
      <c r="IVM47" s="971"/>
      <c r="IVN47" s="971"/>
      <c r="IVO47" s="971"/>
      <c r="IVP47" s="971"/>
      <c r="IVQ47" s="971"/>
      <c r="IVR47" s="971"/>
      <c r="IVS47" s="971"/>
      <c r="IVT47" s="971"/>
      <c r="IVU47" s="971"/>
      <c r="IVV47" s="971"/>
      <c r="IVW47" s="971"/>
      <c r="IVX47" s="971"/>
      <c r="IVY47" s="971"/>
      <c r="IVZ47" s="971"/>
      <c r="IWA47" s="971"/>
      <c r="IWB47" s="971"/>
      <c r="IWC47" s="971"/>
      <c r="IWD47" s="971"/>
      <c r="IWE47" s="971"/>
      <c r="IWF47" s="971"/>
      <c r="IWG47" s="971"/>
      <c r="IWH47" s="971"/>
      <c r="IWI47" s="971"/>
      <c r="IWJ47" s="971"/>
      <c r="IWK47" s="971"/>
      <c r="IWL47" s="971"/>
      <c r="IWM47" s="971"/>
      <c r="IWN47" s="971"/>
      <c r="IWO47" s="971"/>
      <c r="IWP47" s="971"/>
      <c r="IWQ47" s="971"/>
      <c r="IWR47" s="971"/>
      <c r="IWS47" s="971"/>
      <c r="IWT47" s="971"/>
      <c r="IWU47" s="971"/>
      <c r="IWV47" s="971"/>
      <c r="IWW47" s="971"/>
      <c r="IWX47" s="971"/>
      <c r="IWY47" s="971"/>
      <c r="IWZ47" s="971"/>
      <c r="IXA47" s="971"/>
      <c r="IXB47" s="971"/>
      <c r="IXC47" s="971"/>
      <c r="IXD47" s="971"/>
      <c r="IXE47" s="971"/>
      <c r="IXF47" s="971"/>
      <c r="IXG47" s="971"/>
      <c r="IXH47" s="971"/>
      <c r="IXI47" s="971"/>
      <c r="IXJ47" s="971"/>
      <c r="IXK47" s="971"/>
      <c r="IXL47" s="971"/>
      <c r="IXM47" s="971"/>
      <c r="IXN47" s="971"/>
      <c r="IXO47" s="971"/>
      <c r="IXP47" s="971"/>
      <c r="IXQ47" s="971"/>
      <c r="IXR47" s="971"/>
      <c r="IXS47" s="971"/>
      <c r="IXT47" s="971"/>
      <c r="IXU47" s="971"/>
      <c r="IXV47" s="971"/>
      <c r="IXW47" s="971"/>
      <c r="IXX47" s="971"/>
      <c r="IXY47" s="971"/>
      <c r="IXZ47" s="971"/>
      <c r="IYA47" s="971"/>
      <c r="IYB47" s="971"/>
      <c r="IYC47" s="971"/>
      <c r="IYD47" s="971"/>
      <c r="IYE47" s="971"/>
      <c r="IYF47" s="971"/>
      <c r="IYG47" s="971"/>
      <c r="IYH47" s="971"/>
      <c r="IYI47" s="971"/>
      <c r="IYJ47" s="971"/>
      <c r="IYK47" s="971"/>
      <c r="IYL47" s="971"/>
      <c r="IYM47" s="971"/>
      <c r="IYN47" s="971"/>
      <c r="IYO47" s="971"/>
      <c r="IYP47" s="971"/>
      <c r="IYQ47" s="971"/>
      <c r="IYR47" s="971"/>
      <c r="IYS47" s="971"/>
      <c r="IYT47" s="971"/>
      <c r="IYU47" s="971"/>
      <c r="IYV47" s="971"/>
      <c r="IYW47" s="971"/>
      <c r="IYX47" s="971"/>
      <c r="IYY47" s="971"/>
      <c r="IYZ47" s="971"/>
      <c r="IZA47" s="971"/>
      <c r="IZB47" s="971"/>
      <c r="IZC47" s="971"/>
      <c r="IZD47" s="971"/>
      <c r="IZE47" s="971"/>
      <c r="IZF47" s="971"/>
      <c r="IZG47" s="971"/>
      <c r="IZH47" s="971"/>
      <c r="IZI47" s="971"/>
      <c r="IZJ47" s="971"/>
      <c r="IZK47" s="971"/>
      <c r="IZL47" s="971"/>
      <c r="IZM47" s="971"/>
      <c r="IZN47" s="971"/>
      <c r="IZO47" s="971"/>
      <c r="IZP47" s="971"/>
      <c r="IZQ47" s="971"/>
      <c r="IZR47" s="971"/>
      <c r="IZS47" s="971"/>
      <c r="IZT47" s="971"/>
      <c r="IZU47" s="971"/>
      <c r="IZV47" s="971"/>
      <c r="IZW47" s="971"/>
      <c r="IZX47" s="971"/>
      <c r="IZY47" s="971"/>
      <c r="IZZ47" s="971"/>
      <c r="JAA47" s="971"/>
      <c r="JAB47" s="971"/>
      <c r="JAC47" s="971"/>
      <c r="JAD47" s="971"/>
      <c r="JAE47" s="971"/>
      <c r="JAF47" s="971"/>
      <c r="JAG47" s="971"/>
      <c r="JAH47" s="971"/>
      <c r="JAI47" s="971"/>
      <c r="JAJ47" s="971"/>
      <c r="JAK47" s="971"/>
      <c r="JAL47" s="971"/>
      <c r="JAM47" s="971"/>
      <c r="JAN47" s="971"/>
      <c r="JAO47" s="971"/>
      <c r="JAP47" s="971"/>
      <c r="JAQ47" s="971"/>
      <c r="JAR47" s="971"/>
      <c r="JAS47" s="971"/>
      <c r="JAT47" s="971"/>
      <c r="JAU47" s="971"/>
      <c r="JAV47" s="971"/>
      <c r="JAW47" s="971"/>
      <c r="JAX47" s="971"/>
      <c r="JAY47" s="971"/>
      <c r="JAZ47" s="971"/>
      <c r="JBA47" s="971"/>
      <c r="JBB47" s="971"/>
      <c r="JBC47" s="971"/>
      <c r="JBD47" s="971"/>
      <c r="JBE47" s="971"/>
      <c r="JBF47" s="971"/>
      <c r="JBG47" s="971"/>
      <c r="JBH47" s="971"/>
      <c r="JBI47" s="971"/>
      <c r="JBJ47" s="971"/>
      <c r="JBK47" s="971"/>
      <c r="JBL47" s="971"/>
      <c r="JBM47" s="971"/>
      <c r="JBN47" s="971"/>
      <c r="JBO47" s="971"/>
      <c r="JBP47" s="971"/>
      <c r="JBQ47" s="971"/>
      <c r="JBR47" s="971"/>
      <c r="JBS47" s="971"/>
      <c r="JBT47" s="971"/>
      <c r="JBU47" s="971"/>
      <c r="JBV47" s="971"/>
      <c r="JBW47" s="971"/>
      <c r="JBX47" s="971"/>
      <c r="JBY47" s="971"/>
      <c r="JBZ47" s="971"/>
      <c r="JCA47" s="971"/>
      <c r="JCB47" s="971"/>
      <c r="JCC47" s="971"/>
      <c r="JCD47" s="971"/>
      <c r="JCE47" s="971"/>
      <c r="JCF47" s="971"/>
      <c r="JCG47" s="971"/>
      <c r="JCH47" s="971"/>
      <c r="JCI47" s="971"/>
      <c r="JCJ47" s="971"/>
      <c r="JCK47" s="971"/>
      <c r="JCL47" s="971"/>
      <c r="JCM47" s="971"/>
      <c r="JCN47" s="971"/>
      <c r="JCO47" s="971"/>
      <c r="JCP47" s="971"/>
      <c r="JCQ47" s="971"/>
      <c r="JCR47" s="971"/>
      <c r="JCS47" s="971"/>
      <c r="JCT47" s="971"/>
      <c r="JCU47" s="971"/>
      <c r="JCV47" s="971"/>
      <c r="JCW47" s="971"/>
      <c r="JCX47" s="971"/>
      <c r="JCY47" s="971"/>
      <c r="JCZ47" s="971"/>
      <c r="JDA47" s="971"/>
      <c r="JDB47" s="971"/>
      <c r="JDC47" s="971"/>
      <c r="JDD47" s="971"/>
      <c r="JDE47" s="971"/>
      <c r="JDF47" s="971"/>
      <c r="JDG47" s="971"/>
      <c r="JDH47" s="971"/>
      <c r="JDI47" s="971"/>
      <c r="JDJ47" s="971"/>
      <c r="JDK47" s="971"/>
      <c r="JDL47" s="971"/>
      <c r="JDM47" s="971"/>
      <c r="JDN47" s="971"/>
      <c r="JDO47" s="971"/>
      <c r="JDP47" s="971"/>
      <c r="JDQ47" s="971"/>
      <c r="JDR47" s="971"/>
      <c r="JDS47" s="971"/>
      <c r="JDT47" s="971"/>
      <c r="JDU47" s="971"/>
      <c r="JDV47" s="971"/>
      <c r="JDW47" s="971"/>
      <c r="JDX47" s="971"/>
      <c r="JDY47" s="971"/>
      <c r="JDZ47" s="971"/>
      <c r="JEA47" s="971"/>
      <c r="JEB47" s="971"/>
      <c r="JEC47" s="971"/>
      <c r="JED47" s="971"/>
      <c r="JEE47" s="971"/>
      <c r="JEF47" s="971"/>
      <c r="JEG47" s="971"/>
      <c r="JEH47" s="971"/>
      <c r="JEI47" s="971"/>
      <c r="JEJ47" s="971"/>
      <c r="JEK47" s="971"/>
      <c r="JEL47" s="971"/>
      <c r="JEM47" s="971"/>
      <c r="JEN47" s="971"/>
      <c r="JEO47" s="971"/>
      <c r="JEP47" s="971"/>
      <c r="JEQ47" s="971"/>
      <c r="JER47" s="971"/>
      <c r="JES47" s="971"/>
      <c r="JET47" s="971"/>
      <c r="JEU47" s="971"/>
      <c r="JEV47" s="971"/>
      <c r="JEW47" s="971"/>
      <c r="JEX47" s="971"/>
      <c r="JEY47" s="971"/>
      <c r="JEZ47" s="971"/>
      <c r="JFA47" s="971"/>
      <c r="JFB47" s="971"/>
      <c r="JFC47" s="971"/>
      <c r="JFD47" s="971"/>
      <c r="JFE47" s="971"/>
      <c r="JFF47" s="971"/>
      <c r="JFG47" s="971"/>
      <c r="JFH47" s="971"/>
      <c r="JFI47" s="971"/>
      <c r="JFJ47" s="971"/>
      <c r="JFK47" s="971"/>
      <c r="JFL47" s="971"/>
      <c r="JFM47" s="971"/>
      <c r="JFN47" s="971"/>
      <c r="JFO47" s="971"/>
      <c r="JFP47" s="971"/>
      <c r="JFQ47" s="971"/>
      <c r="JFR47" s="971"/>
      <c r="JFS47" s="971"/>
      <c r="JFT47" s="971"/>
      <c r="JFU47" s="971"/>
      <c r="JFV47" s="971"/>
      <c r="JFW47" s="971"/>
      <c r="JFX47" s="971"/>
      <c r="JFY47" s="971"/>
      <c r="JFZ47" s="971"/>
      <c r="JGA47" s="971"/>
      <c r="JGB47" s="971"/>
      <c r="JGC47" s="971"/>
      <c r="JGD47" s="971"/>
      <c r="JGE47" s="971"/>
      <c r="JGF47" s="971"/>
      <c r="JGG47" s="971"/>
      <c r="JGH47" s="971"/>
      <c r="JGI47" s="971"/>
      <c r="JGJ47" s="971"/>
      <c r="JGK47" s="971"/>
      <c r="JGL47" s="971"/>
      <c r="JGM47" s="971"/>
      <c r="JGN47" s="971"/>
      <c r="JGO47" s="971"/>
      <c r="JGP47" s="971"/>
      <c r="JGQ47" s="971"/>
      <c r="JGR47" s="971"/>
      <c r="JGS47" s="971"/>
      <c r="JGT47" s="971"/>
      <c r="JGU47" s="971"/>
      <c r="JGV47" s="971"/>
      <c r="JGW47" s="971"/>
      <c r="JGX47" s="971"/>
      <c r="JGY47" s="971"/>
      <c r="JGZ47" s="971"/>
      <c r="JHA47" s="971"/>
      <c r="JHB47" s="971"/>
      <c r="JHC47" s="971"/>
      <c r="JHD47" s="971"/>
      <c r="JHE47" s="971"/>
      <c r="JHF47" s="971"/>
      <c r="JHG47" s="971"/>
      <c r="JHH47" s="971"/>
      <c r="JHI47" s="971"/>
      <c r="JHJ47" s="971"/>
      <c r="JHK47" s="971"/>
      <c r="JHL47" s="971"/>
      <c r="JHM47" s="971"/>
      <c r="JHN47" s="971"/>
      <c r="JHO47" s="971"/>
      <c r="JHP47" s="971"/>
      <c r="JHQ47" s="971"/>
      <c r="JHR47" s="971"/>
      <c r="JHS47" s="971"/>
      <c r="JHT47" s="971"/>
      <c r="JHU47" s="971"/>
      <c r="JHV47" s="971"/>
      <c r="JHW47" s="971"/>
      <c r="JHX47" s="971"/>
      <c r="JHY47" s="971"/>
      <c r="JHZ47" s="971"/>
      <c r="JIA47" s="971"/>
      <c r="JIB47" s="971"/>
      <c r="JIC47" s="971"/>
      <c r="JID47" s="971"/>
      <c r="JIE47" s="971"/>
      <c r="JIF47" s="971"/>
      <c r="JIG47" s="971"/>
      <c r="JIH47" s="971"/>
      <c r="JII47" s="971"/>
      <c r="JIJ47" s="971"/>
      <c r="JIK47" s="971"/>
      <c r="JIL47" s="971"/>
      <c r="JIM47" s="971"/>
      <c r="JIN47" s="971"/>
      <c r="JIO47" s="971"/>
      <c r="JIP47" s="971"/>
      <c r="JIQ47" s="971"/>
      <c r="JIR47" s="971"/>
      <c r="JIS47" s="971"/>
      <c r="JIT47" s="971"/>
      <c r="JIU47" s="971"/>
      <c r="JIV47" s="971"/>
      <c r="JIW47" s="971"/>
      <c r="JIX47" s="971"/>
      <c r="JIY47" s="971"/>
      <c r="JIZ47" s="971"/>
      <c r="JJA47" s="971"/>
      <c r="JJB47" s="971"/>
      <c r="JJC47" s="971"/>
      <c r="JJD47" s="971"/>
      <c r="JJE47" s="971"/>
      <c r="JJF47" s="971"/>
      <c r="JJG47" s="971"/>
      <c r="JJH47" s="971"/>
      <c r="JJI47" s="971"/>
      <c r="JJJ47" s="971"/>
      <c r="JJK47" s="971"/>
      <c r="JJL47" s="971"/>
      <c r="JJM47" s="971"/>
      <c r="JJN47" s="971"/>
      <c r="JJO47" s="971"/>
      <c r="JJP47" s="971"/>
      <c r="JJQ47" s="971"/>
      <c r="JJR47" s="971"/>
      <c r="JJS47" s="971"/>
      <c r="JJT47" s="971"/>
      <c r="JJU47" s="971"/>
      <c r="JJV47" s="971"/>
      <c r="JJW47" s="971"/>
      <c r="JJX47" s="971"/>
      <c r="JJY47" s="971"/>
      <c r="JJZ47" s="971"/>
      <c r="JKA47" s="971"/>
      <c r="JKB47" s="971"/>
      <c r="JKC47" s="971"/>
      <c r="JKD47" s="971"/>
      <c r="JKE47" s="971"/>
      <c r="JKF47" s="971"/>
      <c r="JKG47" s="971"/>
      <c r="JKH47" s="971"/>
      <c r="JKI47" s="971"/>
      <c r="JKJ47" s="971"/>
      <c r="JKK47" s="971"/>
      <c r="JKL47" s="971"/>
      <c r="JKM47" s="971"/>
      <c r="JKN47" s="971"/>
      <c r="JKO47" s="971"/>
      <c r="JKP47" s="971"/>
      <c r="JKQ47" s="971"/>
      <c r="JKR47" s="971"/>
      <c r="JKS47" s="971"/>
      <c r="JKT47" s="971"/>
      <c r="JKU47" s="971"/>
      <c r="JKV47" s="971"/>
      <c r="JKW47" s="971"/>
      <c r="JKX47" s="971"/>
      <c r="JKY47" s="971"/>
      <c r="JKZ47" s="971"/>
      <c r="JLA47" s="971"/>
      <c r="JLB47" s="971"/>
      <c r="JLC47" s="971"/>
      <c r="JLD47" s="971"/>
      <c r="JLE47" s="971"/>
      <c r="JLF47" s="971"/>
      <c r="JLG47" s="971"/>
      <c r="JLH47" s="971"/>
      <c r="JLI47" s="971"/>
      <c r="JLJ47" s="971"/>
      <c r="JLK47" s="971"/>
      <c r="JLL47" s="971"/>
      <c r="JLM47" s="971"/>
      <c r="JLN47" s="971"/>
      <c r="JLO47" s="971"/>
      <c r="JLP47" s="971"/>
      <c r="JLQ47" s="971"/>
      <c r="JLR47" s="971"/>
      <c r="JLS47" s="971"/>
      <c r="JLT47" s="971"/>
      <c r="JLU47" s="971"/>
      <c r="JLV47" s="971"/>
      <c r="JLW47" s="971"/>
      <c r="JLX47" s="971"/>
      <c r="JLY47" s="971"/>
      <c r="JLZ47" s="971"/>
      <c r="JMA47" s="971"/>
      <c r="JMB47" s="971"/>
      <c r="JMC47" s="971"/>
      <c r="JMD47" s="971"/>
      <c r="JME47" s="971"/>
      <c r="JMF47" s="971"/>
      <c r="JMG47" s="971"/>
      <c r="JMH47" s="971"/>
      <c r="JMI47" s="971"/>
      <c r="JMJ47" s="971"/>
      <c r="JMK47" s="971"/>
      <c r="JML47" s="971"/>
      <c r="JMM47" s="971"/>
      <c r="JMN47" s="971"/>
      <c r="JMO47" s="971"/>
      <c r="JMP47" s="971"/>
      <c r="JMQ47" s="971"/>
      <c r="JMR47" s="971"/>
      <c r="JMS47" s="971"/>
      <c r="JMT47" s="971"/>
      <c r="JMU47" s="971"/>
      <c r="JMV47" s="971"/>
      <c r="JMW47" s="971"/>
      <c r="JMX47" s="971"/>
      <c r="JMY47" s="971"/>
      <c r="JMZ47" s="971"/>
      <c r="JNA47" s="971"/>
      <c r="JNB47" s="971"/>
      <c r="JNC47" s="971"/>
      <c r="JND47" s="971"/>
      <c r="JNE47" s="971"/>
      <c r="JNF47" s="971"/>
      <c r="JNG47" s="971"/>
      <c r="JNH47" s="971"/>
      <c r="JNI47" s="971"/>
      <c r="JNJ47" s="971"/>
      <c r="JNK47" s="971"/>
      <c r="JNL47" s="971"/>
      <c r="JNM47" s="971"/>
      <c r="JNN47" s="971"/>
      <c r="JNO47" s="971"/>
      <c r="JNP47" s="971"/>
      <c r="JNQ47" s="971"/>
      <c r="JNR47" s="971"/>
      <c r="JNS47" s="971"/>
      <c r="JNT47" s="971"/>
      <c r="JNU47" s="971"/>
      <c r="JNV47" s="971"/>
      <c r="JNW47" s="971"/>
      <c r="JNX47" s="971"/>
      <c r="JNY47" s="971"/>
      <c r="JNZ47" s="971"/>
      <c r="JOA47" s="971"/>
      <c r="JOB47" s="971"/>
      <c r="JOC47" s="971"/>
      <c r="JOD47" s="971"/>
      <c r="JOE47" s="971"/>
      <c r="JOF47" s="971"/>
      <c r="JOG47" s="971"/>
      <c r="JOH47" s="971"/>
      <c r="JOI47" s="971"/>
      <c r="JOJ47" s="971"/>
      <c r="JOK47" s="971"/>
      <c r="JOL47" s="971"/>
      <c r="JOM47" s="971"/>
      <c r="JON47" s="971"/>
      <c r="JOO47" s="971"/>
      <c r="JOP47" s="971"/>
      <c r="JOQ47" s="971"/>
      <c r="JOR47" s="971"/>
      <c r="JOS47" s="971"/>
      <c r="JOT47" s="971"/>
      <c r="JOU47" s="971"/>
      <c r="JOV47" s="971"/>
      <c r="JOW47" s="971"/>
      <c r="JOX47" s="971"/>
      <c r="JOY47" s="971"/>
      <c r="JOZ47" s="971"/>
      <c r="JPA47" s="971"/>
      <c r="JPB47" s="971"/>
      <c r="JPC47" s="971"/>
      <c r="JPD47" s="971"/>
      <c r="JPE47" s="971"/>
      <c r="JPF47" s="971"/>
      <c r="JPG47" s="971"/>
      <c r="JPH47" s="971"/>
      <c r="JPI47" s="971"/>
      <c r="JPJ47" s="971"/>
      <c r="JPK47" s="971"/>
      <c r="JPL47" s="971"/>
      <c r="JPM47" s="971"/>
      <c r="JPN47" s="971"/>
      <c r="JPO47" s="971"/>
      <c r="JPP47" s="971"/>
      <c r="JPQ47" s="971"/>
      <c r="JPR47" s="971"/>
      <c r="JPS47" s="971"/>
      <c r="JPT47" s="971"/>
      <c r="JPU47" s="971"/>
      <c r="JPV47" s="971"/>
      <c r="JPW47" s="971"/>
      <c r="JPX47" s="971"/>
      <c r="JPY47" s="971"/>
      <c r="JPZ47" s="971"/>
      <c r="JQA47" s="971"/>
      <c r="JQB47" s="971"/>
      <c r="JQC47" s="971"/>
      <c r="JQD47" s="971"/>
      <c r="JQE47" s="971"/>
      <c r="JQF47" s="971"/>
      <c r="JQG47" s="971"/>
      <c r="JQH47" s="971"/>
      <c r="JQI47" s="971"/>
      <c r="JQJ47" s="971"/>
      <c r="JQK47" s="971"/>
      <c r="JQL47" s="971"/>
      <c r="JQM47" s="971"/>
      <c r="JQN47" s="971"/>
      <c r="JQO47" s="971"/>
      <c r="JQP47" s="971"/>
      <c r="JQQ47" s="971"/>
      <c r="JQR47" s="971"/>
      <c r="JQS47" s="971"/>
      <c r="JQT47" s="971"/>
      <c r="JQU47" s="971"/>
      <c r="JQV47" s="971"/>
      <c r="JQW47" s="971"/>
      <c r="JQX47" s="971"/>
      <c r="JQY47" s="971"/>
      <c r="JQZ47" s="971"/>
      <c r="JRA47" s="971"/>
      <c r="JRB47" s="971"/>
      <c r="JRC47" s="971"/>
      <c r="JRD47" s="971"/>
      <c r="JRE47" s="971"/>
      <c r="JRF47" s="971"/>
      <c r="JRG47" s="971"/>
      <c r="JRH47" s="971"/>
      <c r="JRI47" s="971"/>
      <c r="JRJ47" s="971"/>
      <c r="JRK47" s="971"/>
      <c r="JRL47" s="971"/>
      <c r="JRM47" s="971"/>
      <c r="JRN47" s="971"/>
      <c r="JRO47" s="971"/>
      <c r="JRP47" s="971"/>
      <c r="JRQ47" s="971"/>
      <c r="JRR47" s="971"/>
      <c r="JRS47" s="971"/>
      <c r="JRT47" s="971"/>
      <c r="JRU47" s="971"/>
      <c r="JRV47" s="971"/>
      <c r="JRW47" s="971"/>
      <c r="JRX47" s="971"/>
      <c r="JRY47" s="971"/>
      <c r="JRZ47" s="971"/>
      <c r="JSA47" s="971"/>
      <c r="JSB47" s="971"/>
      <c r="JSC47" s="971"/>
      <c r="JSD47" s="971"/>
      <c r="JSE47" s="971"/>
      <c r="JSF47" s="971"/>
      <c r="JSG47" s="971"/>
      <c r="JSH47" s="971"/>
      <c r="JSI47" s="971"/>
      <c r="JSJ47" s="971"/>
      <c r="JSK47" s="971"/>
      <c r="JSL47" s="971"/>
      <c r="JSM47" s="971"/>
      <c r="JSN47" s="971"/>
      <c r="JSO47" s="971"/>
      <c r="JSP47" s="971"/>
      <c r="JSQ47" s="971"/>
      <c r="JSR47" s="971"/>
      <c r="JSS47" s="971"/>
      <c r="JST47" s="971"/>
      <c r="JSU47" s="971"/>
      <c r="JSV47" s="971"/>
      <c r="JSW47" s="971"/>
      <c r="JSX47" s="971"/>
      <c r="JSY47" s="971"/>
      <c r="JSZ47" s="971"/>
      <c r="JTA47" s="971"/>
      <c r="JTB47" s="971"/>
      <c r="JTC47" s="971"/>
      <c r="JTD47" s="971"/>
      <c r="JTE47" s="971"/>
      <c r="JTF47" s="971"/>
      <c r="JTG47" s="971"/>
      <c r="JTH47" s="971"/>
      <c r="JTI47" s="971"/>
      <c r="JTJ47" s="971"/>
      <c r="JTK47" s="971"/>
      <c r="JTL47" s="971"/>
      <c r="JTM47" s="971"/>
      <c r="JTN47" s="971"/>
      <c r="JTO47" s="971"/>
      <c r="JTP47" s="971"/>
      <c r="JTQ47" s="971"/>
      <c r="JTR47" s="971"/>
      <c r="JTS47" s="971"/>
      <c r="JTT47" s="971"/>
      <c r="JTU47" s="971"/>
      <c r="JTV47" s="971"/>
      <c r="JTW47" s="971"/>
      <c r="JTX47" s="971"/>
      <c r="JTY47" s="971"/>
      <c r="JTZ47" s="971"/>
      <c r="JUA47" s="971"/>
      <c r="JUB47" s="971"/>
      <c r="JUC47" s="971"/>
      <c r="JUD47" s="971"/>
      <c r="JUE47" s="971"/>
      <c r="JUF47" s="971"/>
      <c r="JUG47" s="971"/>
      <c r="JUH47" s="971"/>
      <c r="JUI47" s="971"/>
      <c r="JUJ47" s="971"/>
      <c r="JUK47" s="971"/>
      <c r="JUL47" s="971"/>
      <c r="JUM47" s="971"/>
      <c r="JUN47" s="971"/>
      <c r="JUO47" s="971"/>
      <c r="JUP47" s="971"/>
      <c r="JUQ47" s="971"/>
      <c r="JUR47" s="971"/>
      <c r="JUS47" s="971"/>
      <c r="JUT47" s="971"/>
      <c r="JUU47" s="971"/>
      <c r="JUV47" s="971"/>
      <c r="JUW47" s="971"/>
      <c r="JUX47" s="971"/>
      <c r="JUY47" s="971"/>
      <c r="JUZ47" s="971"/>
      <c r="JVA47" s="971"/>
      <c r="JVB47" s="971"/>
      <c r="JVC47" s="971"/>
      <c r="JVD47" s="971"/>
      <c r="JVE47" s="971"/>
      <c r="JVF47" s="971"/>
      <c r="JVG47" s="971"/>
      <c r="JVH47" s="971"/>
      <c r="JVI47" s="971"/>
      <c r="JVJ47" s="971"/>
      <c r="JVK47" s="971"/>
      <c r="JVL47" s="971"/>
      <c r="JVM47" s="971"/>
      <c r="JVN47" s="971"/>
      <c r="JVO47" s="971"/>
      <c r="JVP47" s="971"/>
      <c r="JVQ47" s="971"/>
      <c r="JVR47" s="971"/>
      <c r="JVS47" s="971"/>
      <c r="JVT47" s="971"/>
      <c r="JVU47" s="971"/>
      <c r="JVV47" s="971"/>
      <c r="JVW47" s="971"/>
      <c r="JVX47" s="971"/>
      <c r="JVY47" s="971"/>
      <c r="JVZ47" s="971"/>
      <c r="JWA47" s="971"/>
      <c r="JWB47" s="971"/>
      <c r="JWC47" s="971"/>
      <c r="JWD47" s="971"/>
      <c r="JWE47" s="971"/>
      <c r="JWF47" s="971"/>
      <c r="JWG47" s="971"/>
      <c r="JWH47" s="971"/>
      <c r="JWI47" s="971"/>
      <c r="JWJ47" s="971"/>
      <c r="JWK47" s="971"/>
      <c r="JWL47" s="971"/>
      <c r="JWM47" s="971"/>
      <c r="JWN47" s="971"/>
      <c r="JWO47" s="971"/>
      <c r="JWP47" s="971"/>
      <c r="JWQ47" s="971"/>
      <c r="JWR47" s="971"/>
      <c r="JWS47" s="971"/>
      <c r="JWT47" s="971"/>
      <c r="JWU47" s="971"/>
      <c r="JWV47" s="971"/>
      <c r="JWW47" s="971"/>
      <c r="JWX47" s="971"/>
      <c r="JWY47" s="971"/>
      <c r="JWZ47" s="971"/>
      <c r="JXA47" s="971"/>
      <c r="JXB47" s="971"/>
      <c r="JXC47" s="971"/>
      <c r="JXD47" s="971"/>
      <c r="JXE47" s="971"/>
      <c r="JXF47" s="971"/>
      <c r="JXG47" s="971"/>
      <c r="JXH47" s="971"/>
      <c r="JXI47" s="971"/>
      <c r="JXJ47" s="971"/>
      <c r="JXK47" s="971"/>
      <c r="JXL47" s="971"/>
      <c r="JXM47" s="971"/>
      <c r="JXN47" s="971"/>
      <c r="JXO47" s="971"/>
      <c r="JXP47" s="971"/>
      <c r="JXQ47" s="971"/>
      <c r="JXR47" s="971"/>
      <c r="JXS47" s="971"/>
      <c r="JXT47" s="971"/>
      <c r="JXU47" s="971"/>
      <c r="JXV47" s="971"/>
      <c r="JXW47" s="971"/>
      <c r="JXX47" s="971"/>
      <c r="JXY47" s="971"/>
      <c r="JXZ47" s="971"/>
      <c r="JYA47" s="971"/>
      <c r="JYB47" s="971"/>
      <c r="JYC47" s="971"/>
      <c r="JYD47" s="971"/>
      <c r="JYE47" s="971"/>
      <c r="JYF47" s="971"/>
      <c r="JYG47" s="971"/>
      <c r="JYH47" s="971"/>
      <c r="JYI47" s="971"/>
      <c r="JYJ47" s="971"/>
      <c r="JYK47" s="971"/>
      <c r="JYL47" s="971"/>
      <c r="JYM47" s="971"/>
      <c r="JYN47" s="971"/>
      <c r="JYO47" s="971"/>
      <c r="JYP47" s="971"/>
      <c r="JYQ47" s="971"/>
      <c r="JYR47" s="971"/>
      <c r="JYS47" s="971"/>
      <c r="JYT47" s="971"/>
      <c r="JYU47" s="971"/>
      <c r="JYV47" s="971"/>
      <c r="JYW47" s="971"/>
      <c r="JYX47" s="971"/>
      <c r="JYY47" s="971"/>
      <c r="JYZ47" s="971"/>
      <c r="JZA47" s="971"/>
      <c r="JZB47" s="971"/>
      <c r="JZC47" s="971"/>
      <c r="JZD47" s="971"/>
      <c r="JZE47" s="971"/>
      <c r="JZF47" s="971"/>
      <c r="JZG47" s="971"/>
      <c r="JZH47" s="971"/>
      <c r="JZI47" s="971"/>
      <c r="JZJ47" s="971"/>
      <c r="JZK47" s="971"/>
      <c r="JZL47" s="971"/>
      <c r="JZM47" s="971"/>
      <c r="JZN47" s="971"/>
      <c r="JZO47" s="971"/>
      <c r="JZP47" s="971"/>
      <c r="JZQ47" s="971"/>
      <c r="JZR47" s="971"/>
      <c r="JZS47" s="971"/>
      <c r="JZT47" s="971"/>
      <c r="JZU47" s="971"/>
      <c r="JZV47" s="971"/>
      <c r="JZW47" s="971"/>
      <c r="JZX47" s="971"/>
      <c r="JZY47" s="971"/>
      <c r="JZZ47" s="971"/>
      <c r="KAA47" s="971"/>
      <c r="KAB47" s="971"/>
      <c r="KAC47" s="971"/>
      <c r="KAD47" s="971"/>
      <c r="KAE47" s="971"/>
      <c r="KAF47" s="971"/>
      <c r="KAG47" s="971"/>
      <c r="KAH47" s="971"/>
      <c r="KAI47" s="971"/>
      <c r="KAJ47" s="971"/>
      <c r="KAK47" s="971"/>
      <c r="KAL47" s="971"/>
      <c r="KAM47" s="971"/>
      <c r="KAN47" s="971"/>
      <c r="KAO47" s="971"/>
      <c r="KAP47" s="971"/>
      <c r="KAQ47" s="971"/>
      <c r="KAR47" s="971"/>
      <c r="KAS47" s="971"/>
      <c r="KAT47" s="971"/>
      <c r="KAU47" s="971"/>
      <c r="KAV47" s="971"/>
      <c r="KAW47" s="971"/>
      <c r="KAX47" s="971"/>
      <c r="KAY47" s="971"/>
      <c r="KAZ47" s="971"/>
      <c r="KBA47" s="971"/>
      <c r="KBB47" s="971"/>
      <c r="KBC47" s="971"/>
      <c r="KBD47" s="971"/>
      <c r="KBE47" s="971"/>
      <c r="KBF47" s="971"/>
      <c r="KBG47" s="971"/>
      <c r="KBH47" s="971"/>
      <c r="KBI47" s="971"/>
      <c r="KBJ47" s="971"/>
      <c r="KBK47" s="971"/>
      <c r="KBL47" s="971"/>
      <c r="KBM47" s="971"/>
      <c r="KBN47" s="971"/>
      <c r="KBO47" s="971"/>
      <c r="KBP47" s="971"/>
      <c r="KBQ47" s="971"/>
      <c r="KBR47" s="971"/>
      <c r="KBS47" s="971"/>
      <c r="KBT47" s="971"/>
      <c r="KBU47" s="971"/>
      <c r="KBV47" s="971"/>
      <c r="KBW47" s="971"/>
      <c r="KBX47" s="971"/>
      <c r="KBY47" s="971"/>
      <c r="KBZ47" s="971"/>
      <c r="KCA47" s="971"/>
      <c r="KCB47" s="971"/>
      <c r="KCC47" s="971"/>
      <c r="KCD47" s="971"/>
      <c r="KCE47" s="971"/>
      <c r="KCF47" s="971"/>
      <c r="KCG47" s="971"/>
      <c r="KCH47" s="971"/>
      <c r="KCI47" s="971"/>
      <c r="KCJ47" s="971"/>
      <c r="KCK47" s="971"/>
      <c r="KCL47" s="971"/>
      <c r="KCM47" s="971"/>
      <c r="KCN47" s="971"/>
      <c r="KCO47" s="971"/>
      <c r="KCP47" s="971"/>
      <c r="KCQ47" s="971"/>
      <c r="KCR47" s="971"/>
      <c r="KCS47" s="971"/>
      <c r="KCT47" s="971"/>
      <c r="KCU47" s="971"/>
      <c r="KCV47" s="971"/>
      <c r="KCW47" s="971"/>
      <c r="KCX47" s="971"/>
      <c r="KCY47" s="971"/>
      <c r="KCZ47" s="971"/>
      <c r="KDA47" s="971"/>
      <c r="KDB47" s="971"/>
      <c r="KDC47" s="971"/>
      <c r="KDD47" s="971"/>
      <c r="KDE47" s="971"/>
      <c r="KDF47" s="971"/>
      <c r="KDG47" s="971"/>
      <c r="KDH47" s="971"/>
      <c r="KDI47" s="971"/>
      <c r="KDJ47" s="971"/>
      <c r="KDK47" s="971"/>
      <c r="KDL47" s="971"/>
      <c r="KDM47" s="971"/>
      <c r="KDN47" s="971"/>
      <c r="KDO47" s="971"/>
      <c r="KDP47" s="971"/>
      <c r="KDQ47" s="971"/>
      <c r="KDR47" s="971"/>
      <c r="KDS47" s="971"/>
      <c r="KDT47" s="971"/>
      <c r="KDU47" s="971"/>
      <c r="KDV47" s="971"/>
      <c r="KDW47" s="971"/>
      <c r="KDX47" s="971"/>
      <c r="KDY47" s="971"/>
      <c r="KDZ47" s="971"/>
      <c r="KEA47" s="971"/>
      <c r="KEB47" s="971"/>
      <c r="KEC47" s="971"/>
      <c r="KED47" s="971"/>
      <c r="KEE47" s="971"/>
      <c r="KEF47" s="971"/>
      <c r="KEG47" s="971"/>
      <c r="KEH47" s="971"/>
      <c r="KEI47" s="971"/>
      <c r="KEJ47" s="971"/>
      <c r="KEK47" s="971"/>
      <c r="KEL47" s="971"/>
      <c r="KEM47" s="971"/>
      <c r="KEN47" s="971"/>
      <c r="KEO47" s="971"/>
      <c r="KEP47" s="971"/>
      <c r="KEQ47" s="971"/>
      <c r="KER47" s="971"/>
      <c r="KES47" s="971"/>
      <c r="KET47" s="971"/>
      <c r="KEU47" s="971"/>
      <c r="KEV47" s="971"/>
      <c r="KEW47" s="971"/>
      <c r="KEX47" s="971"/>
      <c r="KEY47" s="971"/>
      <c r="KEZ47" s="971"/>
      <c r="KFA47" s="971"/>
      <c r="KFB47" s="971"/>
      <c r="KFC47" s="971"/>
      <c r="KFD47" s="971"/>
      <c r="KFE47" s="971"/>
      <c r="KFF47" s="971"/>
      <c r="KFG47" s="971"/>
      <c r="KFH47" s="971"/>
      <c r="KFI47" s="971"/>
      <c r="KFJ47" s="971"/>
      <c r="KFK47" s="971"/>
      <c r="KFL47" s="971"/>
      <c r="KFM47" s="971"/>
      <c r="KFN47" s="971"/>
      <c r="KFO47" s="971"/>
      <c r="KFP47" s="971"/>
      <c r="KFQ47" s="971"/>
      <c r="KFR47" s="971"/>
      <c r="KFS47" s="971"/>
      <c r="KFT47" s="971"/>
      <c r="KFU47" s="971"/>
      <c r="KFV47" s="971"/>
      <c r="KFW47" s="971"/>
      <c r="KFX47" s="971"/>
      <c r="KFY47" s="971"/>
      <c r="KFZ47" s="971"/>
      <c r="KGA47" s="971"/>
      <c r="KGB47" s="971"/>
      <c r="KGC47" s="971"/>
      <c r="KGD47" s="971"/>
      <c r="KGE47" s="971"/>
      <c r="KGF47" s="971"/>
      <c r="KGG47" s="971"/>
      <c r="KGH47" s="971"/>
      <c r="KGI47" s="971"/>
      <c r="KGJ47" s="971"/>
      <c r="KGK47" s="971"/>
      <c r="KGL47" s="971"/>
      <c r="KGM47" s="971"/>
      <c r="KGN47" s="971"/>
      <c r="KGO47" s="971"/>
      <c r="KGP47" s="971"/>
      <c r="KGQ47" s="971"/>
      <c r="KGR47" s="971"/>
      <c r="KGS47" s="971"/>
      <c r="KGT47" s="971"/>
      <c r="KGU47" s="971"/>
      <c r="KGV47" s="971"/>
      <c r="KGW47" s="971"/>
      <c r="KGX47" s="971"/>
      <c r="KGY47" s="971"/>
      <c r="KGZ47" s="971"/>
      <c r="KHA47" s="971"/>
      <c r="KHB47" s="971"/>
      <c r="KHC47" s="971"/>
      <c r="KHD47" s="971"/>
      <c r="KHE47" s="971"/>
      <c r="KHF47" s="971"/>
      <c r="KHG47" s="971"/>
      <c r="KHH47" s="971"/>
      <c r="KHI47" s="971"/>
      <c r="KHJ47" s="971"/>
      <c r="KHK47" s="971"/>
      <c r="KHL47" s="971"/>
      <c r="KHM47" s="971"/>
      <c r="KHN47" s="971"/>
      <c r="KHO47" s="971"/>
      <c r="KHP47" s="971"/>
      <c r="KHQ47" s="971"/>
      <c r="KHR47" s="971"/>
      <c r="KHS47" s="971"/>
      <c r="KHT47" s="971"/>
      <c r="KHU47" s="971"/>
      <c r="KHV47" s="971"/>
      <c r="KHW47" s="971"/>
      <c r="KHX47" s="971"/>
      <c r="KHY47" s="971"/>
      <c r="KHZ47" s="971"/>
      <c r="KIA47" s="971"/>
      <c r="KIB47" s="971"/>
      <c r="KIC47" s="971"/>
      <c r="KID47" s="971"/>
      <c r="KIE47" s="971"/>
      <c r="KIF47" s="971"/>
      <c r="KIG47" s="971"/>
      <c r="KIH47" s="971"/>
      <c r="KII47" s="971"/>
      <c r="KIJ47" s="971"/>
      <c r="KIK47" s="971"/>
      <c r="KIL47" s="971"/>
      <c r="KIM47" s="971"/>
      <c r="KIN47" s="971"/>
      <c r="KIO47" s="971"/>
      <c r="KIP47" s="971"/>
      <c r="KIQ47" s="971"/>
      <c r="KIR47" s="971"/>
      <c r="KIS47" s="971"/>
      <c r="KIT47" s="971"/>
      <c r="KIU47" s="971"/>
      <c r="KIV47" s="971"/>
      <c r="KIW47" s="971"/>
      <c r="KIX47" s="971"/>
      <c r="KIY47" s="971"/>
      <c r="KIZ47" s="971"/>
      <c r="KJA47" s="971"/>
      <c r="KJB47" s="971"/>
      <c r="KJC47" s="971"/>
      <c r="KJD47" s="971"/>
      <c r="KJE47" s="971"/>
      <c r="KJF47" s="971"/>
      <c r="KJG47" s="971"/>
      <c r="KJH47" s="971"/>
      <c r="KJI47" s="971"/>
      <c r="KJJ47" s="971"/>
      <c r="KJK47" s="971"/>
      <c r="KJL47" s="971"/>
      <c r="KJM47" s="971"/>
      <c r="KJN47" s="971"/>
      <c r="KJO47" s="971"/>
      <c r="KJP47" s="971"/>
      <c r="KJQ47" s="971"/>
      <c r="KJR47" s="971"/>
      <c r="KJS47" s="971"/>
      <c r="KJT47" s="971"/>
      <c r="KJU47" s="971"/>
      <c r="KJV47" s="971"/>
      <c r="KJW47" s="971"/>
      <c r="KJX47" s="971"/>
      <c r="KJY47" s="971"/>
      <c r="KJZ47" s="971"/>
      <c r="KKA47" s="971"/>
      <c r="KKB47" s="971"/>
      <c r="KKC47" s="971"/>
      <c r="KKD47" s="971"/>
      <c r="KKE47" s="971"/>
      <c r="KKF47" s="971"/>
      <c r="KKG47" s="971"/>
      <c r="KKH47" s="971"/>
      <c r="KKI47" s="971"/>
      <c r="KKJ47" s="971"/>
      <c r="KKK47" s="971"/>
      <c r="KKL47" s="971"/>
      <c r="KKM47" s="971"/>
      <c r="KKN47" s="971"/>
      <c r="KKO47" s="971"/>
      <c r="KKP47" s="971"/>
      <c r="KKQ47" s="971"/>
      <c r="KKR47" s="971"/>
      <c r="KKS47" s="971"/>
      <c r="KKT47" s="971"/>
      <c r="KKU47" s="971"/>
      <c r="KKV47" s="971"/>
      <c r="KKW47" s="971"/>
      <c r="KKX47" s="971"/>
      <c r="KKY47" s="971"/>
      <c r="KKZ47" s="971"/>
      <c r="KLA47" s="971"/>
      <c r="KLB47" s="971"/>
      <c r="KLC47" s="971"/>
      <c r="KLD47" s="971"/>
      <c r="KLE47" s="971"/>
      <c r="KLF47" s="971"/>
      <c r="KLG47" s="971"/>
      <c r="KLH47" s="971"/>
      <c r="KLI47" s="971"/>
      <c r="KLJ47" s="971"/>
      <c r="KLK47" s="971"/>
      <c r="KLL47" s="971"/>
      <c r="KLM47" s="971"/>
      <c r="KLN47" s="971"/>
      <c r="KLO47" s="971"/>
      <c r="KLP47" s="971"/>
      <c r="KLQ47" s="971"/>
      <c r="KLR47" s="971"/>
      <c r="KLS47" s="971"/>
      <c r="KLT47" s="971"/>
      <c r="KLU47" s="971"/>
      <c r="KLV47" s="971"/>
      <c r="KLW47" s="971"/>
      <c r="KLX47" s="971"/>
      <c r="KLY47" s="971"/>
      <c r="KLZ47" s="971"/>
      <c r="KMA47" s="971"/>
      <c r="KMB47" s="971"/>
      <c r="KMC47" s="971"/>
      <c r="KMD47" s="971"/>
      <c r="KME47" s="971"/>
      <c r="KMF47" s="971"/>
      <c r="KMG47" s="971"/>
      <c r="KMH47" s="971"/>
      <c r="KMI47" s="971"/>
      <c r="KMJ47" s="971"/>
      <c r="KMK47" s="971"/>
      <c r="KML47" s="971"/>
      <c r="KMM47" s="971"/>
      <c r="KMN47" s="971"/>
      <c r="KMO47" s="971"/>
      <c r="KMP47" s="971"/>
      <c r="KMQ47" s="971"/>
      <c r="KMR47" s="971"/>
      <c r="KMS47" s="971"/>
      <c r="KMT47" s="971"/>
      <c r="KMU47" s="971"/>
      <c r="KMV47" s="971"/>
      <c r="KMW47" s="971"/>
      <c r="KMX47" s="971"/>
      <c r="KMY47" s="971"/>
      <c r="KMZ47" s="971"/>
      <c r="KNA47" s="971"/>
      <c r="KNB47" s="971"/>
      <c r="KNC47" s="971"/>
      <c r="KND47" s="971"/>
      <c r="KNE47" s="971"/>
      <c r="KNF47" s="971"/>
      <c r="KNG47" s="971"/>
      <c r="KNH47" s="971"/>
      <c r="KNI47" s="971"/>
      <c r="KNJ47" s="971"/>
      <c r="KNK47" s="971"/>
      <c r="KNL47" s="971"/>
      <c r="KNM47" s="971"/>
      <c r="KNN47" s="971"/>
      <c r="KNO47" s="971"/>
      <c r="KNP47" s="971"/>
      <c r="KNQ47" s="971"/>
      <c r="KNR47" s="971"/>
      <c r="KNS47" s="971"/>
      <c r="KNT47" s="971"/>
      <c r="KNU47" s="971"/>
      <c r="KNV47" s="971"/>
      <c r="KNW47" s="971"/>
      <c r="KNX47" s="971"/>
      <c r="KNY47" s="971"/>
      <c r="KNZ47" s="971"/>
      <c r="KOA47" s="971"/>
      <c r="KOB47" s="971"/>
      <c r="KOC47" s="971"/>
      <c r="KOD47" s="971"/>
      <c r="KOE47" s="971"/>
      <c r="KOF47" s="971"/>
      <c r="KOG47" s="971"/>
      <c r="KOH47" s="971"/>
      <c r="KOI47" s="971"/>
      <c r="KOJ47" s="971"/>
      <c r="KOK47" s="971"/>
      <c r="KOL47" s="971"/>
      <c r="KOM47" s="971"/>
      <c r="KON47" s="971"/>
      <c r="KOO47" s="971"/>
      <c r="KOP47" s="971"/>
      <c r="KOQ47" s="971"/>
      <c r="KOR47" s="971"/>
      <c r="KOS47" s="971"/>
      <c r="KOT47" s="971"/>
      <c r="KOU47" s="971"/>
      <c r="KOV47" s="971"/>
      <c r="KOW47" s="971"/>
      <c r="KOX47" s="971"/>
      <c r="KOY47" s="971"/>
      <c r="KOZ47" s="971"/>
      <c r="KPA47" s="971"/>
      <c r="KPB47" s="971"/>
      <c r="KPC47" s="971"/>
      <c r="KPD47" s="971"/>
      <c r="KPE47" s="971"/>
      <c r="KPF47" s="971"/>
      <c r="KPG47" s="971"/>
      <c r="KPH47" s="971"/>
      <c r="KPI47" s="971"/>
      <c r="KPJ47" s="971"/>
      <c r="KPK47" s="971"/>
      <c r="KPL47" s="971"/>
      <c r="KPM47" s="971"/>
      <c r="KPN47" s="971"/>
      <c r="KPO47" s="971"/>
      <c r="KPP47" s="971"/>
      <c r="KPQ47" s="971"/>
      <c r="KPR47" s="971"/>
      <c r="KPS47" s="971"/>
      <c r="KPT47" s="971"/>
      <c r="KPU47" s="971"/>
      <c r="KPV47" s="971"/>
      <c r="KPW47" s="971"/>
      <c r="KPX47" s="971"/>
      <c r="KPY47" s="971"/>
      <c r="KPZ47" s="971"/>
      <c r="KQA47" s="971"/>
      <c r="KQB47" s="971"/>
      <c r="KQC47" s="971"/>
      <c r="KQD47" s="971"/>
      <c r="KQE47" s="971"/>
      <c r="KQF47" s="971"/>
      <c r="KQG47" s="971"/>
      <c r="KQH47" s="971"/>
      <c r="KQI47" s="971"/>
      <c r="KQJ47" s="971"/>
      <c r="KQK47" s="971"/>
      <c r="KQL47" s="971"/>
      <c r="KQM47" s="971"/>
      <c r="KQN47" s="971"/>
      <c r="KQO47" s="971"/>
      <c r="KQP47" s="971"/>
      <c r="KQQ47" s="971"/>
      <c r="KQR47" s="971"/>
      <c r="KQS47" s="971"/>
      <c r="KQT47" s="971"/>
      <c r="KQU47" s="971"/>
      <c r="KQV47" s="971"/>
      <c r="KQW47" s="971"/>
      <c r="KQX47" s="971"/>
      <c r="KQY47" s="971"/>
      <c r="KQZ47" s="971"/>
      <c r="KRA47" s="971"/>
      <c r="KRB47" s="971"/>
      <c r="KRC47" s="971"/>
      <c r="KRD47" s="971"/>
      <c r="KRE47" s="971"/>
      <c r="KRF47" s="971"/>
      <c r="KRG47" s="971"/>
      <c r="KRH47" s="971"/>
      <c r="KRI47" s="971"/>
      <c r="KRJ47" s="971"/>
      <c r="KRK47" s="971"/>
      <c r="KRL47" s="971"/>
      <c r="KRM47" s="971"/>
      <c r="KRN47" s="971"/>
      <c r="KRO47" s="971"/>
      <c r="KRP47" s="971"/>
      <c r="KRQ47" s="971"/>
      <c r="KRR47" s="971"/>
      <c r="KRS47" s="971"/>
      <c r="KRT47" s="971"/>
      <c r="KRU47" s="971"/>
      <c r="KRV47" s="971"/>
      <c r="KRW47" s="971"/>
      <c r="KRX47" s="971"/>
      <c r="KRY47" s="971"/>
      <c r="KRZ47" s="971"/>
      <c r="KSA47" s="971"/>
      <c r="KSB47" s="971"/>
      <c r="KSC47" s="971"/>
      <c r="KSD47" s="971"/>
      <c r="KSE47" s="971"/>
      <c r="KSF47" s="971"/>
      <c r="KSG47" s="971"/>
      <c r="KSH47" s="971"/>
      <c r="KSI47" s="971"/>
      <c r="KSJ47" s="971"/>
      <c r="KSK47" s="971"/>
      <c r="KSL47" s="971"/>
      <c r="KSM47" s="971"/>
      <c r="KSN47" s="971"/>
      <c r="KSO47" s="971"/>
      <c r="KSP47" s="971"/>
      <c r="KSQ47" s="971"/>
      <c r="KSR47" s="971"/>
      <c r="KSS47" s="971"/>
      <c r="KST47" s="971"/>
      <c r="KSU47" s="971"/>
      <c r="KSV47" s="971"/>
      <c r="KSW47" s="971"/>
      <c r="KSX47" s="971"/>
      <c r="KSY47" s="971"/>
      <c r="KSZ47" s="971"/>
      <c r="KTA47" s="971"/>
      <c r="KTB47" s="971"/>
      <c r="KTC47" s="971"/>
      <c r="KTD47" s="971"/>
      <c r="KTE47" s="971"/>
      <c r="KTF47" s="971"/>
      <c r="KTG47" s="971"/>
      <c r="KTH47" s="971"/>
      <c r="KTI47" s="971"/>
      <c r="KTJ47" s="971"/>
      <c r="KTK47" s="971"/>
      <c r="KTL47" s="971"/>
      <c r="KTM47" s="971"/>
      <c r="KTN47" s="971"/>
      <c r="KTO47" s="971"/>
      <c r="KTP47" s="971"/>
      <c r="KTQ47" s="971"/>
      <c r="KTR47" s="971"/>
      <c r="KTS47" s="971"/>
      <c r="KTT47" s="971"/>
      <c r="KTU47" s="971"/>
      <c r="KTV47" s="971"/>
      <c r="KTW47" s="971"/>
      <c r="KTX47" s="971"/>
      <c r="KTY47" s="971"/>
      <c r="KTZ47" s="971"/>
      <c r="KUA47" s="971"/>
      <c r="KUB47" s="971"/>
      <c r="KUC47" s="971"/>
      <c r="KUD47" s="971"/>
      <c r="KUE47" s="971"/>
      <c r="KUF47" s="971"/>
      <c r="KUG47" s="971"/>
      <c r="KUH47" s="971"/>
      <c r="KUI47" s="971"/>
      <c r="KUJ47" s="971"/>
      <c r="KUK47" s="971"/>
      <c r="KUL47" s="971"/>
      <c r="KUM47" s="971"/>
      <c r="KUN47" s="971"/>
      <c r="KUO47" s="971"/>
      <c r="KUP47" s="971"/>
      <c r="KUQ47" s="971"/>
      <c r="KUR47" s="971"/>
      <c r="KUS47" s="971"/>
      <c r="KUT47" s="971"/>
      <c r="KUU47" s="971"/>
      <c r="KUV47" s="971"/>
      <c r="KUW47" s="971"/>
      <c r="KUX47" s="971"/>
      <c r="KUY47" s="971"/>
      <c r="KUZ47" s="971"/>
      <c r="KVA47" s="971"/>
      <c r="KVB47" s="971"/>
      <c r="KVC47" s="971"/>
      <c r="KVD47" s="971"/>
      <c r="KVE47" s="971"/>
      <c r="KVF47" s="971"/>
      <c r="KVG47" s="971"/>
      <c r="KVH47" s="971"/>
      <c r="KVI47" s="971"/>
      <c r="KVJ47" s="971"/>
      <c r="KVK47" s="971"/>
      <c r="KVL47" s="971"/>
      <c r="KVM47" s="971"/>
      <c r="KVN47" s="971"/>
      <c r="KVO47" s="971"/>
      <c r="KVP47" s="971"/>
      <c r="KVQ47" s="971"/>
      <c r="KVR47" s="971"/>
      <c r="KVS47" s="971"/>
      <c r="KVT47" s="971"/>
      <c r="KVU47" s="971"/>
      <c r="KVV47" s="971"/>
      <c r="KVW47" s="971"/>
      <c r="KVX47" s="971"/>
      <c r="KVY47" s="971"/>
      <c r="KVZ47" s="971"/>
      <c r="KWA47" s="971"/>
      <c r="KWB47" s="971"/>
      <c r="KWC47" s="971"/>
      <c r="KWD47" s="971"/>
      <c r="KWE47" s="971"/>
      <c r="KWF47" s="971"/>
      <c r="KWG47" s="971"/>
      <c r="KWH47" s="971"/>
      <c r="KWI47" s="971"/>
      <c r="KWJ47" s="971"/>
      <c r="KWK47" s="971"/>
      <c r="KWL47" s="971"/>
      <c r="KWM47" s="971"/>
      <c r="KWN47" s="971"/>
      <c r="KWO47" s="971"/>
      <c r="KWP47" s="971"/>
      <c r="KWQ47" s="971"/>
      <c r="KWR47" s="971"/>
      <c r="KWS47" s="971"/>
      <c r="KWT47" s="971"/>
      <c r="KWU47" s="971"/>
      <c r="KWV47" s="971"/>
      <c r="KWW47" s="971"/>
      <c r="KWX47" s="971"/>
      <c r="KWY47" s="971"/>
      <c r="KWZ47" s="971"/>
      <c r="KXA47" s="971"/>
      <c r="KXB47" s="971"/>
      <c r="KXC47" s="971"/>
      <c r="KXD47" s="971"/>
      <c r="KXE47" s="971"/>
      <c r="KXF47" s="971"/>
      <c r="KXG47" s="971"/>
      <c r="KXH47" s="971"/>
      <c r="KXI47" s="971"/>
      <c r="KXJ47" s="971"/>
      <c r="KXK47" s="971"/>
      <c r="KXL47" s="971"/>
      <c r="KXM47" s="971"/>
      <c r="KXN47" s="971"/>
      <c r="KXO47" s="971"/>
      <c r="KXP47" s="971"/>
      <c r="KXQ47" s="971"/>
      <c r="KXR47" s="971"/>
      <c r="KXS47" s="971"/>
      <c r="KXT47" s="971"/>
      <c r="KXU47" s="971"/>
      <c r="KXV47" s="971"/>
      <c r="KXW47" s="971"/>
      <c r="KXX47" s="971"/>
      <c r="KXY47" s="971"/>
      <c r="KXZ47" s="971"/>
      <c r="KYA47" s="971"/>
      <c r="KYB47" s="971"/>
      <c r="KYC47" s="971"/>
      <c r="KYD47" s="971"/>
      <c r="KYE47" s="971"/>
      <c r="KYF47" s="971"/>
      <c r="KYG47" s="971"/>
      <c r="KYH47" s="971"/>
      <c r="KYI47" s="971"/>
      <c r="KYJ47" s="971"/>
      <c r="KYK47" s="971"/>
      <c r="KYL47" s="971"/>
      <c r="KYM47" s="971"/>
      <c r="KYN47" s="971"/>
      <c r="KYO47" s="971"/>
      <c r="KYP47" s="971"/>
      <c r="KYQ47" s="971"/>
      <c r="KYR47" s="971"/>
      <c r="KYS47" s="971"/>
      <c r="KYT47" s="971"/>
      <c r="KYU47" s="971"/>
      <c r="KYV47" s="971"/>
      <c r="KYW47" s="971"/>
      <c r="KYX47" s="971"/>
      <c r="KYY47" s="971"/>
      <c r="KYZ47" s="971"/>
      <c r="KZA47" s="971"/>
      <c r="KZB47" s="971"/>
      <c r="KZC47" s="971"/>
      <c r="KZD47" s="971"/>
      <c r="KZE47" s="971"/>
      <c r="KZF47" s="971"/>
      <c r="KZG47" s="971"/>
      <c r="KZH47" s="971"/>
      <c r="KZI47" s="971"/>
      <c r="KZJ47" s="971"/>
      <c r="KZK47" s="971"/>
      <c r="KZL47" s="971"/>
      <c r="KZM47" s="971"/>
      <c r="KZN47" s="971"/>
      <c r="KZO47" s="971"/>
      <c r="KZP47" s="971"/>
      <c r="KZQ47" s="971"/>
      <c r="KZR47" s="971"/>
      <c r="KZS47" s="971"/>
      <c r="KZT47" s="971"/>
      <c r="KZU47" s="971"/>
      <c r="KZV47" s="971"/>
      <c r="KZW47" s="971"/>
      <c r="KZX47" s="971"/>
      <c r="KZY47" s="971"/>
      <c r="KZZ47" s="971"/>
      <c r="LAA47" s="971"/>
      <c r="LAB47" s="971"/>
      <c r="LAC47" s="971"/>
      <c r="LAD47" s="971"/>
      <c r="LAE47" s="971"/>
      <c r="LAF47" s="971"/>
      <c r="LAG47" s="971"/>
      <c r="LAH47" s="971"/>
      <c r="LAI47" s="971"/>
      <c r="LAJ47" s="971"/>
      <c r="LAK47" s="971"/>
      <c r="LAL47" s="971"/>
      <c r="LAM47" s="971"/>
      <c r="LAN47" s="971"/>
      <c r="LAO47" s="971"/>
      <c r="LAP47" s="971"/>
      <c r="LAQ47" s="971"/>
      <c r="LAR47" s="971"/>
      <c r="LAS47" s="971"/>
      <c r="LAT47" s="971"/>
      <c r="LAU47" s="971"/>
      <c r="LAV47" s="971"/>
      <c r="LAW47" s="971"/>
      <c r="LAX47" s="971"/>
      <c r="LAY47" s="971"/>
      <c r="LAZ47" s="971"/>
      <c r="LBA47" s="971"/>
      <c r="LBB47" s="971"/>
      <c r="LBC47" s="971"/>
      <c r="LBD47" s="971"/>
      <c r="LBE47" s="971"/>
      <c r="LBF47" s="971"/>
      <c r="LBG47" s="971"/>
      <c r="LBH47" s="971"/>
      <c r="LBI47" s="971"/>
      <c r="LBJ47" s="971"/>
      <c r="LBK47" s="971"/>
      <c r="LBL47" s="971"/>
      <c r="LBM47" s="971"/>
      <c r="LBN47" s="971"/>
      <c r="LBO47" s="971"/>
      <c r="LBP47" s="971"/>
      <c r="LBQ47" s="971"/>
      <c r="LBR47" s="971"/>
      <c r="LBS47" s="971"/>
      <c r="LBT47" s="971"/>
      <c r="LBU47" s="971"/>
      <c r="LBV47" s="971"/>
      <c r="LBW47" s="971"/>
      <c r="LBX47" s="971"/>
      <c r="LBY47" s="971"/>
      <c r="LBZ47" s="971"/>
      <c r="LCA47" s="971"/>
      <c r="LCB47" s="971"/>
      <c r="LCC47" s="971"/>
      <c r="LCD47" s="971"/>
      <c r="LCE47" s="971"/>
      <c r="LCF47" s="971"/>
      <c r="LCG47" s="971"/>
      <c r="LCH47" s="971"/>
      <c r="LCI47" s="971"/>
      <c r="LCJ47" s="971"/>
      <c r="LCK47" s="971"/>
      <c r="LCL47" s="971"/>
      <c r="LCM47" s="971"/>
      <c r="LCN47" s="971"/>
      <c r="LCO47" s="971"/>
      <c r="LCP47" s="971"/>
      <c r="LCQ47" s="971"/>
      <c r="LCR47" s="971"/>
      <c r="LCS47" s="971"/>
      <c r="LCT47" s="971"/>
      <c r="LCU47" s="971"/>
      <c r="LCV47" s="971"/>
      <c r="LCW47" s="971"/>
      <c r="LCX47" s="971"/>
      <c r="LCY47" s="971"/>
      <c r="LCZ47" s="971"/>
      <c r="LDA47" s="971"/>
      <c r="LDB47" s="971"/>
      <c r="LDC47" s="971"/>
      <c r="LDD47" s="971"/>
      <c r="LDE47" s="971"/>
      <c r="LDF47" s="971"/>
      <c r="LDG47" s="971"/>
      <c r="LDH47" s="971"/>
      <c r="LDI47" s="971"/>
      <c r="LDJ47" s="971"/>
      <c r="LDK47" s="971"/>
      <c r="LDL47" s="971"/>
      <c r="LDM47" s="971"/>
      <c r="LDN47" s="971"/>
      <c r="LDO47" s="971"/>
      <c r="LDP47" s="971"/>
      <c r="LDQ47" s="971"/>
      <c r="LDR47" s="971"/>
      <c r="LDS47" s="971"/>
      <c r="LDT47" s="971"/>
      <c r="LDU47" s="971"/>
      <c r="LDV47" s="971"/>
      <c r="LDW47" s="971"/>
      <c r="LDX47" s="971"/>
      <c r="LDY47" s="971"/>
      <c r="LDZ47" s="971"/>
      <c r="LEA47" s="971"/>
      <c r="LEB47" s="971"/>
      <c r="LEC47" s="971"/>
      <c r="LED47" s="971"/>
      <c r="LEE47" s="971"/>
      <c r="LEF47" s="971"/>
      <c r="LEG47" s="971"/>
      <c r="LEH47" s="971"/>
      <c r="LEI47" s="971"/>
      <c r="LEJ47" s="971"/>
      <c r="LEK47" s="971"/>
      <c r="LEL47" s="971"/>
      <c r="LEM47" s="971"/>
      <c r="LEN47" s="971"/>
      <c r="LEO47" s="971"/>
      <c r="LEP47" s="971"/>
      <c r="LEQ47" s="971"/>
      <c r="LER47" s="971"/>
      <c r="LES47" s="971"/>
      <c r="LET47" s="971"/>
      <c r="LEU47" s="971"/>
      <c r="LEV47" s="971"/>
      <c r="LEW47" s="971"/>
      <c r="LEX47" s="971"/>
      <c r="LEY47" s="971"/>
      <c r="LEZ47" s="971"/>
      <c r="LFA47" s="971"/>
      <c r="LFB47" s="971"/>
      <c r="LFC47" s="971"/>
      <c r="LFD47" s="971"/>
      <c r="LFE47" s="971"/>
      <c r="LFF47" s="971"/>
      <c r="LFG47" s="971"/>
      <c r="LFH47" s="971"/>
      <c r="LFI47" s="971"/>
      <c r="LFJ47" s="971"/>
      <c r="LFK47" s="971"/>
      <c r="LFL47" s="971"/>
      <c r="LFM47" s="971"/>
      <c r="LFN47" s="971"/>
      <c r="LFO47" s="971"/>
      <c r="LFP47" s="971"/>
      <c r="LFQ47" s="971"/>
      <c r="LFR47" s="971"/>
      <c r="LFS47" s="971"/>
      <c r="LFT47" s="971"/>
      <c r="LFU47" s="971"/>
      <c r="LFV47" s="971"/>
      <c r="LFW47" s="971"/>
      <c r="LFX47" s="971"/>
      <c r="LFY47" s="971"/>
      <c r="LFZ47" s="971"/>
      <c r="LGA47" s="971"/>
      <c r="LGB47" s="971"/>
      <c r="LGC47" s="971"/>
      <c r="LGD47" s="971"/>
      <c r="LGE47" s="971"/>
      <c r="LGF47" s="971"/>
      <c r="LGG47" s="971"/>
      <c r="LGH47" s="971"/>
      <c r="LGI47" s="971"/>
      <c r="LGJ47" s="971"/>
      <c r="LGK47" s="971"/>
      <c r="LGL47" s="971"/>
      <c r="LGM47" s="971"/>
      <c r="LGN47" s="971"/>
      <c r="LGO47" s="971"/>
      <c r="LGP47" s="971"/>
      <c r="LGQ47" s="971"/>
      <c r="LGR47" s="971"/>
      <c r="LGS47" s="971"/>
      <c r="LGT47" s="971"/>
      <c r="LGU47" s="971"/>
      <c r="LGV47" s="971"/>
      <c r="LGW47" s="971"/>
      <c r="LGX47" s="971"/>
      <c r="LGY47" s="971"/>
      <c r="LGZ47" s="971"/>
      <c r="LHA47" s="971"/>
      <c r="LHB47" s="971"/>
      <c r="LHC47" s="971"/>
      <c r="LHD47" s="971"/>
      <c r="LHE47" s="971"/>
      <c r="LHF47" s="971"/>
      <c r="LHG47" s="971"/>
      <c r="LHH47" s="971"/>
      <c r="LHI47" s="971"/>
      <c r="LHJ47" s="971"/>
      <c r="LHK47" s="971"/>
      <c r="LHL47" s="971"/>
      <c r="LHM47" s="971"/>
      <c r="LHN47" s="971"/>
      <c r="LHO47" s="971"/>
      <c r="LHP47" s="971"/>
      <c r="LHQ47" s="971"/>
      <c r="LHR47" s="971"/>
      <c r="LHS47" s="971"/>
      <c r="LHT47" s="971"/>
      <c r="LHU47" s="971"/>
      <c r="LHV47" s="971"/>
      <c r="LHW47" s="971"/>
      <c r="LHX47" s="971"/>
      <c r="LHY47" s="971"/>
      <c r="LHZ47" s="971"/>
      <c r="LIA47" s="971"/>
      <c r="LIB47" s="971"/>
      <c r="LIC47" s="971"/>
      <c r="LID47" s="971"/>
      <c r="LIE47" s="971"/>
      <c r="LIF47" s="971"/>
      <c r="LIG47" s="971"/>
      <c r="LIH47" s="971"/>
      <c r="LII47" s="971"/>
      <c r="LIJ47" s="971"/>
      <c r="LIK47" s="971"/>
      <c r="LIL47" s="971"/>
      <c r="LIM47" s="971"/>
      <c r="LIN47" s="971"/>
      <c r="LIO47" s="971"/>
      <c r="LIP47" s="971"/>
      <c r="LIQ47" s="971"/>
      <c r="LIR47" s="971"/>
      <c r="LIS47" s="971"/>
      <c r="LIT47" s="971"/>
      <c r="LIU47" s="971"/>
      <c r="LIV47" s="971"/>
      <c r="LIW47" s="971"/>
      <c r="LIX47" s="971"/>
      <c r="LIY47" s="971"/>
      <c r="LIZ47" s="971"/>
      <c r="LJA47" s="971"/>
      <c r="LJB47" s="971"/>
      <c r="LJC47" s="971"/>
      <c r="LJD47" s="971"/>
      <c r="LJE47" s="971"/>
      <c r="LJF47" s="971"/>
      <c r="LJG47" s="971"/>
      <c r="LJH47" s="971"/>
      <c r="LJI47" s="971"/>
      <c r="LJJ47" s="971"/>
      <c r="LJK47" s="971"/>
      <c r="LJL47" s="971"/>
      <c r="LJM47" s="971"/>
      <c r="LJN47" s="971"/>
      <c r="LJO47" s="971"/>
      <c r="LJP47" s="971"/>
      <c r="LJQ47" s="971"/>
      <c r="LJR47" s="971"/>
      <c r="LJS47" s="971"/>
      <c r="LJT47" s="971"/>
      <c r="LJU47" s="971"/>
      <c r="LJV47" s="971"/>
      <c r="LJW47" s="971"/>
      <c r="LJX47" s="971"/>
      <c r="LJY47" s="971"/>
      <c r="LJZ47" s="971"/>
      <c r="LKA47" s="971"/>
      <c r="LKB47" s="971"/>
      <c r="LKC47" s="971"/>
      <c r="LKD47" s="971"/>
      <c r="LKE47" s="971"/>
      <c r="LKF47" s="971"/>
      <c r="LKG47" s="971"/>
      <c r="LKH47" s="971"/>
      <c r="LKI47" s="971"/>
      <c r="LKJ47" s="971"/>
      <c r="LKK47" s="971"/>
      <c r="LKL47" s="971"/>
      <c r="LKM47" s="971"/>
      <c r="LKN47" s="971"/>
      <c r="LKO47" s="971"/>
      <c r="LKP47" s="971"/>
      <c r="LKQ47" s="971"/>
      <c r="LKR47" s="971"/>
      <c r="LKS47" s="971"/>
      <c r="LKT47" s="971"/>
      <c r="LKU47" s="971"/>
      <c r="LKV47" s="971"/>
      <c r="LKW47" s="971"/>
      <c r="LKX47" s="971"/>
      <c r="LKY47" s="971"/>
      <c r="LKZ47" s="971"/>
      <c r="LLA47" s="971"/>
      <c r="LLB47" s="971"/>
      <c r="LLC47" s="971"/>
      <c r="LLD47" s="971"/>
      <c r="LLE47" s="971"/>
      <c r="LLF47" s="971"/>
      <c r="LLG47" s="971"/>
      <c r="LLH47" s="971"/>
      <c r="LLI47" s="971"/>
      <c r="LLJ47" s="971"/>
      <c r="LLK47" s="971"/>
      <c r="LLL47" s="971"/>
      <c r="LLM47" s="971"/>
      <c r="LLN47" s="971"/>
      <c r="LLO47" s="971"/>
      <c r="LLP47" s="971"/>
      <c r="LLQ47" s="971"/>
      <c r="LLR47" s="971"/>
      <c r="LLS47" s="971"/>
      <c r="LLT47" s="971"/>
      <c r="LLU47" s="971"/>
      <c r="LLV47" s="971"/>
      <c r="LLW47" s="971"/>
      <c r="LLX47" s="971"/>
      <c r="LLY47" s="971"/>
      <c r="LLZ47" s="971"/>
      <c r="LMA47" s="971"/>
      <c r="LMB47" s="971"/>
      <c r="LMC47" s="971"/>
      <c r="LMD47" s="971"/>
      <c r="LME47" s="971"/>
      <c r="LMF47" s="971"/>
      <c r="LMG47" s="971"/>
      <c r="LMH47" s="971"/>
      <c r="LMI47" s="971"/>
      <c r="LMJ47" s="971"/>
      <c r="LMK47" s="971"/>
      <c r="LML47" s="971"/>
      <c r="LMM47" s="971"/>
      <c r="LMN47" s="971"/>
      <c r="LMO47" s="971"/>
      <c r="LMP47" s="971"/>
      <c r="LMQ47" s="971"/>
      <c r="LMR47" s="971"/>
      <c r="LMS47" s="971"/>
      <c r="LMT47" s="971"/>
      <c r="LMU47" s="971"/>
      <c r="LMV47" s="971"/>
      <c r="LMW47" s="971"/>
      <c r="LMX47" s="971"/>
      <c r="LMY47" s="971"/>
      <c r="LMZ47" s="971"/>
      <c r="LNA47" s="971"/>
      <c r="LNB47" s="971"/>
      <c r="LNC47" s="971"/>
      <c r="LND47" s="971"/>
      <c r="LNE47" s="971"/>
      <c r="LNF47" s="971"/>
      <c r="LNG47" s="971"/>
      <c r="LNH47" s="971"/>
      <c r="LNI47" s="971"/>
      <c r="LNJ47" s="971"/>
      <c r="LNK47" s="971"/>
      <c r="LNL47" s="971"/>
      <c r="LNM47" s="971"/>
      <c r="LNN47" s="971"/>
      <c r="LNO47" s="971"/>
      <c r="LNP47" s="971"/>
      <c r="LNQ47" s="971"/>
      <c r="LNR47" s="971"/>
      <c r="LNS47" s="971"/>
      <c r="LNT47" s="971"/>
      <c r="LNU47" s="971"/>
      <c r="LNV47" s="971"/>
      <c r="LNW47" s="971"/>
      <c r="LNX47" s="971"/>
      <c r="LNY47" s="971"/>
      <c r="LNZ47" s="971"/>
      <c r="LOA47" s="971"/>
      <c r="LOB47" s="971"/>
      <c r="LOC47" s="971"/>
      <c r="LOD47" s="971"/>
      <c r="LOE47" s="971"/>
      <c r="LOF47" s="971"/>
      <c r="LOG47" s="971"/>
      <c r="LOH47" s="971"/>
      <c r="LOI47" s="971"/>
      <c r="LOJ47" s="971"/>
      <c r="LOK47" s="971"/>
      <c r="LOL47" s="971"/>
      <c r="LOM47" s="971"/>
      <c r="LON47" s="971"/>
      <c r="LOO47" s="971"/>
      <c r="LOP47" s="971"/>
      <c r="LOQ47" s="971"/>
      <c r="LOR47" s="971"/>
      <c r="LOS47" s="971"/>
      <c r="LOT47" s="971"/>
      <c r="LOU47" s="971"/>
      <c r="LOV47" s="971"/>
      <c r="LOW47" s="971"/>
      <c r="LOX47" s="971"/>
      <c r="LOY47" s="971"/>
      <c r="LOZ47" s="971"/>
      <c r="LPA47" s="971"/>
      <c r="LPB47" s="971"/>
      <c r="LPC47" s="971"/>
      <c r="LPD47" s="971"/>
      <c r="LPE47" s="971"/>
      <c r="LPF47" s="971"/>
      <c r="LPG47" s="971"/>
      <c r="LPH47" s="971"/>
      <c r="LPI47" s="971"/>
      <c r="LPJ47" s="971"/>
      <c r="LPK47" s="971"/>
      <c r="LPL47" s="971"/>
      <c r="LPM47" s="971"/>
      <c r="LPN47" s="971"/>
      <c r="LPO47" s="971"/>
      <c r="LPP47" s="971"/>
      <c r="LPQ47" s="971"/>
      <c r="LPR47" s="971"/>
      <c r="LPS47" s="971"/>
      <c r="LPT47" s="971"/>
      <c r="LPU47" s="971"/>
      <c r="LPV47" s="971"/>
      <c r="LPW47" s="971"/>
      <c r="LPX47" s="971"/>
      <c r="LPY47" s="971"/>
      <c r="LPZ47" s="971"/>
      <c r="LQA47" s="971"/>
      <c r="LQB47" s="971"/>
      <c r="LQC47" s="971"/>
      <c r="LQD47" s="971"/>
      <c r="LQE47" s="971"/>
      <c r="LQF47" s="971"/>
      <c r="LQG47" s="971"/>
      <c r="LQH47" s="971"/>
      <c r="LQI47" s="971"/>
      <c r="LQJ47" s="971"/>
      <c r="LQK47" s="971"/>
      <c r="LQL47" s="971"/>
      <c r="LQM47" s="971"/>
      <c r="LQN47" s="971"/>
      <c r="LQO47" s="971"/>
      <c r="LQP47" s="971"/>
      <c r="LQQ47" s="971"/>
      <c r="LQR47" s="971"/>
      <c r="LQS47" s="971"/>
      <c r="LQT47" s="971"/>
      <c r="LQU47" s="971"/>
      <c r="LQV47" s="971"/>
      <c r="LQW47" s="971"/>
      <c r="LQX47" s="971"/>
      <c r="LQY47" s="971"/>
      <c r="LQZ47" s="971"/>
      <c r="LRA47" s="971"/>
      <c r="LRB47" s="971"/>
      <c r="LRC47" s="971"/>
      <c r="LRD47" s="971"/>
      <c r="LRE47" s="971"/>
      <c r="LRF47" s="971"/>
      <c r="LRG47" s="971"/>
      <c r="LRH47" s="971"/>
      <c r="LRI47" s="971"/>
      <c r="LRJ47" s="971"/>
      <c r="LRK47" s="971"/>
      <c r="LRL47" s="971"/>
      <c r="LRM47" s="971"/>
      <c r="LRN47" s="971"/>
      <c r="LRO47" s="971"/>
      <c r="LRP47" s="971"/>
      <c r="LRQ47" s="971"/>
      <c r="LRR47" s="971"/>
      <c r="LRS47" s="971"/>
      <c r="LRT47" s="971"/>
      <c r="LRU47" s="971"/>
      <c r="LRV47" s="971"/>
      <c r="LRW47" s="971"/>
      <c r="LRX47" s="971"/>
      <c r="LRY47" s="971"/>
      <c r="LRZ47" s="971"/>
      <c r="LSA47" s="971"/>
      <c r="LSB47" s="971"/>
      <c r="LSC47" s="971"/>
      <c r="LSD47" s="971"/>
      <c r="LSE47" s="971"/>
      <c r="LSF47" s="971"/>
      <c r="LSG47" s="971"/>
      <c r="LSH47" s="971"/>
      <c r="LSI47" s="971"/>
      <c r="LSJ47" s="971"/>
      <c r="LSK47" s="971"/>
      <c r="LSL47" s="971"/>
      <c r="LSM47" s="971"/>
      <c r="LSN47" s="971"/>
      <c r="LSO47" s="971"/>
      <c r="LSP47" s="971"/>
      <c r="LSQ47" s="971"/>
      <c r="LSR47" s="971"/>
      <c r="LSS47" s="971"/>
      <c r="LST47" s="971"/>
      <c r="LSU47" s="971"/>
      <c r="LSV47" s="971"/>
      <c r="LSW47" s="971"/>
      <c r="LSX47" s="971"/>
      <c r="LSY47" s="971"/>
      <c r="LSZ47" s="971"/>
      <c r="LTA47" s="971"/>
      <c r="LTB47" s="971"/>
      <c r="LTC47" s="971"/>
      <c r="LTD47" s="971"/>
      <c r="LTE47" s="971"/>
      <c r="LTF47" s="971"/>
      <c r="LTG47" s="971"/>
      <c r="LTH47" s="971"/>
      <c r="LTI47" s="971"/>
      <c r="LTJ47" s="971"/>
      <c r="LTK47" s="971"/>
      <c r="LTL47" s="971"/>
      <c r="LTM47" s="971"/>
      <c r="LTN47" s="971"/>
      <c r="LTO47" s="971"/>
      <c r="LTP47" s="971"/>
      <c r="LTQ47" s="971"/>
      <c r="LTR47" s="971"/>
      <c r="LTS47" s="971"/>
      <c r="LTT47" s="971"/>
      <c r="LTU47" s="971"/>
      <c r="LTV47" s="971"/>
      <c r="LTW47" s="971"/>
      <c r="LTX47" s="971"/>
      <c r="LTY47" s="971"/>
      <c r="LTZ47" s="971"/>
      <c r="LUA47" s="971"/>
      <c r="LUB47" s="971"/>
      <c r="LUC47" s="971"/>
      <c r="LUD47" s="971"/>
      <c r="LUE47" s="971"/>
      <c r="LUF47" s="971"/>
      <c r="LUG47" s="971"/>
      <c r="LUH47" s="971"/>
      <c r="LUI47" s="971"/>
      <c r="LUJ47" s="971"/>
      <c r="LUK47" s="971"/>
      <c r="LUL47" s="971"/>
      <c r="LUM47" s="971"/>
      <c r="LUN47" s="971"/>
      <c r="LUO47" s="971"/>
      <c r="LUP47" s="971"/>
      <c r="LUQ47" s="971"/>
      <c r="LUR47" s="971"/>
      <c r="LUS47" s="971"/>
      <c r="LUT47" s="971"/>
      <c r="LUU47" s="971"/>
      <c r="LUV47" s="971"/>
      <c r="LUW47" s="971"/>
      <c r="LUX47" s="971"/>
      <c r="LUY47" s="971"/>
      <c r="LUZ47" s="971"/>
      <c r="LVA47" s="971"/>
      <c r="LVB47" s="971"/>
      <c r="LVC47" s="971"/>
      <c r="LVD47" s="971"/>
      <c r="LVE47" s="971"/>
      <c r="LVF47" s="971"/>
      <c r="LVG47" s="971"/>
      <c r="LVH47" s="971"/>
      <c r="LVI47" s="971"/>
      <c r="LVJ47" s="971"/>
      <c r="LVK47" s="971"/>
      <c r="LVL47" s="971"/>
      <c r="LVM47" s="971"/>
      <c r="LVN47" s="971"/>
      <c r="LVO47" s="971"/>
      <c r="LVP47" s="971"/>
      <c r="LVQ47" s="971"/>
      <c r="LVR47" s="971"/>
      <c r="LVS47" s="971"/>
      <c r="LVT47" s="971"/>
      <c r="LVU47" s="971"/>
      <c r="LVV47" s="971"/>
      <c r="LVW47" s="971"/>
      <c r="LVX47" s="971"/>
      <c r="LVY47" s="971"/>
      <c r="LVZ47" s="971"/>
      <c r="LWA47" s="971"/>
      <c r="LWB47" s="971"/>
      <c r="LWC47" s="971"/>
      <c r="LWD47" s="971"/>
      <c r="LWE47" s="971"/>
      <c r="LWF47" s="971"/>
      <c r="LWG47" s="971"/>
      <c r="LWH47" s="971"/>
      <c r="LWI47" s="971"/>
      <c r="LWJ47" s="971"/>
      <c r="LWK47" s="971"/>
      <c r="LWL47" s="971"/>
      <c r="LWM47" s="971"/>
      <c r="LWN47" s="971"/>
      <c r="LWO47" s="971"/>
      <c r="LWP47" s="971"/>
      <c r="LWQ47" s="971"/>
      <c r="LWR47" s="971"/>
      <c r="LWS47" s="971"/>
      <c r="LWT47" s="971"/>
      <c r="LWU47" s="971"/>
      <c r="LWV47" s="971"/>
      <c r="LWW47" s="971"/>
      <c r="LWX47" s="971"/>
      <c r="LWY47" s="971"/>
      <c r="LWZ47" s="971"/>
      <c r="LXA47" s="971"/>
      <c r="LXB47" s="971"/>
      <c r="LXC47" s="971"/>
      <c r="LXD47" s="971"/>
      <c r="LXE47" s="971"/>
      <c r="LXF47" s="971"/>
      <c r="LXG47" s="971"/>
      <c r="LXH47" s="971"/>
      <c r="LXI47" s="971"/>
      <c r="LXJ47" s="971"/>
      <c r="LXK47" s="971"/>
      <c r="LXL47" s="971"/>
      <c r="LXM47" s="971"/>
      <c r="LXN47" s="971"/>
      <c r="LXO47" s="971"/>
      <c r="LXP47" s="971"/>
      <c r="LXQ47" s="971"/>
      <c r="LXR47" s="971"/>
      <c r="LXS47" s="971"/>
      <c r="LXT47" s="971"/>
      <c r="LXU47" s="971"/>
      <c r="LXV47" s="971"/>
      <c r="LXW47" s="971"/>
      <c r="LXX47" s="971"/>
      <c r="LXY47" s="971"/>
      <c r="LXZ47" s="971"/>
      <c r="LYA47" s="971"/>
      <c r="LYB47" s="971"/>
      <c r="LYC47" s="971"/>
      <c r="LYD47" s="971"/>
      <c r="LYE47" s="971"/>
      <c r="LYF47" s="971"/>
      <c r="LYG47" s="971"/>
      <c r="LYH47" s="971"/>
      <c r="LYI47" s="971"/>
      <c r="LYJ47" s="971"/>
      <c r="LYK47" s="971"/>
      <c r="LYL47" s="971"/>
      <c r="LYM47" s="971"/>
      <c r="LYN47" s="971"/>
      <c r="LYO47" s="971"/>
      <c r="LYP47" s="971"/>
      <c r="LYQ47" s="971"/>
      <c r="LYR47" s="971"/>
      <c r="LYS47" s="971"/>
      <c r="LYT47" s="971"/>
      <c r="LYU47" s="971"/>
      <c r="LYV47" s="971"/>
      <c r="LYW47" s="971"/>
      <c r="LYX47" s="971"/>
      <c r="LYY47" s="971"/>
      <c r="LYZ47" s="971"/>
      <c r="LZA47" s="971"/>
      <c r="LZB47" s="971"/>
      <c r="LZC47" s="971"/>
      <c r="LZD47" s="971"/>
      <c r="LZE47" s="971"/>
      <c r="LZF47" s="971"/>
      <c r="LZG47" s="971"/>
      <c r="LZH47" s="971"/>
      <c r="LZI47" s="971"/>
      <c r="LZJ47" s="971"/>
      <c r="LZK47" s="971"/>
      <c r="LZL47" s="971"/>
      <c r="LZM47" s="971"/>
      <c r="LZN47" s="971"/>
      <c r="LZO47" s="971"/>
      <c r="LZP47" s="971"/>
      <c r="LZQ47" s="971"/>
      <c r="LZR47" s="971"/>
      <c r="LZS47" s="971"/>
      <c r="LZT47" s="971"/>
      <c r="LZU47" s="971"/>
      <c r="LZV47" s="971"/>
      <c r="LZW47" s="971"/>
      <c r="LZX47" s="971"/>
      <c r="LZY47" s="971"/>
      <c r="LZZ47" s="971"/>
      <c r="MAA47" s="971"/>
      <c r="MAB47" s="971"/>
      <c r="MAC47" s="971"/>
      <c r="MAD47" s="971"/>
      <c r="MAE47" s="971"/>
      <c r="MAF47" s="971"/>
      <c r="MAG47" s="971"/>
      <c r="MAH47" s="971"/>
      <c r="MAI47" s="971"/>
      <c r="MAJ47" s="971"/>
      <c r="MAK47" s="971"/>
      <c r="MAL47" s="971"/>
      <c r="MAM47" s="971"/>
      <c r="MAN47" s="971"/>
      <c r="MAO47" s="971"/>
      <c r="MAP47" s="971"/>
      <c r="MAQ47" s="971"/>
      <c r="MAR47" s="971"/>
      <c r="MAS47" s="971"/>
      <c r="MAT47" s="971"/>
      <c r="MAU47" s="971"/>
      <c r="MAV47" s="971"/>
      <c r="MAW47" s="971"/>
      <c r="MAX47" s="971"/>
      <c r="MAY47" s="971"/>
      <c r="MAZ47" s="971"/>
      <c r="MBA47" s="971"/>
      <c r="MBB47" s="971"/>
      <c r="MBC47" s="971"/>
      <c r="MBD47" s="971"/>
      <c r="MBE47" s="971"/>
      <c r="MBF47" s="971"/>
      <c r="MBG47" s="971"/>
      <c r="MBH47" s="971"/>
      <c r="MBI47" s="971"/>
      <c r="MBJ47" s="971"/>
      <c r="MBK47" s="971"/>
      <c r="MBL47" s="971"/>
      <c r="MBM47" s="971"/>
      <c r="MBN47" s="971"/>
      <c r="MBO47" s="971"/>
      <c r="MBP47" s="971"/>
      <c r="MBQ47" s="971"/>
      <c r="MBR47" s="971"/>
      <c r="MBS47" s="971"/>
      <c r="MBT47" s="971"/>
      <c r="MBU47" s="971"/>
      <c r="MBV47" s="971"/>
      <c r="MBW47" s="971"/>
      <c r="MBX47" s="971"/>
      <c r="MBY47" s="971"/>
      <c r="MBZ47" s="971"/>
      <c r="MCA47" s="971"/>
      <c r="MCB47" s="971"/>
      <c r="MCC47" s="971"/>
      <c r="MCD47" s="971"/>
      <c r="MCE47" s="971"/>
      <c r="MCF47" s="971"/>
      <c r="MCG47" s="971"/>
      <c r="MCH47" s="971"/>
      <c r="MCI47" s="971"/>
      <c r="MCJ47" s="971"/>
      <c r="MCK47" s="971"/>
      <c r="MCL47" s="971"/>
      <c r="MCM47" s="971"/>
      <c r="MCN47" s="971"/>
      <c r="MCO47" s="971"/>
      <c r="MCP47" s="971"/>
      <c r="MCQ47" s="971"/>
      <c r="MCR47" s="971"/>
      <c r="MCS47" s="971"/>
      <c r="MCT47" s="971"/>
      <c r="MCU47" s="971"/>
      <c r="MCV47" s="971"/>
      <c r="MCW47" s="971"/>
      <c r="MCX47" s="971"/>
      <c r="MCY47" s="971"/>
      <c r="MCZ47" s="971"/>
      <c r="MDA47" s="971"/>
      <c r="MDB47" s="971"/>
      <c r="MDC47" s="971"/>
      <c r="MDD47" s="971"/>
      <c r="MDE47" s="971"/>
      <c r="MDF47" s="971"/>
      <c r="MDG47" s="971"/>
      <c r="MDH47" s="971"/>
      <c r="MDI47" s="971"/>
      <c r="MDJ47" s="971"/>
      <c r="MDK47" s="971"/>
      <c r="MDL47" s="971"/>
      <c r="MDM47" s="971"/>
      <c r="MDN47" s="971"/>
      <c r="MDO47" s="971"/>
      <c r="MDP47" s="971"/>
      <c r="MDQ47" s="971"/>
      <c r="MDR47" s="971"/>
      <c r="MDS47" s="971"/>
      <c r="MDT47" s="971"/>
      <c r="MDU47" s="971"/>
      <c r="MDV47" s="971"/>
      <c r="MDW47" s="971"/>
      <c r="MDX47" s="971"/>
      <c r="MDY47" s="971"/>
      <c r="MDZ47" s="971"/>
      <c r="MEA47" s="971"/>
      <c r="MEB47" s="971"/>
      <c r="MEC47" s="971"/>
      <c r="MED47" s="971"/>
      <c r="MEE47" s="971"/>
      <c r="MEF47" s="971"/>
      <c r="MEG47" s="971"/>
      <c r="MEH47" s="971"/>
      <c r="MEI47" s="971"/>
      <c r="MEJ47" s="971"/>
      <c r="MEK47" s="971"/>
      <c r="MEL47" s="971"/>
      <c r="MEM47" s="971"/>
      <c r="MEN47" s="971"/>
      <c r="MEO47" s="971"/>
      <c r="MEP47" s="971"/>
      <c r="MEQ47" s="971"/>
      <c r="MER47" s="971"/>
      <c r="MES47" s="971"/>
      <c r="MET47" s="971"/>
      <c r="MEU47" s="971"/>
      <c r="MEV47" s="971"/>
      <c r="MEW47" s="971"/>
      <c r="MEX47" s="971"/>
      <c r="MEY47" s="971"/>
      <c r="MEZ47" s="971"/>
      <c r="MFA47" s="971"/>
      <c r="MFB47" s="971"/>
      <c r="MFC47" s="971"/>
      <c r="MFD47" s="971"/>
      <c r="MFE47" s="971"/>
      <c r="MFF47" s="971"/>
      <c r="MFG47" s="971"/>
      <c r="MFH47" s="971"/>
      <c r="MFI47" s="971"/>
      <c r="MFJ47" s="971"/>
      <c r="MFK47" s="971"/>
      <c r="MFL47" s="971"/>
      <c r="MFM47" s="971"/>
      <c r="MFN47" s="971"/>
      <c r="MFO47" s="971"/>
      <c r="MFP47" s="971"/>
      <c r="MFQ47" s="971"/>
      <c r="MFR47" s="971"/>
      <c r="MFS47" s="971"/>
      <c r="MFT47" s="971"/>
      <c r="MFU47" s="971"/>
      <c r="MFV47" s="971"/>
      <c r="MFW47" s="971"/>
      <c r="MFX47" s="971"/>
      <c r="MFY47" s="971"/>
      <c r="MFZ47" s="971"/>
      <c r="MGA47" s="971"/>
      <c r="MGB47" s="971"/>
      <c r="MGC47" s="971"/>
      <c r="MGD47" s="971"/>
      <c r="MGE47" s="971"/>
      <c r="MGF47" s="971"/>
      <c r="MGG47" s="971"/>
      <c r="MGH47" s="971"/>
      <c r="MGI47" s="971"/>
      <c r="MGJ47" s="971"/>
      <c r="MGK47" s="971"/>
      <c r="MGL47" s="971"/>
      <c r="MGM47" s="971"/>
      <c r="MGN47" s="971"/>
      <c r="MGO47" s="971"/>
      <c r="MGP47" s="971"/>
      <c r="MGQ47" s="971"/>
      <c r="MGR47" s="971"/>
      <c r="MGS47" s="971"/>
      <c r="MGT47" s="971"/>
      <c r="MGU47" s="971"/>
      <c r="MGV47" s="971"/>
      <c r="MGW47" s="971"/>
      <c r="MGX47" s="971"/>
      <c r="MGY47" s="971"/>
      <c r="MGZ47" s="971"/>
      <c r="MHA47" s="971"/>
      <c r="MHB47" s="971"/>
      <c r="MHC47" s="971"/>
      <c r="MHD47" s="971"/>
      <c r="MHE47" s="971"/>
      <c r="MHF47" s="971"/>
      <c r="MHG47" s="971"/>
      <c r="MHH47" s="971"/>
      <c r="MHI47" s="971"/>
      <c r="MHJ47" s="971"/>
      <c r="MHK47" s="971"/>
      <c r="MHL47" s="971"/>
      <c r="MHM47" s="971"/>
      <c r="MHN47" s="971"/>
      <c r="MHO47" s="971"/>
      <c r="MHP47" s="971"/>
      <c r="MHQ47" s="971"/>
      <c r="MHR47" s="971"/>
      <c r="MHS47" s="971"/>
      <c r="MHT47" s="971"/>
      <c r="MHU47" s="971"/>
      <c r="MHV47" s="971"/>
      <c r="MHW47" s="971"/>
      <c r="MHX47" s="971"/>
      <c r="MHY47" s="971"/>
      <c r="MHZ47" s="971"/>
      <c r="MIA47" s="971"/>
      <c r="MIB47" s="971"/>
      <c r="MIC47" s="971"/>
      <c r="MID47" s="971"/>
      <c r="MIE47" s="971"/>
      <c r="MIF47" s="971"/>
      <c r="MIG47" s="971"/>
      <c r="MIH47" s="971"/>
      <c r="MII47" s="971"/>
      <c r="MIJ47" s="971"/>
      <c r="MIK47" s="971"/>
      <c r="MIL47" s="971"/>
      <c r="MIM47" s="971"/>
      <c r="MIN47" s="971"/>
      <c r="MIO47" s="971"/>
      <c r="MIP47" s="971"/>
      <c r="MIQ47" s="971"/>
      <c r="MIR47" s="971"/>
      <c r="MIS47" s="971"/>
      <c r="MIT47" s="971"/>
      <c r="MIU47" s="971"/>
      <c r="MIV47" s="971"/>
      <c r="MIW47" s="971"/>
      <c r="MIX47" s="971"/>
      <c r="MIY47" s="971"/>
      <c r="MIZ47" s="971"/>
      <c r="MJA47" s="971"/>
      <c r="MJB47" s="971"/>
      <c r="MJC47" s="971"/>
      <c r="MJD47" s="971"/>
      <c r="MJE47" s="971"/>
      <c r="MJF47" s="971"/>
      <c r="MJG47" s="971"/>
      <c r="MJH47" s="971"/>
      <c r="MJI47" s="971"/>
      <c r="MJJ47" s="971"/>
      <c r="MJK47" s="971"/>
      <c r="MJL47" s="971"/>
      <c r="MJM47" s="971"/>
      <c r="MJN47" s="971"/>
      <c r="MJO47" s="971"/>
      <c r="MJP47" s="971"/>
      <c r="MJQ47" s="971"/>
      <c r="MJR47" s="971"/>
      <c r="MJS47" s="971"/>
      <c r="MJT47" s="971"/>
      <c r="MJU47" s="971"/>
      <c r="MJV47" s="971"/>
      <c r="MJW47" s="971"/>
      <c r="MJX47" s="971"/>
      <c r="MJY47" s="971"/>
      <c r="MJZ47" s="971"/>
      <c r="MKA47" s="971"/>
      <c r="MKB47" s="971"/>
      <c r="MKC47" s="971"/>
      <c r="MKD47" s="971"/>
      <c r="MKE47" s="971"/>
      <c r="MKF47" s="971"/>
      <c r="MKG47" s="971"/>
      <c r="MKH47" s="971"/>
      <c r="MKI47" s="971"/>
      <c r="MKJ47" s="971"/>
      <c r="MKK47" s="971"/>
      <c r="MKL47" s="971"/>
      <c r="MKM47" s="971"/>
      <c r="MKN47" s="971"/>
      <c r="MKO47" s="971"/>
      <c r="MKP47" s="971"/>
      <c r="MKQ47" s="971"/>
      <c r="MKR47" s="971"/>
      <c r="MKS47" s="971"/>
      <c r="MKT47" s="971"/>
      <c r="MKU47" s="971"/>
      <c r="MKV47" s="971"/>
      <c r="MKW47" s="971"/>
      <c r="MKX47" s="971"/>
      <c r="MKY47" s="971"/>
      <c r="MKZ47" s="971"/>
      <c r="MLA47" s="971"/>
      <c r="MLB47" s="971"/>
      <c r="MLC47" s="971"/>
      <c r="MLD47" s="971"/>
      <c r="MLE47" s="971"/>
      <c r="MLF47" s="971"/>
      <c r="MLG47" s="971"/>
      <c r="MLH47" s="971"/>
      <c r="MLI47" s="971"/>
      <c r="MLJ47" s="971"/>
      <c r="MLK47" s="971"/>
      <c r="MLL47" s="971"/>
      <c r="MLM47" s="971"/>
      <c r="MLN47" s="971"/>
      <c r="MLO47" s="971"/>
      <c r="MLP47" s="971"/>
      <c r="MLQ47" s="971"/>
      <c r="MLR47" s="971"/>
      <c r="MLS47" s="971"/>
      <c r="MLT47" s="971"/>
      <c r="MLU47" s="971"/>
      <c r="MLV47" s="971"/>
      <c r="MLW47" s="971"/>
      <c r="MLX47" s="971"/>
      <c r="MLY47" s="971"/>
      <c r="MLZ47" s="971"/>
      <c r="MMA47" s="971"/>
      <c r="MMB47" s="971"/>
      <c r="MMC47" s="971"/>
      <c r="MMD47" s="971"/>
      <c r="MME47" s="971"/>
      <c r="MMF47" s="971"/>
      <c r="MMG47" s="971"/>
      <c r="MMH47" s="971"/>
      <c r="MMI47" s="971"/>
      <c r="MMJ47" s="971"/>
      <c r="MMK47" s="971"/>
      <c r="MML47" s="971"/>
      <c r="MMM47" s="971"/>
      <c r="MMN47" s="971"/>
      <c r="MMO47" s="971"/>
      <c r="MMP47" s="971"/>
      <c r="MMQ47" s="971"/>
      <c r="MMR47" s="971"/>
      <c r="MMS47" s="971"/>
      <c r="MMT47" s="971"/>
      <c r="MMU47" s="971"/>
      <c r="MMV47" s="971"/>
      <c r="MMW47" s="971"/>
      <c r="MMX47" s="971"/>
      <c r="MMY47" s="971"/>
      <c r="MMZ47" s="971"/>
      <c r="MNA47" s="971"/>
      <c r="MNB47" s="971"/>
      <c r="MNC47" s="971"/>
      <c r="MND47" s="971"/>
      <c r="MNE47" s="971"/>
      <c r="MNF47" s="971"/>
      <c r="MNG47" s="971"/>
      <c r="MNH47" s="971"/>
      <c r="MNI47" s="971"/>
      <c r="MNJ47" s="971"/>
      <c r="MNK47" s="971"/>
      <c r="MNL47" s="971"/>
      <c r="MNM47" s="971"/>
      <c r="MNN47" s="971"/>
      <c r="MNO47" s="971"/>
      <c r="MNP47" s="971"/>
      <c r="MNQ47" s="971"/>
      <c r="MNR47" s="971"/>
      <c r="MNS47" s="971"/>
      <c r="MNT47" s="971"/>
      <c r="MNU47" s="971"/>
      <c r="MNV47" s="971"/>
      <c r="MNW47" s="971"/>
      <c r="MNX47" s="971"/>
      <c r="MNY47" s="971"/>
      <c r="MNZ47" s="971"/>
      <c r="MOA47" s="971"/>
      <c r="MOB47" s="971"/>
      <c r="MOC47" s="971"/>
      <c r="MOD47" s="971"/>
      <c r="MOE47" s="971"/>
      <c r="MOF47" s="971"/>
      <c r="MOG47" s="971"/>
      <c r="MOH47" s="971"/>
      <c r="MOI47" s="971"/>
      <c r="MOJ47" s="971"/>
      <c r="MOK47" s="971"/>
      <c r="MOL47" s="971"/>
      <c r="MOM47" s="971"/>
      <c r="MON47" s="971"/>
      <c r="MOO47" s="971"/>
      <c r="MOP47" s="971"/>
      <c r="MOQ47" s="971"/>
      <c r="MOR47" s="971"/>
      <c r="MOS47" s="971"/>
      <c r="MOT47" s="971"/>
      <c r="MOU47" s="971"/>
      <c r="MOV47" s="971"/>
      <c r="MOW47" s="971"/>
      <c r="MOX47" s="971"/>
      <c r="MOY47" s="971"/>
      <c r="MOZ47" s="971"/>
      <c r="MPA47" s="971"/>
      <c r="MPB47" s="971"/>
      <c r="MPC47" s="971"/>
      <c r="MPD47" s="971"/>
      <c r="MPE47" s="971"/>
      <c r="MPF47" s="971"/>
      <c r="MPG47" s="971"/>
      <c r="MPH47" s="971"/>
      <c r="MPI47" s="971"/>
      <c r="MPJ47" s="971"/>
      <c r="MPK47" s="971"/>
      <c r="MPL47" s="971"/>
      <c r="MPM47" s="971"/>
      <c r="MPN47" s="971"/>
      <c r="MPO47" s="971"/>
      <c r="MPP47" s="971"/>
      <c r="MPQ47" s="971"/>
      <c r="MPR47" s="971"/>
      <c r="MPS47" s="971"/>
      <c r="MPT47" s="971"/>
      <c r="MPU47" s="971"/>
      <c r="MPV47" s="971"/>
      <c r="MPW47" s="971"/>
      <c r="MPX47" s="971"/>
      <c r="MPY47" s="971"/>
      <c r="MPZ47" s="971"/>
      <c r="MQA47" s="971"/>
      <c r="MQB47" s="971"/>
      <c r="MQC47" s="971"/>
      <c r="MQD47" s="971"/>
      <c r="MQE47" s="971"/>
      <c r="MQF47" s="971"/>
      <c r="MQG47" s="971"/>
      <c r="MQH47" s="971"/>
      <c r="MQI47" s="971"/>
      <c r="MQJ47" s="971"/>
      <c r="MQK47" s="971"/>
      <c r="MQL47" s="971"/>
      <c r="MQM47" s="971"/>
      <c r="MQN47" s="971"/>
      <c r="MQO47" s="971"/>
      <c r="MQP47" s="971"/>
      <c r="MQQ47" s="971"/>
      <c r="MQR47" s="971"/>
      <c r="MQS47" s="971"/>
      <c r="MQT47" s="971"/>
      <c r="MQU47" s="971"/>
      <c r="MQV47" s="971"/>
      <c r="MQW47" s="971"/>
      <c r="MQX47" s="971"/>
      <c r="MQY47" s="971"/>
      <c r="MQZ47" s="971"/>
      <c r="MRA47" s="971"/>
      <c r="MRB47" s="971"/>
      <c r="MRC47" s="971"/>
      <c r="MRD47" s="971"/>
      <c r="MRE47" s="971"/>
      <c r="MRF47" s="971"/>
      <c r="MRG47" s="971"/>
      <c r="MRH47" s="971"/>
      <c r="MRI47" s="971"/>
      <c r="MRJ47" s="971"/>
      <c r="MRK47" s="971"/>
      <c r="MRL47" s="971"/>
      <c r="MRM47" s="971"/>
      <c r="MRN47" s="971"/>
      <c r="MRO47" s="971"/>
      <c r="MRP47" s="971"/>
      <c r="MRQ47" s="971"/>
      <c r="MRR47" s="971"/>
      <c r="MRS47" s="971"/>
      <c r="MRT47" s="971"/>
      <c r="MRU47" s="971"/>
      <c r="MRV47" s="971"/>
      <c r="MRW47" s="971"/>
      <c r="MRX47" s="971"/>
      <c r="MRY47" s="971"/>
      <c r="MRZ47" s="971"/>
      <c r="MSA47" s="971"/>
      <c r="MSB47" s="971"/>
      <c r="MSC47" s="971"/>
      <c r="MSD47" s="971"/>
      <c r="MSE47" s="971"/>
      <c r="MSF47" s="971"/>
      <c r="MSG47" s="971"/>
      <c r="MSH47" s="971"/>
      <c r="MSI47" s="971"/>
      <c r="MSJ47" s="971"/>
      <c r="MSK47" s="971"/>
      <c r="MSL47" s="971"/>
      <c r="MSM47" s="971"/>
      <c r="MSN47" s="971"/>
      <c r="MSO47" s="971"/>
      <c r="MSP47" s="971"/>
      <c r="MSQ47" s="971"/>
      <c r="MSR47" s="971"/>
      <c r="MSS47" s="971"/>
      <c r="MST47" s="971"/>
      <c r="MSU47" s="971"/>
      <c r="MSV47" s="971"/>
      <c r="MSW47" s="971"/>
      <c r="MSX47" s="971"/>
      <c r="MSY47" s="971"/>
      <c r="MSZ47" s="971"/>
      <c r="MTA47" s="971"/>
      <c r="MTB47" s="971"/>
      <c r="MTC47" s="971"/>
      <c r="MTD47" s="971"/>
      <c r="MTE47" s="971"/>
      <c r="MTF47" s="971"/>
      <c r="MTG47" s="971"/>
      <c r="MTH47" s="971"/>
      <c r="MTI47" s="971"/>
      <c r="MTJ47" s="971"/>
      <c r="MTK47" s="971"/>
      <c r="MTL47" s="971"/>
      <c r="MTM47" s="971"/>
      <c r="MTN47" s="971"/>
      <c r="MTO47" s="971"/>
      <c r="MTP47" s="971"/>
      <c r="MTQ47" s="971"/>
      <c r="MTR47" s="971"/>
      <c r="MTS47" s="971"/>
      <c r="MTT47" s="971"/>
      <c r="MTU47" s="971"/>
      <c r="MTV47" s="971"/>
      <c r="MTW47" s="971"/>
      <c r="MTX47" s="971"/>
      <c r="MTY47" s="971"/>
      <c r="MTZ47" s="971"/>
      <c r="MUA47" s="971"/>
      <c r="MUB47" s="971"/>
      <c r="MUC47" s="971"/>
      <c r="MUD47" s="971"/>
      <c r="MUE47" s="971"/>
      <c r="MUF47" s="971"/>
      <c r="MUG47" s="971"/>
      <c r="MUH47" s="971"/>
      <c r="MUI47" s="971"/>
      <c r="MUJ47" s="971"/>
      <c r="MUK47" s="971"/>
      <c r="MUL47" s="971"/>
      <c r="MUM47" s="971"/>
      <c r="MUN47" s="971"/>
      <c r="MUO47" s="971"/>
      <c r="MUP47" s="971"/>
      <c r="MUQ47" s="971"/>
      <c r="MUR47" s="971"/>
      <c r="MUS47" s="971"/>
      <c r="MUT47" s="971"/>
      <c r="MUU47" s="971"/>
      <c r="MUV47" s="971"/>
      <c r="MUW47" s="971"/>
      <c r="MUX47" s="971"/>
      <c r="MUY47" s="971"/>
      <c r="MUZ47" s="971"/>
      <c r="MVA47" s="971"/>
      <c r="MVB47" s="971"/>
      <c r="MVC47" s="971"/>
      <c r="MVD47" s="971"/>
      <c r="MVE47" s="971"/>
      <c r="MVF47" s="971"/>
      <c r="MVG47" s="971"/>
      <c r="MVH47" s="971"/>
      <c r="MVI47" s="971"/>
      <c r="MVJ47" s="971"/>
      <c r="MVK47" s="971"/>
      <c r="MVL47" s="971"/>
      <c r="MVM47" s="971"/>
      <c r="MVN47" s="971"/>
      <c r="MVO47" s="971"/>
      <c r="MVP47" s="971"/>
      <c r="MVQ47" s="971"/>
      <c r="MVR47" s="971"/>
      <c r="MVS47" s="971"/>
      <c r="MVT47" s="971"/>
      <c r="MVU47" s="971"/>
      <c r="MVV47" s="971"/>
      <c r="MVW47" s="971"/>
      <c r="MVX47" s="971"/>
      <c r="MVY47" s="971"/>
      <c r="MVZ47" s="971"/>
      <c r="MWA47" s="971"/>
      <c r="MWB47" s="971"/>
      <c r="MWC47" s="971"/>
      <c r="MWD47" s="971"/>
      <c r="MWE47" s="971"/>
      <c r="MWF47" s="971"/>
      <c r="MWG47" s="971"/>
      <c r="MWH47" s="971"/>
      <c r="MWI47" s="971"/>
      <c r="MWJ47" s="971"/>
      <c r="MWK47" s="971"/>
      <c r="MWL47" s="971"/>
      <c r="MWM47" s="971"/>
      <c r="MWN47" s="971"/>
      <c r="MWO47" s="971"/>
      <c r="MWP47" s="971"/>
      <c r="MWQ47" s="971"/>
      <c r="MWR47" s="971"/>
      <c r="MWS47" s="971"/>
      <c r="MWT47" s="971"/>
      <c r="MWU47" s="971"/>
      <c r="MWV47" s="971"/>
      <c r="MWW47" s="971"/>
      <c r="MWX47" s="971"/>
      <c r="MWY47" s="971"/>
      <c r="MWZ47" s="971"/>
      <c r="MXA47" s="971"/>
      <c r="MXB47" s="971"/>
      <c r="MXC47" s="971"/>
      <c r="MXD47" s="971"/>
      <c r="MXE47" s="971"/>
      <c r="MXF47" s="971"/>
      <c r="MXG47" s="971"/>
      <c r="MXH47" s="971"/>
      <c r="MXI47" s="971"/>
      <c r="MXJ47" s="971"/>
      <c r="MXK47" s="971"/>
      <c r="MXL47" s="971"/>
      <c r="MXM47" s="971"/>
      <c r="MXN47" s="971"/>
      <c r="MXO47" s="971"/>
      <c r="MXP47" s="971"/>
      <c r="MXQ47" s="971"/>
      <c r="MXR47" s="971"/>
      <c r="MXS47" s="971"/>
      <c r="MXT47" s="971"/>
      <c r="MXU47" s="971"/>
      <c r="MXV47" s="971"/>
      <c r="MXW47" s="971"/>
      <c r="MXX47" s="971"/>
      <c r="MXY47" s="971"/>
      <c r="MXZ47" s="971"/>
      <c r="MYA47" s="971"/>
      <c r="MYB47" s="971"/>
      <c r="MYC47" s="971"/>
      <c r="MYD47" s="971"/>
      <c r="MYE47" s="971"/>
      <c r="MYF47" s="971"/>
      <c r="MYG47" s="971"/>
      <c r="MYH47" s="971"/>
      <c r="MYI47" s="971"/>
      <c r="MYJ47" s="971"/>
      <c r="MYK47" s="971"/>
      <c r="MYL47" s="971"/>
      <c r="MYM47" s="971"/>
      <c r="MYN47" s="971"/>
      <c r="MYO47" s="971"/>
      <c r="MYP47" s="971"/>
      <c r="MYQ47" s="971"/>
      <c r="MYR47" s="971"/>
      <c r="MYS47" s="971"/>
      <c r="MYT47" s="971"/>
      <c r="MYU47" s="971"/>
      <c r="MYV47" s="971"/>
      <c r="MYW47" s="971"/>
      <c r="MYX47" s="971"/>
      <c r="MYY47" s="971"/>
      <c r="MYZ47" s="971"/>
      <c r="MZA47" s="971"/>
      <c r="MZB47" s="971"/>
      <c r="MZC47" s="971"/>
      <c r="MZD47" s="971"/>
      <c r="MZE47" s="971"/>
      <c r="MZF47" s="971"/>
      <c r="MZG47" s="971"/>
      <c r="MZH47" s="971"/>
      <c r="MZI47" s="971"/>
      <c r="MZJ47" s="971"/>
      <c r="MZK47" s="971"/>
      <c r="MZL47" s="971"/>
      <c r="MZM47" s="971"/>
      <c r="MZN47" s="971"/>
      <c r="MZO47" s="971"/>
      <c r="MZP47" s="971"/>
      <c r="MZQ47" s="971"/>
      <c r="MZR47" s="971"/>
      <c r="MZS47" s="971"/>
      <c r="MZT47" s="971"/>
      <c r="MZU47" s="971"/>
      <c r="MZV47" s="971"/>
      <c r="MZW47" s="971"/>
      <c r="MZX47" s="971"/>
      <c r="MZY47" s="971"/>
      <c r="MZZ47" s="971"/>
      <c r="NAA47" s="971"/>
      <c r="NAB47" s="971"/>
      <c r="NAC47" s="971"/>
      <c r="NAD47" s="971"/>
      <c r="NAE47" s="971"/>
      <c r="NAF47" s="971"/>
      <c r="NAG47" s="971"/>
      <c r="NAH47" s="971"/>
      <c r="NAI47" s="971"/>
      <c r="NAJ47" s="971"/>
      <c r="NAK47" s="971"/>
      <c r="NAL47" s="971"/>
      <c r="NAM47" s="971"/>
      <c r="NAN47" s="971"/>
      <c r="NAO47" s="971"/>
      <c r="NAP47" s="971"/>
      <c r="NAQ47" s="971"/>
      <c r="NAR47" s="971"/>
      <c r="NAS47" s="971"/>
      <c r="NAT47" s="971"/>
      <c r="NAU47" s="971"/>
      <c r="NAV47" s="971"/>
      <c r="NAW47" s="971"/>
      <c r="NAX47" s="971"/>
      <c r="NAY47" s="971"/>
      <c r="NAZ47" s="971"/>
      <c r="NBA47" s="971"/>
      <c r="NBB47" s="971"/>
      <c r="NBC47" s="971"/>
      <c r="NBD47" s="971"/>
      <c r="NBE47" s="971"/>
      <c r="NBF47" s="971"/>
      <c r="NBG47" s="971"/>
      <c r="NBH47" s="971"/>
      <c r="NBI47" s="971"/>
      <c r="NBJ47" s="971"/>
      <c r="NBK47" s="971"/>
      <c r="NBL47" s="971"/>
      <c r="NBM47" s="971"/>
      <c r="NBN47" s="971"/>
      <c r="NBO47" s="971"/>
      <c r="NBP47" s="971"/>
      <c r="NBQ47" s="971"/>
      <c r="NBR47" s="971"/>
      <c r="NBS47" s="971"/>
      <c r="NBT47" s="971"/>
      <c r="NBU47" s="971"/>
      <c r="NBV47" s="971"/>
      <c r="NBW47" s="971"/>
      <c r="NBX47" s="971"/>
      <c r="NBY47" s="971"/>
      <c r="NBZ47" s="971"/>
      <c r="NCA47" s="971"/>
      <c r="NCB47" s="971"/>
      <c r="NCC47" s="971"/>
      <c r="NCD47" s="971"/>
      <c r="NCE47" s="971"/>
      <c r="NCF47" s="971"/>
      <c r="NCG47" s="971"/>
      <c r="NCH47" s="971"/>
      <c r="NCI47" s="971"/>
      <c r="NCJ47" s="971"/>
      <c r="NCK47" s="971"/>
      <c r="NCL47" s="971"/>
      <c r="NCM47" s="971"/>
      <c r="NCN47" s="971"/>
      <c r="NCO47" s="971"/>
      <c r="NCP47" s="971"/>
      <c r="NCQ47" s="971"/>
      <c r="NCR47" s="971"/>
      <c r="NCS47" s="971"/>
      <c r="NCT47" s="971"/>
      <c r="NCU47" s="971"/>
      <c r="NCV47" s="971"/>
      <c r="NCW47" s="971"/>
      <c r="NCX47" s="971"/>
      <c r="NCY47" s="971"/>
      <c r="NCZ47" s="971"/>
      <c r="NDA47" s="971"/>
      <c r="NDB47" s="971"/>
      <c r="NDC47" s="971"/>
      <c r="NDD47" s="971"/>
      <c r="NDE47" s="971"/>
      <c r="NDF47" s="971"/>
      <c r="NDG47" s="971"/>
      <c r="NDH47" s="971"/>
      <c r="NDI47" s="971"/>
      <c r="NDJ47" s="971"/>
      <c r="NDK47" s="971"/>
      <c r="NDL47" s="971"/>
      <c r="NDM47" s="971"/>
      <c r="NDN47" s="971"/>
      <c r="NDO47" s="971"/>
      <c r="NDP47" s="971"/>
      <c r="NDQ47" s="971"/>
      <c r="NDR47" s="971"/>
      <c r="NDS47" s="971"/>
      <c r="NDT47" s="971"/>
      <c r="NDU47" s="971"/>
      <c r="NDV47" s="971"/>
      <c r="NDW47" s="971"/>
      <c r="NDX47" s="971"/>
      <c r="NDY47" s="971"/>
      <c r="NDZ47" s="971"/>
      <c r="NEA47" s="971"/>
      <c r="NEB47" s="971"/>
      <c r="NEC47" s="971"/>
      <c r="NED47" s="971"/>
      <c r="NEE47" s="971"/>
      <c r="NEF47" s="971"/>
      <c r="NEG47" s="971"/>
      <c r="NEH47" s="971"/>
      <c r="NEI47" s="971"/>
      <c r="NEJ47" s="971"/>
      <c r="NEK47" s="971"/>
      <c r="NEL47" s="971"/>
      <c r="NEM47" s="971"/>
      <c r="NEN47" s="971"/>
      <c r="NEO47" s="971"/>
      <c r="NEP47" s="971"/>
      <c r="NEQ47" s="971"/>
      <c r="NER47" s="971"/>
      <c r="NES47" s="971"/>
      <c r="NET47" s="971"/>
      <c r="NEU47" s="971"/>
      <c r="NEV47" s="971"/>
      <c r="NEW47" s="971"/>
      <c r="NEX47" s="971"/>
      <c r="NEY47" s="971"/>
      <c r="NEZ47" s="971"/>
      <c r="NFA47" s="971"/>
      <c r="NFB47" s="971"/>
      <c r="NFC47" s="971"/>
      <c r="NFD47" s="971"/>
      <c r="NFE47" s="971"/>
      <c r="NFF47" s="971"/>
      <c r="NFG47" s="971"/>
      <c r="NFH47" s="971"/>
      <c r="NFI47" s="971"/>
      <c r="NFJ47" s="971"/>
      <c r="NFK47" s="971"/>
      <c r="NFL47" s="971"/>
      <c r="NFM47" s="971"/>
      <c r="NFN47" s="971"/>
      <c r="NFO47" s="971"/>
      <c r="NFP47" s="971"/>
      <c r="NFQ47" s="971"/>
      <c r="NFR47" s="971"/>
      <c r="NFS47" s="971"/>
      <c r="NFT47" s="971"/>
      <c r="NFU47" s="971"/>
      <c r="NFV47" s="971"/>
      <c r="NFW47" s="971"/>
      <c r="NFX47" s="971"/>
      <c r="NFY47" s="971"/>
      <c r="NFZ47" s="971"/>
      <c r="NGA47" s="971"/>
      <c r="NGB47" s="971"/>
      <c r="NGC47" s="971"/>
      <c r="NGD47" s="971"/>
      <c r="NGE47" s="971"/>
      <c r="NGF47" s="971"/>
      <c r="NGG47" s="971"/>
      <c r="NGH47" s="971"/>
      <c r="NGI47" s="971"/>
      <c r="NGJ47" s="971"/>
      <c r="NGK47" s="971"/>
      <c r="NGL47" s="971"/>
      <c r="NGM47" s="971"/>
      <c r="NGN47" s="971"/>
      <c r="NGO47" s="971"/>
      <c r="NGP47" s="971"/>
      <c r="NGQ47" s="971"/>
      <c r="NGR47" s="971"/>
      <c r="NGS47" s="971"/>
      <c r="NGT47" s="971"/>
      <c r="NGU47" s="971"/>
      <c r="NGV47" s="971"/>
      <c r="NGW47" s="971"/>
      <c r="NGX47" s="971"/>
      <c r="NGY47" s="971"/>
      <c r="NGZ47" s="971"/>
      <c r="NHA47" s="971"/>
      <c r="NHB47" s="971"/>
      <c r="NHC47" s="971"/>
      <c r="NHD47" s="971"/>
      <c r="NHE47" s="971"/>
      <c r="NHF47" s="971"/>
      <c r="NHG47" s="971"/>
      <c r="NHH47" s="971"/>
      <c r="NHI47" s="971"/>
      <c r="NHJ47" s="971"/>
      <c r="NHK47" s="971"/>
      <c r="NHL47" s="971"/>
      <c r="NHM47" s="971"/>
      <c r="NHN47" s="971"/>
      <c r="NHO47" s="971"/>
      <c r="NHP47" s="971"/>
      <c r="NHQ47" s="971"/>
      <c r="NHR47" s="971"/>
      <c r="NHS47" s="971"/>
      <c r="NHT47" s="971"/>
      <c r="NHU47" s="971"/>
      <c r="NHV47" s="971"/>
      <c r="NHW47" s="971"/>
      <c r="NHX47" s="971"/>
      <c r="NHY47" s="971"/>
      <c r="NHZ47" s="971"/>
      <c r="NIA47" s="971"/>
      <c r="NIB47" s="971"/>
      <c r="NIC47" s="971"/>
      <c r="NID47" s="971"/>
      <c r="NIE47" s="971"/>
      <c r="NIF47" s="971"/>
      <c r="NIG47" s="971"/>
      <c r="NIH47" s="971"/>
      <c r="NII47" s="971"/>
      <c r="NIJ47" s="971"/>
      <c r="NIK47" s="971"/>
      <c r="NIL47" s="971"/>
      <c r="NIM47" s="971"/>
      <c r="NIN47" s="971"/>
      <c r="NIO47" s="971"/>
      <c r="NIP47" s="971"/>
      <c r="NIQ47" s="971"/>
      <c r="NIR47" s="971"/>
      <c r="NIS47" s="971"/>
      <c r="NIT47" s="971"/>
      <c r="NIU47" s="971"/>
      <c r="NIV47" s="971"/>
      <c r="NIW47" s="971"/>
      <c r="NIX47" s="971"/>
      <c r="NIY47" s="971"/>
      <c r="NIZ47" s="971"/>
      <c r="NJA47" s="971"/>
      <c r="NJB47" s="971"/>
      <c r="NJC47" s="971"/>
      <c r="NJD47" s="971"/>
      <c r="NJE47" s="971"/>
      <c r="NJF47" s="971"/>
      <c r="NJG47" s="971"/>
      <c r="NJH47" s="971"/>
      <c r="NJI47" s="971"/>
      <c r="NJJ47" s="971"/>
      <c r="NJK47" s="971"/>
      <c r="NJL47" s="971"/>
      <c r="NJM47" s="971"/>
      <c r="NJN47" s="971"/>
      <c r="NJO47" s="971"/>
      <c r="NJP47" s="971"/>
      <c r="NJQ47" s="971"/>
      <c r="NJR47" s="971"/>
      <c r="NJS47" s="971"/>
      <c r="NJT47" s="971"/>
      <c r="NJU47" s="971"/>
      <c r="NJV47" s="971"/>
      <c r="NJW47" s="971"/>
      <c r="NJX47" s="971"/>
      <c r="NJY47" s="971"/>
      <c r="NJZ47" s="971"/>
      <c r="NKA47" s="971"/>
      <c r="NKB47" s="971"/>
      <c r="NKC47" s="971"/>
      <c r="NKD47" s="971"/>
      <c r="NKE47" s="971"/>
      <c r="NKF47" s="971"/>
      <c r="NKG47" s="971"/>
      <c r="NKH47" s="971"/>
      <c r="NKI47" s="971"/>
      <c r="NKJ47" s="971"/>
      <c r="NKK47" s="971"/>
      <c r="NKL47" s="971"/>
      <c r="NKM47" s="971"/>
      <c r="NKN47" s="971"/>
      <c r="NKO47" s="971"/>
      <c r="NKP47" s="971"/>
      <c r="NKQ47" s="971"/>
      <c r="NKR47" s="971"/>
      <c r="NKS47" s="971"/>
      <c r="NKT47" s="971"/>
      <c r="NKU47" s="971"/>
      <c r="NKV47" s="971"/>
      <c r="NKW47" s="971"/>
      <c r="NKX47" s="971"/>
      <c r="NKY47" s="971"/>
      <c r="NKZ47" s="971"/>
      <c r="NLA47" s="971"/>
      <c r="NLB47" s="971"/>
      <c r="NLC47" s="971"/>
      <c r="NLD47" s="971"/>
      <c r="NLE47" s="971"/>
      <c r="NLF47" s="971"/>
      <c r="NLG47" s="971"/>
      <c r="NLH47" s="971"/>
      <c r="NLI47" s="971"/>
      <c r="NLJ47" s="971"/>
      <c r="NLK47" s="971"/>
      <c r="NLL47" s="971"/>
      <c r="NLM47" s="971"/>
      <c r="NLN47" s="971"/>
      <c r="NLO47" s="971"/>
      <c r="NLP47" s="971"/>
      <c r="NLQ47" s="971"/>
      <c r="NLR47" s="971"/>
      <c r="NLS47" s="971"/>
      <c r="NLT47" s="971"/>
      <c r="NLU47" s="971"/>
      <c r="NLV47" s="971"/>
      <c r="NLW47" s="971"/>
      <c r="NLX47" s="971"/>
      <c r="NLY47" s="971"/>
      <c r="NLZ47" s="971"/>
      <c r="NMA47" s="971"/>
      <c r="NMB47" s="971"/>
      <c r="NMC47" s="971"/>
      <c r="NMD47" s="971"/>
      <c r="NME47" s="971"/>
      <c r="NMF47" s="971"/>
      <c r="NMG47" s="971"/>
      <c r="NMH47" s="971"/>
      <c r="NMI47" s="971"/>
      <c r="NMJ47" s="971"/>
      <c r="NMK47" s="971"/>
      <c r="NML47" s="971"/>
      <c r="NMM47" s="971"/>
      <c r="NMN47" s="971"/>
      <c r="NMO47" s="971"/>
      <c r="NMP47" s="971"/>
      <c r="NMQ47" s="971"/>
      <c r="NMR47" s="971"/>
      <c r="NMS47" s="971"/>
      <c r="NMT47" s="971"/>
      <c r="NMU47" s="971"/>
      <c r="NMV47" s="971"/>
      <c r="NMW47" s="971"/>
      <c r="NMX47" s="971"/>
      <c r="NMY47" s="971"/>
      <c r="NMZ47" s="971"/>
      <c r="NNA47" s="971"/>
      <c r="NNB47" s="971"/>
      <c r="NNC47" s="971"/>
      <c r="NND47" s="971"/>
      <c r="NNE47" s="971"/>
      <c r="NNF47" s="971"/>
      <c r="NNG47" s="971"/>
      <c r="NNH47" s="971"/>
      <c r="NNI47" s="971"/>
      <c r="NNJ47" s="971"/>
      <c r="NNK47" s="971"/>
      <c r="NNL47" s="971"/>
      <c r="NNM47" s="971"/>
      <c r="NNN47" s="971"/>
      <c r="NNO47" s="971"/>
      <c r="NNP47" s="971"/>
      <c r="NNQ47" s="971"/>
      <c r="NNR47" s="971"/>
      <c r="NNS47" s="971"/>
      <c r="NNT47" s="971"/>
      <c r="NNU47" s="971"/>
      <c r="NNV47" s="971"/>
      <c r="NNW47" s="971"/>
      <c r="NNX47" s="971"/>
      <c r="NNY47" s="971"/>
      <c r="NNZ47" s="971"/>
      <c r="NOA47" s="971"/>
      <c r="NOB47" s="971"/>
      <c r="NOC47" s="971"/>
      <c r="NOD47" s="971"/>
      <c r="NOE47" s="971"/>
      <c r="NOF47" s="971"/>
      <c r="NOG47" s="971"/>
      <c r="NOH47" s="971"/>
      <c r="NOI47" s="971"/>
      <c r="NOJ47" s="971"/>
      <c r="NOK47" s="971"/>
      <c r="NOL47" s="971"/>
      <c r="NOM47" s="971"/>
      <c r="NON47" s="971"/>
      <c r="NOO47" s="971"/>
      <c r="NOP47" s="971"/>
      <c r="NOQ47" s="971"/>
      <c r="NOR47" s="971"/>
      <c r="NOS47" s="971"/>
      <c r="NOT47" s="971"/>
      <c r="NOU47" s="971"/>
      <c r="NOV47" s="971"/>
      <c r="NOW47" s="971"/>
      <c r="NOX47" s="971"/>
      <c r="NOY47" s="971"/>
      <c r="NOZ47" s="971"/>
      <c r="NPA47" s="971"/>
      <c r="NPB47" s="971"/>
      <c r="NPC47" s="971"/>
      <c r="NPD47" s="971"/>
      <c r="NPE47" s="971"/>
      <c r="NPF47" s="971"/>
      <c r="NPG47" s="971"/>
      <c r="NPH47" s="971"/>
      <c r="NPI47" s="971"/>
      <c r="NPJ47" s="971"/>
      <c r="NPK47" s="971"/>
      <c r="NPL47" s="971"/>
      <c r="NPM47" s="971"/>
      <c r="NPN47" s="971"/>
      <c r="NPO47" s="971"/>
      <c r="NPP47" s="971"/>
      <c r="NPQ47" s="971"/>
      <c r="NPR47" s="971"/>
      <c r="NPS47" s="971"/>
      <c r="NPT47" s="971"/>
      <c r="NPU47" s="971"/>
      <c r="NPV47" s="971"/>
      <c r="NPW47" s="971"/>
      <c r="NPX47" s="971"/>
      <c r="NPY47" s="971"/>
      <c r="NPZ47" s="971"/>
      <c r="NQA47" s="971"/>
      <c r="NQB47" s="971"/>
      <c r="NQC47" s="971"/>
      <c r="NQD47" s="971"/>
      <c r="NQE47" s="971"/>
      <c r="NQF47" s="971"/>
      <c r="NQG47" s="971"/>
      <c r="NQH47" s="971"/>
      <c r="NQI47" s="971"/>
      <c r="NQJ47" s="971"/>
      <c r="NQK47" s="971"/>
      <c r="NQL47" s="971"/>
      <c r="NQM47" s="971"/>
      <c r="NQN47" s="971"/>
      <c r="NQO47" s="971"/>
      <c r="NQP47" s="971"/>
      <c r="NQQ47" s="971"/>
      <c r="NQR47" s="971"/>
      <c r="NQS47" s="971"/>
      <c r="NQT47" s="971"/>
      <c r="NQU47" s="971"/>
      <c r="NQV47" s="971"/>
      <c r="NQW47" s="971"/>
      <c r="NQX47" s="971"/>
      <c r="NQY47" s="971"/>
      <c r="NQZ47" s="971"/>
      <c r="NRA47" s="971"/>
      <c r="NRB47" s="971"/>
      <c r="NRC47" s="971"/>
      <c r="NRD47" s="971"/>
      <c r="NRE47" s="971"/>
      <c r="NRF47" s="971"/>
      <c r="NRG47" s="971"/>
      <c r="NRH47" s="971"/>
      <c r="NRI47" s="971"/>
      <c r="NRJ47" s="971"/>
      <c r="NRK47" s="971"/>
      <c r="NRL47" s="971"/>
      <c r="NRM47" s="971"/>
      <c r="NRN47" s="971"/>
      <c r="NRO47" s="971"/>
      <c r="NRP47" s="971"/>
      <c r="NRQ47" s="971"/>
      <c r="NRR47" s="971"/>
      <c r="NRS47" s="971"/>
      <c r="NRT47" s="971"/>
      <c r="NRU47" s="971"/>
      <c r="NRV47" s="971"/>
      <c r="NRW47" s="971"/>
      <c r="NRX47" s="971"/>
      <c r="NRY47" s="971"/>
      <c r="NRZ47" s="971"/>
      <c r="NSA47" s="971"/>
      <c r="NSB47" s="971"/>
      <c r="NSC47" s="971"/>
      <c r="NSD47" s="971"/>
      <c r="NSE47" s="971"/>
      <c r="NSF47" s="971"/>
      <c r="NSG47" s="971"/>
      <c r="NSH47" s="971"/>
      <c r="NSI47" s="971"/>
      <c r="NSJ47" s="971"/>
      <c r="NSK47" s="971"/>
      <c r="NSL47" s="971"/>
      <c r="NSM47" s="971"/>
      <c r="NSN47" s="971"/>
      <c r="NSO47" s="971"/>
      <c r="NSP47" s="971"/>
      <c r="NSQ47" s="971"/>
      <c r="NSR47" s="971"/>
      <c r="NSS47" s="971"/>
      <c r="NST47" s="971"/>
      <c r="NSU47" s="971"/>
      <c r="NSV47" s="971"/>
      <c r="NSW47" s="971"/>
      <c r="NSX47" s="971"/>
      <c r="NSY47" s="971"/>
      <c r="NSZ47" s="971"/>
      <c r="NTA47" s="971"/>
      <c r="NTB47" s="971"/>
      <c r="NTC47" s="971"/>
      <c r="NTD47" s="971"/>
      <c r="NTE47" s="971"/>
      <c r="NTF47" s="971"/>
      <c r="NTG47" s="971"/>
      <c r="NTH47" s="971"/>
      <c r="NTI47" s="971"/>
      <c r="NTJ47" s="971"/>
      <c r="NTK47" s="971"/>
      <c r="NTL47" s="971"/>
      <c r="NTM47" s="971"/>
      <c r="NTN47" s="971"/>
      <c r="NTO47" s="971"/>
      <c r="NTP47" s="971"/>
      <c r="NTQ47" s="971"/>
      <c r="NTR47" s="971"/>
      <c r="NTS47" s="971"/>
      <c r="NTT47" s="971"/>
      <c r="NTU47" s="971"/>
      <c r="NTV47" s="971"/>
      <c r="NTW47" s="971"/>
      <c r="NTX47" s="971"/>
      <c r="NTY47" s="971"/>
      <c r="NTZ47" s="971"/>
      <c r="NUA47" s="971"/>
      <c r="NUB47" s="971"/>
      <c r="NUC47" s="971"/>
      <c r="NUD47" s="971"/>
      <c r="NUE47" s="971"/>
      <c r="NUF47" s="971"/>
      <c r="NUG47" s="971"/>
      <c r="NUH47" s="971"/>
      <c r="NUI47" s="971"/>
      <c r="NUJ47" s="971"/>
      <c r="NUK47" s="971"/>
      <c r="NUL47" s="971"/>
      <c r="NUM47" s="971"/>
      <c r="NUN47" s="971"/>
      <c r="NUO47" s="971"/>
      <c r="NUP47" s="971"/>
      <c r="NUQ47" s="971"/>
      <c r="NUR47" s="971"/>
      <c r="NUS47" s="971"/>
      <c r="NUT47" s="971"/>
      <c r="NUU47" s="971"/>
      <c r="NUV47" s="971"/>
      <c r="NUW47" s="971"/>
      <c r="NUX47" s="971"/>
      <c r="NUY47" s="971"/>
      <c r="NUZ47" s="971"/>
      <c r="NVA47" s="971"/>
      <c r="NVB47" s="971"/>
      <c r="NVC47" s="971"/>
      <c r="NVD47" s="971"/>
      <c r="NVE47" s="971"/>
      <c r="NVF47" s="971"/>
      <c r="NVG47" s="971"/>
      <c r="NVH47" s="971"/>
      <c r="NVI47" s="971"/>
      <c r="NVJ47" s="971"/>
      <c r="NVK47" s="971"/>
      <c r="NVL47" s="971"/>
      <c r="NVM47" s="971"/>
      <c r="NVN47" s="971"/>
      <c r="NVO47" s="971"/>
      <c r="NVP47" s="971"/>
      <c r="NVQ47" s="971"/>
      <c r="NVR47" s="971"/>
      <c r="NVS47" s="971"/>
      <c r="NVT47" s="971"/>
      <c r="NVU47" s="971"/>
      <c r="NVV47" s="971"/>
      <c r="NVW47" s="971"/>
      <c r="NVX47" s="971"/>
      <c r="NVY47" s="971"/>
      <c r="NVZ47" s="971"/>
      <c r="NWA47" s="971"/>
      <c r="NWB47" s="971"/>
      <c r="NWC47" s="971"/>
      <c r="NWD47" s="971"/>
      <c r="NWE47" s="971"/>
      <c r="NWF47" s="971"/>
      <c r="NWG47" s="971"/>
      <c r="NWH47" s="971"/>
      <c r="NWI47" s="971"/>
      <c r="NWJ47" s="971"/>
      <c r="NWK47" s="971"/>
      <c r="NWL47" s="971"/>
      <c r="NWM47" s="971"/>
      <c r="NWN47" s="971"/>
      <c r="NWO47" s="971"/>
      <c r="NWP47" s="971"/>
      <c r="NWQ47" s="971"/>
      <c r="NWR47" s="971"/>
      <c r="NWS47" s="971"/>
      <c r="NWT47" s="971"/>
      <c r="NWU47" s="971"/>
      <c r="NWV47" s="971"/>
      <c r="NWW47" s="971"/>
      <c r="NWX47" s="971"/>
      <c r="NWY47" s="971"/>
      <c r="NWZ47" s="971"/>
      <c r="NXA47" s="971"/>
      <c r="NXB47" s="971"/>
      <c r="NXC47" s="971"/>
      <c r="NXD47" s="971"/>
      <c r="NXE47" s="971"/>
      <c r="NXF47" s="971"/>
      <c r="NXG47" s="971"/>
      <c r="NXH47" s="971"/>
      <c r="NXI47" s="971"/>
      <c r="NXJ47" s="971"/>
      <c r="NXK47" s="971"/>
      <c r="NXL47" s="971"/>
      <c r="NXM47" s="971"/>
      <c r="NXN47" s="971"/>
      <c r="NXO47" s="971"/>
      <c r="NXP47" s="971"/>
      <c r="NXQ47" s="971"/>
      <c r="NXR47" s="971"/>
      <c r="NXS47" s="971"/>
      <c r="NXT47" s="971"/>
      <c r="NXU47" s="971"/>
      <c r="NXV47" s="971"/>
      <c r="NXW47" s="971"/>
      <c r="NXX47" s="971"/>
      <c r="NXY47" s="971"/>
      <c r="NXZ47" s="971"/>
      <c r="NYA47" s="971"/>
      <c r="NYB47" s="971"/>
      <c r="NYC47" s="971"/>
      <c r="NYD47" s="971"/>
      <c r="NYE47" s="971"/>
      <c r="NYF47" s="971"/>
      <c r="NYG47" s="971"/>
      <c r="NYH47" s="971"/>
      <c r="NYI47" s="971"/>
      <c r="NYJ47" s="971"/>
      <c r="NYK47" s="971"/>
      <c r="NYL47" s="971"/>
      <c r="NYM47" s="971"/>
      <c r="NYN47" s="971"/>
      <c r="NYO47" s="971"/>
      <c r="NYP47" s="971"/>
      <c r="NYQ47" s="971"/>
      <c r="NYR47" s="971"/>
      <c r="NYS47" s="971"/>
      <c r="NYT47" s="971"/>
      <c r="NYU47" s="971"/>
      <c r="NYV47" s="971"/>
      <c r="NYW47" s="971"/>
      <c r="NYX47" s="971"/>
      <c r="NYY47" s="971"/>
      <c r="NYZ47" s="971"/>
      <c r="NZA47" s="971"/>
      <c r="NZB47" s="971"/>
      <c r="NZC47" s="971"/>
      <c r="NZD47" s="971"/>
      <c r="NZE47" s="971"/>
      <c r="NZF47" s="971"/>
      <c r="NZG47" s="971"/>
      <c r="NZH47" s="971"/>
      <c r="NZI47" s="971"/>
      <c r="NZJ47" s="971"/>
      <c r="NZK47" s="971"/>
      <c r="NZL47" s="971"/>
      <c r="NZM47" s="971"/>
      <c r="NZN47" s="971"/>
      <c r="NZO47" s="971"/>
      <c r="NZP47" s="971"/>
      <c r="NZQ47" s="971"/>
      <c r="NZR47" s="971"/>
      <c r="NZS47" s="971"/>
      <c r="NZT47" s="971"/>
      <c r="NZU47" s="971"/>
      <c r="NZV47" s="971"/>
      <c r="NZW47" s="971"/>
      <c r="NZX47" s="971"/>
      <c r="NZY47" s="971"/>
      <c r="NZZ47" s="971"/>
      <c r="OAA47" s="971"/>
      <c r="OAB47" s="971"/>
      <c r="OAC47" s="971"/>
      <c r="OAD47" s="971"/>
      <c r="OAE47" s="971"/>
      <c r="OAF47" s="971"/>
      <c r="OAG47" s="971"/>
      <c r="OAH47" s="971"/>
      <c r="OAI47" s="971"/>
      <c r="OAJ47" s="971"/>
      <c r="OAK47" s="971"/>
      <c r="OAL47" s="971"/>
      <c r="OAM47" s="971"/>
      <c r="OAN47" s="971"/>
      <c r="OAO47" s="971"/>
      <c r="OAP47" s="971"/>
      <c r="OAQ47" s="971"/>
      <c r="OAR47" s="971"/>
      <c r="OAS47" s="971"/>
      <c r="OAT47" s="971"/>
      <c r="OAU47" s="971"/>
      <c r="OAV47" s="971"/>
      <c r="OAW47" s="971"/>
      <c r="OAX47" s="971"/>
      <c r="OAY47" s="971"/>
      <c r="OAZ47" s="971"/>
      <c r="OBA47" s="971"/>
      <c r="OBB47" s="971"/>
      <c r="OBC47" s="971"/>
      <c r="OBD47" s="971"/>
      <c r="OBE47" s="971"/>
      <c r="OBF47" s="971"/>
      <c r="OBG47" s="971"/>
      <c r="OBH47" s="971"/>
      <c r="OBI47" s="971"/>
      <c r="OBJ47" s="971"/>
      <c r="OBK47" s="971"/>
      <c r="OBL47" s="971"/>
      <c r="OBM47" s="971"/>
      <c r="OBN47" s="971"/>
      <c r="OBO47" s="971"/>
      <c r="OBP47" s="971"/>
      <c r="OBQ47" s="971"/>
      <c r="OBR47" s="971"/>
      <c r="OBS47" s="971"/>
      <c r="OBT47" s="971"/>
      <c r="OBU47" s="971"/>
      <c r="OBV47" s="971"/>
      <c r="OBW47" s="971"/>
      <c r="OBX47" s="971"/>
      <c r="OBY47" s="971"/>
      <c r="OBZ47" s="971"/>
      <c r="OCA47" s="971"/>
      <c r="OCB47" s="971"/>
      <c r="OCC47" s="971"/>
      <c r="OCD47" s="971"/>
      <c r="OCE47" s="971"/>
      <c r="OCF47" s="971"/>
      <c r="OCG47" s="971"/>
      <c r="OCH47" s="971"/>
      <c r="OCI47" s="971"/>
      <c r="OCJ47" s="971"/>
      <c r="OCK47" s="971"/>
      <c r="OCL47" s="971"/>
      <c r="OCM47" s="971"/>
      <c r="OCN47" s="971"/>
      <c r="OCO47" s="971"/>
      <c r="OCP47" s="971"/>
      <c r="OCQ47" s="971"/>
      <c r="OCR47" s="971"/>
      <c r="OCS47" s="971"/>
      <c r="OCT47" s="971"/>
      <c r="OCU47" s="971"/>
      <c r="OCV47" s="971"/>
      <c r="OCW47" s="971"/>
      <c r="OCX47" s="971"/>
      <c r="OCY47" s="971"/>
      <c r="OCZ47" s="971"/>
      <c r="ODA47" s="971"/>
      <c r="ODB47" s="971"/>
      <c r="ODC47" s="971"/>
      <c r="ODD47" s="971"/>
      <c r="ODE47" s="971"/>
      <c r="ODF47" s="971"/>
      <c r="ODG47" s="971"/>
      <c r="ODH47" s="971"/>
      <c r="ODI47" s="971"/>
      <c r="ODJ47" s="971"/>
      <c r="ODK47" s="971"/>
      <c r="ODL47" s="971"/>
      <c r="ODM47" s="971"/>
      <c r="ODN47" s="971"/>
      <c r="ODO47" s="971"/>
      <c r="ODP47" s="971"/>
      <c r="ODQ47" s="971"/>
      <c r="ODR47" s="971"/>
      <c r="ODS47" s="971"/>
      <c r="ODT47" s="971"/>
      <c r="ODU47" s="971"/>
      <c r="ODV47" s="971"/>
      <c r="ODW47" s="971"/>
      <c r="ODX47" s="971"/>
      <c r="ODY47" s="971"/>
      <c r="ODZ47" s="971"/>
      <c r="OEA47" s="971"/>
      <c r="OEB47" s="971"/>
      <c r="OEC47" s="971"/>
      <c r="OED47" s="971"/>
      <c r="OEE47" s="971"/>
      <c r="OEF47" s="971"/>
      <c r="OEG47" s="971"/>
      <c r="OEH47" s="971"/>
      <c r="OEI47" s="971"/>
      <c r="OEJ47" s="971"/>
      <c r="OEK47" s="971"/>
      <c r="OEL47" s="971"/>
      <c r="OEM47" s="971"/>
      <c r="OEN47" s="971"/>
      <c r="OEO47" s="971"/>
      <c r="OEP47" s="971"/>
      <c r="OEQ47" s="971"/>
      <c r="OER47" s="971"/>
      <c r="OES47" s="971"/>
      <c r="OET47" s="971"/>
      <c r="OEU47" s="971"/>
      <c r="OEV47" s="971"/>
      <c r="OEW47" s="971"/>
      <c r="OEX47" s="971"/>
      <c r="OEY47" s="971"/>
      <c r="OEZ47" s="971"/>
      <c r="OFA47" s="971"/>
      <c r="OFB47" s="971"/>
      <c r="OFC47" s="971"/>
      <c r="OFD47" s="971"/>
      <c r="OFE47" s="971"/>
      <c r="OFF47" s="971"/>
      <c r="OFG47" s="971"/>
      <c r="OFH47" s="971"/>
      <c r="OFI47" s="971"/>
      <c r="OFJ47" s="971"/>
      <c r="OFK47" s="971"/>
      <c r="OFL47" s="971"/>
      <c r="OFM47" s="971"/>
      <c r="OFN47" s="971"/>
      <c r="OFO47" s="971"/>
      <c r="OFP47" s="971"/>
      <c r="OFQ47" s="971"/>
      <c r="OFR47" s="971"/>
      <c r="OFS47" s="971"/>
      <c r="OFT47" s="971"/>
      <c r="OFU47" s="971"/>
      <c r="OFV47" s="971"/>
      <c r="OFW47" s="971"/>
      <c r="OFX47" s="971"/>
      <c r="OFY47" s="971"/>
      <c r="OFZ47" s="971"/>
      <c r="OGA47" s="971"/>
      <c r="OGB47" s="971"/>
      <c r="OGC47" s="971"/>
      <c r="OGD47" s="971"/>
      <c r="OGE47" s="971"/>
      <c r="OGF47" s="971"/>
      <c r="OGG47" s="971"/>
      <c r="OGH47" s="971"/>
      <c r="OGI47" s="971"/>
      <c r="OGJ47" s="971"/>
      <c r="OGK47" s="971"/>
      <c r="OGL47" s="971"/>
      <c r="OGM47" s="971"/>
      <c r="OGN47" s="971"/>
      <c r="OGO47" s="971"/>
      <c r="OGP47" s="971"/>
      <c r="OGQ47" s="971"/>
      <c r="OGR47" s="971"/>
      <c r="OGS47" s="971"/>
      <c r="OGT47" s="971"/>
      <c r="OGU47" s="971"/>
      <c r="OGV47" s="971"/>
      <c r="OGW47" s="971"/>
      <c r="OGX47" s="971"/>
      <c r="OGY47" s="971"/>
      <c r="OGZ47" s="971"/>
      <c r="OHA47" s="971"/>
      <c r="OHB47" s="971"/>
      <c r="OHC47" s="971"/>
      <c r="OHD47" s="971"/>
      <c r="OHE47" s="971"/>
      <c r="OHF47" s="971"/>
      <c r="OHG47" s="971"/>
      <c r="OHH47" s="971"/>
      <c r="OHI47" s="971"/>
      <c r="OHJ47" s="971"/>
      <c r="OHK47" s="971"/>
      <c r="OHL47" s="971"/>
      <c r="OHM47" s="971"/>
      <c r="OHN47" s="971"/>
      <c r="OHO47" s="971"/>
      <c r="OHP47" s="971"/>
      <c r="OHQ47" s="971"/>
      <c r="OHR47" s="971"/>
      <c r="OHS47" s="971"/>
      <c r="OHT47" s="971"/>
      <c r="OHU47" s="971"/>
      <c r="OHV47" s="971"/>
      <c r="OHW47" s="971"/>
      <c r="OHX47" s="971"/>
      <c r="OHY47" s="971"/>
      <c r="OHZ47" s="971"/>
      <c r="OIA47" s="971"/>
      <c r="OIB47" s="971"/>
      <c r="OIC47" s="971"/>
      <c r="OID47" s="971"/>
      <c r="OIE47" s="971"/>
      <c r="OIF47" s="971"/>
      <c r="OIG47" s="971"/>
      <c r="OIH47" s="971"/>
      <c r="OII47" s="971"/>
      <c r="OIJ47" s="971"/>
      <c r="OIK47" s="971"/>
      <c r="OIL47" s="971"/>
      <c r="OIM47" s="971"/>
      <c r="OIN47" s="971"/>
      <c r="OIO47" s="971"/>
      <c r="OIP47" s="971"/>
      <c r="OIQ47" s="971"/>
      <c r="OIR47" s="971"/>
      <c r="OIS47" s="971"/>
      <c r="OIT47" s="971"/>
      <c r="OIU47" s="971"/>
      <c r="OIV47" s="971"/>
      <c r="OIW47" s="971"/>
      <c r="OIX47" s="971"/>
      <c r="OIY47" s="971"/>
      <c r="OIZ47" s="971"/>
      <c r="OJA47" s="971"/>
      <c r="OJB47" s="971"/>
      <c r="OJC47" s="971"/>
      <c r="OJD47" s="971"/>
      <c r="OJE47" s="971"/>
      <c r="OJF47" s="971"/>
      <c r="OJG47" s="971"/>
      <c r="OJH47" s="971"/>
      <c r="OJI47" s="971"/>
      <c r="OJJ47" s="971"/>
      <c r="OJK47" s="971"/>
      <c r="OJL47" s="971"/>
      <c r="OJM47" s="971"/>
      <c r="OJN47" s="971"/>
      <c r="OJO47" s="971"/>
      <c r="OJP47" s="971"/>
      <c r="OJQ47" s="971"/>
      <c r="OJR47" s="971"/>
      <c r="OJS47" s="971"/>
      <c r="OJT47" s="971"/>
      <c r="OJU47" s="971"/>
      <c r="OJV47" s="971"/>
      <c r="OJW47" s="971"/>
      <c r="OJX47" s="971"/>
      <c r="OJY47" s="971"/>
      <c r="OJZ47" s="971"/>
      <c r="OKA47" s="971"/>
      <c r="OKB47" s="971"/>
      <c r="OKC47" s="971"/>
      <c r="OKD47" s="971"/>
      <c r="OKE47" s="971"/>
      <c r="OKF47" s="971"/>
      <c r="OKG47" s="971"/>
      <c r="OKH47" s="971"/>
      <c r="OKI47" s="971"/>
      <c r="OKJ47" s="971"/>
      <c r="OKK47" s="971"/>
      <c r="OKL47" s="971"/>
      <c r="OKM47" s="971"/>
      <c r="OKN47" s="971"/>
      <c r="OKO47" s="971"/>
      <c r="OKP47" s="971"/>
      <c r="OKQ47" s="971"/>
      <c r="OKR47" s="971"/>
      <c r="OKS47" s="971"/>
      <c r="OKT47" s="971"/>
      <c r="OKU47" s="971"/>
      <c r="OKV47" s="971"/>
      <c r="OKW47" s="971"/>
      <c r="OKX47" s="971"/>
      <c r="OKY47" s="971"/>
      <c r="OKZ47" s="971"/>
      <c r="OLA47" s="971"/>
      <c r="OLB47" s="971"/>
      <c r="OLC47" s="971"/>
      <c r="OLD47" s="971"/>
      <c r="OLE47" s="971"/>
      <c r="OLF47" s="971"/>
      <c r="OLG47" s="971"/>
      <c r="OLH47" s="971"/>
      <c r="OLI47" s="971"/>
      <c r="OLJ47" s="971"/>
      <c r="OLK47" s="971"/>
      <c r="OLL47" s="971"/>
      <c r="OLM47" s="971"/>
      <c r="OLN47" s="971"/>
      <c r="OLO47" s="971"/>
      <c r="OLP47" s="971"/>
      <c r="OLQ47" s="971"/>
      <c r="OLR47" s="971"/>
      <c r="OLS47" s="971"/>
      <c r="OLT47" s="971"/>
      <c r="OLU47" s="971"/>
      <c r="OLV47" s="971"/>
      <c r="OLW47" s="971"/>
      <c r="OLX47" s="971"/>
      <c r="OLY47" s="971"/>
      <c r="OLZ47" s="971"/>
      <c r="OMA47" s="971"/>
      <c r="OMB47" s="971"/>
      <c r="OMC47" s="971"/>
      <c r="OMD47" s="971"/>
      <c r="OME47" s="971"/>
      <c r="OMF47" s="971"/>
      <c r="OMG47" s="971"/>
      <c r="OMH47" s="971"/>
      <c r="OMI47" s="971"/>
      <c r="OMJ47" s="971"/>
      <c r="OMK47" s="971"/>
      <c r="OML47" s="971"/>
      <c r="OMM47" s="971"/>
      <c r="OMN47" s="971"/>
      <c r="OMO47" s="971"/>
      <c r="OMP47" s="971"/>
      <c r="OMQ47" s="971"/>
      <c r="OMR47" s="971"/>
      <c r="OMS47" s="971"/>
      <c r="OMT47" s="971"/>
      <c r="OMU47" s="971"/>
      <c r="OMV47" s="971"/>
      <c r="OMW47" s="971"/>
      <c r="OMX47" s="971"/>
      <c r="OMY47" s="971"/>
      <c r="OMZ47" s="971"/>
      <c r="ONA47" s="971"/>
      <c r="ONB47" s="971"/>
      <c r="ONC47" s="971"/>
      <c r="OND47" s="971"/>
      <c r="ONE47" s="971"/>
      <c r="ONF47" s="971"/>
      <c r="ONG47" s="971"/>
      <c r="ONH47" s="971"/>
      <c r="ONI47" s="971"/>
      <c r="ONJ47" s="971"/>
      <c r="ONK47" s="971"/>
      <c r="ONL47" s="971"/>
      <c r="ONM47" s="971"/>
      <c r="ONN47" s="971"/>
      <c r="ONO47" s="971"/>
      <c r="ONP47" s="971"/>
      <c r="ONQ47" s="971"/>
      <c r="ONR47" s="971"/>
      <c r="ONS47" s="971"/>
      <c r="ONT47" s="971"/>
      <c r="ONU47" s="971"/>
      <c r="ONV47" s="971"/>
      <c r="ONW47" s="971"/>
      <c r="ONX47" s="971"/>
      <c r="ONY47" s="971"/>
      <c r="ONZ47" s="971"/>
      <c r="OOA47" s="971"/>
      <c r="OOB47" s="971"/>
      <c r="OOC47" s="971"/>
      <c r="OOD47" s="971"/>
      <c r="OOE47" s="971"/>
      <c r="OOF47" s="971"/>
      <c r="OOG47" s="971"/>
      <c r="OOH47" s="971"/>
      <c r="OOI47" s="971"/>
      <c r="OOJ47" s="971"/>
      <c r="OOK47" s="971"/>
      <c r="OOL47" s="971"/>
      <c r="OOM47" s="971"/>
      <c r="OON47" s="971"/>
      <c r="OOO47" s="971"/>
      <c r="OOP47" s="971"/>
      <c r="OOQ47" s="971"/>
      <c r="OOR47" s="971"/>
      <c r="OOS47" s="971"/>
      <c r="OOT47" s="971"/>
      <c r="OOU47" s="971"/>
      <c r="OOV47" s="971"/>
      <c r="OOW47" s="971"/>
      <c r="OOX47" s="971"/>
      <c r="OOY47" s="971"/>
      <c r="OOZ47" s="971"/>
      <c r="OPA47" s="971"/>
      <c r="OPB47" s="971"/>
      <c r="OPC47" s="971"/>
      <c r="OPD47" s="971"/>
      <c r="OPE47" s="971"/>
      <c r="OPF47" s="971"/>
      <c r="OPG47" s="971"/>
      <c r="OPH47" s="971"/>
      <c r="OPI47" s="971"/>
      <c r="OPJ47" s="971"/>
      <c r="OPK47" s="971"/>
      <c r="OPL47" s="971"/>
      <c r="OPM47" s="971"/>
      <c r="OPN47" s="971"/>
      <c r="OPO47" s="971"/>
      <c r="OPP47" s="971"/>
      <c r="OPQ47" s="971"/>
      <c r="OPR47" s="971"/>
      <c r="OPS47" s="971"/>
      <c r="OPT47" s="971"/>
      <c r="OPU47" s="971"/>
      <c r="OPV47" s="971"/>
      <c r="OPW47" s="971"/>
      <c r="OPX47" s="971"/>
      <c r="OPY47" s="971"/>
      <c r="OPZ47" s="971"/>
      <c r="OQA47" s="971"/>
      <c r="OQB47" s="971"/>
      <c r="OQC47" s="971"/>
      <c r="OQD47" s="971"/>
      <c r="OQE47" s="971"/>
      <c r="OQF47" s="971"/>
      <c r="OQG47" s="971"/>
      <c r="OQH47" s="971"/>
      <c r="OQI47" s="971"/>
      <c r="OQJ47" s="971"/>
      <c r="OQK47" s="971"/>
      <c r="OQL47" s="971"/>
      <c r="OQM47" s="971"/>
      <c r="OQN47" s="971"/>
      <c r="OQO47" s="971"/>
      <c r="OQP47" s="971"/>
      <c r="OQQ47" s="971"/>
      <c r="OQR47" s="971"/>
      <c r="OQS47" s="971"/>
      <c r="OQT47" s="971"/>
      <c r="OQU47" s="971"/>
      <c r="OQV47" s="971"/>
      <c r="OQW47" s="971"/>
      <c r="OQX47" s="971"/>
      <c r="OQY47" s="971"/>
      <c r="OQZ47" s="971"/>
      <c r="ORA47" s="971"/>
      <c r="ORB47" s="971"/>
      <c r="ORC47" s="971"/>
      <c r="ORD47" s="971"/>
      <c r="ORE47" s="971"/>
      <c r="ORF47" s="971"/>
      <c r="ORG47" s="971"/>
      <c r="ORH47" s="971"/>
      <c r="ORI47" s="971"/>
      <c r="ORJ47" s="971"/>
      <c r="ORK47" s="971"/>
      <c r="ORL47" s="971"/>
      <c r="ORM47" s="971"/>
      <c r="ORN47" s="971"/>
      <c r="ORO47" s="971"/>
      <c r="ORP47" s="971"/>
      <c r="ORQ47" s="971"/>
      <c r="ORR47" s="971"/>
      <c r="ORS47" s="971"/>
      <c r="ORT47" s="971"/>
      <c r="ORU47" s="971"/>
      <c r="ORV47" s="971"/>
      <c r="ORW47" s="971"/>
      <c r="ORX47" s="971"/>
      <c r="ORY47" s="971"/>
      <c r="ORZ47" s="971"/>
      <c r="OSA47" s="971"/>
      <c r="OSB47" s="971"/>
      <c r="OSC47" s="971"/>
      <c r="OSD47" s="971"/>
      <c r="OSE47" s="971"/>
      <c r="OSF47" s="971"/>
      <c r="OSG47" s="971"/>
      <c r="OSH47" s="971"/>
      <c r="OSI47" s="971"/>
      <c r="OSJ47" s="971"/>
      <c r="OSK47" s="971"/>
      <c r="OSL47" s="971"/>
      <c r="OSM47" s="971"/>
      <c r="OSN47" s="971"/>
      <c r="OSO47" s="971"/>
      <c r="OSP47" s="971"/>
      <c r="OSQ47" s="971"/>
      <c r="OSR47" s="971"/>
      <c r="OSS47" s="971"/>
      <c r="OST47" s="971"/>
      <c r="OSU47" s="971"/>
      <c r="OSV47" s="971"/>
      <c r="OSW47" s="971"/>
      <c r="OSX47" s="971"/>
      <c r="OSY47" s="971"/>
      <c r="OSZ47" s="971"/>
      <c r="OTA47" s="971"/>
      <c r="OTB47" s="971"/>
      <c r="OTC47" s="971"/>
      <c r="OTD47" s="971"/>
      <c r="OTE47" s="971"/>
      <c r="OTF47" s="971"/>
      <c r="OTG47" s="971"/>
      <c r="OTH47" s="971"/>
      <c r="OTI47" s="971"/>
      <c r="OTJ47" s="971"/>
      <c r="OTK47" s="971"/>
      <c r="OTL47" s="971"/>
      <c r="OTM47" s="971"/>
      <c r="OTN47" s="971"/>
      <c r="OTO47" s="971"/>
      <c r="OTP47" s="971"/>
      <c r="OTQ47" s="971"/>
      <c r="OTR47" s="971"/>
      <c r="OTS47" s="971"/>
      <c r="OTT47" s="971"/>
      <c r="OTU47" s="971"/>
      <c r="OTV47" s="971"/>
      <c r="OTW47" s="971"/>
      <c r="OTX47" s="971"/>
      <c r="OTY47" s="971"/>
      <c r="OTZ47" s="971"/>
      <c r="OUA47" s="971"/>
      <c r="OUB47" s="971"/>
      <c r="OUC47" s="971"/>
      <c r="OUD47" s="971"/>
      <c r="OUE47" s="971"/>
      <c r="OUF47" s="971"/>
      <c r="OUG47" s="971"/>
      <c r="OUH47" s="971"/>
      <c r="OUI47" s="971"/>
      <c r="OUJ47" s="971"/>
      <c r="OUK47" s="971"/>
      <c r="OUL47" s="971"/>
      <c r="OUM47" s="971"/>
      <c r="OUN47" s="971"/>
      <c r="OUO47" s="971"/>
      <c r="OUP47" s="971"/>
      <c r="OUQ47" s="971"/>
      <c r="OUR47" s="971"/>
      <c r="OUS47" s="971"/>
      <c r="OUT47" s="971"/>
      <c r="OUU47" s="971"/>
      <c r="OUV47" s="971"/>
      <c r="OUW47" s="971"/>
      <c r="OUX47" s="971"/>
      <c r="OUY47" s="971"/>
      <c r="OUZ47" s="971"/>
      <c r="OVA47" s="971"/>
      <c r="OVB47" s="971"/>
      <c r="OVC47" s="971"/>
      <c r="OVD47" s="971"/>
      <c r="OVE47" s="971"/>
      <c r="OVF47" s="971"/>
      <c r="OVG47" s="971"/>
      <c r="OVH47" s="971"/>
      <c r="OVI47" s="971"/>
      <c r="OVJ47" s="971"/>
      <c r="OVK47" s="971"/>
      <c r="OVL47" s="971"/>
      <c r="OVM47" s="971"/>
      <c r="OVN47" s="971"/>
      <c r="OVO47" s="971"/>
      <c r="OVP47" s="971"/>
      <c r="OVQ47" s="971"/>
      <c r="OVR47" s="971"/>
      <c r="OVS47" s="971"/>
      <c r="OVT47" s="971"/>
      <c r="OVU47" s="971"/>
      <c r="OVV47" s="971"/>
      <c r="OVW47" s="971"/>
      <c r="OVX47" s="971"/>
      <c r="OVY47" s="971"/>
      <c r="OVZ47" s="971"/>
      <c r="OWA47" s="971"/>
      <c r="OWB47" s="971"/>
      <c r="OWC47" s="971"/>
      <c r="OWD47" s="971"/>
      <c r="OWE47" s="971"/>
      <c r="OWF47" s="971"/>
      <c r="OWG47" s="971"/>
      <c r="OWH47" s="971"/>
      <c r="OWI47" s="971"/>
      <c r="OWJ47" s="971"/>
      <c r="OWK47" s="971"/>
      <c r="OWL47" s="971"/>
      <c r="OWM47" s="971"/>
      <c r="OWN47" s="971"/>
      <c r="OWO47" s="971"/>
      <c r="OWP47" s="971"/>
      <c r="OWQ47" s="971"/>
      <c r="OWR47" s="971"/>
      <c r="OWS47" s="971"/>
      <c r="OWT47" s="971"/>
      <c r="OWU47" s="971"/>
      <c r="OWV47" s="971"/>
      <c r="OWW47" s="971"/>
      <c r="OWX47" s="971"/>
      <c r="OWY47" s="971"/>
      <c r="OWZ47" s="971"/>
      <c r="OXA47" s="971"/>
      <c r="OXB47" s="971"/>
      <c r="OXC47" s="971"/>
      <c r="OXD47" s="971"/>
      <c r="OXE47" s="971"/>
      <c r="OXF47" s="971"/>
      <c r="OXG47" s="971"/>
      <c r="OXH47" s="971"/>
      <c r="OXI47" s="971"/>
      <c r="OXJ47" s="971"/>
      <c r="OXK47" s="971"/>
      <c r="OXL47" s="971"/>
      <c r="OXM47" s="971"/>
      <c r="OXN47" s="971"/>
      <c r="OXO47" s="971"/>
      <c r="OXP47" s="971"/>
      <c r="OXQ47" s="971"/>
      <c r="OXR47" s="971"/>
      <c r="OXS47" s="971"/>
      <c r="OXT47" s="971"/>
      <c r="OXU47" s="971"/>
      <c r="OXV47" s="971"/>
      <c r="OXW47" s="971"/>
      <c r="OXX47" s="971"/>
      <c r="OXY47" s="971"/>
      <c r="OXZ47" s="971"/>
      <c r="OYA47" s="971"/>
      <c r="OYB47" s="971"/>
      <c r="OYC47" s="971"/>
      <c r="OYD47" s="971"/>
      <c r="OYE47" s="971"/>
      <c r="OYF47" s="971"/>
      <c r="OYG47" s="971"/>
      <c r="OYH47" s="971"/>
      <c r="OYI47" s="971"/>
      <c r="OYJ47" s="971"/>
      <c r="OYK47" s="971"/>
      <c r="OYL47" s="971"/>
      <c r="OYM47" s="971"/>
      <c r="OYN47" s="971"/>
      <c r="OYO47" s="971"/>
      <c r="OYP47" s="971"/>
      <c r="OYQ47" s="971"/>
      <c r="OYR47" s="971"/>
      <c r="OYS47" s="971"/>
      <c r="OYT47" s="971"/>
      <c r="OYU47" s="971"/>
      <c r="OYV47" s="971"/>
      <c r="OYW47" s="971"/>
      <c r="OYX47" s="971"/>
      <c r="OYY47" s="971"/>
      <c r="OYZ47" s="971"/>
      <c r="OZA47" s="971"/>
      <c r="OZB47" s="971"/>
      <c r="OZC47" s="971"/>
      <c r="OZD47" s="971"/>
      <c r="OZE47" s="971"/>
      <c r="OZF47" s="971"/>
      <c r="OZG47" s="971"/>
      <c r="OZH47" s="971"/>
      <c r="OZI47" s="971"/>
      <c r="OZJ47" s="971"/>
      <c r="OZK47" s="971"/>
      <c r="OZL47" s="971"/>
      <c r="OZM47" s="971"/>
      <c r="OZN47" s="971"/>
      <c r="OZO47" s="971"/>
      <c r="OZP47" s="971"/>
      <c r="OZQ47" s="971"/>
      <c r="OZR47" s="971"/>
      <c r="OZS47" s="971"/>
      <c r="OZT47" s="971"/>
      <c r="OZU47" s="971"/>
      <c r="OZV47" s="971"/>
      <c r="OZW47" s="971"/>
      <c r="OZX47" s="971"/>
      <c r="OZY47" s="971"/>
      <c r="OZZ47" s="971"/>
      <c r="PAA47" s="971"/>
      <c r="PAB47" s="971"/>
      <c r="PAC47" s="971"/>
      <c r="PAD47" s="971"/>
      <c r="PAE47" s="971"/>
      <c r="PAF47" s="971"/>
      <c r="PAG47" s="971"/>
      <c r="PAH47" s="971"/>
      <c r="PAI47" s="971"/>
      <c r="PAJ47" s="971"/>
      <c r="PAK47" s="971"/>
      <c r="PAL47" s="971"/>
      <c r="PAM47" s="971"/>
      <c r="PAN47" s="971"/>
      <c r="PAO47" s="971"/>
      <c r="PAP47" s="971"/>
      <c r="PAQ47" s="971"/>
      <c r="PAR47" s="971"/>
      <c r="PAS47" s="971"/>
      <c r="PAT47" s="971"/>
      <c r="PAU47" s="971"/>
      <c r="PAV47" s="971"/>
      <c r="PAW47" s="971"/>
      <c r="PAX47" s="971"/>
      <c r="PAY47" s="971"/>
      <c r="PAZ47" s="971"/>
      <c r="PBA47" s="971"/>
      <c r="PBB47" s="971"/>
      <c r="PBC47" s="971"/>
      <c r="PBD47" s="971"/>
      <c r="PBE47" s="971"/>
      <c r="PBF47" s="971"/>
      <c r="PBG47" s="971"/>
      <c r="PBH47" s="971"/>
      <c r="PBI47" s="971"/>
      <c r="PBJ47" s="971"/>
      <c r="PBK47" s="971"/>
      <c r="PBL47" s="971"/>
      <c r="PBM47" s="971"/>
      <c r="PBN47" s="971"/>
      <c r="PBO47" s="971"/>
      <c r="PBP47" s="971"/>
      <c r="PBQ47" s="971"/>
      <c r="PBR47" s="971"/>
      <c r="PBS47" s="971"/>
      <c r="PBT47" s="971"/>
      <c r="PBU47" s="971"/>
      <c r="PBV47" s="971"/>
      <c r="PBW47" s="971"/>
      <c r="PBX47" s="971"/>
      <c r="PBY47" s="971"/>
      <c r="PBZ47" s="971"/>
      <c r="PCA47" s="971"/>
      <c r="PCB47" s="971"/>
      <c r="PCC47" s="971"/>
      <c r="PCD47" s="971"/>
      <c r="PCE47" s="971"/>
      <c r="PCF47" s="971"/>
      <c r="PCG47" s="971"/>
      <c r="PCH47" s="971"/>
      <c r="PCI47" s="971"/>
      <c r="PCJ47" s="971"/>
      <c r="PCK47" s="971"/>
      <c r="PCL47" s="971"/>
      <c r="PCM47" s="971"/>
      <c r="PCN47" s="971"/>
      <c r="PCO47" s="971"/>
      <c r="PCP47" s="971"/>
      <c r="PCQ47" s="971"/>
      <c r="PCR47" s="971"/>
      <c r="PCS47" s="971"/>
      <c r="PCT47" s="971"/>
      <c r="PCU47" s="971"/>
      <c r="PCV47" s="971"/>
      <c r="PCW47" s="971"/>
      <c r="PCX47" s="971"/>
      <c r="PCY47" s="971"/>
      <c r="PCZ47" s="971"/>
      <c r="PDA47" s="971"/>
      <c r="PDB47" s="971"/>
      <c r="PDC47" s="971"/>
      <c r="PDD47" s="971"/>
      <c r="PDE47" s="971"/>
      <c r="PDF47" s="971"/>
      <c r="PDG47" s="971"/>
      <c r="PDH47" s="971"/>
      <c r="PDI47" s="971"/>
      <c r="PDJ47" s="971"/>
      <c r="PDK47" s="971"/>
      <c r="PDL47" s="971"/>
      <c r="PDM47" s="971"/>
      <c r="PDN47" s="971"/>
      <c r="PDO47" s="971"/>
      <c r="PDP47" s="971"/>
      <c r="PDQ47" s="971"/>
      <c r="PDR47" s="971"/>
      <c r="PDS47" s="971"/>
      <c r="PDT47" s="971"/>
      <c r="PDU47" s="971"/>
      <c r="PDV47" s="971"/>
      <c r="PDW47" s="971"/>
      <c r="PDX47" s="971"/>
      <c r="PDY47" s="971"/>
      <c r="PDZ47" s="971"/>
      <c r="PEA47" s="971"/>
      <c r="PEB47" s="971"/>
      <c r="PEC47" s="971"/>
      <c r="PED47" s="971"/>
      <c r="PEE47" s="971"/>
      <c r="PEF47" s="971"/>
      <c r="PEG47" s="971"/>
      <c r="PEH47" s="971"/>
      <c r="PEI47" s="971"/>
      <c r="PEJ47" s="971"/>
      <c r="PEK47" s="971"/>
      <c r="PEL47" s="971"/>
      <c r="PEM47" s="971"/>
      <c r="PEN47" s="971"/>
      <c r="PEO47" s="971"/>
      <c r="PEP47" s="971"/>
      <c r="PEQ47" s="971"/>
      <c r="PER47" s="971"/>
      <c r="PES47" s="971"/>
      <c r="PET47" s="971"/>
      <c r="PEU47" s="971"/>
      <c r="PEV47" s="971"/>
      <c r="PEW47" s="971"/>
      <c r="PEX47" s="971"/>
      <c r="PEY47" s="971"/>
      <c r="PEZ47" s="971"/>
      <c r="PFA47" s="971"/>
      <c r="PFB47" s="971"/>
      <c r="PFC47" s="971"/>
      <c r="PFD47" s="971"/>
      <c r="PFE47" s="971"/>
      <c r="PFF47" s="971"/>
      <c r="PFG47" s="971"/>
      <c r="PFH47" s="971"/>
      <c r="PFI47" s="971"/>
      <c r="PFJ47" s="971"/>
      <c r="PFK47" s="971"/>
      <c r="PFL47" s="971"/>
      <c r="PFM47" s="971"/>
      <c r="PFN47" s="971"/>
      <c r="PFO47" s="971"/>
      <c r="PFP47" s="971"/>
      <c r="PFQ47" s="971"/>
      <c r="PFR47" s="971"/>
      <c r="PFS47" s="971"/>
      <c r="PFT47" s="971"/>
      <c r="PFU47" s="971"/>
      <c r="PFV47" s="971"/>
      <c r="PFW47" s="971"/>
      <c r="PFX47" s="971"/>
      <c r="PFY47" s="971"/>
      <c r="PFZ47" s="971"/>
      <c r="PGA47" s="971"/>
      <c r="PGB47" s="971"/>
      <c r="PGC47" s="971"/>
      <c r="PGD47" s="971"/>
      <c r="PGE47" s="971"/>
      <c r="PGF47" s="971"/>
      <c r="PGG47" s="971"/>
      <c r="PGH47" s="971"/>
      <c r="PGI47" s="971"/>
      <c r="PGJ47" s="971"/>
      <c r="PGK47" s="971"/>
      <c r="PGL47" s="971"/>
      <c r="PGM47" s="971"/>
      <c r="PGN47" s="971"/>
      <c r="PGO47" s="971"/>
      <c r="PGP47" s="971"/>
      <c r="PGQ47" s="971"/>
      <c r="PGR47" s="971"/>
      <c r="PGS47" s="971"/>
      <c r="PGT47" s="971"/>
      <c r="PGU47" s="971"/>
      <c r="PGV47" s="971"/>
      <c r="PGW47" s="971"/>
      <c r="PGX47" s="971"/>
      <c r="PGY47" s="971"/>
      <c r="PGZ47" s="971"/>
      <c r="PHA47" s="971"/>
      <c r="PHB47" s="971"/>
      <c r="PHC47" s="971"/>
      <c r="PHD47" s="971"/>
      <c r="PHE47" s="971"/>
      <c r="PHF47" s="971"/>
      <c r="PHG47" s="971"/>
      <c r="PHH47" s="971"/>
      <c r="PHI47" s="971"/>
      <c r="PHJ47" s="971"/>
      <c r="PHK47" s="971"/>
      <c r="PHL47" s="971"/>
      <c r="PHM47" s="971"/>
      <c r="PHN47" s="971"/>
      <c r="PHO47" s="971"/>
      <c r="PHP47" s="971"/>
      <c r="PHQ47" s="971"/>
      <c r="PHR47" s="971"/>
      <c r="PHS47" s="971"/>
      <c r="PHT47" s="971"/>
      <c r="PHU47" s="971"/>
      <c r="PHV47" s="971"/>
      <c r="PHW47" s="971"/>
      <c r="PHX47" s="971"/>
      <c r="PHY47" s="971"/>
      <c r="PHZ47" s="971"/>
      <c r="PIA47" s="971"/>
      <c r="PIB47" s="971"/>
      <c r="PIC47" s="971"/>
      <c r="PID47" s="971"/>
      <c r="PIE47" s="971"/>
      <c r="PIF47" s="971"/>
      <c r="PIG47" s="971"/>
      <c r="PIH47" s="971"/>
      <c r="PII47" s="971"/>
      <c r="PIJ47" s="971"/>
      <c r="PIK47" s="971"/>
      <c r="PIL47" s="971"/>
      <c r="PIM47" s="971"/>
      <c r="PIN47" s="971"/>
      <c r="PIO47" s="971"/>
      <c r="PIP47" s="971"/>
      <c r="PIQ47" s="971"/>
      <c r="PIR47" s="971"/>
      <c r="PIS47" s="971"/>
      <c r="PIT47" s="971"/>
      <c r="PIU47" s="971"/>
      <c r="PIV47" s="971"/>
      <c r="PIW47" s="971"/>
      <c r="PIX47" s="971"/>
      <c r="PIY47" s="971"/>
      <c r="PIZ47" s="971"/>
      <c r="PJA47" s="971"/>
      <c r="PJB47" s="971"/>
      <c r="PJC47" s="971"/>
      <c r="PJD47" s="971"/>
      <c r="PJE47" s="971"/>
      <c r="PJF47" s="971"/>
      <c r="PJG47" s="971"/>
      <c r="PJH47" s="971"/>
      <c r="PJI47" s="971"/>
      <c r="PJJ47" s="971"/>
      <c r="PJK47" s="971"/>
      <c r="PJL47" s="971"/>
      <c r="PJM47" s="971"/>
      <c r="PJN47" s="971"/>
      <c r="PJO47" s="971"/>
      <c r="PJP47" s="971"/>
      <c r="PJQ47" s="971"/>
      <c r="PJR47" s="971"/>
      <c r="PJS47" s="971"/>
      <c r="PJT47" s="971"/>
      <c r="PJU47" s="971"/>
      <c r="PJV47" s="971"/>
      <c r="PJW47" s="971"/>
      <c r="PJX47" s="971"/>
      <c r="PJY47" s="971"/>
      <c r="PJZ47" s="971"/>
      <c r="PKA47" s="971"/>
      <c r="PKB47" s="971"/>
      <c r="PKC47" s="971"/>
      <c r="PKD47" s="971"/>
      <c r="PKE47" s="971"/>
      <c r="PKF47" s="971"/>
      <c r="PKG47" s="971"/>
      <c r="PKH47" s="971"/>
      <c r="PKI47" s="971"/>
      <c r="PKJ47" s="971"/>
      <c r="PKK47" s="971"/>
      <c r="PKL47" s="971"/>
      <c r="PKM47" s="971"/>
      <c r="PKN47" s="971"/>
      <c r="PKO47" s="971"/>
      <c r="PKP47" s="971"/>
      <c r="PKQ47" s="971"/>
      <c r="PKR47" s="971"/>
      <c r="PKS47" s="971"/>
      <c r="PKT47" s="971"/>
      <c r="PKU47" s="971"/>
      <c r="PKV47" s="971"/>
      <c r="PKW47" s="971"/>
      <c r="PKX47" s="971"/>
      <c r="PKY47" s="971"/>
      <c r="PKZ47" s="971"/>
      <c r="PLA47" s="971"/>
      <c r="PLB47" s="971"/>
      <c r="PLC47" s="971"/>
      <c r="PLD47" s="971"/>
      <c r="PLE47" s="971"/>
      <c r="PLF47" s="971"/>
      <c r="PLG47" s="971"/>
      <c r="PLH47" s="971"/>
      <c r="PLI47" s="971"/>
      <c r="PLJ47" s="971"/>
      <c r="PLK47" s="971"/>
      <c r="PLL47" s="971"/>
      <c r="PLM47" s="971"/>
      <c r="PLN47" s="971"/>
      <c r="PLO47" s="971"/>
      <c r="PLP47" s="971"/>
      <c r="PLQ47" s="971"/>
      <c r="PLR47" s="971"/>
      <c r="PLS47" s="971"/>
      <c r="PLT47" s="971"/>
      <c r="PLU47" s="971"/>
      <c r="PLV47" s="971"/>
      <c r="PLW47" s="971"/>
      <c r="PLX47" s="971"/>
      <c r="PLY47" s="971"/>
      <c r="PLZ47" s="971"/>
      <c r="PMA47" s="971"/>
      <c r="PMB47" s="971"/>
      <c r="PMC47" s="971"/>
      <c r="PMD47" s="971"/>
      <c r="PME47" s="971"/>
      <c r="PMF47" s="971"/>
      <c r="PMG47" s="971"/>
      <c r="PMH47" s="971"/>
      <c r="PMI47" s="971"/>
      <c r="PMJ47" s="971"/>
      <c r="PMK47" s="971"/>
      <c r="PML47" s="971"/>
      <c r="PMM47" s="971"/>
      <c r="PMN47" s="971"/>
      <c r="PMO47" s="971"/>
      <c r="PMP47" s="971"/>
      <c r="PMQ47" s="971"/>
      <c r="PMR47" s="971"/>
      <c r="PMS47" s="971"/>
      <c r="PMT47" s="971"/>
      <c r="PMU47" s="971"/>
      <c r="PMV47" s="971"/>
      <c r="PMW47" s="971"/>
      <c r="PMX47" s="971"/>
      <c r="PMY47" s="971"/>
      <c r="PMZ47" s="971"/>
      <c r="PNA47" s="971"/>
      <c r="PNB47" s="971"/>
      <c r="PNC47" s="971"/>
      <c r="PND47" s="971"/>
      <c r="PNE47" s="971"/>
      <c r="PNF47" s="971"/>
      <c r="PNG47" s="971"/>
      <c r="PNH47" s="971"/>
      <c r="PNI47" s="971"/>
      <c r="PNJ47" s="971"/>
      <c r="PNK47" s="971"/>
      <c r="PNL47" s="971"/>
      <c r="PNM47" s="971"/>
      <c r="PNN47" s="971"/>
      <c r="PNO47" s="971"/>
      <c r="PNP47" s="971"/>
      <c r="PNQ47" s="971"/>
      <c r="PNR47" s="971"/>
      <c r="PNS47" s="971"/>
      <c r="PNT47" s="971"/>
      <c r="PNU47" s="971"/>
      <c r="PNV47" s="971"/>
      <c r="PNW47" s="971"/>
      <c r="PNX47" s="971"/>
      <c r="PNY47" s="971"/>
      <c r="PNZ47" s="971"/>
      <c r="POA47" s="971"/>
      <c r="POB47" s="971"/>
      <c r="POC47" s="971"/>
      <c r="POD47" s="971"/>
      <c r="POE47" s="971"/>
      <c r="POF47" s="971"/>
      <c r="POG47" s="971"/>
      <c r="POH47" s="971"/>
      <c r="POI47" s="971"/>
      <c r="POJ47" s="971"/>
      <c r="POK47" s="971"/>
      <c r="POL47" s="971"/>
      <c r="POM47" s="971"/>
      <c r="PON47" s="971"/>
      <c r="POO47" s="971"/>
      <c r="POP47" s="971"/>
      <c r="POQ47" s="971"/>
      <c r="POR47" s="971"/>
      <c r="POS47" s="971"/>
      <c r="POT47" s="971"/>
      <c r="POU47" s="971"/>
      <c r="POV47" s="971"/>
      <c r="POW47" s="971"/>
      <c r="POX47" s="971"/>
      <c r="POY47" s="971"/>
      <c r="POZ47" s="971"/>
      <c r="PPA47" s="971"/>
      <c r="PPB47" s="971"/>
      <c r="PPC47" s="971"/>
      <c r="PPD47" s="971"/>
      <c r="PPE47" s="971"/>
      <c r="PPF47" s="971"/>
      <c r="PPG47" s="971"/>
      <c r="PPH47" s="971"/>
      <c r="PPI47" s="971"/>
      <c r="PPJ47" s="971"/>
      <c r="PPK47" s="971"/>
      <c r="PPL47" s="971"/>
      <c r="PPM47" s="971"/>
      <c r="PPN47" s="971"/>
      <c r="PPO47" s="971"/>
      <c r="PPP47" s="971"/>
      <c r="PPQ47" s="971"/>
      <c r="PPR47" s="971"/>
      <c r="PPS47" s="971"/>
      <c r="PPT47" s="971"/>
      <c r="PPU47" s="971"/>
      <c r="PPV47" s="971"/>
      <c r="PPW47" s="971"/>
      <c r="PPX47" s="971"/>
      <c r="PPY47" s="971"/>
      <c r="PPZ47" s="971"/>
      <c r="PQA47" s="971"/>
      <c r="PQB47" s="971"/>
      <c r="PQC47" s="971"/>
      <c r="PQD47" s="971"/>
      <c r="PQE47" s="971"/>
      <c r="PQF47" s="971"/>
      <c r="PQG47" s="971"/>
      <c r="PQH47" s="971"/>
      <c r="PQI47" s="971"/>
      <c r="PQJ47" s="971"/>
      <c r="PQK47" s="971"/>
      <c r="PQL47" s="971"/>
      <c r="PQM47" s="971"/>
      <c r="PQN47" s="971"/>
      <c r="PQO47" s="971"/>
      <c r="PQP47" s="971"/>
      <c r="PQQ47" s="971"/>
      <c r="PQR47" s="971"/>
      <c r="PQS47" s="971"/>
      <c r="PQT47" s="971"/>
      <c r="PQU47" s="971"/>
      <c r="PQV47" s="971"/>
      <c r="PQW47" s="971"/>
      <c r="PQX47" s="971"/>
      <c r="PQY47" s="971"/>
      <c r="PQZ47" s="971"/>
      <c r="PRA47" s="971"/>
      <c r="PRB47" s="971"/>
      <c r="PRC47" s="971"/>
      <c r="PRD47" s="971"/>
      <c r="PRE47" s="971"/>
      <c r="PRF47" s="971"/>
      <c r="PRG47" s="971"/>
      <c r="PRH47" s="971"/>
      <c r="PRI47" s="971"/>
      <c r="PRJ47" s="971"/>
      <c r="PRK47" s="971"/>
      <c r="PRL47" s="971"/>
      <c r="PRM47" s="971"/>
      <c r="PRN47" s="971"/>
      <c r="PRO47" s="971"/>
      <c r="PRP47" s="971"/>
      <c r="PRQ47" s="971"/>
      <c r="PRR47" s="971"/>
      <c r="PRS47" s="971"/>
      <c r="PRT47" s="971"/>
      <c r="PRU47" s="971"/>
      <c r="PRV47" s="971"/>
      <c r="PRW47" s="971"/>
      <c r="PRX47" s="971"/>
      <c r="PRY47" s="971"/>
      <c r="PRZ47" s="971"/>
      <c r="PSA47" s="971"/>
      <c r="PSB47" s="971"/>
      <c r="PSC47" s="971"/>
      <c r="PSD47" s="971"/>
      <c r="PSE47" s="971"/>
      <c r="PSF47" s="971"/>
      <c r="PSG47" s="971"/>
      <c r="PSH47" s="971"/>
      <c r="PSI47" s="971"/>
      <c r="PSJ47" s="971"/>
      <c r="PSK47" s="971"/>
      <c r="PSL47" s="971"/>
      <c r="PSM47" s="971"/>
      <c r="PSN47" s="971"/>
      <c r="PSO47" s="971"/>
      <c r="PSP47" s="971"/>
      <c r="PSQ47" s="971"/>
      <c r="PSR47" s="971"/>
      <c r="PSS47" s="971"/>
      <c r="PST47" s="971"/>
      <c r="PSU47" s="971"/>
      <c r="PSV47" s="971"/>
      <c r="PSW47" s="971"/>
      <c r="PSX47" s="971"/>
      <c r="PSY47" s="971"/>
      <c r="PSZ47" s="971"/>
      <c r="PTA47" s="971"/>
      <c r="PTB47" s="971"/>
      <c r="PTC47" s="971"/>
      <c r="PTD47" s="971"/>
      <c r="PTE47" s="971"/>
      <c r="PTF47" s="971"/>
      <c r="PTG47" s="971"/>
      <c r="PTH47" s="971"/>
      <c r="PTI47" s="971"/>
      <c r="PTJ47" s="971"/>
      <c r="PTK47" s="971"/>
      <c r="PTL47" s="971"/>
      <c r="PTM47" s="971"/>
      <c r="PTN47" s="971"/>
      <c r="PTO47" s="971"/>
      <c r="PTP47" s="971"/>
      <c r="PTQ47" s="971"/>
      <c r="PTR47" s="971"/>
      <c r="PTS47" s="971"/>
      <c r="PTT47" s="971"/>
      <c r="PTU47" s="971"/>
      <c r="PTV47" s="971"/>
      <c r="PTW47" s="971"/>
      <c r="PTX47" s="971"/>
      <c r="PTY47" s="971"/>
      <c r="PTZ47" s="971"/>
      <c r="PUA47" s="971"/>
      <c r="PUB47" s="971"/>
      <c r="PUC47" s="971"/>
      <c r="PUD47" s="971"/>
      <c r="PUE47" s="971"/>
      <c r="PUF47" s="971"/>
      <c r="PUG47" s="971"/>
      <c r="PUH47" s="971"/>
      <c r="PUI47" s="971"/>
      <c r="PUJ47" s="971"/>
      <c r="PUK47" s="971"/>
      <c r="PUL47" s="971"/>
      <c r="PUM47" s="971"/>
      <c r="PUN47" s="971"/>
      <c r="PUO47" s="971"/>
      <c r="PUP47" s="971"/>
      <c r="PUQ47" s="971"/>
      <c r="PUR47" s="971"/>
      <c r="PUS47" s="971"/>
      <c r="PUT47" s="971"/>
      <c r="PUU47" s="971"/>
      <c r="PUV47" s="971"/>
      <c r="PUW47" s="971"/>
      <c r="PUX47" s="971"/>
      <c r="PUY47" s="971"/>
      <c r="PUZ47" s="971"/>
      <c r="PVA47" s="971"/>
      <c r="PVB47" s="971"/>
      <c r="PVC47" s="971"/>
      <c r="PVD47" s="971"/>
      <c r="PVE47" s="971"/>
      <c r="PVF47" s="971"/>
      <c r="PVG47" s="971"/>
      <c r="PVH47" s="971"/>
      <c r="PVI47" s="971"/>
      <c r="PVJ47" s="971"/>
      <c r="PVK47" s="971"/>
      <c r="PVL47" s="971"/>
      <c r="PVM47" s="971"/>
      <c r="PVN47" s="971"/>
      <c r="PVO47" s="971"/>
      <c r="PVP47" s="971"/>
      <c r="PVQ47" s="971"/>
      <c r="PVR47" s="971"/>
      <c r="PVS47" s="971"/>
      <c r="PVT47" s="971"/>
      <c r="PVU47" s="971"/>
      <c r="PVV47" s="971"/>
      <c r="PVW47" s="971"/>
      <c r="PVX47" s="971"/>
      <c r="PVY47" s="971"/>
      <c r="PVZ47" s="971"/>
      <c r="PWA47" s="971"/>
      <c r="PWB47" s="971"/>
      <c r="PWC47" s="971"/>
      <c r="PWD47" s="971"/>
      <c r="PWE47" s="971"/>
      <c r="PWF47" s="971"/>
      <c r="PWG47" s="971"/>
      <c r="PWH47" s="971"/>
      <c r="PWI47" s="971"/>
      <c r="PWJ47" s="971"/>
      <c r="PWK47" s="971"/>
      <c r="PWL47" s="971"/>
      <c r="PWM47" s="971"/>
      <c r="PWN47" s="971"/>
      <c r="PWO47" s="971"/>
      <c r="PWP47" s="971"/>
      <c r="PWQ47" s="971"/>
      <c r="PWR47" s="971"/>
      <c r="PWS47" s="971"/>
      <c r="PWT47" s="971"/>
      <c r="PWU47" s="971"/>
      <c r="PWV47" s="971"/>
      <c r="PWW47" s="971"/>
      <c r="PWX47" s="971"/>
      <c r="PWY47" s="971"/>
      <c r="PWZ47" s="971"/>
      <c r="PXA47" s="971"/>
      <c r="PXB47" s="971"/>
      <c r="PXC47" s="971"/>
      <c r="PXD47" s="971"/>
      <c r="PXE47" s="971"/>
      <c r="PXF47" s="971"/>
      <c r="PXG47" s="971"/>
      <c r="PXH47" s="971"/>
      <c r="PXI47" s="971"/>
      <c r="PXJ47" s="971"/>
      <c r="PXK47" s="971"/>
      <c r="PXL47" s="971"/>
      <c r="PXM47" s="971"/>
      <c r="PXN47" s="971"/>
      <c r="PXO47" s="971"/>
      <c r="PXP47" s="971"/>
      <c r="PXQ47" s="971"/>
      <c r="PXR47" s="971"/>
      <c r="PXS47" s="971"/>
      <c r="PXT47" s="971"/>
      <c r="PXU47" s="971"/>
      <c r="PXV47" s="971"/>
      <c r="PXW47" s="971"/>
      <c r="PXX47" s="971"/>
      <c r="PXY47" s="971"/>
      <c r="PXZ47" s="971"/>
      <c r="PYA47" s="971"/>
      <c r="PYB47" s="971"/>
      <c r="PYC47" s="971"/>
      <c r="PYD47" s="971"/>
      <c r="PYE47" s="971"/>
      <c r="PYF47" s="971"/>
      <c r="PYG47" s="971"/>
      <c r="PYH47" s="971"/>
      <c r="PYI47" s="971"/>
      <c r="PYJ47" s="971"/>
      <c r="PYK47" s="971"/>
      <c r="PYL47" s="971"/>
      <c r="PYM47" s="971"/>
      <c r="PYN47" s="971"/>
      <c r="PYO47" s="971"/>
      <c r="PYP47" s="971"/>
      <c r="PYQ47" s="971"/>
      <c r="PYR47" s="971"/>
      <c r="PYS47" s="971"/>
      <c r="PYT47" s="971"/>
      <c r="PYU47" s="971"/>
      <c r="PYV47" s="971"/>
      <c r="PYW47" s="971"/>
      <c r="PYX47" s="971"/>
      <c r="PYY47" s="971"/>
      <c r="PYZ47" s="971"/>
      <c r="PZA47" s="971"/>
      <c r="PZB47" s="971"/>
      <c r="PZC47" s="971"/>
      <c r="PZD47" s="971"/>
      <c r="PZE47" s="971"/>
      <c r="PZF47" s="971"/>
      <c r="PZG47" s="971"/>
      <c r="PZH47" s="971"/>
      <c r="PZI47" s="971"/>
      <c r="PZJ47" s="971"/>
      <c r="PZK47" s="971"/>
      <c r="PZL47" s="971"/>
      <c r="PZM47" s="971"/>
      <c r="PZN47" s="971"/>
      <c r="PZO47" s="971"/>
      <c r="PZP47" s="971"/>
      <c r="PZQ47" s="971"/>
      <c r="PZR47" s="971"/>
      <c r="PZS47" s="971"/>
      <c r="PZT47" s="971"/>
      <c r="PZU47" s="971"/>
      <c r="PZV47" s="971"/>
      <c r="PZW47" s="971"/>
      <c r="PZX47" s="971"/>
      <c r="PZY47" s="971"/>
      <c r="PZZ47" s="971"/>
      <c r="QAA47" s="971"/>
      <c r="QAB47" s="971"/>
      <c r="QAC47" s="971"/>
      <c r="QAD47" s="971"/>
      <c r="QAE47" s="971"/>
      <c r="QAF47" s="971"/>
      <c r="QAG47" s="971"/>
      <c r="QAH47" s="971"/>
      <c r="QAI47" s="971"/>
      <c r="QAJ47" s="971"/>
      <c r="QAK47" s="971"/>
      <c r="QAL47" s="971"/>
      <c r="QAM47" s="971"/>
      <c r="QAN47" s="971"/>
      <c r="QAO47" s="971"/>
      <c r="QAP47" s="971"/>
      <c r="QAQ47" s="971"/>
      <c r="QAR47" s="971"/>
      <c r="QAS47" s="971"/>
      <c r="QAT47" s="971"/>
      <c r="QAU47" s="971"/>
      <c r="QAV47" s="971"/>
      <c r="QAW47" s="971"/>
      <c r="QAX47" s="971"/>
      <c r="QAY47" s="971"/>
      <c r="QAZ47" s="971"/>
      <c r="QBA47" s="971"/>
      <c r="QBB47" s="971"/>
      <c r="QBC47" s="971"/>
      <c r="QBD47" s="971"/>
      <c r="QBE47" s="971"/>
      <c r="QBF47" s="971"/>
      <c r="QBG47" s="971"/>
      <c r="QBH47" s="971"/>
      <c r="QBI47" s="971"/>
      <c r="QBJ47" s="971"/>
      <c r="QBK47" s="971"/>
      <c r="QBL47" s="971"/>
      <c r="QBM47" s="971"/>
      <c r="QBN47" s="971"/>
      <c r="QBO47" s="971"/>
      <c r="QBP47" s="971"/>
      <c r="QBQ47" s="971"/>
      <c r="QBR47" s="971"/>
      <c r="QBS47" s="971"/>
      <c r="QBT47" s="971"/>
      <c r="QBU47" s="971"/>
      <c r="QBV47" s="971"/>
      <c r="QBW47" s="971"/>
      <c r="QBX47" s="971"/>
      <c r="QBY47" s="971"/>
      <c r="QBZ47" s="971"/>
      <c r="QCA47" s="971"/>
      <c r="QCB47" s="971"/>
      <c r="QCC47" s="971"/>
      <c r="QCD47" s="971"/>
      <c r="QCE47" s="971"/>
      <c r="QCF47" s="971"/>
      <c r="QCG47" s="971"/>
      <c r="QCH47" s="971"/>
      <c r="QCI47" s="971"/>
      <c r="QCJ47" s="971"/>
      <c r="QCK47" s="971"/>
      <c r="QCL47" s="971"/>
      <c r="QCM47" s="971"/>
      <c r="QCN47" s="971"/>
      <c r="QCO47" s="971"/>
      <c r="QCP47" s="971"/>
      <c r="QCQ47" s="971"/>
      <c r="QCR47" s="971"/>
      <c r="QCS47" s="971"/>
      <c r="QCT47" s="971"/>
      <c r="QCU47" s="971"/>
      <c r="QCV47" s="971"/>
      <c r="QCW47" s="971"/>
      <c r="QCX47" s="971"/>
      <c r="QCY47" s="971"/>
      <c r="QCZ47" s="971"/>
      <c r="QDA47" s="971"/>
      <c r="QDB47" s="971"/>
      <c r="QDC47" s="971"/>
      <c r="QDD47" s="971"/>
      <c r="QDE47" s="971"/>
      <c r="QDF47" s="971"/>
      <c r="QDG47" s="971"/>
      <c r="QDH47" s="971"/>
      <c r="QDI47" s="971"/>
      <c r="QDJ47" s="971"/>
      <c r="QDK47" s="971"/>
      <c r="QDL47" s="971"/>
      <c r="QDM47" s="971"/>
      <c r="QDN47" s="971"/>
      <c r="QDO47" s="971"/>
      <c r="QDP47" s="971"/>
      <c r="QDQ47" s="971"/>
      <c r="QDR47" s="971"/>
      <c r="QDS47" s="971"/>
      <c r="QDT47" s="971"/>
      <c r="QDU47" s="971"/>
      <c r="QDV47" s="971"/>
      <c r="QDW47" s="971"/>
      <c r="QDX47" s="971"/>
      <c r="QDY47" s="971"/>
      <c r="QDZ47" s="971"/>
      <c r="QEA47" s="971"/>
      <c r="QEB47" s="971"/>
      <c r="QEC47" s="971"/>
      <c r="QED47" s="971"/>
      <c r="QEE47" s="971"/>
      <c r="QEF47" s="971"/>
      <c r="QEG47" s="971"/>
      <c r="QEH47" s="971"/>
      <c r="QEI47" s="971"/>
      <c r="QEJ47" s="971"/>
      <c r="QEK47" s="971"/>
      <c r="QEL47" s="971"/>
      <c r="QEM47" s="971"/>
      <c r="QEN47" s="971"/>
      <c r="QEO47" s="971"/>
      <c r="QEP47" s="971"/>
      <c r="QEQ47" s="971"/>
      <c r="QER47" s="971"/>
      <c r="QES47" s="971"/>
      <c r="QET47" s="971"/>
      <c r="QEU47" s="971"/>
      <c r="QEV47" s="971"/>
      <c r="QEW47" s="971"/>
      <c r="QEX47" s="971"/>
      <c r="QEY47" s="971"/>
      <c r="QEZ47" s="971"/>
      <c r="QFA47" s="971"/>
      <c r="QFB47" s="971"/>
      <c r="QFC47" s="971"/>
      <c r="QFD47" s="971"/>
      <c r="QFE47" s="971"/>
      <c r="QFF47" s="971"/>
      <c r="QFG47" s="971"/>
      <c r="QFH47" s="971"/>
      <c r="QFI47" s="971"/>
      <c r="QFJ47" s="971"/>
      <c r="QFK47" s="971"/>
      <c r="QFL47" s="971"/>
      <c r="QFM47" s="971"/>
      <c r="QFN47" s="971"/>
      <c r="QFO47" s="971"/>
      <c r="QFP47" s="971"/>
      <c r="QFQ47" s="971"/>
      <c r="QFR47" s="971"/>
      <c r="QFS47" s="971"/>
      <c r="QFT47" s="971"/>
      <c r="QFU47" s="971"/>
      <c r="QFV47" s="971"/>
      <c r="QFW47" s="971"/>
      <c r="QFX47" s="971"/>
      <c r="QFY47" s="971"/>
      <c r="QFZ47" s="971"/>
      <c r="QGA47" s="971"/>
      <c r="QGB47" s="971"/>
      <c r="QGC47" s="971"/>
      <c r="QGD47" s="971"/>
      <c r="QGE47" s="971"/>
      <c r="QGF47" s="971"/>
      <c r="QGG47" s="971"/>
      <c r="QGH47" s="971"/>
      <c r="QGI47" s="971"/>
      <c r="QGJ47" s="971"/>
      <c r="QGK47" s="971"/>
      <c r="QGL47" s="971"/>
      <c r="QGM47" s="971"/>
      <c r="QGN47" s="971"/>
      <c r="QGO47" s="971"/>
      <c r="QGP47" s="971"/>
      <c r="QGQ47" s="971"/>
      <c r="QGR47" s="971"/>
      <c r="QGS47" s="971"/>
      <c r="QGT47" s="971"/>
      <c r="QGU47" s="971"/>
      <c r="QGV47" s="971"/>
      <c r="QGW47" s="971"/>
      <c r="QGX47" s="971"/>
      <c r="QGY47" s="971"/>
      <c r="QGZ47" s="971"/>
      <c r="QHA47" s="971"/>
      <c r="QHB47" s="971"/>
      <c r="QHC47" s="971"/>
      <c r="QHD47" s="971"/>
      <c r="QHE47" s="971"/>
      <c r="QHF47" s="971"/>
      <c r="QHG47" s="971"/>
      <c r="QHH47" s="971"/>
      <c r="QHI47" s="971"/>
      <c r="QHJ47" s="971"/>
      <c r="QHK47" s="971"/>
      <c r="QHL47" s="971"/>
      <c r="QHM47" s="971"/>
      <c r="QHN47" s="971"/>
      <c r="QHO47" s="971"/>
      <c r="QHP47" s="971"/>
      <c r="QHQ47" s="971"/>
      <c r="QHR47" s="971"/>
      <c r="QHS47" s="971"/>
      <c r="QHT47" s="971"/>
      <c r="QHU47" s="971"/>
      <c r="QHV47" s="971"/>
      <c r="QHW47" s="971"/>
      <c r="QHX47" s="971"/>
      <c r="QHY47" s="971"/>
      <c r="QHZ47" s="971"/>
      <c r="QIA47" s="971"/>
      <c r="QIB47" s="971"/>
      <c r="QIC47" s="971"/>
      <c r="QID47" s="971"/>
      <c r="QIE47" s="971"/>
      <c r="QIF47" s="971"/>
      <c r="QIG47" s="971"/>
      <c r="QIH47" s="971"/>
      <c r="QII47" s="971"/>
      <c r="QIJ47" s="971"/>
      <c r="QIK47" s="971"/>
      <c r="QIL47" s="971"/>
      <c r="QIM47" s="971"/>
      <c r="QIN47" s="971"/>
      <c r="QIO47" s="971"/>
      <c r="QIP47" s="971"/>
      <c r="QIQ47" s="971"/>
      <c r="QIR47" s="971"/>
      <c r="QIS47" s="971"/>
      <c r="QIT47" s="971"/>
      <c r="QIU47" s="971"/>
      <c r="QIV47" s="971"/>
      <c r="QIW47" s="971"/>
      <c r="QIX47" s="971"/>
      <c r="QIY47" s="971"/>
      <c r="QIZ47" s="971"/>
      <c r="QJA47" s="971"/>
      <c r="QJB47" s="971"/>
      <c r="QJC47" s="971"/>
      <c r="QJD47" s="971"/>
      <c r="QJE47" s="971"/>
      <c r="QJF47" s="971"/>
      <c r="QJG47" s="971"/>
      <c r="QJH47" s="971"/>
      <c r="QJI47" s="971"/>
      <c r="QJJ47" s="971"/>
      <c r="QJK47" s="971"/>
      <c r="QJL47" s="971"/>
      <c r="QJM47" s="971"/>
      <c r="QJN47" s="971"/>
      <c r="QJO47" s="971"/>
      <c r="QJP47" s="971"/>
      <c r="QJQ47" s="971"/>
      <c r="QJR47" s="971"/>
      <c r="QJS47" s="971"/>
      <c r="QJT47" s="971"/>
      <c r="QJU47" s="971"/>
      <c r="QJV47" s="971"/>
      <c r="QJW47" s="971"/>
      <c r="QJX47" s="971"/>
      <c r="QJY47" s="971"/>
      <c r="QJZ47" s="971"/>
      <c r="QKA47" s="971"/>
      <c r="QKB47" s="971"/>
      <c r="QKC47" s="971"/>
      <c r="QKD47" s="971"/>
      <c r="QKE47" s="971"/>
      <c r="QKF47" s="971"/>
      <c r="QKG47" s="971"/>
      <c r="QKH47" s="971"/>
      <c r="QKI47" s="971"/>
      <c r="QKJ47" s="971"/>
      <c r="QKK47" s="971"/>
      <c r="QKL47" s="971"/>
      <c r="QKM47" s="971"/>
      <c r="QKN47" s="971"/>
      <c r="QKO47" s="971"/>
      <c r="QKP47" s="971"/>
      <c r="QKQ47" s="971"/>
      <c r="QKR47" s="971"/>
      <c r="QKS47" s="971"/>
      <c r="QKT47" s="971"/>
      <c r="QKU47" s="971"/>
      <c r="QKV47" s="971"/>
      <c r="QKW47" s="971"/>
      <c r="QKX47" s="971"/>
      <c r="QKY47" s="971"/>
      <c r="QKZ47" s="971"/>
      <c r="QLA47" s="971"/>
      <c r="QLB47" s="971"/>
      <c r="QLC47" s="971"/>
      <c r="QLD47" s="971"/>
      <c r="QLE47" s="971"/>
      <c r="QLF47" s="971"/>
      <c r="QLG47" s="971"/>
      <c r="QLH47" s="971"/>
      <c r="QLI47" s="971"/>
      <c r="QLJ47" s="971"/>
      <c r="QLK47" s="971"/>
      <c r="QLL47" s="971"/>
      <c r="QLM47" s="971"/>
      <c r="QLN47" s="971"/>
      <c r="QLO47" s="971"/>
      <c r="QLP47" s="971"/>
      <c r="QLQ47" s="971"/>
      <c r="QLR47" s="971"/>
      <c r="QLS47" s="971"/>
      <c r="QLT47" s="971"/>
      <c r="QLU47" s="971"/>
      <c r="QLV47" s="971"/>
      <c r="QLW47" s="971"/>
      <c r="QLX47" s="971"/>
      <c r="QLY47" s="971"/>
      <c r="QLZ47" s="971"/>
      <c r="QMA47" s="971"/>
      <c r="QMB47" s="971"/>
      <c r="QMC47" s="971"/>
      <c r="QMD47" s="971"/>
      <c r="QME47" s="971"/>
      <c r="QMF47" s="971"/>
      <c r="QMG47" s="971"/>
      <c r="QMH47" s="971"/>
      <c r="QMI47" s="971"/>
      <c r="QMJ47" s="971"/>
      <c r="QMK47" s="971"/>
      <c r="QML47" s="971"/>
      <c r="QMM47" s="971"/>
      <c r="QMN47" s="971"/>
      <c r="QMO47" s="971"/>
      <c r="QMP47" s="971"/>
      <c r="QMQ47" s="971"/>
      <c r="QMR47" s="971"/>
      <c r="QMS47" s="971"/>
      <c r="QMT47" s="971"/>
      <c r="QMU47" s="971"/>
      <c r="QMV47" s="971"/>
      <c r="QMW47" s="971"/>
      <c r="QMX47" s="971"/>
      <c r="QMY47" s="971"/>
      <c r="QMZ47" s="971"/>
      <c r="QNA47" s="971"/>
      <c r="QNB47" s="971"/>
      <c r="QNC47" s="971"/>
      <c r="QND47" s="971"/>
      <c r="QNE47" s="971"/>
      <c r="QNF47" s="971"/>
      <c r="QNG47" s="971"/>
      <c r="QNH47" s="971"/>
      <c r="QNI47" s="971"/>
      <c r="QNJ47" s="971"/>
      <c r="QNK47" s="971"/>
      <c r="QNL47" s="971"/>
      <c r="QNM47" s="971"/>
      <c r="QNN47" s="971"/>
      <c r="QNO47" s="971"/>
      <c r="QNP47" s="971"/>
      <c r="QNQ47" s="971"/>
      <c r="QNR47" s="971"/>
      <c r="QNS47" s="971"/>
      <c r="QNT47" s="971"/>
      <c r="QNU47" s="971"/>
      <c r="QNV47" s="971"/>
      <c r="QNW47" s="971"/>
      <c r="QNX47" s="971"/>
      <c r="QNY47" s="971"/>
      <c r="QNZ47" s="971"/>
      <c r="QOA47" s="971"/>
      <c r="QOB47" s="971"/>
      <c r="QOC47" s="971"/>
      <c r="QOD47" s="971"/>
      <c r="QOE47" s="971"/>
      <c r="QOF47" s="971"/>
      <c r="QOG47" s="971"/>
      <c r="QOH47" s="971"/>
      <c r="QOI47" s="971"/>
      <c r="QOJ47" s="971"/>
      <c r="QOK47" s="971"/>
      <c r="QOL47" s="971"/>
      <c r="QOM47" s="971"/>
      <c r="QON47" s="971"/>
      <c r="QOO47" s="971"/>
      <c r="QOP47" s="971"/>
      <c r="QOQ47" s="971"/>
      <c r="QOR47" s="971"/>
      <c r="QOS47" s="971"/>
      <c r="QOT47" s="971"/>
      <c r="QOU47" s="971"/>
      <c r="QOV47" s="971"/>
      <c r="QOW47" s="971"/>
      <c r="QOX47" s="971"/>
      <c r="QOY47" s="971"/>
      <c r="QOZ47" s="971"/>
      <c r="QPA47" s="971"/>
      <c r="QPB47" s="971"/>
      <c r="QPC47" s="971"/>
      <c r="QPD47" s="971"/>
      <c r="QPE47" s="971"/>
      <c r="QPF47" s="971"/>
      <c r="QPG47" s="971"/>
      <c r="QPH47" s="971"/>
      <c r="QPI47" s="971"/>
      <c r="QPJ47" s="971"/>
      <c r="QPK47" s="971"/>
      <c r="QPL47" s="971"/>
      <c r="QPM47" s="971"/>
      <c r="QPN47" s="971"/>
      <c r="QPO47" s="971"/>
      <c r="QPP47" s="971"/>
      <c r="QPQ47" s="971"/>
      <c r="QPR47" s="971"/>
      <c r="QPS47" s="971"/>
      <c r="QPT47" s="971"/>
      <c r="QPU47" s="971"/>
      <c r="QPV47" s="971"/>
      <c r="QPW47" s="971"/>
      <c r="QPX47" s="971"/>
      <c r="QPY47" s="971"/>
      <c r="QPZ47" s="971"/>
      <c r="QQA47" s="971"/>
      <c r="QQB47" s="971"/>
      <c r="QQC47" s="971"/>
      <c r="QQD47" s="971"/>
      <c r="QQE47" s="971"/>
      <c r="QQF47" s="971"/>
      <c r="QQG47" s="971"/>
      <c r="QQH47" s="971"/>
      <c r="QQI47" s="971"/>
      <c r="QQJ47" s="971"/>
      <c r="QQK47" s="971"/>
      <c r="QQL47" s="971"/>
      <c r="QQM47" s="971"/>
      <c r="QQN47" s="971"/>
      <c r="QQO47" s="971"/>
      <c r="QQP47" s="971"/>
      <c r="QQQ47" s="971"/>
      <c r="QQR47" s="971"/>
      <c r="QQS47" s="971"/>
      <c r="QQT47" s="971"/>
      <c r="QQU47" s="971"/>
      <c r="QQV47" s="971"/>
      <c r="QQW47" s="971"/>
      <c r="QQX47" s="971"/>
      <c r="QQY47" s="971"/>
      <c r="QQZ47" s="971"/>
      <c r="QRA47" s="971"/>
      <c r="QRB47" s="971"/>
      <c r="QRC47" s="971"/>
      <c r="QRD47" s="971"/>
      <c r="QRE47" s="971"/>
      <c r="QRF47" s="971"/>
      <c r="QRG47" s="971"/>
      <c r="QRH47" s="971"/>
      <c r="QRI47" s="971"/>
      <c r="QRJ47" s="971"/>
      <c r="QRK47" s="971"/>
      <c r="QRL47" s="971"/>
      <c r="QRM47" s="971"/>
      <c r="QRN47" s="971"/>
      <c r="QRO47" s="971"/>
      <c r="QRP47" s="971"/>
      <c r="QRQ47" s="971"/>
      <c r="QRR47" s="971"/>
      <c r="QRS47" s="971"/>
      <c r="QRT47" s="971"/>
      <c r="QRU47" s="971"/>
      <c r="QRV47" s="971"/>
      <c r="QRW47" s="971"/>
      <c r="QRX47" s="971"/>
      <c r="QRY47" s="971"/>
      <c r="QRZ47" s="971"/>
      <c r="QSA47" s="971"/>
      <c r="QSB47" s="971"/>
      <c r="QSC47" s="971"/>
      <c r="QSD47" s="971"/>
      <c r="QSE47" s="971"/>
      <c r="QSF47" s="971"/>
      <c r="QSG47" s="971"/>
      <c r="QSH47" s="971"/>
      <c r="QSI47" s="971"/>
      <c r="QSJ47" s="971"/>
      <c r="QSK47" s="971"/>
      <c r="QSL47" s="971"/>
      <c r="QSM47" s="971"/>
      <c r="QSN47" s="971"/>
      <c r="QSO47" s="971"/>
      <c r="QSP47" s="971"/>
      <c r="QSQ47" s="971"/>
      <c r="QSR47" s="971"/>
      <c r="QSS47" s="971"/>
      <c r="QST47" s="971"/>
      <c r="QSU47" s="971"/>
      <c r="QSV47" s="971"/>
      <c r="QSW47" s="971"/>
      <c r="QSX47" s="971"/>
      <c r="QSY47" s="971"/>
      <c r="QSZ47" s="971"/>
      <c r="QTA47" s="971"/>
      <c r="QTB47" s="971"/>
      <c r="QTC47" s="971"/>
      <c r="QTD47" s="971"/>
      <c r="QTE47" s="971"/>
      <c r="QTF47" s="971"/>
      <c r="QTG47" s="971"/>
      <c r="QTH47" s="971"/>
      <c r="QTI47" s="971"/>
      <c r="QTJ47" s="971"/>
      <c r="QTK47" s="971"/>
      <c r="QTL47" s="971"/>
      <c r="QTM47" s="971"/>
      <c r="QTN47" s="971"/>
      <c r="QTO47" s="971"/>
      <c r="QTP47" s="971"/>
      <c r="QTQ47" s="971"/>
      <c r="QTR47" s="971"/>
      <c r="QTS47" s="971"/>
      <c r="QTT47" s="971"/>
      <c r="QTU47" s="971"/>
      <c r="QTV47" s="971"/>
      <c r="QTW47" s="971"/>
      <c r="QTX47" s="971"/>
      <c r="QTY47" s="971"/>
      <c r="QTZ47" s="971"/>
      <c r="QUA47" s="971"/>
      <c r="QUB47" s="971"/>
      <c r="QUC47" s="971"/>
      <c r="QUD47" s="971"/>
      <c r="QUE47" s="971"/>
      <c r="QUF47" s="971"/>
      <c r="QUG47" s="971"/>
      <c r="QUH47" s="971"/>
      <c r="QUI47" s="971"/>
      <c r="QUJ47" s="971"/>
      <c r="QUK47" s="971"/>
      <c r="QUL47" s="971"/>
      <c r="QUM47" s="971"/>
      <c r="QUN47" s="971"/>
      <c r="QUO47" s="971"/>
      <c r="QUP47" s="971"/>
      <c r="QUQ47" s="971"/>
      <c r="QUR47" s="971"/>
      <c r="QUS47" s="971"/>
      <c r="QUT47" s="971"/>
      <c r="QUU47" s="971"/>
      <c r="QUV47" s="971"/>
      <c r="QUW47" s="971"/>
      <c r="QUX47" s="971"/>
      <c r="QUY47" s="971"/>
      <c r="QUZ47" s="971"/>
      <c r="QVA47" s="971"/>
      <c r="QVB47" s="971"/>
      <c r="QVC47" s="971"/>
      <c r="QVD47" s="971"/>
      <c r="QVE47" s="971"/>
      <c r="QVF47" s="971"/>
      <c r="QVG47" s="971"/>
      <c r="QVH47" s="971"/>
      <c r="QVI47" s="971"/>
      <c r="QVJ47" s="971"/>
      <c r="QVK47" s="971"/>
      <c r="QVL47" s="971"/>
      <c r="QVM47" s="971"/>
      <c r="QVN47" s="971"/>
      <c r="QVO47" s="971"/>
      <c r="QVP47" s="971"/>
      <c r="QVQ47" s="971"/>
      <c r="QVR47" s="971"/>
      <c r="QVS47" s="971"/>
      <c r="QVT47" s="971"/>
      <c r="QVU47" s="971"/>
      <c r="QVV47" s="971"/>
      <c r="QVW47" s="971"/>
      <c r="QVX47" s="971"/>
      <c r="QVY47" s="971"/>
      <c r="QVZ47" s="971"/>
      <c r="QWA47" s="971"/>
      <c r="QWB47" s="971"/>
      <c r="QWC47" s="971"/>
      <c r="QWD47" s="971"/>
      <c r="QWE47" s="971"/>
      <c r="QWF47" s="971"/>
      <c r="QWG47" s="971"/>
      <c r="QWH47" s="971"/>
      <c r="QWI47" s="971"/>
      <c r="QWJ47" s="971"/>
      <c r="QWK47" s="971"/>
      <c r="QWL47" s="971"/>
      <c r="QWM47" s="971"/>
      <c r="QWN47" s="971"/>
      <c r="QWO47" s="971"/>
      <c r="QWP47" s="971"/>
      <c r="QWQ47" s="971"/>
      <c r="QWR47" s="971"/>
      <c r="QWS47" s="971"/>
      <c r="QWT47" s="971"/>
      <c r="QWU47" s="971"/>
      <c r="QWV47" s="971"/>
      <c r="QWW47" s="971"/>
      <c r="QWX47" s="971"/>
      <c r="QWY47" s="971"/>
      <c r="QWZ47" s="971"/>
      <c r="QXA47" s="971"/>
      <c r="QXB47" s="971"/>
      <c r="QXC47" s="971"/>
      <c r="QXD47" s="971"/>
      <c r="QXE47" s="971"/>
      <c r="QXF47" s="971"/>
      <c r="QXG47" s="971"/>
      <c r="QXH47" s="971"/>
      <c r="QXI47" s="971"/>
      <c r="QXJ47" s="971"/>
      <c r="QXK47" s="971"/>
      <c r="QXL47" s="971"/>
      <c r="QXM47" s="971"/>
      <c r="QXN47" s="971"/>
      <c r="QXO47" s="971"/>
      <c r="QXP47" s="971"/>
      <c r="QXQ47" s="971"/>
      <c r="QXR47" s="971"/>
      <c r="QXS47" s="971"/>
      <c r="QXT47" s="971"/>
      <c r="QXU47" s="971"/>
      <c r="QXV47" s="971"/>
      <c r="QXW47" s="971"/>
      <c r="QXX47" s="971"/>
      <c r="QXY47" s="971"/>
      <c r="QXZ47" s="971"/>
      <c r="QYA47" s="971"/>
      <c r="QYB47" s="971"/>
      <c r="QYC47" s="971"/>
      <c r="QYD47" s="971"/>
      <c r="QYE47" s="971"/>
      <c r="QYF47" s="971"/>
      <c r="QYG47" s="971"/>
      <c r="QYH47" s="971"/>
      <c r="QYI47" s="971"/>
      <c r="QYJ47" s="971"/>
      <c r="QYK47" s="971"/>
      <c r="QYL47" s="971"/>
      <c r="QYM47" s="971"/>
      <c r="QYN47" s="971"/>
      <c r="QYO47" s="971"/>
      <c r="QYP47" s="971"/>
      <c r="QYQ47" s="971"/>
      <c r="QYR47" s="971"/>
      <c r="QYS47" s="971"/>
      <c r="QYT47" s="971"/>
      <c r="QYU47" s="971"/>
      <c r="QYV47" s="971"/>
      <c r="QYW47" s="971"/>
      <c r="QYX47" s="971"/>
      <c r="QYY47" s="971"/>
      <c r="QYZ47" s="971"/>
      <c r="QZA47" s="971"/>
      <c r="QZB47" s="971"/>
      <c r="QZC47" s="971"/>
      <c r="QZD47" s="971"/>
      <c r="QZE47" s="971"/>
      <c r="QZF47" s="971"/>
      <c r="QZG47" s="971"/>
      <c r="QZH47" s="971"/>
      <c r="QZI47" s="971"/>
      <c r="QZJ47" s="971"/>
      <c r="QZK47" s="971"/>
      <c r="QZL47" s="971"/>
      <c r="QZM47" s="971"/>
      <c r="QZN47" s="971"/>
      <c r="QZO47" s="971"/>
      <c r="QZP47" s="971"/>
      <c r="QZQ47" s="971"/>
      <c r="QZR47" s="971"/>
      <c r="QZS47" s="971"/>
      <c r="QZT47" s="971"/>
      <c r="QZU47" s="971"/>
      <c r="QZV47" s="971"/>
      <c r="QZW47" s="971"/>
      <c r="QZX47" s="971"/>
      <c r="QZY47" s="971"/>
      <c r="QZZ47" s="971"/>
      <c r="RAA47" s="971"/>
      <c r="RAB47" s="971"/>
      <c r="RAC47" s="971"/>
      <c r="RAD47" s="971"/>
      <c r="RAE47" s="971"/>
      <c r="RAF47" s="971"/>
      <c r="RAG47" s="971"/>
      <c r="RAH47" s="971"/>
      <c r="RAI47" s="971"/>
      <c r="RAJ47" s="971"/>
      <c r="RAK47" s="971"/>
      <c r="RAL47" s="971"/>
      <c r="RAM47" s="971"/>
      <c r="RAN47" s="971"/>
      <c r="RAO47" s="971"/>
      <c r="RAP47" s="971"/>
      <c r="RAQ47" s="971"/>
      <c r="RAR47" s="971"/>
      <c r="RAS47" s="971"/>
      <c r="RAT47" s="971"/>
      <c r="RAU47" s="971"/>
      <c r="RAV47" s="971"/>
      <c r="RAW47" s="971"/>
      <c r="RAX47" s="971"/>
      <c r="RAY47" s="971"/>
      <c r="RAZ47" s="971"/>
      <c r="RBA47" s="971"/>
      <c r="RBB47" s="971"/>
      <c r="RBC47" s="971"/>
      <c r="RBD47" s="971"/>
      <c r="RBE47" s="971"/>
      <c r="RBF47" s="971"/>
      <c r="RBG47" s="971"/>
      <c r="RBH47" s="971"/>
      <c r="RBI47" s="971"/>
      <c r="RBJ47" s="971"/>
      <c r="RBK47" s="971"/>
      <c r="RBL47" s="971"/>
      <c r="RBM47" s="971"/>
      <c r="RBN47" s="971"/>
      <c r="RBO47" s="971"/>
      <c r="RBP47" s="971"/>
      <c r="RBQ47" s="971"/>
      <c r="RBR47" s="971"/>
      <c r="RBS47" s="971"/>
      <c r="RBT47" s="971"/>
      <c r="RBU47" s="971"/>
      <c r="RBV47" s="971"/>
      <c r="RBW47" s="971"/>
      <c r="RBX47" s="971"/>
      <c r="RBY47" s="971"/>
      <c r="RBZ47" s="971"/>
      <c r="RCA47" s="971"/>
      <c r="RCB47" s="971"/>
      <c r="RCC47" s="971"/>
      <c r="RCD47" s="971"/>
      <c r="RCE47" s="971"/>
      <c r="RCF47" s="971"/>
      <c r="RCG47" s="971"/>
      <c r="RCH47" s="971"/>
      <c r="RCI47" s="971"/>
      <c r="RCJ47" s="971"/>
      <c r="RCK47" s="971"/>
      <c r="RCL47" s="971"/>
      <c r="RCM47" s="971"/>
      <c r="RCN47" s="971"/>
      <c r="RCO47" s="971"/>
      <c r="RCP47" s="971"/>
      <c r="RCQ47" s="971"/>
      <c r="RCR47" s="971"/>
      <c r="RCS47" s="971"/>
      <c r="RCT47" s="971"/>
      <c r="RCU47" s="971"/>
      <c r="RCV47" s="971"/>
      <c r="RCW47" s="971"/>
      <c r="RCX47" s="971"/>
      <c r="RCY47" s="971"/>
      <c r="RCZ47" s="971"/>
      <c r="RDA47" s="971"/>
      <c r="RDB47" s="971"/>
      <c r="RDC47" s="971"/>
      <c r="RDD47" s="971"/>
      <c r="RDE47" s="971"/>
      <c r="RDF47" s="971"/>
      <c r="RDG47" s="971"/>
      <c r="RDH47" s="971"/>
      <c r="RDI47" s="971"/>
      <c r="RDJ47" s="971"/>
      <c r="RDK47" s="971"/>
      <c r="RDL47" s="971"/>
      <c r="RDM47" s="971"/>
      <c r="RDN47" s="971"/>
      <c r="RDO47" s="971"/>
      <c r="RDP47" s="971"/>
      <c r="RDQ47" s="971"/>
      <c r="RDR47" s="971"/>
      <c r="RDS47" s="971"/>
      <c r="RDT47" s="971"/>
      <c r="RDU47" s="971"/>
      <c r="RDV47" s="971"/>
      <c r="RDW47" s="971"/>
      <c r="RDX47" s="971"/>
      <c r="RDY47" s="971"/>
      <c r="RDZ47" s="971"/>
      <c r="REA47" s="971"/>
      <c r="REB47" s="971"/>
      <c r="REC47" s="971"/>
      <c r="RED47" s="971"/>
      <c r="REE47" s="971"/>
      <c r="REF47" s="971"/>
      <c r="REG47" s="971"/>
      <c r="REH47" s="971"/>
      <c r="REI47" s="971"/>
      <c r="REJ47" s="971"/>
      <c r="REK47" s="971"/>
      <c r="REL47" s="971"/>
      <c r="REM47" s="971"/>
      <c r="REN47" s="971"/>
      <c r="REO47" s="971"/>
      <c r="REP47" s="971"/>
      <c r="REQ47" s="971"/>
      <c r="RER47" s="971"/>
      <c r="RES47" s="971"/>
      <c r="RET47" s="971"/>
      <c r="REU47" s="971"/>
      <c r="REV47" s="971"/>
      <c r="REW47" s="971"/>
      <c r="REX47" s="971"/>
      <c r="REY47" s="971"/>
      <c r="REZ47" s="971"/>
      <c r="RFA47" s="971"/>
      <c r="RFB47" s="971"/>
      <c r="RFC47" s="971"/>
      <c r="RFD47" s="971"/>
      <c r="RFE47" s="971"/>
      <c r="RFF47" s="971"/>
      <c r="RFG47" s="971"/>
      <c r="RFH47" s="971"/>
      <c r="RFI47" s="971"/>
      <c r="RFJ47" s="971"/>
      <c r="RFK47" s="971"/>
      <c r="RFL47" s="971"/>
      <c r="RFM47" s="971"/>
      <c r="RFN47" s="971"/>
      <c r="RFO47" s="971"/>
      <c r="RFP47" s="971"/>
      <c r="RFQ47" s="971"/>
      <c r="RFR47" s="971"/>
      <c r="RFS47" s="971"/>
      <c r="RFT47" s="971"/>
      <c r="RFU47" s="971"/>
      <c r="RFV47" s="971"/>
      <c r="RFW47" s="971"/>
      <c r="RFX47" s="971"/>
      <c r="RFY47" s="971"/>
      <c r="RFZ47" s="971"/>
      <c r="RGA47" s="971"/>
      <c r="RGB47" s="971"/>
      <c r="RGC47" s="971"/>
      <c r="RGD47" s="971"/>
      <c r="RGE47" s="971"/>
      <c r="RGF47" s="971"/>
      <c r="RGG47" s="971"/>
      <c r="RGH47" s="971"/>
      <c r="RGI47" s="971"/>
      <c r="RGJ47" s="971"/>
      <c r="RGK47" s="971"/>
      <c r="RGL47" s="971"/>
      <c r="RGM47" s="971"/>
      <c r="RGN47" s="971"/>
      <c r="RGO47" s="971"/>
      <c r="RGP47" s="971"/>
      <c r="RGQ47" s="971"/>
      <c r="RGR47" s="971"/>
      <c r="RGS47" s="971"/>
      <c r="RGT47" s="971"/>
      <c r="RGU47" s="971"/>
      <c r="RGV47" s="971"/>
      <c r="RGW47" s="971"/>
      <c r="RGX47" s="971"/>
      <c r="RGY47" s="971"/>
      <c r="RGZ47" s="971"/>
      <c r="RHA47" s="971"/>
      <c r="RHB47" s="971"/>
      <c r="RHC47" s="971"/>
      <c r="RHD47" s="971"/>
      <c r="RHE47" s="971"/>
      <c r="RHF47" s="971"/>
      <c r="RHG47" s="971"/>
      <c r="RHH47" s="971"/>
      <c r="RHI47" s="971"/>
      <c r="RHJ47" s="971"/>
      <c r="RHK47" s="971"/>
      <c r="RHL47" s="971"/>
      <c r="RHM47" s="971"/>
      <c r="RHN47" s="971"/>
      <c r="RHO47" s="971"/>
      <c r="RHP47" s="971"/>
      <c r="RHQ47" s="971"/>
      <c r="RHR47" s="971"/>
      <c r="RHS47" s="971"/>
      <c r="RHT47" s="971"/>
      <c r="RHU47" s="971"/>
      <c r="RHV47" s="971"/>
      <c r="RHW47" s="971"/>
      <c r="RHX47" s="971"/>
      <c r="RHY47" s="971"/>
      <c r="RHZ47" s="971"/>
      <c r="RIA47" s="971"/>
      <c r="RIB47" s="971"/>
      <c r="RIC47" s="971"/>
      <c r="RID47" s="971"/>
      <c r="RIE47" s="971"/>
      <c r="RIF47" s="971"/>
      <c r="RIG47" s="971"/>
      <c r="RIH47" s="971"/>
      <c r="RII47" s="971"/>
      <c r="RIJ47" s="971"/>
      <c r="RIK47" s="971"/>
      <c r="RIL47" s="971"/>
      <c r="RIM47" s="971"/>
      <c r="RIN47" s="971"/>
      <c r="RIO47" s="971"/>
      <c r="RIP47" s="971"/>
      <c r="RIQ47" s="971"/>
      <c r="RIR47" s="971"/>
      <c r="RIS47" s="971"/>
      <c r="RIT47" s="971"/>
      <c r="RIU47" s="971"/>
      <c r="RIV47" s="971"/>
      <c r="RIW47" s="971"/>
      <c r="RIX47" s="971"/>
      <c r="RIY47" s="971"/>
      <c r="RIZ47" s="971"/>
      <c r="RJA47" s="971"/>
      <c r="RJB47" s="971"/>
      <c r="RJC47" s="971"/>
      <c r="RJD47" s="971"/>
      <c r="RJE47" s="971"/>
      <c r="RJF47" s="971"/>
      <c r="RJG47" s="971"/>
      <c r="RJH47" s="971"/>
      <c r="RJI47" s="971"/>
      <c r="RJJ47" s="971"/>
      <c r="RJK47" s="971"/>
      <c r="RJL47" s="971"/>
      <c r="RJM47" s="971"/>
      <c r="RJN47" s="971"/>
      <c r="RJO47" s="971"/>
      <c r="RJP47" s="971"/>
      <c r="RJQ47" s="971"/>
      <c r="RJR47" s="971"/>
      <c r="RJS47" s="971"/>
      <c r="RJT47" s="971"/>
      <c r="RJU47" s="971"/>
      <c r="RJV47" s="971"/>
      <c r="RJW47" s="971"/>
      <c r="RJX47" s="971"/>
      <c r="RJY47" s="971"/>
      <c r="RJZ47" s="971"/>
      <c r="RKA47" s="971"/>
      <c r="RKB47" s="971"/>
      <c r="RKC47" s="971"/>
      <c r="RKD47" s="971"/>
      <c r="RKE47" s="971"/>
      <c r="RKF47" s="971"/>
      <c r="RKG47" s="971"/>
      <c r="RKH47" s="971"/>
      <c r="RKI47" s="971"/>
      <c r="RKJ47" s="971"/>
      <c r="RKK47" s="971"/>
      <c r="RKL47" s="971"/>
      <c r="RKM47" s="971"/>
      <c r="RKN47" s="971"/>
      <c r="RKO47" s="971"/>
      <c r="RKP47" s="971"/>
      <c r="RKQ47" s="971"/>
      <c r="RKR47" s="971"/>
      <c r="RKS47" s="971"/>
      <c r="RKT47" s="971"/>
      <c r="RKU47" s="971"/>
      <c r="RKV47" s="971"/>
      <c r="RKW47" s="971"/>
      <c r="RKX47" s="971"/>
      <c r="RKY47" s="971"/>
      <c r="RKZ47" s="971"/>
      <c r="RLA47" s="971"/>
      <c r="RLB47" s="971"/>
      <c r="RLC47" s="971"/>
      <c r="RLD47" s="971"/>
      <c r="RLE47" s="971"/>
      <c r="RLF47" s="971"/>
      <c r="RLG47" s="971"/>
      <c r="RLH47" s="971"/>
      <c r="RLI47" s="971"/>
      <c r="RLJ47" s="971"/>
      <c r="RLK47" s="971"/>
      <c r="RLL47" s="971"/>
      <c r="RLM47" s="971"/>
      <c r="RLN47" s="971"/>
      <c r="RLO47" s="971"/>
      <c r="RLP47" s="971"/>
      <c r="RLQ47" s="971"/>
      <c r="RLR47" s="971"/>
      <c r="RLS47" s="971"/>
      <c r="RLT47" s="971"/>
      <c r="RLU47" s="971"/>
      <c r="RLV47" s="971"/>
      <c r="RLW47" s="971"/>
      <c r="RLX47" s="971"/>
      <c r="RLY47" s="971"/>
      <c r="RLZ47" s="971"/>
      <c r="RMA47" s="971"/>
      <c r="RMB47" s="971"/>
      <c r="RMC47" s="971"/>
      <c r="RMD47" s="971"/>
      <c r="RME47" s="971"/>
      <c r="RMF47" s="971"/>
      <c r="RMG47" s="971"/>
      <c r="RMH47" s="971"/>
      <c r="RMI47" s="971"/>
      <c r="RMJ47" s="971"/>
      <c r="RMK47" s="971"/>
      <c r="RML47" s="971"/>
      <c r="RMM47" s="971"/>
      <c r="RMN47" s="971"/>
      <c r="RMO47" s="971"/>
      <c r="RMP47" s="971"/>
      <c r="RMQ47" s="971"/>
      <c r="RMR47" s="971"/>
      <c r="RMS47" s="971"/>
      <c r="RMT47" s="971"/>
      <c r="RMU47" s="971"/>
      <c r="RMV47" s="971"/>
      <c r="RMW47" s="971"/>
      <c r="RMX47" s="971"/>
      <c r="RMY47" s="971"/>
      <c r="RMZ47" s="971"/>
      <c r="RNA47" s="971"/>
      <c r="RNB47" s="971"/>
      <c r="RNC47" s="971"/>
      <c r="RND47" s="971"/>
      <c r="RNE47" s="971"/>
      <c r="RNF47" s="971"/>
      <c r="RNG47" s="971"/>
      <c r="RNH47" s="971"/>
      <c r="RNI47" s="971"/>
      <c r="RNJ47" s="971"/>
      <c r="RNK47" s="971"/>
      <c r="RNL47" s="971"/>
      <c r="RNM47" s="971"/>
      <c r="RNN47" s="971"/>
      <c r="RNO47" s="971"/>
      <c r="RNP47" s="971"/>
      <c r="RNQ47" s="971"/>
      <c r="RNR47" s="971"/>
      <c r="RNS47" s="971"/>
      <c r="RNT47" s="971"/>
      <c r="RNU47" s="971"/>
      <c r="RNV47" s="971"/>
      <c r="RNW47" s="971"/>
      <c r="RNX47" s="971"/>
      <c r="RNY47" s="971"/>
      <c r="RNZ47" s="971"/>
      <c r="ROA47" s="971"/>
      <c r="ROB47" s="971"/>
      <c r="ROC47" s="971"/>
      <c r="ROD47" s="971"/>
      <c r="ROE47" s="971"/>
      <c r="ROF47" s="971"/>
      <c r="ROG47" s="971"/>
      <c r="ROH47" s="971"/>
      <c r="ROI47" s="971"/>
      <c r="ROJ47" s="971"/>
      <c r="ROK47" s="971"/>
      <c r="ROL47" s="971"/>
      <c r="ROM47" s="971"/>
      <c r="RON47" s="971"/>
      <c r="ROO47" s="971"/>
      <c r="ROP47" s="971"/>
      <c r="ROQ47" s="971"/>
      <c r="ROR47" s="971"/>
      <c r="ROS47" s="971"/>
      <c r="ROT47" s="971"/>
      <c r="ROU47" s="971"/>
      <c r="ROV47" s="971"/>
      <c r="ROW47" s="971"/>
      <c r="ROX47" s="971"/>
      <c r="ROY47" s="971"/>
      <c r="ROZ47" s="971"/>
      <c r="RPA47" s="971"/>
      <c r="RPB47" s="971"/>
      <c r="RPC47" s="971"/>
      <c r="RPD47" s="971"/>
      <c r="RPE47" s="971"/>
      <c r="RPF47" s="971"/>
      <c r="RPG47" s="971"/>
      <c r="RPH47" s="971"/>
      <c r="RPI47" s="971"/>
      <c r="RPJ47" s="971"/>
      <c r="RPK47" s="971"/>
      <c r="RPL47" s="971"/>
      <c r="RPM47" s="971"/>
      <c r="RPN47" s="971"/>
      <c r="RPO47" s="971"/>
      <c r="RPP47" s="971"/>
      <c r="RPQ47" s="971"/>
      <c r="RPR47" s="971"/>
      <c r="RPS47" s="971"/>
      <c r="RPT47" s="971"/>
      <c r="RPU47" s="971"/>
      <c r="RPV47" s="971"/>
      <c r="RPW47" s="971"/>
      <c r="RPX47" s="971"/>
      <c r="RPY47" s="971"/>
      <c r="RPZ47" s="971"/>
      <c r="RQA47" s="971"/>
      <c r="RQB47" s="971"/>
      <c r="RQC47" s="971"/>
      <c r="RQD47" s="971"/>
      <c r="RQE47" s="971"/>
      <c r="RQF47" s="971"/>
      <c r="RQG47" s="971"/>
      <c r="RQH47" s="971"/>
      <c r="RQI47" s="971"/>
      <c r="RQJ47" s="971"/>
      <c r="RQK47" s="971"/>
      <c r="RQL47" s="971"/>
      <c r="RQM47" s="971"/>
      <c r="RQN47" s="971"/>
      <c r="RQO47" s="971"/>
      <c r="RQP47" s="971"/>
      <c r="RQQ47" s="971"/>
      <c r="RQR47" s="971"/>
      <c r="RQS47" s="971"/>
      <c r="RQT47" s="971"/>
      <c r="RQU47" s="971"/>
      <c r="RQV47" s="971"/>
      <c r="RQW47" s="971"/>
      <c r="RQX47" s="971"/>
      <c r="RQY47" s="971"/>
      <c r="RQZ47" s="971"/>
      <c r="RRA47" s="971"/>
      <c r="RRB47" s="971"/>
      <c r="RRC47" s="971"/>
      <c r="RRD47" s="971"/>
      <c r="RRE47" s="971"/>
      <c r="RRF47" s="971"/>
      <c r="RRG47" s="971"/>
      <c r="RRH47" s="971"/>
      <c r="RRI47" s="971"/>
      <c r="RRJ47" s="971"/>
      <c r="RRK47" s="971"/>
      <c r="RRL47" s="971"/>
      <c r="RRM47" s="971"/>
      <c r="RRN47" s="971"/>
      <c r="RRO47" s="971"/>
      <c r="RRP47" s="971"/>
      <c r="RRQ47" s="971"/>
      <c r="RRR47" s="971"/>
      <c r="RRS47" s="971"/>
      <c r="RRT47" s="971"/>
      <c r="RRU47" s="971"/>
      <c r="RRV47" s="971"/>
      <c r="RRW47" s="971"/>
      <c r="RRX47" s="971"/>
      <c r="RRY47" s="971"/>
      <c r="RRZ47" s="971"/>
      <c r="RSA47" s="971"/>
      <c r="RSB47" s="971"/>
      <c r="RSC47" s="971"/>
      <c r="RSD47" s="971"/>
      <c r="RSE47" s="971"/>
      <c r="RSF47" s="971"/>
      <c r="RSG47" s="971"/>
      <c r="RSH47" s="971"/>
      <c r="RSI47" s="971"/>
      <c r="RSJ47" s="971"/>
      <c r="RSK47" s="971"/>
      <c r="RSL47" s="971"/>
      <c r="RSM47" s="971"/>
      <c r="RSN47" s="971"/>
      <c r="RSO47" s="971"/>
      <c r="RSP47" s="971"/>
      <c r="RSQ47" s="971"/>
      <c r="RSR47" s="971"/>
      <c r="RSS47" s="971"/>
      <c r="RST47" s="971"/>
      <c r="RSU47" s="971"/>
      <c r="RSV47" s="971"/>
      <c r="RSW47" s="971"/>
      <c r="RSX47" s="971"/>
      <c r="RSY47" s="971"/>
      <c r="RSZ47" s="971"/>
      <c r="RTA47" s="971"/>
      <c r="RTB47" s="971"/>
      <c r="RTC47" s="971"/>
      <c r="RTD47" s="971"/>
      <c r="RTE47" s="971"/>
      <c r="RTF47" s="971"/>
      <c r="RTG47" s="971"/>
      <c r="RTH47" s="971"/>
      <c r="RTI47" s="971"/>
      <c r="RTJ47" s="971"/>
      <c r="RTK47" s="971"/>
      <c r="RTL47" s="971"/>
      <c r="RTM47" s="971"/>
      <c r="RTN47" s="971"/>
      <c r="RTO47" s="971"/>
      <c r="RTP47" s="971"/>
      <c r="RTQ47" s="971"/>
      <c r="RTR47" s="971"/>
      <c r="RTS47" s="971"/>
      <c r="RTT47" s="971"/>
      <c r="RTU47" s="971"/>
      <c r="RTV47" s="971"/>
      <c r="RTW47" s="971"/>
      <c r="RTX47" s="971"/>
      <c r="RTY47" s="971"/>
      <c r="RTZ47" s="971"/>
      <c r="RUA47" s="971"/>
      <c r="RUB47" s="971"/>
      <c r="RUC47" s="971"/>
      <c r="RUD47" s="971"/>
      <c r="RUE47" s="971"/>
      <c r="RUF47" s="971"/>
      <c r="RUG47" s="971"/>
      <c r="RUH47" s="971"/>
      <c r="RUI47" s="971"/>
      <c r="RUJ47" s="971"/>
      <c r="RUK47" s="971"/>
      <c r="RUL47" s="971"/>
      <c r="RUM47" s="971"/>
      <c r="RUN47" s="971"/>
      <c r="RUO47" s="971"/>
      <c r="RUP47" s="971"/>
      <c r="RUQ47" s="971"/>
      <c r="RUR47" s="971"/>
      <c r="RUS47" s="971"/>
      <c r="RUT47" s="971"/>
      <c r="RUU47" s="971"/>
      <c r="RUV47" s="971"/>
      <c r="RUW47" s="971"/>
      <c r="RUX47" s="971"/>
      <c r="RUY47" s="971"/>
      <c r="RUZ47" s="971"/>
      <c r="RVA47" s="971"/>
      <c r="RVB47" s="971"/>
      <c r="RVC47" s="971"/>
      <c r="RVD47" s="971"/>
      <c r="RVE47" s="971"/>
      <c r="RVF47" s="971"/>
      <c r="RVG47" s="971"/>
      <c r="RVH47" s="971"/>
      <c r="RVI47" s="971"/>
      <c r="RVJ47" s="971"/>
      <c r="RVK47" s="971"/>
      <c r="RVL47" s="971"/>
      <c r="RVM47" s="971"/>
      <c r="RVN47" s="971"/>
      <c r="RVO47" s="971"/>
      <c r="RVP47" s="971"/>
      <c r="RVQ47" s="971"/>
      <c r="RVR47" s="971"/>
      <c r="RVS47" s="971"/>
      <c r="RVT47" s="971"/>
      <c r="RVU47" s="971"/>
      <c r="RVV47" s="971"/>
      <c r="RVW47" s="971"/>
      <c r="RVX47" s="971"/>
      <c r="RVY47" s="971"/>
      <c r="RVZ47" s="971"/>
      <c r="RWA47" s="971"/>
      <c r="RWB47" s="971"/>
      <c r="RWC47" s="971"/>
      <c r="RWD47" s="971"/>
      <c r="RWE47" s="971"/>
      <c r="RWF47" s="971"/>
      <c r="RWG47" s="971"/>
      <c r="RWH47" s="971"/>
      <c r="RWI47" s="971"/>
      <c r="RWJ47" s="971"/>
      <c r="RWK47" s="971"/>
      <c r="RWL47" s="971"/>
      <c r="RWM47" s="971"/>
      <c r="RWN47" s="971"/>
      <c r="RWO47" s="971"/>
      <c r="RWP47" s="971"/>
      <c r="RWQ47" s="971"/>
      <c r="RWR47" s="971"/>
      <c r="RWS47" s="971"/>
      <c r="RWT47" s="971"/>
      <c r="RWU47" s="971"/>
      <c r="RWV47" s="971"/>
      <c r="RWW47" s="971"/>
      <c r="RWX47" s="971"/>
      <c r="RWY47" s="971"/>
      <c r="RWZ47" s="971"/>
      <c r="RXA47" s="971"/>
      <c r="RXB47" s="971"/>
      <c r="RXC47" s="971"/>
      <c r="RXD47" s="971"/>
      <c r="RXE47" s="971"/>
      <c r="RXF47" s="971"/>
      <c r="RXG47" s="971"/>
      <c r="RXH47" s="971"/>
      <c r="RXI47" s="971"/>
      <c r="RXJ47" s="971"/>
      <c r="RXK47" s="971"/>
      <c r="RXL47" s="971"/>
      <c r="RXM47" s="971"/>
      <c r="RXN47" s="971"/>
      <c r="RXO47" s="971"/>
      <c r="RXP47" s="971"/>
      <c r="RXQ47" s="971"/>
      <c r="RXR47" s="971"/>
      <c r="RXS47" s="971"/>
      <c r="RXT47" s="971"/>
      <c r="RXU47" s="971"/>
      <c r="RXV47" s="971"/>
      <c r="RXW47" s="971"/>
      <c r="RXX47" s="971"/>
      <c r="RXY47" s="971"/>
      <c r="RXZ47" s="971"/>
      <c r="RYA47" s="971"/>
      <c r="RYB47" s="971"/>
      <c r="RYC47" s="971"/>
      <c r="RYD47" s="971"/>
      <c r="RYE47" s="971"/>
      <c r="RYF47" s="971"/>
      <c r="RYG47" s="971"/>
      <c r="RYH47" s="971"/>
      <c r="RYI47" s="971"/>
      <c r="RYJ47" s="971"/>
      <c r="RYK47" s="971"/>
      <c r="RYL47" s="971"/>
      <c r="RYM47" s="971"/>
      <c r="RYN47" s="971"/>
      <c r="RYO47" s="971"/>
      <c r="RYP47" s="971"/>
      <c r="RYQ47" s="971"/>
      <c r="RYR47" s="971"/>
      <c r="RYS47" s="971"/>
      <c r="RYT47" s="971"/>
      <c r="RYU47" s="971"/>
      <c r="RYV47" s="971"/>
      <c r="RYW47" s="971"/>
      <c r="RYX47" s="971"/>
      <c r="RYY47" s="971"/>
      <c r="RYZ47" s="971"/>
      <c r="RZA47" s="971"/>
      <c r="RZB47" s="971"/>
      <c r="RZC47" s="971"/>
      <c r="RZD47" s="971"/>
      <c r="RZE47" s="971"/>
      <c r="RZF47" s="971"/>
      <c r="RZG47" s="971"/>
      <c r="RZH47" s="971"/>
      <c r="RZI47" s="971"/>
      <c r="RZJ47" s="971"/>
      <c r="RZK47" s="971"/>
      <c r="RZL47" s="971"/>
      <c r="RZM47" s="971"/>
      <c r="RZN47" s="971"/>
      <c r="RZO47" s="971"/>
      <c r="RZP47" s="971"/>
      <c r="RZQ47" s="971"/>
      <c r="RZR47" s="971"/>
      <c r="RZS47" s="971"/>
      <c r="RZT47" s="971"/>
      <c r="RZU47" s="971"/>
      <c r="RZV47" s="971"/>
      <c r="RZW47" s="971"/>
      <c r="RZX47" s="971"/>
      <c r="RZY47" s="971"/>
      <c r="RZZ47" s="971"/>
      <c r="SAA47" s="971"/>
      <c r="SAB47" s="971"/>
      <c r="SAC47" s="971"/>
      <c r="SAD47" s="971"/>
      <c r="SAE47" s="971"/>
      <c r="SAF47" s="971"/>
      <c r="SAG47" s="971"/>
      <c r="SAH47" s="971"/>
      <c r="SAI47" s="971"/>
      <c r="SAJ47" s="971"/>
      <c r="SAK47" s="971"/>
      <c r="SAL47" s="971"/>
      <c r="SAM47" s="971"/>
      <c r="SAN47" s="971"/>
      <c r="SAO47" s="971"/>
      <c r="SAP47" s="971"/>
      <c r="SAQ47" s="971"/>
      <c r="SAR47" s="971"/>
      <c r="SAS47" s="971"/>
      <c r="SAT47" s="971"/>
      <c r="SAU47" s="971"/>
      <c r="SAV47" s="971"/>
      <c r="SAW47" s="971"/>
      <c r="SAX47" s="971"/>
      <c r="SAY47" s="971"/>
      <c r="SAZ47" s="971"/>
      <c r="SBA47" s="971"/>
      <c r="SBB47" s="971"/>
      <c r="SBC47" s="971"/>
      <c r="SBD47" s="971"/>
      <c r="SBE47" s="971"/>
      <c r="SBF47" s="971"/>
      <c r="SBG47" s="971"/>
      <c r="SBH47" s="971"/>
      <c r="SBI47" s="971"/>
      <c r="SBJ47" s="971"/>
      <c r="SBK47" s="971"/>
      <c r="SBL47" s="971"/>
      <c r="SBM47" s="971"/>
      <c r="SBN47" s="971"/>
      <c r="SBO47" s="971"/>
      <c r="SBP47" s="971"/>
      <c r="SBQ47" s="971"/>
      <c r="SBR47" s="971"/>
      <c r="SBS47" s="971"/>
      <c r="SBT47" s="971"/>
      <c r="SBU47" s="971"/>
      <c r="SBV47" s="971"/>
      <c r="SBW47" s="971"/>
      <c r="SBX47" s="971"/>
      <c r="SBY47" s="971"/>
      <c r="SBZ47" s="971"/>
      <c r="SCA47" s="971"/>
      <c r="SCB47" s="971"/>
      <c r="SCC47" s="971"/>
      <c r="SCD47" s="971"/>
      <c r="SCE47" s="971"/>
      <c r="SCF47" s="971"/>
      <c r="SCG47" s="971"/>
      <c r="SCH47" s="971"/>
      <c r="SCI47" s="971"/>
      <c r="SCJ47" s="971"/>
      <c r="SCK47" s="971"/>
      <c r="SCL47" s="971"/>
      <c r="SCM47" s="971"/>
      <c r="SCN47" s="971"/>
      <c r="SCO47" s="971"/>
      <c r="SCP47" s="971"/>
      <c r="SCQ47" s="971"/>
      <c r="SCR47" s="971"/>
      <c r="SCS47" s="971"/>
      <c r="SCT47" s="971"/>
      <c r="SCU47" s="971"/>
      <c r="SCV47" s="971"/>
      <c r="SCW47" s="971"/>
      <c r="SCX47" s="971"/>
      <c r="SCY47" s="971"/>
      <c r="SCZ47" s="971"/>
      <c r="SDA47" s="971"/>
      <c r="SDB47" s="971"/>
      <c r="SDC47" s="971"/>
      <c r="SDD47" s="971"/>
      <c r="SDE47" s="971"/>
      <c r="SDF47" s="971"/>
      <c r="SDG47" s="971"/>
      <c r="SDH47" s="971"/>
      <c r="SDI47" s="971"/>
      <c r="SDJ47" s="971"/>
      <c r="SDK47" s="971"/>
      <c r="SDL47" s="971"/>
      <c r="SDM47" s="971"/>
      <c r="SDN47" s="971"/>
      <c r="SDO47" s="971"/>
      <c r="SDP47" s="971"/>
      <c r="SDQ47" s="971"/>
      <c r="SDR47" s="971"/>
      <c r="SDS47" s="971"/>
      <c r="SDT47" s="971"/>
      <c r="SDU47" s="971"/>
      <c r="SDV47" s="971"/>
      <c r="SDW47" s="971"/>
      <c r="SDX47" s="971"/>
      <c r="SDY47" s="971"/>
      <c r="SDZ47" s="971"/>
      <c r="SEA47" s="971"/>
      <c r="SEB47" s="971"/>
      <c r="SEC47" s="971"/>
      <c r="SED47" s="971"/>
      <c r="SEE47" s="971"/>
      <c r="SEF47" s="971"/>
      <c r="SEG47" s="971"/>
      <c r="SEH47" s="971"/>
      <c r="SEI47" s="971"/>
      <c r="SEJ47" s="971"/>
      <c r="SEK47" s="971"/>
      <c r="SEL47" s="971"/>
      <c r="SEM47" s="971"/>
      <c r="SEN47" s="971"/>
      <c r="SEO47" s="971"/>
      <c r="SEP47" s="971"/>
      <c r="SEQ47" s="971"/>
      <c r="SER47" s="971"/>
      <c r="SES47" s="971"/>
      <c r="SET47" s="971"/>
      <c r="SEU47" s="971"/>
      <c r="SEV47" s="971"/>
      <c r="SEW47" s="971"/>
      <c r="SEX47" s="971"/>
      <c r="SEY47" s="971"/>
      <c r="SEZ47" s="971"/>
      <c r="SFA47" s="971"/>
      <c r="SFB47" s="971"/>
      <c r="SFC47" s="971"/>
      <c r="SFD47" s="971"/>
      <c r="SFE47" s="971"/>
      <c r="SFF47" s="971"/>
      <c r="SFG47" s="971"/>
      <c r="SFH47" s="971"/>
      <c r="SFI47" s="971"/>
      <c r="SFJ47" s="971"/>
      <c r="SFK47" s="971"/>
      <c r="SFL47" s="971"/>
      <c r="SFM47" s="971"/>
      <c r="SFN47" s="971"/>
      <c r="SFO47" s="971"/>
      <c r="SFP47" s="971"/>
      <c r="SFQ47" s="971"/>
      <c r="SFR47" s="971"/>
      <c r="SFS47" s="971"/>
      <c r="SFT47" s="971"/>
      <c r="SFU47" s="971"/>
      <c r="SFV47" s="971"/>
      <c r="SFW47" s="971"/>
      <c r="SFX47" s="971"/>
      <c r="SFY47" s="971"/>
      <c r="SFZ47" s="971"/>
      <c r="SGA47" s="971"/>
      <c r="SGB47" s="971"/>
      <c r="SGC47" s="971"/>
      <c r="SGD47" s="971"/>
      <c r="SGE47" s="971"/>
      <c r="SGF47" s="971"/>
      <c r="SGG47" s="971"/>
      <c r="SGH47" s="971"/>
      <c r="SGI47" s="971"/>
      <c r="SGJ47" s="971"/>
      <c r="SGK47" s="971"/>
      <c r="SGL47" s="971"/>
      <c r="SGM47" s="971"/>
      <c r="SGN47" s="971"/>
      <c r="SGO47" s="971"/>
      <c r="SGP47" s="971"/>
      <c r="SGQ47" s="971"/>
      <c r="SGR47" s="971"/>
      <c r="SGS47" s="971"/>
      <c r="SGT47" s="971"/>
      <c r="SGU47" s="971"/>
      <c r="SGV47" s="971"/>
      <c r="SGW47" s="971"/>
      <c r="SGX47" s="971"/>
      <c r="SGY47" s="971"/>
      <c r="SGZ47" s="971"/>
      <c r="SHA47" s="971"/>
      <c r="SHB47" s="971"/>
      <c r="SHC47" s="971"/>
      <c r="SHD47" s="971"/>
      <c r="SHE47" s="971"/>
      <c r="SHF47" s="971"/>
      <c r="SHG47" s="971"/>
      <c r="SHH47" s="971"/>
      <c r="SHI47" s="971"/>
      <c r="SHJ47" s="971"/>
      <c r="SHK47" s="971"/>
      <c r="SHL47" s="971"/>
      <c r="SHM47" s="971"/>
      <c r="SHN47" s="971"/>
      <c r="SHO47" s="971"/>
      <c r="SHP47" s="971"/>
      <c r="SHQ47" s="971"/>
      <c r="SHR47" s="971"/>
      <c r="SHS47" s="971"/>
      <c r="SHT47" s="971"/>
      <c r="SHU47" s="971"/>
      <c r="SHV47" s="971"/>
      <c r="SHW47" s="971"/>
      <c r="SHX47" s="971"/>
      <c r="SHY47" s="971"/>
      <c r="SHZ47" s="971"/>
      <c r="SIA47" s="971"/>
      <c r="SIB47" s="971"/>
      <c r="SIC47" s="971"/>
      <c r="SID47" s="971"/>
      <c r="SIE47" s="971"/>
      <c r="SIF47" s="971"/>
      <c r="SIG47" s="971"/>
      <c r="SIH47" s="971"/>
      <c r="SII47" s="971"/>
      <c r="SIJ47" s="971"/>
      <c r="SIK47" s="971"/>
      <c r="SIL47" s="971"/>
      <c r="SIM47" s="971"/>
      <c r="SIN47" s="971"/>
      <c r="SIO47" s="971"/>
      <c r="SIP47" s="971"/>
      <c r="SIQ47" s="971"/>
      <c r="SIR47" s="971"/>
      <c r="SIS47" s="971"/>
      <c r="SIT47" s="971"/>
      <c r="SIU47" s="971"/>
      <c r="SIV47" s="971"/>
      <c r="SIW47" s="971"/>
      <c r="SIX47" s="971"/>
      <c r="SIY47" s="971"/>
      <c r="SIZ47" s="971"/>
      <c r="SJA47" s="971"/>
      <c r="SJB47" s="971"/>
      <c r="SJC47" s="971"/>
      <c r="SJD47" s="971"/>
      <c r="SJE47" s="971"/>
      <c r="SJF47" s="971"/>
      <c r="SJG47" s="971"/>
      <c r="SJH47" s="971"/>
      <c r="SJI47" s="971"/>
      <c r="SJJ47" s="971"/>
      <c r="SJK47" s="971"/>
      <c r="SJL47" s="971"/>
      <c r="SJM47" s="971"/>
      <c r="SJN47" s="971"/>
      <c r="SJO47" s="971"/>
      <c r="SJP47" s="971"/>
      <c r="SJQ47" s="971"/>
      <c r="SJR47" s="971"/>
      <c r="SJS47" s="971"/>
      <c r="SJT47" s="971"/>
      <c r="SJU47" s="971"/>
      <c r="SJV47" s="971"/>
      <c r="SJW47" s="971"/>
      <c r="SJX47" s="971"/>
      <c r="SJY47" s="971"/>
      <c r="SJZ47" s="971"/>
      <c r="SKA47" s="971"/>
      <c r="SKB47" s="971"/>
      <c r="SKC47" s="971"/>
      <c r="SKD47" s="971"/>
      <c r="SKE47" s="971"/>
      <c r="SKF47" s="971"/>
      <c r="SKG47" s="971"/>
      <c r="SKH47" s="971"/>
      <c r="SKI47" s="971"/>
      <c r="SKJ47" s="971"/>
      <c r="SKK47" s="971"/>
      <c r="SKL47" s="971"/>
      <c r="SKM47" s="971"/>
      <c r="SKN47" s="971"/>
      <c r="SKO47" s="971"/>
      <c r="SKP47" s="971"/>
      <c r="SKQ47" s="971"/>
      <c r="SKR47" s="971"/>
      <c r="SKS47" s="971"/>
      <c r="SKT47" s="971"/>
      <c r="SKU47" s="971"/>
      <c r="SKV47" s="971"/>
      <c r="SKW47" s="971"/>
      <c r="SKX47" s="971"/>
      <c r="SKY47" s="971"/>
      <c r="SKZ47" s="971"/>
      <c r="SLA47" s="971"/>
      <c r="SLB47" s="971"/>
      <c r="SLC47" s="971"/>
      <c r="SLD47" s="971"/>
      <c r="SLE47" s="971"/>
      <c r="SLF47" s="971"/>
      <c r="SLG47" s="971"/>
      <c r="SLH47" s="971"/>
      <c r="SLI47" s="971"/>
      <c r="SLJ47" s="971"/>
      <c r="SLK47" s="971"/>
      <c r="SLL47" s="971"/>
      <c r="SLM47" s="971"/>
      <c r="SLN47" s="971"/>
      <c r="SLO47" s="971"/>
      <c r="SLP47" s="971"/>
      <c r="SLQ47" s="971"/>
      <c r="SLR47" s="971"/>
      <c r="SLS47" s="971"/>
      <c r="SLT47" s="971"/>
      <c r="SLU47" s="971"/>
      <c r="SLV47" s="971"/>
      <c r="SLW47" s="971"/>
      <c r="SLX47" s="971"/>
      <c r="SLY47" s="971"/>
      <c r="SLZ47" s="971"/>
      <c r="SMA47" s="971"/>
      <c r="SMB47" s="971"/>
      <c r="SMC47" s="971"/>
      <c r="SMD47" s="971"/>
      <c r="SME47" s="971"/>
      <c r="SMF47" s="971"/>
      <c r="SMG47" s="971"/>
      <c r="SMH47" s="971"/>
      <c r="SMI47" s="971"/>
      <c r="SMJ47" s="971"/>
      <c r="SMK47" s="971"/>
      <c r="SML47" s="971"/>
      <c r="SMM47" s="971"/>
      <c r="SMN47" s="971"/>
      <c r="SMO47" s="971"/>
      <c r="SMP47" s="971"/>
      <c r="SMQ47" s="971"/>
      <c r="SMR47" s="971"/>
      <c r="SMS47" s="971"/>
      <c r="SMT47" s="971"/>
      <c r="SMU47" s="971"/>
      <c r="SMV47" s="971"/>
      <c r="SMW47" s="971"/>
      <c r="SMX47" s="971"/>
      <c r="SMY47" s="971"/>
      <c r="SMZ47" s="971"/>
      <c r="SNA47" s="971"/>
      <c r="SNB47" s="971"/>
      <c r="SNC47" s="971"/>
      <c r="SND47" s="971"/>
      <c r="SNE47" s="971"/>
      <c r="SNF47" s="971"/>
      <c r="SNG47" s="971"/>
      <c r="SNH47" s="971"/>
      <c r="SNI47" s="971"/>
      <c r="SNJ47" s="971"/>
      <c r="SNK47" s="971"/>
      <c r="SNL47" s="971"/>
      <c r="SNM47" s="971"/>
      <c r="SNN47" s="971"/>
      <c r="SNO47" s="971"/>
      <c r="SNP47" s="971"/>
      <c r="SNQ47" s="971"/>
      <c r="SNR47" s="971"/>
      <c r="SNS47" s="971"/>
      <c r="SNT47" s="971"/>
      <c r="SNU47" s="971"/>
      <c r="SNV47" s="971"/>
      <c r="SNW47" s="971"/>
      <c r="SNX47" s="971"/>
      <c r="SNY47" s="971"/>
      <c r="SNZ47" s="971"/>
      <c r="SOA47" s="971"/>
      <c r="SOB47" s="971"/>
      <c r="SOC47" s="971"/>
      <c r="SOD47" s="971"/>
      <c r="SOE47" s="971"/>
      <c r="SOF47" s="971"/>
      <c r="SOG47" s="971"/>
      <c r="SOH47" s="971"/>
      <c r="SOI47" s="971"/>
      <c r="SOJ47" s="971"/>
      <c r="SOK47" s="971"/>
      <c r="SOL47" s="971"/>
      <c r="SOM47" s="971"/>
      <c r="SON47" s="971"/>
      <c r="SOO47" s="971"/>
      <c r="SOP47" s="971"/>
      <c r="SOQ47" s="971"/>
      <c r="SOR47" s="971"/>
      <c r="SOS47" s="971"/>
      <c r="SOT47" s="971"/>
      <c r="SOU47" s="971"/>
      <c r="SOV47" s="971"/>
      <c r="SOW47" s="971"/>
      <c r="SOX47" s="971"/>
      <c r="SOY47" s="971"/>
      <c r="SOZ47" s="971"/>
      <c r="SPA47" s="971"/>
      <c r="SPB47" s="971"/>
      <c r="SPC47" s="971"/>
      <c r="SPD47" s="971"/>
      <c r="SPE47" s="971"/>
      <c r="SPF47" s="971"/>
      <c r="SPG47" s="971"/>
      <c r="SPH47" s="971"/>
      <c r="SPI47" s="971"/>
      <c r="SPJ47" s="971"/>
      <c r="SPK47" s="971"/>
      <c r="SPL47" s="971"/>
      <c r="SPM47" s="971"/>
      <c r="SPN47" s="971"/>
      <c r="SPO47" s="971"/>
      <c r="SPP47" s="971"/>
      <c r="SPQ47" s="971"/>
      <c r="SPR47" s="971"/>
      <c r="SPS47" s="971"/>
      <c r="SPT47" s="971"/>
      <c r="SPU47" s="971"/>
      <c r="SPV47" s="971"/>
      <c r="SPW47" s="971"/>
      <c r="SPX47" s="971"/>
      <c r="SPY47" s="971"/>
      <c r="SPZ47" s="971"/>
      <c r="SQA47" s="971"/>
      <c r="SQB47" s="971"/>
      <c r="SQC47" s="971"/>
      <c r="SQD47" s="971"/>
      <c r="SQE47" s="971"/>
      <c r="SQF47" s="971"/>
      <c r="SQG47" s="971"/>
      <c r="SQH47" s="971"/>
      <c r="SQI47" s="971"/>
      <c r="SQJ47" s="971"/>
      <c r="SQK47" s="971"/>
      <c r="SQL47" s="971"/>
      <c r="SQM47" s="971"/>
      <c r="SQN47" s="971"/>
      <c r="SQO47" s="971"/>
      <c r="SQP47" s="971"/>
      <c r="SQQ47" s="971"/>
      <c r="SQR47" s="971"/>
      <c r="SQS47" s="971"/>
      <c r="SQT47" s="971"/>
      <c r="SQU47" s="971"/>
      <c r="SQV47" s="971"/>
      <c r="SQW47" s="971"/>
      <c r="SQX47" s="971"/>
      <c r="SQY47" s="971"/>
      <c r="SQZ47" s="971"/>
      <c r="SRA47" s="971"/>
      <c r="SRB47" s="971"/>
      <c r="SRC47" s="971"/>
      <c r="SRD47" s="971"/>
      <c r="SRE47" s="971"/>
      <c r="SRF47" s="971"/>
      <c r="SRG47" s="971"/>
      <c r="SRH47" s="971"/>
      <c r="SRI47" s="971"/>
      <c r="SRJ47" s="971"/>
      <c r="SRK47" s="971"/>
      <c r="SRL47" s="971"/>
      <c r="SRM47" s="971"/>
      <c r="SRN47" s="971"/>
      <c r="SRO47" s="971"/>
      <c r="SRP47" s="971"/>
      <c r="SRQ47" s="971"/>
      <c r="SRR47" s="971"/>
      <c r="SRS47" s="971"/>
      <c r="SRT47" s="971"/>
      <c r="SRU47" s="971"/>
      <c r="SRV47" s="971"/>
      <c r="SRW47" s="971"/>
      <c r="SRX47" s="971"/>
      <c r="SRY47" s="971"/>
      <c r="SRZ47" s="971"/>
      <c r="SSA47" s="971"/>
      <c r="SSB47" s="971"/>
      <c r="SSC47" s="971"/>
      <c r="SSD47" s="971"/>
      <c r="SSE47" s="971"/>
      <c r="SSF47" s="971"/>
      <c r="SSG47" s="971"/>
      <c r="SSH47" s="971"/>
      <c r="SSI47" s="971"/>
      <c r="SSJ47" s="971"/>
      <c r="SSK47" s="971"/>
      <c r="SSL47" s="971"/>
      <c r="SSM47" s="971"/>
      <c r="SSN47" s="971"/>
      <c r="SSO47" s="971"/>
      <c r="SSP47" s="971"/>
      <c r="SSQ47" s="971"/>
      <c r="SSR47" s="971"/>
      <c r="SSS47" s="971"/>
      <c r="SST47" s="971"/>
      <c r="SSU47" s="971"/>
      <c r="SSV47" s="971"/>
      <c r="SSW47" s="971"/>
      <c r="SSX47" s="971"/>
      <c r="SSY47" s="971"/>
      <c r="SSZ47" s="971"/>
      <c r="STA47" s="971"/>
      <c r="STB47" s="971"/>
      <c r="STC47" s="971"/>
      <c r="STD47" s="971"/>
      <c r="STE47" s="971"/>
      <c r="STF47" s="971"/>
      <c r="STG47" s="971"/>
      <c r="STH47" s="971"/>
      <c r="STI47" s="971"/>
      <c r="STJ47" s="971"/>
      <c r="STK47" s="971"/>
      <c r="STL47" s="971"/>
      <c r="STM47" s="971"/>
      <c r="STN47" s="971"/>
      <c r="STO47" s="971"/>
      <c r="STP47" s="971"/>
      <c r="STQ47" s="971"/>
      <c r="STR47" s="971"/>
      <c r="STS47" s="971"/>
      <c r="STT47" s="971"/>
      <c r="STU47" s="971"/>
      <c r="STV47" s="971"/>
      <c r="STW47" s="971"/>
      <c r="STX47" s="971"/>
      <c r="STY47" s="971"/>
      <c r="STZ47" s="971"/>
      <c r="SUA47" s="971"/>
      <c r="SUB47" s="971"/>
      <c r="SUC47" s="971"/>
      <c r="SUD47" s="971"/>
      <c r="SUE47" s="971"/>
      <c r="SUF47" s="971"/>
      <c r="SUG47" s="971"/>
      <c r="SUH47" s="971"/>
      <c r="SUI47" s="971"/>
      <c r="SUJ47" s="971"/>
      <c r="SUK47" s="971"/>
      <c r="SUL47" s="971"/>
      <c r="SUM47" s="971"/>
      <c r="SUN47" s="971"/>
      <c r="SUO47" s="971"/>
      <c r="SUP47" s="971"/>
      <c r="SUQ47" s="971"/>
      <c r="SUR47" s="971"/>
      <c r="SUS47" s="971"/>
      <c r="SUT47" s="971"/>
      <c r="SUU47" s="971"/>
      <c r="SUV47" s="971"/>
      <c r="SUW47" s="971"/>
      <c r="SUX47" s="971"/>
      <c r="SUY47" s="971"/>
      <c r="SUZ47" s="971"/>
      <c r="SVA47" s="971"/>
      <c r="SVB47" s="971"/>
      <c r="SVC47" s="971"/>
      <c r="SVD47" s="971"/>
      <c r="SVE47" s="971"/>
      <c r="SVF47" s="971"/>
      <c r="SVG47" s="971"/>
      <c r="SVH47" s="971"/>
      <c r="SVI47" s="971"/>
      <c r="SVJ47" s="971"/>
      <c r="SVK47" s="971"/>
      <c r="SVL47" s="971"/>
      <c r="SVM47" s="971"/>
      <c r="SVN47" s="971"/>
      <c r="SVO47" s="971"/>
      <c r="SVP47" s="971"/>
      <c r="SVQ47" s="971"/>
      <c r="SVR47" s="971"/>
      <c r="SVS47" s="971"/>
      <c r="SVT47" s="971"/>
      <c r="SVU47" s="971"/>
      <c r="SVV47" s="971"/>
      <c r="SVW47" s="971"/>
      <c r="SVX47" s="971"/>
      <c r="SVY47" s="971"/>
      <c r="SVZ47" s="971"/>
      <c r="SWA47" s="971"/>
      <c r="SWB47" s="971"/>
      <c r="SWC47" s="971"/>
      <c r="SWD47" s="971"/>
      <c r="SWE47" s="971"/>
      <c r="SWF47" s="971"/>
      <c r="SWG47" s="971"/>
      <c r="SWH47" s="971"/>
      <c r="SWI47" s="971"/>
      <c r="SWJ47" s="971"/>
      <c r="SWK47" s="971"/>
      <c r="SWL47" s="971"/>
      <c r="SWM47" s="971"/>
      <c r="SWN47" s="971"/>
      <c r="SWO47" s="971"/>
      <c r="SWP47" s="971"/>
      <c r="SWQ47" s="971"/>
      <c r="SWR47" s="971"/>
      <c r="SWS47" s="971"/>
      <c r="SWT47" s="971"/>
      <c r="SWU47" s="971"/>
      <c r="SWV47" s="971"/>
      <c r="SWW47" s="971"/>
      <c r="SWX47" s="971"/>
      <c r="SWY47" s="971"/>
      <c r="SWZ47" s="971"/>
      <c r="SXA47" s="971"/>
      <c r="SXB47" s="971"/>
      <c r="SXC47" s="971"/>
      <c r="SXD47" s="971"/>
      <c r="SXE47" s="971"/>
      <c r="SXF47" s="971"/>
      <c r="SXG47" s="971"/>
      <c r="SXH47" s="971"/>
      <c r="SXI47" s="971"/>
      <c r="SXJ47" s="971"/>
      <c r="SXK47" s="971"/>
      <c r="SXL47" s="971"/>
      <c r="SXM47" s="971"/>
      <c r="SXN47" s="971"/>
      <c r="SXO47" s="971"/>
      <c r="SXP47" s="971"/>
      <c r="SXQ47" s="971"/>
      <c r="SXR47" s="971"/>
      <c r="SXS47" s="971"/>
      <c r="SXT47" s="971"/>
      <c r="SXU47" s="971"/>
      <c r="SXV47" s="971"/>
      <c r="SXW47" s="971"/>
      <c r="SXX47" s="971"/>
      <c r="SXY47" s="971"/>
      <c r="SXZ47" s="971"/>
      <c r="SYA47" s="971"/>
      <c r="SYB47" s="971"/>
      <c r="SYC47" s="971"/>
      <c r="SYD47" s="971"/>
      <c r="SYE47" s="971"/>
      <c r="SYF47" s="971"/>
      <c r="SYG47" s="971"/>
      <c r="SYH47" s="971"/>
      <c r="SYI47" s="971"/>
      <c r="SYJ47" s="971"/>
      <c r="SYK47" s="971"/>
      <c r="SYL47" s="971"/>
      <c r="SYM47" s="971"/>
      <c r="SYN47" s="971"/>
      <c r="SYO47" s="971"/>
      <c r="SYP47" s="971"/>
      <c r="SYQ47" s="971"/>
      <c r="SYR47" s="971"/>
      <c r="SYS47" s="971"/>
      <c r="SYT47" s="971"/>
      <c r="SYU47" s="971"/>
      <c r="SYV47" s="971"/>
      <c r="SYW47" s="971"/>
      <c r="SYX47" s="971"/>
      <c r="SYY47" s="971"/>
      <c r="SYZ47" s="971"/>
      <c r="SZA47" s="971"/>
      <c r="SZB47" s="971"/>
      <c r="SZC47" s="971"/>
      <c r="SZD47" s="971"/>
      <c r="SZE47" s="971"/>
      <c r="SZF47" s="971"/>
      <c r="SZG47" s="971"/>
      <c r="SZH47" s="971"/>
      <c r="SZI47" s="971"/>
      <c r="SZJ47" s="971"/>
      <c r="SZK47" s="971"/>
      <c r="SZL47" s="971"/>
      <c r="SZM47" s="971"/>
      <c r="SZN47" s="971"/>
      <c r="SZO47" s="971"/>
      <c r="SZP47" s="971"/>
      <c r="SZQ47" s="971"/>
      <c r="SZR47" s="971"/>
      <c r="SZS47" s="971"/>
      <c r="SZT47" s="971"/>
      <c r="SZU47" s="971"/>
      <c r="SZV47" s="971"/>
      <c r="SZW47" s="971"/>
      <c r="SZX47" s="971"/>
      <c r="SZY47" s="971"/>
      <c r="SZZ47" s="971"/>
      <c r="TAA47" s="971"/>
      <c r="TAB47" s="971"/>
      <c r="TAC47" s="971"/>
      <c r="TAD47" s="971"/>
      <c r="TAE47" s="971"/>
      <c r="TAF47" s="971"/>
      <c r="TAG47" s="971"/>
      <c r="TAH47" s="971"/>
      <c r="TAI47" s="971"/>
      <c r="TAJ47" s="971"/>
      <c r="TAK47" s="971"/>
      <c r="TAL47" s="971"/>
      <c r="TAM47" s="971"/>
      <c r="TAN47" s="971"/>
      <c r="TAO47" s="971"/>
      <c r="TAP47" s="971"/>
      <c r="TAQ47" s="971"/>
      <c r="TAR47" s="971"/>
      <c r="TAS47" s="971"/>
      <c r="TAT47" s="971"/>
      <c r="TAU47" s="971"/>
      <c r="TAV47" s="971"/>
      <c r="TAW47" s="971"/>
      <c r="TAX47" s="971"/>
      <c r="TAY47" s="971"/>
      <c r="TAZ47" s="971"/>
      <c r="TBA47" s="971"/>
      <c r="TBB47" s="971"/>
      <c r="TBC47" s="971"/>
      <c r="TBD47" s="971"/>
      <c r="TBE47" s="971"/>
      <c r="TBF47" s="971"/>
      <c r="TBG47" s="971"/>
      <c r="TBH47" s="971"/>
      <c r="TBI47" s="971"/>
      <c r="TBJ47" s="971"/>
      <c r="TBK47" s="971"/>
      <c r="TBL47" s="971"/>
      <c r="TBM47" s="971"/>
      <c r="TBN47" s="971"/>
      <c r="TBO47" s="971"/>
      <c r="TBP47" s="971"/>
      <c r="TBQ47" s="971"/>
      <c r="TBR47" s="971"/>
      <c r="TBS47" s="971"/>
      <c r="TBT47" s="971"/>
      <c r="TBU47" s="971"/>
      <c r="TBV47" s="971"/>
      <c r="TBW47" s="971"/>
      <c r="TBX47" s="971"/>
      <c r="TBY47" s="971"/>
      <c r="TBZ47" s="971"/>
      <c r="TCA47" s="971"/>
      <c r="TCB47" s="971"/>
      <c r="TCC47" s="971"/>
      <c r="TCD47" s="971"/>
      <c r="TCE47" s="971"/>
      <c r="TCF47" s="971"/>
      <c r="TCG47" s="971"/>
      <c r="TCH47" s="971"/>
      <c r="TCI47" s="971"/>
      <c r="TCJ47" s="971"/>
      <c r="TCK47" s="971"/>
      <c r="TCL47" s="971"/>
      <c r="TCM47" s="971"/>
      <c r="TCN47" s="971"/>
      <c r="TCO47" s="971"/>
      <c r="TCP47" s="971"/>
      <c r="TCQ47" s="971"/>
      <c r="TCR47" s="971"/>
      <c r="TCS47" s="971"/>
      <c r="TCT47" s="971"/>
      <c r="TCU47" s="971"/>
      <c r="TCV47" s="971"/>
      <c r="TCW47" s="971"/>
      <c r="TCX47" s="971"/>
      <c r="TCY47" s="971"/>
      <c r="TCZ47" s="971"/>
      <c r="TDA47" s="971"/>
      <c r="TDB47" s="971"/>
      <c r="TDC47" s="971"/>
      <c r="TDD47" s="971"/>
      <c r="TDE47" s="971"/>
      <c r="TDF47" s="971"/>
      <c r="TDG47" s="971"/>
      <c r="TDH47" s="971"/>
      <c r="TDI47" s="971"/>
      <c r="TDJ47" s="971"/>
      <c r="TDK47" s="971"/>
      <c r="TDL47" s="971"/>
      <c r="TDM47" s="971"/>
      <c r="TDN47" s="971"/>
      <c r="TDO47" s="971"/>
      <c r="TDP47" s="971"/>
      <c r="TDQ47" s="971"/>
      <c r="TDR47" s="971"/>
      <c r="TDS47" s="971"/>
      <c r="TDT47" s="971"/>
      <c r="TDU47" s="971"/>
      <c r="TDV47" s="971"/>
      <c r="TDW47" s="971"/>
      <c r="TDX47" s="971"/>
      <c r="TDY47" s="971"/>
      <c r="TDZ47" s="971"/>
      <c r="TEA47" s="971"/>
      <c r="TEB47" s="971"/>
      <c r="TEC47" s="971"/>
      <c r="TED47" s="971"/>
      <c r="TEE47" s="971"/>
      <c r="TEF47" s="971"/>
      <c r="TEG47" s="971"/>
      <c r="TEH47" s="971"/>
      <c r="TEI47" s="971"/>
      <c r="TEJ47" s="971"/>
      <c r="TEK47" s="971"/>
      <c r="TEL47" s="971"/>
      <c r="TEM47" s="971"/>
      <c r="TEN47" s="971"/>
      <c r="TEO47" s="971"/>
      <c r="TEP47" s="971"/>
      <c r="TEQ47" s="971"/>
      <c r="TER47" s="971"/>
      <c r="TES47" s="971"/>
      <c r="TET47" s="971"/>
      <c r="TEU47" s="971"/>
      <c r="TEV47" s="971"/>
      <c r="TEW47" s="971"/>
      <c r="TEX47" s="971"/>
      <c r="TEY47" s="971"/>
      <c r="TEZ47" s="971"/>
      <c r="TFA47" s="971"/>
      <c r="TFB47" s="971"/>
      <c r="TFC47" s="971"/>
      <c r="TFD47" s="971"/>
      <c r="TFE47" s="971"/>
      <c r="TFF47" s="971"/>
      <c r="TFG47" s="971"/>
      <c r="TFH47" s="971"/>
      <c r="TFI47" s="971"/>
      <c r="TFJ47" s="971"/>
      <c r="TFK47" s="971"/>
      <c r="TFL47" s="971"/>
      <c r="TFM47" s="971"/>
      <c r="TFN47" s="971"/>
      <c r="TFO47" s="971"/>
      <c r="TFP47" s="971"/>
      <c r="TFQ47" s="971"/>
      <c r="TFR47" s="971"/>
      <c r="TFS47" s="971"/>
      <c r="TFT47" s="971"/>
      <c r="TFU47" s="971"/>
      <c r="TFV47" s="971"/>
      <c r="TFW47" s="971"/>
      <c r="TFX47" s="971"/>
      <c r="TFY47" s="971"/>
      <c r="TFZ47" s="971"/>
      <c r="TGA47" s="971"/>
      <c r="TGB47" s="971"/>
      <c r="TGC47" s="971"/>
      <c r="TGD47" s="971"/>
      <c r="TGE47" s="971"/>
      <c r="TGF47" s="971"/>
      <c r="TGG47" s="971"/>
      <c r="TGH47" s="971"/>
      <c r="TGI47" s="971"/>
      <c r="TGJ47" s="971"/>
      <c r="TGK47" s="971"/>
      <c r="TGL47" s="971"/>
      <c r="TGM47" s="971"/>
      <c r="TGN47" s="971"/>
      <c r="TGO47" s="971"/>
      <c r="TGP47" s="971"/>
      <c r="TGQ47" s="971"/>
      <c r="TGR47" s="971"/>
      <c r="TGS47" s="971"/>
      <c r="TGT47" s="971"/>
      <c r="TGU47" s="971"/>
      <c r="TGV47" s="971"/>
      <c r="TGW47" s="971"/>
      <c r="TGX47" s="971"/>
      <c r="TGY47" s="971"/>
      <c r="TGZ47" s="971"/>
      <c r="THA47" s="971"/>
      <c r="THB47" s="971"/>
      <c r="THC47" s="971"/>
      <c r="THD47" s="971"/>
      <c r="THE47" s="971"/>
      <c r="THF47" s="971"/>
      <c r="THG47" s="971"/>
      <c r="THH47" s="971"/>
      <c r="THI47" s="971"/>
      <c r="THJ47" s="971"/>
      <c r="THK47" s="971"/>
      <c r="THL47" s="971"/>
      <c r="THM47" s="971"/>
      <c r="THN47" s="971"/>
      <c r="THO47" s="971"/>
      <c r="THP47" s="971"/>
      <c r="THQ47" s="971"/>
      <c r="THR47" s="971"/>
      <c r="THS47" s="971"/>
      <c r="THT47" s="971"/>
      <c r="THU47" s="971"/>
      <c r="THV47" s="971"/>
      <c r="THW47" s="971"/>
      <c r="THX47" s="971"/>
      <c r="THY47" s="971"/>
      <c r="THZ47" s="971"/>
      <c r="TIA47" s="971"/>
      <c r="TIB47" s="971"/>
      <c r="TIC47" s="971"/>
      <c r="TID47" s="971"/>
      <c r="TIE47" s="971"/>
      <c r="TIF47" s="971"/>
      <c r="TIG47" s="971"/>
      <c r="TIH47" s="971"/>
      <c r="TII47" s="971"/>
      <c r="TIJ47" s="971"/>
      <c r="TIK47" s="971"/>
      <c r="TIL47" s="971"/>
      <c r="TIM47" s="971"/>
      <c r="TIN47" s="971"/>
      <c r="TIO47" s="971"/>
      <c r="TIP47" s="971"/>
      <c r="TIQ47" s="971"/>
      <c r="TIR47" s="971"/>
      <c r="TIS47" s="971"/>
      <c r="TIT47" s="971"/>
      <c r="TIU47" s="971"/>
      <c r="TIV47" s="971"/>
      <c r="TIW47" s="971"/>
      <c r="TIX47" s="971"/>
      <c r="TIY47" s="971"/>
      <c r="TIZ47" s="971"/>
      <c r="TJA47" s="971"/>
      <c r="TJB47" s="971"/>
      <c r="TJC47" s="971"/>
      <c r="TJD47" s="971"/>
      <c r="TJE47" s="971"/>
      <c r="TJF47" s="971"/>
      <c r="TJG47" s="971"/>
      <c r="TJH47" s="971"/>
      <c r="TJI47" s="971"/>
      <c r="TJJ47" s="971"/>
      <c r="TJK47" s="971"/>
      <c r="TJL47" s="971"/>
      <c r="TJM47" s="971"/>
      <c r="TJN47" s="971"/>
      <c r="TJO47" s="971"/>
      <c r="TJP47" s="971"/>
      <c r="TJQ47" s="971"/>
      <c r="TJR47" s="971"/>
      <c r="TJS47" s="971"/>
      <c r="TJT47" s="971"/>
      <c r="TJU47" s="971"/>
      <c r="TJV47" s="971"/>
      <c r="TJW47" s="971"/>
      <c r="TJX47" s="971"/>
      <c r="TJY47" s="971"/>
      <c r="TJZ47" s="971"/>
      <c r="TKA47" s="971"/>
      <c r="TKB47" s="971"/>
      <c r="TKC47" s="971"/>
      <c r="TKD47" s="971"/>
      <c r="TKE47" s="971"/>
      <c r="TKF47" s="971"/>
      <c r="TKG47" s="971"/>
      <c r="TKH47" s="971"/>
      <c r="TKI47" s="971"/>
      <c r="TKJ47" s="971"/>
      <c r="TKK47" s="971"/>
      <c r="TKL47" s="971"/>
      <c r="TKM47" s="971"/>
      <c r="TKN47" s="971"/>
      <c r="TKO47" s="971"/>
      <c r="TKP47" s="971"/>
      <c r="TKQ47" s="971"/>
      <c r="TKR47" s="971"/>
      <c r="TKS47" s="971"/>
      <c r="TKT47" s="971"/>
      <c r="TKU47" s="971"/>
      <c r="TKV47" s="971"/>
      <c r="TKW47" s="971"/>
      <c r="TKX47" s="971"/>
      <c r="TKY47" s="971"/>
      <c r="TKZ47" s="971"/>
      <c r="TLA47" s="971"/>
      <c r="TLB47" s="971"/>
      <c r="TLC47" s="971"/>
      <c r="TLD47" s="971"/>
      <c r="TLE47" s="971"/>
      <c r="TLF47" s="971"/>
      <c r="TLG47" s="971"/>
      <c r="TLH47" s="971"/>
      <c r="TLI47" s="971"/>
      <c r="TLJ47" s="971"/>
      <c r="TLK47" s="971"/>
      <c r="TLL47" s="971"/>
      <c r="TLM47" s="971"/>
      <c r="TLN47" s="971"/>
      <c r="TLO47" s="971"/>
      <c r="TLP47" s="971"/>
      <c r="TLQ47" s="971"/>
      <c r="TLR47" s="971"/>
      <c r="TLS47" s="971"/>
      <c r="TLT47" s="971"/>
      <c r="TLU47" s="971"/>
      <c r="TLV47" s="971"/>
      <c r="TLW47" s="971"/>
      <c r="TLX47" s="971"/>
      <c r="TLY47" s="971"/>
      <c r="TLZ47" s="971"/>
      <c r="TMA47" s="971"/>
      <c r="TMB47" s="971"/>
      <c r="TMC47" s="971"/>
      <c r="TMD47" s="971"/>
      <c r="TME47" s="971"/>
      <c r="TMF47" s="971"/>
      <c r="TMG47" s="971"/>
      <c r="TMH47" s="971"/>
      <c r="TMI47" s="971"/>
      <c r="TMJ47" s="971"/>
      <c r="TMK47" s="971"/>
      <c r="TML47" s="971"/>
      <c r="TMM47" s="971"/>
      <c r="TMN47" s="971"/>
      <c r="TMO47" s="971"/>
      <c r="TMP47" s="971"/>
      <c r="TMQ47" s="971"/>
      <c r="TMR47" s="971"/>
      <c r="TMS47" s="971"/>
      <c r="TMT47" s="971"/>
      <c r="TMU47" s="971"/>
      <c r="TMV47" s="971"/>
      <c r="TMW47" s="971"/>
      <c r="TMX47" s="971"/>
      <c r="TMY47" s="971"/>
      <c r="TMZ47" s="971"/>
      <c r="TNA47" s="971"/>
      <c r="TNB47" s="971"/>
      <c r="TNC47" s="971"/>
      <c r="TND47" s="971"/>
      <c r="TNE47" s="971"/>
      <c r="TNF47" s="971"/>
      <c r="TNG47" s="971"/>
      <c r="TNH47" s="971"/>
      <c r="TNI47" s="971"/>
      <c r="TNJ47" s="971"/>
      <c r="TNK47" s="971"/>
      <c r="TNL47" s="971"/>
      <c r="TNM47" s="971"/>
      <c r="TNN47" s="971"/>
      <c r="TNO47" s="971"/>
      <c r="TNP47" s="971"/>
      <c r="TNQ47" s="971"/>
      <c r="TNR47" s="971"/>
      <c r="TNS47" s="971"/>
      <c r="TNT47" s="971"/>
      <c r="TNU47" s="971"/>
      <c r="TNV47" s="971"/>
      <c r="TNW47" s="971"/>
      <c r="TNX47" s="971"/>
      <c r="TNY47" s="971"/>
      <c r="TNZ47" s="971"/>
      <c r="TOA47" s="971"/>
      <c r="TOB47" s="971"/>
      <c r="TOC47" s="971"/>
      <c r="TOD47" s="971"/>
      <c r="TOE47" s="971"/>
      <c r="TOF47" s="971"/>
      <c r="TOG47" s="971"/>
      <c r="TOH47" s="971"/>
      <c r="TOI47" s="971"/>
      <c r="TOJ47" s="971"/>
      <c r="TOK47" s="971"/>
      <c r="TOL47" s="971"/>
      <c r="TOM47" s="971"/>
      <c r="TON47" s="971"/>
      <c r="TOO47" s="971"/>
      <c r="TOP47" s="971"/>
      <c r="TOQ47" s="971"/>
      <c r="TOR47" s="971"/>
      <c r="TOS47" s="971"/>
      <c r="TOT47" s="971"/>
      <c r="TOU47" s="971"/>
      <c r="TOV47" s="971"/>
      <c r="TOW47" s="971"/>
      <c r="TOX47" s="971"/>
      <c r="TOY47" s="971"/>
      <c r="TOZ47" s="971"/>
      <c r="TPA47" s="971"/>
      <c r="TPB47" s="971"/>
      <c r="TPC47" s="971"/>
      <c r="TPD47" s="971"/>
      <c r="TPE47" s="971"/>
      <c r="TPF47" s="971"/>
      <c r="TPG47" s="971"/>
      <c r="TPH47" s="971"/>
      <c r="TPI47" s="971"/>
      <c r="TPJ47" s="971"/>
      <c r="TPK47" s="971"/>
      <c r="TPL47" s="971"/>
      <c r="TPM47" s="971"/>
      <c r="TPN47" s="971"/>
      <c r="TPO47" s="971"/>
      <c r="TPP47" s="971"/>
      <c r="TPQ47" s="971"/>
      <c r="TPR47" s="971"/>
      <c r="TPS47" s="971"/>
      <c r="TPT47" s="971"/>
      <c r="TPU47" s="971"/>
      <c r="TPV47" s="971"/>
      <c r="TPW47" s="971"/>
      <c r="TPX47" s="971"/>
      <c r="TPY47" s="971"/>
      <c r="TPZ47" s="971"/>
      <c r="TQA47" s="971"/>
      <c r="TQB47" s="971"/>
      <c r="TQC47" s="971"/>
      <c r="TQD47" s="971"/>
      <c r="TQE47" s="971"/>
      <c r="TQF47" s="971"/>
      <c r="TQG47" s="971"/>
      <c r="TQH47" s="971"/>
      <c r="TQI47" s="971"/>
      <c r="TQJ47" s="971"/>
      <c r="TQK47" s="971"/>
      <c r="TQL47" s="971"/>
      <c r="TQM47" s="971"/>
      <c r="TQN47" s="971"/>
      <c r="TQO47" s="971"/>
      <c r="TQP47" s="971"/>
      <c r="TQQ47" s="971"/>
      <c r="TQR47" s="971"/>
      <c r="TQS47" s="971"/>
      <c r="TQT47" s="971"/>
      <c r="TQU47" s="971"/>
      <c r="TQV47" s="971"/>
      <c r="TQW47" s="971"/>
      <c r="TQX47" s="971"/>
      <c r="TQY47" s="971"/>
      <c r="TQZ47" s="971"/>
      <c r="TRA47" s="971"/>
      <c r="TRB47" s="971"/>
      <c r="TRC47" s="971"/>
      <c r="TRD47" s="971"/>
      <c r="TRE47" s="971"/>
      <c r="TRF47" s="971"/>
      <c r="TRG47" s="971"/>
      <c r="TRH47" s="971"/>
      <c r="TRI47" s="971"/>
      <c r="TRJ47" s="971"/>
      <c r="TRK47" s="971"/>
      <c r="TRL47" s="971"/>
      <c r="TRM47" s="971"/>
      <c r="TRN47" s="971"/>
      <c r="TRO47" s="971"/>
      <c r="TRP47" s="971"/>
      <c r="TRQ47" s="971"/>
      <c r="TRR47" s="971"/>
      <c r="TRS47" s="971"/>
      <c r="TRT47" s="971"/>
      <c r="TRU47" s="971"/>
      <c r="TRV47" s="971"/>
      <c r="TRW47" s="971"/>
      <c r="TRX47" s="971"/>
      <c r="TRY47" s="971"/>
      <c r="TRZ47" s="971"/>
      <c r="TSA47" s="971"/>
      <c r="TSB47" s="971"/>
      <c r="TSC47" s="971"/>
      <c r="TSD47" s="971"/>
      <c r="TSE47" s="971"/>
      <c r="TSF47" s="971"/>
      <c r="TSG47" s="971"/>
      <c r="TSH47" s="971"/>
      <c r="TSI47" s="971"/>
      <c r="TSJ47" s="971"/>
      <c r="TSK47" s="971"/>
      <c r="TSL47" s="971"/>
      <c r="TSM47" s="971"/>
      <c r="TSN47" s="971"/>
      <c r="TSO47" s="971"/>
      <c r="TSP47" s="971"/>
      <c r="TSQ47" s="971"/>
      <c r="TSR47" s="971"/>
      <c r="TSS47" s="971"/>
      <c r="TST47" s="971"/>
      <c r="TSU47" s="971"/>
      <c r="TSV47" s="971"/>
      <c r="TSW47" s="971"/>
      <c r="TSX47" s="971"/>
      <c r="TSY47" s="971"/>
      <c r="TSZ47" s="971"/>
      <c r="TTA47" s="971"/>
      <c r="TTB47" s="971"/>
      <c r="TTC47" s="971"/>
      <c r="TTD47" s="971"/>
      <c r="TTE47" s="971"/>
      <c r="TTF47" s="971"/>
      <c r="TTG47" s="971"/>
      <c r="TTH47" s="971"/>
      <c r="TTI47" s="971"/>
      <c r="TTJ47" s="971"/>
      <c r="TTK47" s="971"/>
      <c r="TTL47" s="971"/>
      <c r="TTM47" s="971"/>
      <c r="TTN47" s="971"/>
      <c r="TTO47" s="971"/>
      <c r="TTP47" s="971"/>
      <c r="TTQ47" s="971"/>
      <c r="TTR47" s="971"/>
      <c r="TTS47" s="971"/>
      <c r="TTT47" s="971"/>
      <c r="TTU47" s="971"/>
      <c r="TTV47" s="971"/>
      <c r="TTW47" s="971"/>
      <c r="TTX47" s="971"/>
      <c r="TTY47" s="971"/>
      <c r="TTZ47" s="971"/>
      <c r="TUA47" s="971"/>
      <c r="TUB47" s="971"/>
      <c r="TUC47" s="971"/>
      <c r="TUD47" s="971"/>
      <c r="TUE47" s="971"/>
      <c r="TUF47" s="971"/>
      <c r="TUG47" s="971"/>
      <c r="TUH47" s="971"/>
      <c r="TUI47" s="971"/>
      <c r="TUJ47" s="971"/>
      <c r="TUK47" s="971"/>
      <c r="TUL47" s="971"/>
      <c r="TUM47" s="971"/>
      <c r="TUN47" s="971"/>
      <c r="TUO47" s="971"/>
      <c r="TUP47" s="971"/>
      <c r="TUQ47" s="971"/>
      <c r="TUR47" s="971"/>
      <c r="TUS47" s="971"/>
      <c r="TUT47" s="971"/>
      <c r="TUU47" s="971"/>
      <c r="TUV47" s="971"/>
      <c r="TUW47" s="971"/>
      <c r="TUX47" s="971"/>
      <c r="TUY47" s="971"/>
      <c r="TUZ47" s="971"/>
      <c r="TVA47" s="971"/>
      <c r="TVB47" s="971"/>
      <c r="TVC47" s="971"/>
      <c r="TVD47" s="971"/>
      <c r="TVE47" s="971"/>
      <c r="TVF47" s="971"/>
      <c r="TVG47" s="971"/>
      <c r="TVH47" s="971"/>
      <c r="TVI47" s="971"/>
      <c r="TVJ47" s="971"/>
      <c r="TVK47" s="971"/>
      <c r="TVL47" s="971"/>
      <c r="TVM47" s="971"/>
      <c r="TVN47" s="971"/>
      <c r="TVO47" s="971"/>
      <c r="TVP47" s="971"/>
      <c r="TVQ47" s="971"/>
      <c r="TVR47" s="971"/>
      <c r="TVS47" s="971"/>
      <c r="TVT47" s="971"/>
      <c r="TVU47" s="971"/>
      <c r="TVV47" s="971"/>
      <c r="TVW47" s="971"/>
      <c r="TVX47" s="971"/>
      <c r="TVY47" s="971"/>
      <c r="TVZ47" s="971"/>
      <c r="TWA47" s="971"/>
      <c r="TWB47" s="971"/>
      <c r="TWC47" s="971"/>
      <c r="TWD47" s="971"/>
      <c r="TWE47" s="971"/>
      <c r="TWF47" s="971"/>
      <c r="TWG47" s="971"/>
      <c r="TWH47" s="971"/>
      <c r="TWI47" s="971"/>
      <c r="TWJ47" s="971"/>
      <c r="TWK47" s="971"/>
      <c r="TWL47" s="971"/>
      <c r="TWM47" s="971"/>
      <c r="TWN47" s="971"/>
      <c r="TWO47" s="971"/>
      <c r="TWP47" s="971"/>
      <c r="TWQ47" s="971"/>
      <c r="TWR47" s="971"/>
      <c r="TWS47" s="971"/>
      <c r="TWT47" s="971"/>
      <c r="TWU47" s="971"/>
      <c r="TWV47" s="971"/>
      <c r="TWW47" s="971"/>
      <c r="TWX47" s="971"/>
      <c r="TWY47" s="971"/>
      <c r="TWZ47" s="971"/>
      <c r="TXA47" s="971"/>
      <c r="TXB47" s="971"/>
      <c r="TXC47" s="971"/>
      <c r="TXD47" s="971"/>
      <c r="TXE47" s="971"/>
      <c r="TXF47" s="971"/>
      <c r="TXG47" s="971"/>
      <c r="TXH47" s="971"/>
      <c r="TXI47" s="971"/>
      <c r="TXJ47" s="971"/>
      <c r="TXK47" s="971"/>
      <c r="TXL47" s="971"/>
      <c r="TXM47" s="971"/>
      <c r="TXN47" s="971"/>
      <c r="TXO47" s="971"/>
      <c r="TXP47" s="971"/>
      <c r="TXQ47" s="971"/>
      <c r="TXR47" s="971"/>
      <c r="TXS47" s="971"/>
      <c r="TXT47" s="971"/>
      <c r="TXU47" s="971"/>
      <c r="TXV47" s="971"/>
      <c r="TXW47" s="971"/>
      <c r="TXX47" s="971"/>
      <c r="TXY47" s="971"/>
      <c r="TXZ47" s="971"/>
      <c r="TYA47" s="971"/>
      <c r="TYB47" s="971"/>
      <c r="TYC47" s="971"/>
      <c r="TYD47" s="971"/>
      <c r="TYE47" s="971"/>
      <c r="TYF47" s="971"/>
      <c r="TYG47" s="971"/>
      <c r="TYH47" s="971"/>
      <c r="TYI47" s="971"/>
      <c r="TYJ47" s="971"/>
      <c r="TYK47" s="971"/>
      <c r="TYL47" s="971"/>
      <c r="TYM47" s="971"/>
      <c r="TYN47" s="971"/>
      <c r="TYO47" s="971"/>
      <c r="TYP47" s="971"/>
      <c r="TYQ47" s="971"/>
      <c r="TYR47" s="971"/>
      <c r="TYS47" s="971"/>
      <c r="TYT47" s="971"/>
      <c r="TYU47" s="971"/>
      <c r="TYV47" s="971"/>
      <c r="TYW47" s="971"/>
      <c r="TYX47" s="971"/>
      <c r="TYY47" s="971"/>
      <c r="TYZ47" s="971"/>
      <c r="TZA47" s="971"/>
      <c r="TZB47" s="971"/>
      <c r="TZC47" s="971"/>
      <c r="TZD47" s="971"/>
      <c r="TZE47" s="971"/>
      <c r="TZF47" s="971"/>
      <c r="TZG47" s="971"/>
      <c r="TZH47" s="971"/>
      <c r="TZI47" s="971"/>
      <c r="TZJ47" s="971"/>
      <c r="TZK47" s="971"/>
      <c r="TZL47" s="971"/>
      <c r="TZM47" s="971"/>
      <c r="TZN47" s="971"/>
      <c r="TZO47" s="971"/>
      <c r="TZP47" s="971"/>
      <c r="TZQ47" s="971"/>
      <c r="TZR47" s="971"/>
      <c r="TZS47" s="971"/>
      <c r="TZT47" s="971"/>
      <c r="TZU47" s="971"/>
      <c r="TZV47" s="971"/>
      <c r="TZW47" s="971"/>
      <c r="TZX47" s="971"/>
      <c r="TZY47" s="971"/>
      <c r="TZZ47" s="971"/>
      <c r="UAA47" s="971"/>
      <c r="UAB47" s="971"/>
      <c r="UAC47" s="971"/>
      <c r="UAD47" s="971"/>
      <c r="UAE47" s="971"/>
      <c r="UAF47" s="971"/>
      <c r="UAG47" s="971"/>
      <c r="UAH47" s="971"/>
      <c r="UAI47" s="971"/>
      <c r="UAJ47" s="971"/>
      <c r="UAK47" s="971"/>
      <c r="UAL47" s="971"/>
      <c r="UAM47" s="971"/>
      <c r="UAN47" s="971"/>
      <c r="UAO47" s="971"/>
      <c r="UAP47" s="971"/>
      <c r="UAQ47" s="971"/>
      <c r="UAR47" s="971"/>
      <c r="UAS47" s="971"/>
      <c r="UAT47" s="971"/>
      <c r="UAU47" s="971"/>
      <c r="UAV47" s="971"/>
      <c r="UAW47" s="971"/>
      <c r="UAX47" s="971"/>
      <c r="UAY47" s="971"/>
      <c r="UAZ47" s="971"/>
      <c r="UBA47" s="971"/>
      <c r="UBB47" s="971"/>
      <c r="UBC47" s="971"/>
      <c r="UBD47" s="971"/>
      <c r="UBE47" s="971"/>
      <c r="UBF47" s="971"/>
      <c r="UBG47" s="971"/>
      <c r="UBH47" s="971"/>
      <c r="UBI47" s="971"/>
      <c r="UBJ47" s="971"/>
      <c r="UBK47" s="971"/>
      <c r="UBL47" s="971"/>
      <c r="UBM47" s="971"/>
      <c r="UBN47" s="971"/>
      <c r="UBO47" s="971"/>
      <c r="UBP47" s="971"/>
      <c r="UBQ47" s="971"/>
      <c r="UBR47" s="971"/>
      <c r="UBS47" s="971"/>
      <c r="UBT47" s="971"/>
      <c r="UBU47" s="971"/>
      <c r="UBV47" s="971"/>
      <c r="UBW47" s="971"/>
      <c r="UBX47" s="971"/>
      <c r="UBY47" s="971"/>
      <c r="UBZ47" s="971"/>
      <c r="UCA47" s="971"/>
      <c r="UCB47" s="971"/>
      <c r="UCC47" s="971"/>
      <c r="UCD47" s="971"/>
      <c r="UCE47" s="971"/>
      <c r="UCF47" s="971"/>
      <c r="UCG47" s="971"/>
      <c r="UCH47" s="971"/>
      <c r="UCI47" s="971"/>
      <c r="UCJ47" s="971"/>
      <c r="UCK47" s="971"/>
      <c r="UCL47" s="971"/>
      <c r="UCM47" s="971"/>
      <c r="UCN47" s="971"/>
      <c r="UCO47" s="971"/>
      <c r="UCP47" s="971"/>
      <c r="UCQ47" s="971"/>
      <c r="UCR47" s="971"/>
      <c r="UCS47" s="971"/>
      <c r="UCT47" s="971"/>
      <c r="UCU47" s="971"/>
      <c r="UCV47" s="971"/>
      <c r="UCW47" s="971"/>
      <c r="UCX47" s="971"/>
      <c r="UCY47" s="971"/>
      <c r="UCZ47" s="971"/>
      <c r="UDA47" s="971"/>
      <c r="UDB47" s="971"/>
      <c r="UDC47" s="971"/>
      <c r="UDD47" s="971"/>
      <c r="UDE47" s="971"/>
      <c r="UDF47" s="971"/>
      <c r="UDG47" s="971"/>
      <c r="UDH47" s="971"/>
      <c r="UDI47" s="971"/>
      <c r="UDJ47" s="971"/>
      <c r="UDK47" s="971"/>
      <c r="UDL47" s="971"/>
      <c r="UDM47" s="971"/>
      <c r="UDN47" s="971"/>
      <c r="UDO47" s="971"/>
      <c r="UDP47" s="971"/>
      <c r="UDQ47" s="971"/>
      <c r="UDR47" s="971"/>
      <c r="UDS47" s="971"/>
      <c r="UDT47" s="971"/>
      <c r="UDU47" s="971"/>
      <c r="UDV47" s="971"/>
      <c r="UDW47" s="971"/>
      <c r="UDX47" s="971"/>
      <c r="UDY47" s="971"/>
      <c r="UDZ47" s="971"/>
      <c r="UEA47" s="971"/>
      <c r="UEB47" s="971"/>
      <c r="UEC47" s="971"/>
      <c r="UED47" s="971"/>
      <c r="UEE47" s="971"/>
      <c r="UEF47" s="971"/>
      <c r="UEG47" s="971"/>
      <c r="UEH47" s="971"/>
      <c r="UEI47" s="971"/>
      <c r="UEJ47" s="971"/>
      <c r="UEK47" s="971"/>
      <c r="UEL47" s="971"/>
      <c r="UEM47" s="971"/>
      <c r="UEN47" s="971"/>
      <c r="UEO47" s="971"/>
      <c r="UEP47" s="971"/>
      <c r="UEQ47" s="971"/>
      <c r="UER47" s="971"/>
      <c r="UES47" s="971"/>
      <c r="UET47" s="971"/>
      <c r="UEU47" s="971"/>
      <c r="UEV47" s="971"/>
      <c r="UEW47" s="971"/>
      <c r="UEX47" s="971"/>
      <c r="UEY47" s="971"/>
      <c r="UEZ47" s="971"/>
      <c r="UFA47" s="971"/>
      <c r="UFB47" s="971"/>
      <c r="UFC47" s="971"/>
      <c r="UFD47" s="971"/>
      <c r="UFE47" s="971"/>
      <c r="UFF47" s="971"/>
      <c r="UFG47" s="971"/>
      <c r="UFH47" s="971"/>
      <c r="UFI47" s="971"/>
      <c r="UFJ47" s="971"/>
      <c r="UFK47" s="971"/>
      <c r="UFL47" s="971"/>
      <c r="UFM47" s="971"/>
      <c r="UFN47" s="971"/>
      <c r="UFO47" s="971"/>
      <c r="UFP47" s="971"/>
      <c r="UFQ47" s="971"/>
      <c r="UFR47" s="971"/>
      <c r="UFS47" s="971"/>
      <c r="UFT47" s="971"/>
      <c r="UFU47" s="971"/>
      <c r="UFV47" s="971"/>
      <c r="UFW47" s="971"/>
      <c r="UFX47" s="971"/>
      <c r="UFY47" s="971"/>
      <c r="UFZ47" s="971"/>
      <c r="UGA47" s="971"/>
      <c r="UGB47" s="971"/>
      <c r="UGC47" s="971"/>
      <c r="UGD47" s="971"/>
      <c r="UGE47" s="971"/>
      <c r="UGF47" s="971"/>
      <c r="UGG47" s="971"/>
      <c r="UGH47" s="971"/>
      <c r="UGI47" s="971"/>
      <c r="UGJ47" s="971"/>
      <c r="UGK47" s="971"/>
      <c r="UGL47" s="971"/>
      <c r="UGM47" s="971"/>
      <c r="UGN47" s="971"/>
      <c r="UGO47" s="971"/>
      <c r="UGP47" s="971"/>
      <c r="UGQ47" s="971"/>
      <c r="UGR47" s="971"/>
      <c r="UGS47" s="971"/>
      <c r="UGT47" s="971"/>
      <c r="UGU47" s="971"/>
      <c r="UGV47" s="971"/>
      <c r="UGW47" s="971"/>
      <c r="UGX47" s="971"/>
      <c r="UGY47" s="971"/>
      <c r="UGZ47" s="971"/>
      <c r="UHA47" s="971"/>
      <c r="UHB47" s="971"/>
      <c r="UHC47" s="971"/>
      <c r="UHD47" s="971"/>
      <c r="UHE47" s="971"/>
      <c r="UHF47" s="971"/>
      <c r="UHG47" s="971"/>
      <c r="UHH47" s="971"/>
      <c r="UHI47" s="971"/>
      <c r="UHJ47" s="971"/>
      <c r="UHK47" s="971"/>
      <c r="UHL47" s="971"/>
      <c r="UHM47" s="971"/>
      <c r="UHN47" s="971"/>
      <c r="UHO47" s="971"/>
      <c r="UHP47" s="971"/>
      <c r="UHQ47" s="971"/>
      <c r="UHR47" s="971"/>
      <c r="UHS47" s="971"/>
      <c r="UHT47" s="971"/>
      <c r="UHU47" s="971"/>
      <c r="UHV47" s="971"/>
      <c r="UHW47" s="971"/>
      <c r="UHX47" s="971"/>
      <c r="UHY47" s="971"/>
      <c r="UHZ47" s="971"/>
      <c r="UIA47" s="971"/>
      <c r="UIB47" s="971"/>
      <c r="UIC47" s="971"/>
      <c r="UID47" s="971"/>
      <c r="UIE47" s="971"/>
      <c r="UIF47" s="971"/>
      <c r="UIG47" s="971"/>
      <c r="UIH47" s="971"/>
      <c r="UII47" s="971"/>
      <c r="UIJ47" s="971"/>
      <c r="UIK47" s="971"/>
      <c r="UIL47" s="971"/>
      <c r="UIM47" s="971"/>
      <c r="UIN47" s="971"/>
      <c r="UIO47" s="971"/>
      <c r="UIP47" s="971"/>
      <c r="UIQ47" s="971"/>
      <c r="UIR47" s="971"/>
      <c r="UIS47" s="971"/>
      <c r="UIT47" s="971"/>
      <c r="UIU47" s="971"/>
      <c r="UIV47" s="971"/>
      <c r="UIW47" s="971"/>
      <c r="UIX47" s="971"/>
      <c r="UIY47" s="971"/>
      <c r="UIZ47" s="971"/>
      <c r="UJA47" s="971"/>
      <c r="UJB47" s="971"/>
      <c r="UJC47" s="971"/>
      <c r="UJD47" s="971"/>
      <c r="UJE47" s="971"/>
      <c r="UJF47" s="971"/>
      <c r="UJG47" s="971"/>
      <c r="UJH47" s="971"/>
      <c r="UJI47" s="971"/>
      <c r="UJJ47" s="971"/>
      <c r="UJK47" s="971"/>
      <c r="UJL47" s="971"/>
      <c r="UJM47" s="971"/>
      <c r="UJN47" s="971"/>
      <c r="UJO47" s="971"/>
      <c r="UJP47" s="971"/>
      <c r="UJQ47" s="971"/>
      <c r="UJR47" s="971"/>
      <c r="UJS47" s="971"/>
      <c r="UJT47" s="971"/>
      <c r="UJU47" s="971"/>
      <c r="UJV47" s="971"/>
      <c r="UJW47" s="971"/>
      <c r="UJX47" s="971"/>
      <c r="UJY47" s="971"/>
      <c r="UJZ47" s="971"/>
      <c r="UKA47" s="971"/>
      <c r="UKB47" s="971"/>
      <c r="UKC47" s="971"/>
      <c r="UKD47" s="971"/>
      <c r="UKE47" s="971"/>
      <c r="UKF47" s="971"/>
      <c r="UKG47" s="971"/>
      <c r="UKH47" s="971"/>
      <c r="UKI47" s="971"/>
      <c r="UKJ47" s="971"/>
      <c r="UKK47" s="971"/>
      <c r="UKL47" s="971"/>
      <c r="UKM47" s="971"/>
      <c r="UKN47" s="971"/>
      <c r="UKO47" s="971"/>
      <c r="UKP47" s="971"/>
      <c r="UKQ47" s="971"/>
      <c r="UKR47" s="971"/>
      <c r="UKS47" s="971"/>
      <c r="UKT47" s="971"/>
      <c r="UKU47" s="971"/>
      <c r="UKV47" s="971"/>
      <c r="UKW47" s="971"/>
      <c r="UKX47" s="971"/>
      <c r="UKY47" s="971"/>
      <c r="UKZ47" s="971"/>
      <c r="ULA47" s="971"/>
      <c r="ULB47" s="971"/>
      <c r="ULC47" s="971"/>
      <c r="ULD47" s="971"/>
      <c r="ULE47" s="971"/>
      <c r="ULF47" s="971"/>
      <c r="ULG47" s="971"/>
      <c r="ULH47" s="971"/>
      <c r="ULI47" s="971"/>
      <c r="ULJ47" s="971"/>
      <c r="ULK47" s="971"/>
      <c r="ULL47" s="971"/>
      <c r="ULM47" s="971"/>
      <c r="ULN47" s="971"/>
      <c r="ULO47" s="971"/>
      <c r="ULP47" s="971"/>
      <c r="ULQ47" s="971"/>
      <c r="ULR47" s="971"/>
      <c r="ULS47" s="971"/>
      <c r="ULT47" s="971"/>
      <c r="ULU47" s="971"/>
      <c r="ULV47" s="971"/>
      <c r="ULW47" s="971"/>
      <c r="ULX47" s="971"/>
      <c r="ULY47" s="971"/>
      <c r="ULZ47" s="971"/>
      <c r="UMA47" s="971"/>
      <c r="UMB47" s="971"/>
      <c r="UMC47" s="971"/>
      <c r="UMD47" s="971"/>
      <c r="UME47" s="971"/>
      <c r="UMF47" s="971"/>
      <c r="UMG47" s="971"/>
      <c r="UMH47" s="971"/>
      <c r="UMI47" s="971"/>
      <c r="UMJ47" s="971"/>
      <c r="UMK47" s="971"/>
      <c r="UML47" s="971"/>
      <c r="UMM47" s="971"/>
      <c r="UMN47" s="971"/>
      <c r="UMO47" s="971"/>
      <c r="UMP47" s="971"/>
      <c r="UMQ47" s="971"/>
      <c r="UMR47" s="971"/>
      <c r="UMS47" s="971"/>
      <c r="UMT47" s="971"/>
      <c r="UMU47" s="971"/>
      <c r="UMV47" s="971"/>
      <c r="UMW47" s="971"/>
      <c r="UMX47" s="971"/>
      <c r="UMY47" s="971"/>
      <c r="UMZ47" s="971"/>
      <c r="UNA47" s="971"/>
      <c r="UNB47" s="971"/>
      <c r="UNC47" s="971"/>
      <c r="UND47" s="971"/>
      <c r="UNE47" s="971"/>
      <c r="UNF47" s="971"/>
      <c r="UNG47" s="971"/>
      <c r="UNH47" s="971"/>
      <c r="UNI47" s="971"/>
      <c r="UNJ47" s="971"/>
      <c r="UNK47" s="971"/>
      <c r="UNL47" s="971"/>
      <c r="UNM47" s="971"/>
      <c r="UNN47" s="971"/>
      <c r="UNO47" s="971"/>
      <c r="UNP47" s="971"/>
      <c r="UNQ47" s="971"/>
      <c r="UNR47" s="971"/>
      <c r="UNS47" s="971"/>
      <c r="UNT47" s="971"/>
      <c r="UNU47" s="971"/>
      <c r="UNV47" s="971"/>
      <c r="UNW47" s="971"/>
      <c r="UNX47" s="971"/>
      <c r="UNY47" s="971"/>
      <c r="UNZ47" s="971"/>
      <c r="UOA47" s="971"/>
      <c r="UOB47" s="971"/>
      <c r="UOC47" s="971"/>
      <c r="UOD47" s="971"/>
      <c r="UOE47" s="971"/>
      <c r="UOF47" s="971"/>
      <c r="UOG47" s="971"/>
      <c r="UOH47" s="971"/>
      <c r="UOI47" s="971"/>
      <c r="UOJ47" s="971"/>
      <c r="UOK47" s="971"/>
      <c r="UOL47" s="971"/>
      <c r="UOM47" s="971"/>
      <c r="UON47" s="971"/>
      <c r="UOO47" s="971"/>
      <c r="UOP47" s="971"/>
      <c r="UOQ47" s="971"/>
      <c r="UOR47" s="971"/>
      <c r="UOS47" s="971"/>
      <c r="UOT47" s="971"/>
      <c r="UOU47" s="971"/>
      <c r="UOV47" s="971"/>
      <c r="UOW47" s="971"/>
      <c r="UOX47" s="971"/>
      <c r="UOY47" s="971"/>
      <c r="UOZ47" s="971"/>
      <c r="UPA47" s="971"/>
      <c r="UPB47" s="971"/>
      <c r="UPC47" s="971"/>
      <c r="UPD47" s="971"/>
      <c r="UPE47" s="971"/>
      <c r="UPF47" s="971"/>
      <c r="UPG47" s="971"/>
      <c r="UPH47" s="971"/>
      <c r="UPI47" s="971"/>
      <c r="UPJ47" s="971"/>
      <c r="UPK47" s="971"/>
      <c r="UPL47" s="971"/>
      <c r="UPM47" s="971"/>
      <c r="UPN47" s="971"/>
      <c r="UPO47" s="971"/>
      <c r="UPP47" s="971"/>
      <c r="UPQ47" s="971"/>
      <c r="UPR47" s="971"/>
      <c r="UPS47" s="971"/>
      <c r="UPT47" s="971"/>
      <c r="UPU47" s="971"/>
      <c r="UPV47" s="971"/>
      <c r="UPW47" s="971"/>
      <c r="UPX47" s="971"/>
      <c r="UPY47" s="971"/>
      <c r="UPZ47" s="971"/>
      <c r="UQA47" s="971"/>
      <c r="UQB47" s="971"/>
      <c r="UQC47" s="971"/>
      <c r="UQD47" s="971"/>
      <c r="UQE47" s="971"/>
      <c r="UQF47" s="971"/>
      <c r="UQG47" s="971"/>
      <c r="UQH47" s="971"/>
      <c r="UQI47" s="971"/>
      <c r="UQJ47" s="971"/>
      <c r="UQK47" s="971"/>
      <c r="UQL47" s="971"/>
      <c r="UQM47" s="971"/>
      <c r="UQN47" s="971"/>
      <c r="UQO47" s="971"/>
      <c r="UQP47" s="971"/>
      <c r="UQQ47" s="971"/>
      <c r="UQR47" s="971"/>
      <c r="UQS47" s="971"/>
      <c r="UQT47" s="971"/>
      <c r="UQU47" s="971"/>
      <c r="UQV47" s="971"/>
      <c r="UQW47" s="971"/>
      <c r="UQX47" s="971"/>
      <c r="UQY47" s="971"/>
      <c r="UQZ47" s="971"/>
      <c r="URA47" s="971"/>
      <c r="URB47" s="971"/>
      <c r="URC47" s="971"/>
      <c r="URD47" s="971"/>
      <c r="URE47" s="971"/>
      <c r="URF47" s="971"/>
      <c r="URG47" s="971"/>
      <c r="URH47" s="971"/>
      <c r="URI47" s="971"/>
      <c r="URJ47" s="971"/>
      <c r="URK47" s="971"/>
      <c r="URL47" s="971"/>
      <c r="URM47" s="971"/>
      <c r="URN47" s="971"/>
      <c r="URO47" s="971"/>
      <c r="URP47" s="971"/>
      <c r="URQ47" s="971"/>
      <c r="URR47" s="971"/>
      <c r="URS47" s="971"/>
      <c r="URT47" s="971"/>
      <c r="URU47" s="971"/>
      <c r="URV47" s="971"/>
      <c r="URW47" s="971"/>
      <c r="URX47" s="971"/>
      <c r="URY47" s="971"/>
      <c r="URZ47" s="971"/>
      <c r="USA47" s="971"/>
      <c r="USB47" s="971"/>
      <c r="USC47" s="971"/>
      <c r="USD47" s="971"/>
      <c r="USE47" s="971"/>
      <c r="USF47" s="971"/>
      <c r="USG47" s="971"/>
      <c r="USH47" s="971"/>
      <c r="USI47" s="971"/>
      <c r="USJ47" s="971"/>
      <c r="USK47" s="971"/>
      <c r="USL47" s="971"/>
      <c r="USM47" s="971"/>
      <c r="USN47" s="971"/>
      <c r="USO47" s="971"/>
      <c r="USP47" s="971"/>
      <c r="USQ47" s="971"/>
      <c r="USR47" s="971"/>
      <c r="USS47" s="971"/>
      <c r="UST47" s="971"/>
      <c r="USU47" s="971"/>
      <c r="USV47" s="971"/>
      <c r="USW47" s="971"/>
      <c r="USX47" s="971"/>
      <c r="USY47" s="971"/>
      <c r="USZ47" s="971"/>
      <c r="UTA47" s="971"/>
      <c r="UTB47" s="971"/>
      <c r="UTC47" s="971"/>
      <c r="UTD47" s="971"/>
      <c r="UTE47" s="971"/>
      <c r="UTF47" s="971"/>
      <c r="UTG47" s="971"/>
      <c r="UTH47" s="971"/>
      <c r="UTI47" s="971"/>
      <c r="UTJ47" s="971"/>
      <c r="UTK47" s="971"/>
      <c r="UTL47" s="971"/>
      <c r="UTM47" s="971"/>
      <c r="UTN47" s="971"/>
      <c r="UTO47" s="971"/>
      <c r="UTP47" s="971"/>
      <c r="UTQ47" s="971"/>
      <c r="UTR47" s="971"/>
      <c r="UTS47" s="971"/>
      <c r="UTT47" s="971"/>
      <c r="UTU47" s="971"/>
      <c r="UTV47" s="971"/>
      <c r="UTW47" s="971"/>
      <c r="UTX47" s="971"/>
      <c r="UTY47" s="971"/>
      <c r="UTZ47" s="971"/>
      <c r="UUA47" s="971"/>
      <c r="UUB47" s="971"/>
      <c r="UUC47" s="971"/>
      <c r="UUD47" s="971"/>
      <c r="UUE47" s="971"/>
      <c r="UUF47" s="971"/>
      <c r="UUG47" s="971"/>
      <c r="UUH47" s="971"/>
      <c r="UUI47" s="971"/>
      <c r="UUJ47" s="971"/>
      <c r="UUK47" s="971"/>
      <c r="UUL47" s="971"/>
      <c r="UUM47" s="971"/>
      <c r="UUN47" s="971"/>
      <c r="UUO47" s="971"/>
      <c r="UUP47" s="971"/>
      <c r="UUQ47" s="971"/>
      <c r="UUR47" s="971"/>
      <c r="UUS47" s="971"/>
      <c r="UUT47" s="971"/>
      <c r="UUU47" s="971"/>
      <c r="UUV47" s="971"/>
      <c r="UUW47" s="971"/>
      <c r="UUX47" s="971"/>
      <c r="UUY47" s="971"/>
      <c r="UUZ47" s="971"/>
      <c r="UVA47" s="971"/>
      <c r="UVB47" s="971"/>
      <c r="UVC47" s="971"/>
      <c r="UVD47" s="971"/>
      <c r="UVE47" s="971"/>
      <c r="UVF47" s="971"/>
      <c r="UVG47" s="971"/>
      <c r="UVH47" s="971"/>
      <c r="UVI47" s="971"/>
      <c r="UVJ47" s="971"/>
      <c r="UVK47" s="971"/>
      <c r="UVL47" s="971"/>
      <c r="UVM47" s="971"/>
      <c r="UVN47" s="971"/>
      <c r="UVO47" s="971"/>
      <c r="UVP47" s="971"/>
      <c r="UVQ47" s="971"/>
      <c r="UVR47" s="971"/>
      <c r="UVS47" s="971"/>
      <c r="UVT47" s="971"/>
      <c r="UVU47" s="971"/>
      <c r="UVV47" s="971"/>
      <c r="UVW47" s="971"/>
      <c r="UVX47" s="971"/>
      <c r="UVY47" s="971"/>
      <c r="UVZ47" s="971"/>
      <c r="UWA47" s="971"/>
      <c r="UWB47" s="971"/>
      <c r="UWC47" s="971"/>
      <c r="UWD47" s="971"/>
      <c r="UWE47" s="971"/>
      <c r="UWF47" s="971"/>
      <c r="UWG47" s="971"/>
      <c r="UWH47" s="971"/>
      <c r="UWI47" s="971"/>
      <c r="UWJ47" s="971"/>
      <c r="UWK47" s="971"/>
      <c r="UWL47" s="971"/>
      <c r="UWM47" s="971"/>
      <c r="UWN47" s="971"/>
      <c r="UWO47" s="971"/>
      <c r="UWP47" s="971"/>
      <c r="UWQ47" s="971"/>
      <c r="UWR47" s="971"/>
      <c r="UWS47" s="971"/>
      <c r="UWT47" s="971"/>
      <c r="UWU47" s="971"/>
      <c r="UWV47" s="971"/>
      <c r="UWW47" s="971"/>
      <c r="UWX47" s="971"/>
      <c r="UWY47" s="971"/>
      <c r="UWZ47" s="971"/>
      <c r="UXA47" s="971"/>
      <c r="UXB47" s="971"/>
      <c r="UXC47" s="971"/>
      <c r="UXD47" s="971"/>
      <c r="UXE47" s="971"/>
      <c r="UXF47" s="971"/>
      <c r="UXG47" s="971"/>
      <c r="UXH47" s="971"/>
      <c r="UXI47" s="971"/>
      <c r="UXJ47" s="971"/>
      <c r="UXK47" s="971"/>
      <c r="UXL47" s="971"/>
      <c r="UXM47" s="971"/>
      <c r="UXN47" s="971"/>
      <c r="UXO47" s="971"/>
      <c r="UXP47" s="971"/>
      <c r="UXQ47" s="971"/>
      <c r="UXR47" s="971"/>
      <c r="UXS47" s="971"/>
      <c r="UXT47" s="971"/>
      <c r="UXU47" s="971"/>
      <c r="UXV47" s="971"/>
      <c r="UXW47" s="971"/>
      <c r="UXX47" s="971"/>
      <c r="UXY47" s="971"/>
      <c r="UXZ47" s="971"/>
      <c r="UYA47" s="971"/>
      <c r="UYB47" s="971"/>
      <c r="UYC47" s="971"/>
      <c r="UYD47" s="971"/>
      <c r="UYE47" s="971"/>
      <c r="UYF47" s="971"/>
      <c r="UYG47" s="971"/>
      <c r="UYH47" s="971"/>
      <c r="UYI47" s="971"/>
      <c r="UYJ47" s="971"/>
      <c r="UYK47" s="971"/>
      <c r="UYL47" s="971"/>
      <c r="UYM47" s="971"/>
      <c r="UYN47" s="971"/>
      <c r="UYO47" s="971"/>
      <c r="UYP47" s="971"/>
      <c r="UYQ47" s="971"/>
      <c r="UYR47" s="971"/>
      <c r="UYS47" s="971"/>
      <c r="UYT47" s="971"/>
      <c r="UYU47" s="971"/>
      <c r="UYV47" s="971"/>
      <c r="UYW47" s="971"/>
      <c r="UYX47" s="971"/>
      <c r="UYY47" s="971"/>
      <c r="UYZ47" s="971"/>
      <c r="UZA47" s="971"/>
      <c r="UZB47" s="971"/>
      <c r="UZC47" s="971"/>
      <c r="UZD47" s="971"/>
      <c r="UZE47" s="971"/>
      <c r="UZF47" s="971"/>
      <c r="UZG47" s="971"/>
      <c r="UZH47" s="971"/>
      <c r="UZI47" s="971"/>
      <c r="UZJ47" s="971"/>
      <c r="UZK47" s="971"/>
      <c r="UZL47" s="971"/>
      <c r="UZM47" s="971"/>
      <c r="UZN47" s="971"/>
      <c r="UZO47" s="971"/>
      <c r="UZP47" s="971"/>
      <c r="UZQ47" s="971"/>
      <c r="UZR47" s="971"/>
      <c r="UZS47" s="971"/>
      <c r="UZT47" s="971"/>
      <c r="UZU47" s="971"/>
      <c r="UZV47" s="971"/>
      <c r="UZW47" s="971"/>
      <c r="UZX47" s="971"/>
      <c r="UZY47" s="971"/>
      <c r="UZZ47" s="971"/>
      <c r="VAA47" s="971"/>
      <c r="VAB47" s="971"/>
      <c r="VAC47" s="971"/>
      <c r="VAD47" s="971"/>
      <c r="VAE47" s="971"/>
      <c r="VAF47" s="971"/>
      <c r="VAG47" s="971"/>
      <c r="VAH47" s="971"/>
      <c r="VAI47" s="971"/>
      <c r="VAJ47" s="971"/>
      <c r="VAK47" s="971"/>
      <c r="VAL47" s="971"/>
      <c r="VAM47" s="971"/>
      <c r="VAN47" s="971"/>
      <c r="VAO47" s="971"/>
      <c r="VAP47" s="971"/>
      <c r="VAQ47" s="971"/>
      <c r="VAR47" s="971"/>
      <c r="VAS47" s="971"/>
      <c r="VAT47" s="971"/>
      <c r="VAU47" s="971"/>
      <c r="VAV47" s="971"/>
      <c r="VAW47" s="971"/>
      <c r="VAX47" s="971"/>
      <c r="VAY47" s="971"/>
      <c r="VAZ47" s="971"/>
      <c r="VBA47" s="971"/>
      <c r="VBB47" s="971"/>
      <c r="VBC47" s="971"/>
      <c r="VBD47" s="971"/>
      <c r="VBE47" s="971"/>
      <c r="VBF47" s="971"/>
      <c r="VBG47" s="971"/>
      <c r="VBH47" s="971"/>
      <c r="VBI47" s="971"/>
      <c r="VBJ47" s="971"/>
      <c r="VBK47" s="971"/>
      <c r="VBL47" s="971"/>
      <c r="VBM47" s="971"/>
      <c r="VBN47" s="971"/>
      <c r="VBO47" s="971"/>
      <c r="VBP47" s="971"/>
      <c r="VBQ47" s="971"/>
      <c r="VBR47" s="971"/>
      <c r="VBS47" s="971"/>
      <c r="VBT47" s="971"/>
      <c r="VBU47" s="971"/>
      <c r="VBV47" s="971"/>
      <c r="VBW47" s="971"/>
      <c r="VBX47" s="971"/>
      <c r="VBY47" s="971"/>
      <c r="VBZ47" s="971"/>
      <c r="VCA47" s="971"/>
      <c r="VCB47" s="971"/>
      <c r="VCC47" s="971"/>
      <c r="VCD47" s="971"/>
      <c r="VCE47" s="971"/>
      <c r="VCF47" s="971"/>
      <c r="VCG47" s="971"/>
      <c r="VCH47" s="971"/>
      <c r="VCI47" s="971"/>
      <c r="VCJ47" s="971"/>
      <c r="VCK47" s="971"/>
      <c r="VCL47" s="971"/>
      <c r="VCM47" s="971"/>
      <c r="VCN47" s="971"/>
      <c r="VCO47" s="971"/>
      <c r="VCP47" s="971"/>
      <c r="VCQ47" s="971"/>
      <c r="VCR47" s="971"/>
      <c r="VCS47" s="971"/>
      <c r="VCT47" s="971"/>
      <c r="VCU47" s="971"/>
      <c r="VCV47" s="971"/>
      <c r="VCW47" s="971"/>
      <c r="VCX47" s="971"/>
      <c r="VCY47" s="971"/>
      <c r="VCZ47" s="971"/>
      <c r="VDA47" s="971"/>
      <c r="VDB47" s="971"/>
      <c r="VDC47" s="971"/>
      <c r="VDD47" s="971"/>
      <c r="VDE47" s="971"/>
      <c r="VDF47" s="971"/>
      <c r="VDG47" s="971"/>
      <c r="VDH47" s="971"/>
      <c r="VDI47" s="971"/>
      <c r="VDJ47" s="971"/>
      <c r="VDK47" s="971"/>
      <c r="VDL47" s="971"/>
      <c r="VDM47" s="971"/>
      <c r="VDN47" s="971"/>
      <c r="VDO47" s="971"/>
      <c r="VDP47" s="971"/>
      <c r="VDQ47" s="971"/>
      <c r="VDR47" s="971"/>
      <c r="VDS47" s="971"/>
      <c r="VDT47" s="971"/>
      <c r="VDU47" s="971"/>
      <c r="VDV47" s="971"/>
      <c r="VDW47" s="971"/>
      <c r="VDX47" s="971"/>
      <c r="VDY47" s="971"/>
      <c r="VDZ47" s="971"/>
      <c r="VEA47" s="971"/>
      <c r="VEB47" s="971"/>
      <c r="VEC47" s="971"/>
      <c r="VED47" s="971"/>
      <c r="VEE47" s="971"/>
      <c r="VEF47" s="971"/>
      <c r="VEG47" s="971"/>
      <c r="VEH47" s="971"/>
      <c r="VEI47" s="971"/>
      <c r="VEJ47" s="971"/>
      <c r="VEK47" s="971"/>
      <c r="VEL47" s="971"/>
      <c r="VEM47" s="971"/>
      <c r="VEN47" s="971"/>
      <c r="VEO47" s="971"/>
      <c r="VEP47" s="971"/>
      <c r="VEQ47" s="971"/>
      <c r="VER47" s="971"/>
      <c r="VES47" s="971"/>
      <c r="VET47" s="971"/>
      <c r="VEU47" s="971"/>
      <c r="VEV47" s="971"/>
      <c r="VEW47" s="971"/>
      <c r="VEX47" s="971"/>
      <c r="VEY47" s="971"/>
      <c r="VEZ47" s="971"/>
      <c r="VFA47" s="971"/>
      <c r="VFB47" s="971"/>
      <c r="VFC47" s="971"/>
      <c r="VFD47" s="971"/>
      <c r="VFE47" s="971"/>
      <c r="VFF47" s="971"/>
      <c r="VFG47" s="971"/>
      <c r="VFH47" s="971"/>
      <c r="VFI47" s="971"/>
      <c r="VFJ47" s="971"/>
      <c r="VFK47" s="971"/>
      <c r="VFL47" s="971"/>
      <c r="VFM47" s="971"/>
      <c r="VFN47" s="971"/>
      <c r="VFO47" s="971"/>
      <c r="VFP47" s="971"/>
      <c r="VFQ47" s="971"/>
      <c r="VFR47" s="971"/>
      <c r="VFS47" s="971"/>
      <c r="VFT47" s="971"/>
      <c r="VFU47" s="971"/>
      <c r="VFV47" s="971"/>
      <c r="VFW47" s="971"/>
      <c r="VFX47" s="971"/>
      <c r="VFY47" s="971"/>
      <c r="VFZ47" s="971"/>
      <c r="VGA47" s="971"/>
      <c r="VGB47" s="971"/>
      <c r="VGC47" s="971"/>
      <c r="VGD47" s="971"/>
      <c r="VGE47" s="971"/>
      <c r="VGF47" s="971"/>
      <c r="VGG47" s="971"/>
      <c r="VGH47" s="971"/>
      <c r="VGI47" s="971"/>
      <c r="VGJ47" s="971"/>
      <c r="VGK47" s="971"/>
      <c r="VGL47" s="971"/>
      <c r="VGM47" s="971"/>
      <c r="VGN47" s="971"/>
      <c r="VGO47" s="971"/>
      <c r="VGP47" s="971"/>
      <c r="VGQ47" s="971"/>
      <c r="VGR47" s="971"/>
      <c r="VGS47" s="971"/>
      <c r="VGT47" s="971"/>
      <c r="VGU47" s="971"/>
      <c r="VGV47" s="971"/>
      <c r="VGW47" s="971"/>
      <c r="VGX47" s="971"/>
      <c r="VGY47" s="971"/>
      <c r="VGZ47" s="971"/>
      <c r="VHA47" s="971"/>
      <c r="VHB47" s="971"/>
      <c r="VHC47" s="971"/>
      <c r="VHD47" s="971"/>
      <c r="VHE47" s="971"/>
      <c r="VHF47" s="971"/>
      <c r="VHG47" s="971"/>
      <c r="VHH47" s="971"/>
      <c r="VHI47" s="971"/>
      <c r="VHJ47" s="971"/>
      <c r="VHK47" s="971"/>
      <c r="VHL47" s="971"/>
      <c r="VHM47" s="971"/>
      <c r="VHN47" s="971"/>
      <c r="VHO47" s="971"/>
      <c r="VHP47" s="971"/>
      <c r="VHQ47" s="971"/>
      <c r="VHR47" s="971"/>
      <c r="VHS47" s="971"/>
      <c r="VHT47" s="971"/>
      <c r="VHU47" s="971"/>
      <c r="VHV47" s="971"/>
      <c r="VHW47" s="971"/>
      <c r="VHX47" s="971"/>
      <c r="VHY47" s="971"/>
      <c r="VHZ47" s="971"/>
      <c r="VIA47" s="971"/>
      <c r="VIB47" s="971"/>
      <c r="VIC47" s="971"/>
      <c r="VID47" s="971"/>
      <c r="VIE47" s="971"/>
      <c r="VIF47" s="971"/>
      <c r="VIG47" s="971"/>
      <c r="VIH47" s="971"/>
      <c r="VII47" s="971"/>
      <c r="VIJ47" s="971"/>
      <c r="VIK47" s="971"/>
      <c r="VIL47" s="971"/>
      <c r="VIM47" s="971"/>
      <c r="VIN47" s="971"/>
      <c r="VIO47" s="971"/>
      <c r="VIP47" s="971"/>
      <c r="VIQ47" s="971"/>
      <c r="VIR47" s="971"/>
      <c r="VIS47" s="971"/>
      <c r="VIT47" s="971"/>
      <c r="VIU47" s="971"/>
      <c r="VIV47" s="971"/>
      <c r="VIW47" s="971"/>
      <c r="VIX47" s="971"/>
      <c r="VIY47" s="971"/>
      <c r="VIZ47" s="971"/>
      <c r="VJA47" s="971"/>
      <c r="VJB47" s="971"/>
      <c r="VJC47" s="971"/>
      <c r="VJD47" s="971"/>
      <c r="VJE47" s="971"/>
      <c r="VJF47" s="971"/>
      <c r="VJG47" s="971"/>
      <c r="VJH47" s="971"/>
      <c r="VJI47" s="971"/>
      <c r="VJJ47" s="971"/>
      <c r="VJK47" s="971"/>
      <c r="VJL47" s="971"/>
      <c r="VJM47" s="971"/>
      <c r="VJN47" s="971"/>
      <c r="VJO47" s="971"/>
      <c r="VJP47" s="971"/>
      <c r="VJQ47" s="971"/>
      <c r="VJR47" s="971"/>
      <c r="VJS47" s="971"/>
      <c r="VJT47" s="971"/>
      <c r="VJU47" s="971"/>
      <c r="VJV47" s="971"/>
      <c r="VJW47" s="971"/>
      <c r="VJX47" s="971"/>
      <c r="VJY47" s="971"/>
      <c r="VJZ47" s="971"/>
      <c r="VKA47" s="971"/>
      <c r="VKB47" s="971"/>
      <c r="VKC47" s="971"/>
      <c r="VKD47" s="971"/>
      <c r="VKE47" s="971"/>
      <c r="VKF47" s="971"/>
      <c r="VKG47" s="971"/>
      <c r="VKH47" s="971"/>
      <c r="VKI47" s="971"/>
      <c r="VKJ47" s="971"/>
      <c r="VKK47" s="971"/>
      <c r="VKL47" s="971"/>
      <c r="VKM47" s="971"/>
      <c r="VKN47" s="971"/>
      <c r="VKO47" s="971"/>
      <c r="VKP47" s="971"/>
      <c r="VKQ47" s="971"/>
      <c r="VKR47" s="971"/>
      <c r="VKS47" s="971"/>
      <c r="VKT47" s="971"/>
      <c r="VKU47" s="971"/>
      <c r="VKV47" s="971"/>
      <c r="VKW47" s="971"/>
      <c r="VKX47" s="971"/>
      <c r="VKY47" s="971"/>
      <c r="VKZ47" s="971"/>
      <c r="VLA47" s="971"/>
      <c r="VLB47" s="971"/>
      <c r="VLC47" s="971"/>
      <c r="VLD47" s="971"/>
      <c r="VLE47" s="971"/>
      <c r="VLF47" s="971"/>
      <c r="VLG47" s="971"/>
      <c r="VLH47" s="971"/>
      <c r="VLI47" s="971"/>
      <c r="VLJ47" s="971"/>
      <c r="VLK47" s="971"/>
      <c r="VLL47" s="971"/>
      <c r="VLM47" s="971"/>
      <c r="VLN47" s="971"/>
      <c r="VLO47" s="971"/>
      <c r="VLP47" s="971"/>
      <c r="VLQ47" s="971"/>
      <c r="VLR47" s="971"/>
      <c r="VLS47" s="971"/>
      <c r="VLT47" s="971"/>
      <c r="VLU47" s="971"/>
      <c r="VLV47" s="971"/>
      <c r="VLW47" s="971"/>
      <c r="VLX47" s="971"/>
      <c r="VLY47" s="971"/>
      <c r="VLZ47" s="971"/>
      <c r="VMA47" s="971"/>
      <c r="VMB47" s="971"/>
      <c r="VMC47" s="971"/>
      <c r="VMD47" s="971"/>
      <c r="VME47" s="971"/>
      <c r="VMF47" s="971"/>
      <c r="VMG47" s="971"/>
      <c r="VMH47" s="971"/>
      <c r="VMI47" s="971"/>
      <c r="VMJ47" s="971"/>
      <c r="VMK47" s="971"/>
      <c r="VML47" s="971"/>
      <c r="VMM47" s="971"/>
      <c r="VMN47" s="971"/>
      <c r="VMO47" s="971"/>
      <c r="VMP47" s="971"/>
      <c r="VMQ47" s="971"/>
      <c r="VMR47" s="971"/>
      <c r="VMS47" s="971"/>
      <c r="VMT47" s="971"/>
      <c r="VMU47" s="971"/>
      <c r="VMV47" s="971"/>
      <c r="VMW47" s="971"/>
      <c r="VMX47" s="971"/>
      <c r="VMY47" s="971"/>
      <c r="VMZ47" s="971"/>
      <c r="VNA47" s="971"/>
      <c r="VNB47" s="971"/>
      <c r="VNC47" s="971"/>
      <c r="VND47" s="971"/>
      <c r="VNE47" s="971"/>
      <c r="VNF47" s="971"/>
      <c r="VNG47" s="971"/>
      <c r="VNH47" s="971"/>
      <c r="VNI47" s="971"/>
      <c r="VNJ47" s="971"/>
      <c r="VNK47" s="971"/>
      <c r="VNL47" s="971"/>
      <c r="VNM47" s="971"/>
      <c r="VNN47" s="971"/>
      <c r="VNO47" s="971"/>
      <c r="VNP47" s="971"/>
      <c r="VNQ47" s="971"/>
      <c r="VNR47" s="971"/>
      <c r="VNS47" s="971"/>
      <c r="VNT47" s="971"/>
      <c r="VNU47" s="971"/>
      <c r="VNV47" s="971"/>
      <c r="VNW47" s="971"/>
      <c r="VNX47" s="971"/>
      <c r="VNY47" s="971"/>
      <c r="VNZ47" s="971"/>
      <c r="VOA47" s="971"/>
      <c r="VOB47" s="971"/>
      <c r="VOC47" s="971"/>
      <c r="VOD47" s="971"/>
      <c r="VOE47" s="971"/>
      <c r="VOF47" s="971"/>
      <c r="VOG47" s="971"/>
      <c r="VOH47" s="971"/>
      <c r="VOI47" s="971"/>
      <c r="VOJ47" s="971"/>
      <c r="VOK47" s="971"/>
      <c r="VOL47" s="971"/>
      <c r="VOM47" s="971"/>
      <c r="VON47" s="971"/>
      <c r="VOO47" s="971"/>
      <c r="VOP47" s="971"/>
      <c r="VOQ47" s="971"/>
      <c r="VOR47" s="971"/>
      <c r="VOS47" s="971"/>
      <c r="VOT47" s="971"/>
      <c r="VOU47" s="971"/>
      <c r="VOV47" s="971"/>
      <c r="VOW47" s="971"/>
      <c r="VOX47" s="971"/>
      <c r="VOY47" s="971"/>
      <c r="VOZ47" s="971"/>
      <c r="VPA47" s="971"/>
      <c r="VPB47" s="971"/>
      <c r="VPC47" s="971"/>
      <c r="VPD47" s="971"/>
      <c r="VPE47" s="971"/>
      <c r="VPF47" s="971"/>
      <c r="VPG47" s="971"/>
      <c r="VPH47" s="971"/>
      <c r="VPI47" s="971"/>
      <c r="VPJ47" s="971"/>
      <c r="VPK47" s="971"/>
      <c r="VPL47" s="971"/>
      <c r="VPM47" s="971"/>
      <c r="VPN47" s="971"/>
      <c r="VPO47" s="971"/>
      <c r="VPP47" s="971"/>
      <c r="VPQ47" s="971"/>
      <c r="VPR47" s="971"/>
      <c r="VPS47" s="971"/>
      <c r="VPT47" s="971"/>
      <c r="VPU47" s="971"/>
      <c r="VPV47" s="971"/>
      <c r="VPW47" s="971"/>
      <c r="VPX47" s="971"/>
      <c r="VPY47" s="971"/>
      <c r="VPZ47" s="971"/>
      <c r="VQA47" s="971"/>
      <c r="VQB47" s="971"/>
      <c r="VQC47" s="971"/>
      <c r="VQD47" s="971"/>
      <c r="VQE47" s="971"/>
      <c r="VQF47" s="971"/>
      <c r="VQG47" s="971"/>
      <c r="VQH47" s="971"/>
      <c r="VQI47" s="971"/>
      <c r="VQJ47" s="971"/>
      <c r="VQK47" s="971"/>
      <c r="VQL47" s="971"/>
      <c r="VQM47" s="971"/>
      <c r="VQN47" s="971"/>
      <c r="VQO47" s="971"/>
      <c r="VQP47" s="971"/>
      <c r="VQQ47" s="971"/>
      <c r="VQR47" s="971"/>
      <c r="VQS47" s="971"/>
      <c r="VQT47" s="971"/>
      <c r="VQU47" s="971"/>
      <c r="VQV47" s="971"/>
      <c r="VQW47" s="971"/>
      <c r="VQX47" s="971"/>
      <c r="VQY47" s="971"/>
      <c r="VQZ47" s="971"/>
      <c r="VRA47" s="971"/>
      <c r="VRB47" s="971"/>
      <c r="VRC47" s="971"/>
      <c r="VRD47" s="971"/>
      <c r="VRE47" s="971"/>
      <c r="VRF47" s="971"/>
      <c r="VRG47" s="971"/>
      <c r="VRH47" s="971"/>
      <c r="VRI47" s="971"/>
      <c r="VRJ47" s="971"/>
      <c r="VRK47" s="971"/>
      <c r="VRL47" s="971"/>
      <c r="VRM47" s="971"/>
      <c r="VRN47" s="971"/>
      <c r="VRO47" s="971"/>
      <c r="VRP47" s="971"/>
      <c r="VRQ47" s="971"/>
      <c r="VRR47" s="971"/>
      <c r="VRS47" s="971"/>
      <c r="VRT47" s="971"/>
      <c r="VRU47" s="971"/>
      <c r="VRV47" s="971"/>
      <c r="VRW47" s="971"/>
      <c r="VRX47" s="971"/>
      <c r="VRY47" s="971"/>
      <c r="VRZ47" s="971"/>
      <c r="VSA47" s="971"/>
      <c r="VSB47" s="971"/>
      <c r="VSC47" s="971"/>
      <c r="VSD47" s="971"/>
      <c r="VSE47" s="971"/>
      <c r="VSF47" s="971"/>
      <c r="VSG47" s="971"/>
      <c r="VSH47" s="971"/>
      <c r="VSI47" s="971"/>
      <c r="VSJ47" s="971"/>
      <c r="VSK47" s="971"/>
      <c r="VSL47" s="971"/>
      <c r="VSM47" s="971"/>
      <c r="VSN47" s="971"/>
      <c r="VSO47" s="971"/>
      <c r="VSP47" s="971"/>
      <c r="VSQ47" s="971"/>
      <c r="VSR47" s="971"/>
      <c r="VSS47" s="971"/>
      <c r="VST47" s="971"/>
      <c r="VSU47" s="971"/>
      <c r="VSV47" s="971"/>
      <c r="VSW47" s="971"/>
      <c r="VSX47" s="971"/>
      <c r="VSY47" s="971"/>
      <c r="VSZ47" s="971"/>
      <c r="VTA47" s="971"/>
      <c r="VTB47" s="971"/>
      <c r="VTC47" s="971"/>
      <c r="VTD47" s="971"/>
      <c r="VTE47" s="971"/>
      <c r="VTF47" s="971"/>
      <c r="VTG47" s="971"/>
      <c r="VTH47" s="971"/>
      <c r="VTI47" s="971"/>
      <c r="VTJ47" s="971"/>
      <c r="VTK47" s="971"/>
      <c r="VTL47" s="971"/>
      <c r="VTM47" s="971"/>
      <c r="VTN47" s="971"/>
      <c r="VTO47" s="971"/>
      <c r="VTP47" s="971"/>
      <c r="VTQ47" s="971"/>
      <c r="VTR47" s="971"/>
      <c r="VTS47" s="971"/>
      <c r="VTT47" s="971"/>
      <c r="VTU47" s="971"/>
      <c r="VTV47" s="971"/>
      <c r="VTW47" s="971"/>
      <c r="VTX47" s="971"/>
      <c r="VTY47" s="971"/>
      <c r="VTZ47" s="971"/>
      <c r="VUA47" s="971"/>
      <c r="VUB47" s="971"/>
      <c r="VUC47" s="971"/>
      <c r="VUD47" s="971"/>
      <c r="VUE47" s="971"/>
      <c r="VUF47" s="971"/>
      <c r="VUG47" s="971"/>
      <c r="VUH47" s="971"/>
      <c r="VUI47" s="971"/>
      <c r="VUJ47" s="971"/>
      <c r="VUK47" s="971"/>
      <c r="VUL47" s="971"/>
      <c r="VUM47" s="971"/>
      <c r="VUN47" s="971"/>
      <c r="VUO47" s="971"/>
      <c r="VUP47" s="971"/>
      <c r="VUQ47" s="971"/>
      <c r="VUR47" s="971"/>
      <c r="VUS47" s="971"/>
      <c r="VUT47" s="971"/>
      <c r="VUU47" s="971"/>
      <c r="VUV47" s="971"/>
      <c r="VUW47" s="971"/>
      <c r="VUX47" s="971"/>
      <c r="VUY47" s="971"/>
      <c r="VUZ47" s="971"/>
      <c r="VVA47" s="971"/>
      <c r="VVB47" s="971"/>
      <c r="VVC47" s="971"/>
      <c r="VVD47" s="971"/>
      <c r="VVE47" s="971"/>
      <c r="VVF47" s="971"/>
      <c r="VVG47" s="971"/>
      <c r="VVH47" s="971"/>
      <c r="VVI47" s="971"/>
      <c r="VVJ47" s="971"/>
      <c r="VVK47" s="971"/>
      <c r="VVL47" s="971"/>
      <c r="VVM47" s="971"/>
      <c r="VVN47" s="971"/>
      <c r="VVO47" s="971"/>
      <c r="VVP47" s="971"/>
      <c r="VVQ47" s="971"/>
      <c r="VVR47" s="971"/>
      <c r="VVS47" s="971"/>
      <c r="VVT47" s="971"/>
      <c r="VVU47" s="971"/>
      <c r="VVV47" s="971"/>
      <c r="VVW47" s="971"/>
      <c r="VVX47" s="971"/>
      <c r="VVY47" s="971"/>
      <c r="VVZ47" s="971"/>
      <c r="VWA47" s="971"/>
      <c r="VWB47" s="971"/>
      <c r="VWC47" s="971"/>
      <c r="VWD47" s="971"/>
      <c r="VWE47" s="971"/>
      <c r="VWF47" s="971"/>
      <c r="VWG47" s="971"/>
      <c r="VWH47" s="971"/>
      <c r="VWI47" s="971"/>
      <c r="VWJ47" s="971"/>
      <c r="VWK47" s="971"/>
      <c r="VWL47" s="971"/>
      <c r="VWM47" s="971"/>
      <c r="VWN47" s="971"/>
      <c r="VWO47" s="971"/>
      <c r="VWP47" s="971"/>
      <c r="VWQ47" s="971"/>
      <c r="VWR47" s="971"/>
      <c r="VWS47" s="971"/>
      <c r="VWT47" s="971"/>
      <c r="VWU47" s="971"/>
      <c r="VWV47" s="971"/>
      <c r="VWW47" s="971"/>
      <c r="VWX47" s="971"/>
      <c r="VWY47" s="971"/>
      <c r="VWZ47" s="971"/>
      <c r="VXA47" s="971"/>
      <c r="VXB47" s="971"/>
      <c r="VXC47" s="971"/>
      <c r="VXD47" s="971"/>
      <c r="VXE47" s="971"/>
      <c r="VXF47" s="971"/>
      <c r="VXG47" s="971"/>
      <c r="VXH47" s="971"/>
      <c r="VXI47" s="971"/>
      <c r="VXJ47" s="971"/>
      <c r="VXK47" s="971"/>
      <c r="VXL47" s="971"/>
      <c r="VXM47" s="971"/>
      <c r="VXN47" s="971"/>
      <c r="VXO47" s="971"/>
      <c r="VXP47" s="971"/>
      <c r="VXQ47" s="971"/>
      <c r="VXR47" s="971"/>
      <c r="VXS47" s="971"/>
      <c r="VXT47" s="971"/>
      <c r="VXU47" s="971"/>
      <c r="VXV47" s="971"/>
      <c r="VXW47" s="971"/>
      <c r="VXX47" s="971"/>
      <c r="VXY47" s="971"/>
      <c r="VXZ47" s="971"/>
      <c r="VYA47" s="971"/>
      <c r="VYB47" s="971"/>
      <c r="VYC47" s="971"/>
      <c r="VYD47" s="971"/>
      <c r="VYE47" s="971"/>
      <c r="VYF47" s="971"/>
      <c r="VYG47" s="971"/>
      <c r="VYH47" s="971"/>
      <c r="VYI47" s="971"/>
      <c r="VYJ47" s="971"/>
      <c r="VYK47" s="971"/>
      <c r="VYL47" s="971"/>
      <c r="VYM47" s="971"/>
      <c r="VYN47" s="971"/>
      <c r="VYO47" s="971"/>
      <c r="VYP47" s="971"/>
      <c r="VYQ47" s="971"/>
      <c r="VYR47" s="971"/>
      <c r="VYS47" s="971"/>
      <c r="VYT47" s="971"/>
      <c r="VYU47" s="971"/>
      <c r="VYV47" s="971"/>
      <c r="VYW47" s="971"/>
      <c r="VYX47" s="971"/>
      <c r="VYY47" s="971"/>
      <c r="VYZ47" s="971"/>
      <c r="VZA47" s="971"/>
      <c r="VZB47" s="971"/>
      <c r="VZC47" s="971"/>
      <c r="VZD47" s="971"/>
      <c r="VZE47" s="971"/>
      <c r="VZF47" s="971"/>
      <c r="VZG47" s="971"/>
      <c r="VZH47" s="971"/>
      <c r="VZI47" s="971"/>
      <c r="VZJ47" s="971"/>
      <c r="VZK47" s="971"/>
      <c r="VZL47" s="971"/>
      <c r="VZM47" s="971"/>
      <c r="VZN47" s="971"/>
      <c r="VZO47" s="971"/>
      <c r="VZP47" s="971"/>
      <c r="VZQ47" s="971"/>
      <c r="VZR47" s="971"/>
      <c r="VZS47" s="971"/>
      <c r="VZT47" s="971"/>
      <c r="VZU47" s="971"/>
      <c r="VZV47" s="971"/>
      <c r="VZW47" s="971"/>
      <c r="VZX47" s="971"/>
      <c r="VZY47" s="971"/>
      <c r="VZZ47" s="971"/>
      <c r="WAA47" s="971"/>
      <c r="WAB47" s="971"/>
      <c r="WAC47" s="971"/>
      <c r="WAD47" s="971"/>
      <c r="WAE47" s="971"/>
      <c r="WAF47" s="971"/>
      <c r="WAG47" s="971"/>
      <c r="WAH47" s="971"/>
      <c r="WAI47" s="971"/>
      <c r="WAJ47" s="971"/>
      <c r="WAK47" s="971"/>
      <c r="WAL47" s="971"/>
      <c r="WAM47" s="971"/>
      <c r="WAN47" s="971"/>
      <c r="WAO47" s="971"/>
      <c r="WAP47" s="971"/>
      <c r="WAQ47" s="971"/>
      <c r="WAR47" s="971"/>
      <c r="WAS47" s="971"/>
      <c r="WAT47" s="971"/>
      <c r="WAU47" s="971"/>
      <c r="WAV47" s="971"/>
      <c r="WAW47" s="971"/>
      <c r="WAX47" s="971"/>
      <c r="WAY47" s="971"/>
      <c r="WAZ47" s="971"/>
      <c r="WBA47" s="971"/>
      <c r="WBB47" s="971"/>
      <c r="WBC47" s="971"/>
      <c r="WBD47" s="971"/>
      <c r="WBE47" s="971"/>
      <c r="WBF47" s="971"/>
      <c r="WBG47" s="971"/>
      <c r="WBH47" s="971"/>
      <c r="WBI47" s="971"/>
      <c r="WBJ47" s="971"/>
      <c r="WBK47" s="971"/>
      <c r="WBL47" s="971"/>
      <c r="WBM47" s="971"/>
      <c r="WBN47" s="971"/>
      <c r="WBO47" s="971"/>
      <c r="WBP47" s="971"/>
      <c r="WBQ47" s="971"/>
      <c r="WBR47" s="971"/>
      <c r="WBS47" s="971"/>
      <c r="WBT47" s="971"/>
      <c r="WBU47" s="971"/>
      <c r="WBV47" s="971"/>
      <c r="WBW47" s="971"/>
      <c r="WBX47" s="971"/>
      <c r="WBY47" s="971"/>
      <c r="WBZ47" s="971"/>
      <c r="WCA47" s="971"/>
      <c r="WCB47" s="971"/>
      <c r="WCC47" s="971"/>
      <c r="WCD47" s="971"/>
      <c r="WCE47" s="971"/>
      <c r="WCF47" s="971"/>
      <c r="WCG47" s="971"/>
      <c r="WCH47" s="971"/>
      <c r="WCI47" s="971"/>
      <c r="WCJ47" s="971"/>
      <c r="WCK47" s="971"/>
      <c r="WCL47" s="971"/>
      <c r="WCM47" s="971"/>
      <c r="WCN47" s="971"/>
      <c r="WCO47" s="971"/>
      <c r="WCP47" s="971"/>
      <c r="WCQ47" s="971"/>
      <c r="WCR47" s="971"/>
      <c r="WCS47" s="971"/>
      <c r="WCT47" s="971"/>
      <c r="WCU47" s="971"/>
      <c r="WCV47" s="971"/>
      <c r="WCW47" s="971"/>
      <c r="WCX47" s="971"/>
      <c r="WCY47" s="971"/>
      <c r="WCZ47" s="971"/>
      <c r="WDA47" s="971"/>
      <c r="WDB47" s="971"/>
      <c r="WDC47" s="971"/>
      <c r="WDD47" s="971"/>
      <c r="WDE47" s="971"/>
      <c r="WDF47" s="971"/>
      <c r="WDG47" s="971"/>
      <c r="WDH47" s="971"/>
      <c r="WDI47" s="971"/>
      <c r="WDJ47" s="971"/>
      <c r="WDK47" s="971"/>
      <c r="WDL47" s="971"/>
      <c r="WDM47" s="971"/>
      <c r="WDN47" s="971"/>
      <c r="WDO47" s="971"/>
      <c r="WDP47" s="971"/>
      <c r="WDQ47" s="971"/>
      <c r="WDR47" s="971"/>
      <c r="WDS47" s="971"/>
      <c r="WDT47" s="971"/>
      <c r="WDU47" s="971"/>
      <c r="WDV47" s="971"/>
      <c r="WDW47" s="971"/>
      <c r="WDX47" s="971"/>
      <c r="WDY47" s="971"/>
      <c r="WDZ47" s="971"/>
      <c r="WEA47" s="971"/>
      <c r="WEB47" s="971"/>
      <c r="WEC47" s="971"/>
      <c r="WED47" s="971"/>
      <c r="WEE47" s="971"/>
      <c r="WEF47" s="971"/>
      <c r="WEG47" s="971"/>
      <c r="WEH47" s="971"/>
      <c r="WEI47" s="971"/>
      <c r="WEJ47" s="971"/>
      <c r="WEK47" s="971"/>
      <c r="WEL47" s="971"/>
      <c r="WEM47" s="971"/>
      <c r="WEN47" s="971"/>
      <c r="WEO47" s="971"/>
      <c r="WEP47" s="971"/>
      <c r="WEQ47" s="971"/>
      <c r="WER47" s="971"/>
      <c r="WES47" s="971"/>
      <c r="WET47" s="971"/>
      <c r="WEU47" s="971"/>
      <c r="WEV47" s="971"/>
      <c r="WEW47" s="971"/>
      <c r="WEX47" s="971"/>
      <c r="WEY47" s="971"/>
      <c r="WEZ47" s="971"/>
      <c r="WFA47" s="971"/>
      <c r="WFB47" s="971"/>
      <c r="WFC47" s="971"/>
      <c r="WFD47" s="971"/>
      <c r="WFE47" s="971"/>
      <c r="WFF47" s="971"/>
      <c r="WFG47" s="971"/>
      <c r="WFH47" s="971"/>
      <c r="WFI47" s="971"/>
      <c r="WFJ47" s="971"/>
      <c r="WFK47" s="971"/>
      <c r="WFL47" s="971"/>
      <c r="WFM47" s="971"/>
      <c r="WFN47" s="971"/>
      <c r="WFO47" s="971"/>
      <c r="WFP47" s="971"/>
      <c r="WFQ47" s="971"/>
      <c r="WFR47" s="971"/>
      <c r="WFS47" s="971"/>
      <c r="WFT47" s="971"/>
      <c r="WFU47" s="971"/>
      <c r="WFV47" s="971"/>
      <c r="WFW47" s="971"/>
      <c r="WFX47" s="971"/>
      <c r="WFY47" s="971"/>
      <c r="WFZ47" s="971"/>
      <c r="WGA47" s="971"/>
      <c r="WGB47" s="971"/>
      <c r="WGC47" s="971"/>
      <c r="WGD47" s="971"/>
      <c r="WGE47" s="971"/>
      <c r="WGF47" s="971"/>
      <c r="WGG47" s="971"/>
      <c r="WGH47" s="971"/>
      <c r="WGI47" s="971"/>
      <c r="WGJ47" s="971"/>
      <c r="WGK47" s="971"/>
      <c r="WGL47" s="971"/>
      <c r="WGM47" s="971"/>
      <c r="WGN47" s="971"/>
      <c r="WGO47" s="971"/>
      <c r="WGP47" s="971"/>
      <c r="WGQ47" s="971"/>
      <c r="WGR47" s="971"/>
      <c r="WGS47" s="971"/>
      <c r="WGT47" s="971"/>
      <c r="WGU47" s="971"/>
      <c r="WGV47" s="971"/>
      <c r="WGW47" s="971"/>
      <c r="WGX47" s="971"/>
      <c r="WGY47" s="971"/>
      <c r="WGZ47" s="971"/>
      <c r="WHA47" s="971"/>
      <c r="WHB47" s="971"/>
      <c r="WHC47" s="971"/>
      <c r="WHD47" s="971"/>
      <c r="WHE47" s="971"/>
      <c r="WHF47" s="971"/>
      <c r="WHG47" s="971"/>
      <c r="WHH47" s="971"/>
      <c r="WHI47" s="971"/>
      <c r="WHJ47" s="971"/>
      <c r="WHK47" s="971"/>
      <c r="WHL47" s="971"/>
      <c r="WHM47" s="971"/>
      <c r="WHN47" s="971"/>
      <c r="WHO47" s="971"/>
      <c r="WHP47" s="971"/>
      <c r="WHQ47" s="971"/>
      <c r="WHR47" s="971"/>
      <c r="WHS47" s="971"/>
      <c r="WHT47" s="971"/>
      <c r="WHU47" s="971"/>
      <c r="WHV47" s="971"/>
      <c r="WHW47" s="971"/>
      <c r="WHX47" s="971"/>
      <c r="WHY47" s="971"/>
      <c r="WHZ47" s="971"/>
      <c r="WIA47" s="971"/>
      <c r="WIB47" s="971"/>
      <c r="WIC47" s="971"/>
      <c r="WID47" s="971"/>
      <c r="WIE47" s="971"/>
      <c r="WIF47" s="971"/>
      <c r="WIG47" s="971"/>
      <c r="WIH47" s="971"/>
      <c r="WII47" s="971"/>
      <c r="WIJ47" s="971"/>
      <c r="WIK47" s="971"/>
      <c r="WIL47" s="971"/>
      <c r="WIM47" s="971"/>
      <c r="WIN47" s="971"/>
      <c r="WIO47" s="971"/>
      <c r="WIP47" s="971"/>
      <c r="WIQ47" s="971"/>
      <c r="WIR47" s="971"/>
      <c r="WIS47" s="971"/>
      <c r="WIT47" s="971"/>
      <c r="WIU47" s="971"/>
      <c r="WIV47" s="971"/>
      <c r="WIW47" s="971"/>
      <c r="WIX47" s="971"/>
      <c r="WIY47" s="971"/>
      <c r="WIZ47" s="971"/>
      <c r="WJA47" s="971"/>
      <c r="WJB47" s="971"/>
      <c r="WJC47" s="971"/>
      <c r="WJD47" s="971"/>
      <c r="WJE47" s="971"/>
      <c r="WJF47" s="971"/>
      <c r="WJG47" s="971"/>
      <c r="WJH47" s="971"/>
      <c r="WJI47" s="971"/>
      <c r="WJJ47" s="971"/>
      <c r="WJK47" s="971"/>
      <c r="WJL47" s="971"/>
      <c r="WJM47" s="971"/>
      <c r="WJN47" s="971"/>
      <c r="WJO47" s="971"/>
      <c r="WJP47" s="971"/>
      <c r="WJQ47" s="971"/>
      <c r="WJR47" s="971"/>
      <c r="WJS47" s="971"/>
      <c r="WJT47" s="971"/>
      <c r="WJU47" s="971"/>
      <c r="WJV47" s="971"/>
      <c r="WJW47" s="971"/>
      <c r="WJX47" s="971"/>
      <c r="WJY47" s="971"/>
      <c r="WJZ47" s="971"/>
      <c r="WKA47" s="971"/>
      <c r="WKB47" s="971"/>
      <c r="WKC47" s="971"/>
      <c r="WKD47" s="971"/>
      <c r="WKE47" s="971"/>
      <c r="WKF47" s="971"/>
      <c r="WKG47" s="971"/>
      <c r="WKH47" s="971"/>
      <c r="WKI47" s="971"/>
      <c r="WKJ47" s="971"/>
      <c r="WKK47" s="971"/>
      <c r="WKL47" s="971"/>
      <c r="WKM47" s="971"/>
      <c r="WKN47" s="971"/>
      <c r="WKO47" s="971"/>
      <c r="WKP47" s="971"/>
      <c r="WKQ47" s="971"/>
      <c r="WKR47" s="971"/>
      <c r="WKS47" s="971"/>
      <c r="WKT47" s="971"/>
      <c r="WKU47" s="971"/>
      <c r="WKV47" s="971"/>
      <c r="WKW47" s="971"/>
      <c r="WKX47" s="971"/>
      <c r="WKY47" s="971"/>
      <c r="WKZ47" s="971"/>
      <c r="WLA47" s="971"/>
      <c r="WLB47" s="971"/>
      <c r="WLC47" s="971"/>
      <c r="WLD47" s="971"/>
      <c r="WLE47" s="971"/>
      <c r="WLF47" s="971"/>
      <c r="WLG47" s="971"/>
      <c r="WLH47" s="971"/>
      <c r="WLI47" s="971"/>
      <c r="WLJ47" s="971"/>
      <c r="WLK47" s="971"/>
      <c r="WLL47" s="971"/>
      <c r="WLM47" s="971"/>
      <c r="WLN47" s="971"/>
      <c r="WLO47" s="971"/>
      <c r="WLP47" s="971"/>
      <c r="WLQ47" s="971"/>
      <c r="WLR47" s="971"/>
      <c r="WLS47" s="971"/>
      <c r="WLT47" s="971"/>
      <c r="WLU47" s="971"/>
      <c r="WLV47" s="971"/>
      <c r="WLW47" s="971"/>
      <c r="WLX47" s="971"/>
      <c r="WLY47" s="971"/>
      <c r="WLZ47" s="971"/>
      <c r="WMA47" s="971"/>
      <c r="WMB47" s="971"/>
      <c r="WMC47" s="971"/>
      <c r="WMD47" s="971"/>
      <c r="WME47" s="971"/>
      <c r="WMF47" s="971"/>
      <c r="WMG47" s="971"/>
      <c r="WMH47" s="971"/>
      <c r="WMI47" s="971"/>
      <c r="WMJ47" s="971"/>
      <c r="WMK47" s="971"/>
      <c r="WML47" s="971"/>
      <c r="WMM47" s="971"/>
      <c r="WMN47" s="971"/>
      <c r="WMO47" s="971"/>
      <c r="WMP47" s="971"/>
      <c r="WMQ47" s="971"/>
      <c r="WMR47" s="971"/>
      <c r="WMS47" s="971"/>
      <c r="WMT47" s="971"/>
      <c r="WMU47" s="971"/>
      <c r="WMV47" s="971"/>
      <c r="WMW47" s="971"/>
      <c r="WMX47" s="971"/>
      <c r="WMY47" s="971"/>
      <c r="WMZ47" s="971"/>
      <c r="WNA47" s="971"/>
      <c r="WNB47" s="971"/>
      <c r="WNC47" s="971"/>
      <c r="WND47" s="971"/>
      <c r="WNE47" s="971"/>
      <c r="WNF47" s="971"/>
      <c r="WNG47" s="971"/>
      <c r="WNH47" s="971"/>
      <c r="WNI47" s="971"/>
      <c r="WNJ47" s="971"/>
      <c r="WNK47" s="971"/>
      <c r="WNL47" s="971"/>
      <c r="WNM47" s="971"/>
      <c r="WNN47" s="971"/>
      <c r="WNO47" s="971"/>
      <c r="WNP47" s="971"/>
      <c r="WNQ47" s="971"/>
      <c r="WNR47" s="971"/>
      <c r="WNS47" s="971"/>
      <c r="WNT47" s="971"/>
      <c r="WNU47" s="971"/>
      <c r="WNV47" s="971"/>
      <c r="WNW47" s="971"/>
      <c r="WNX47" s="971"/>
      <c r="WNY47" s="971"/>
      <c r="WNZ47" s="971"/>
      <c r="WOA47" s="971"/>
      <c r="WOB47" s="971"/>
      <c r="WOC47" s="971"/>
      <c r="WOD47" s="971"/>
      <c r="WOE47" s="971"/>
      <c r="WOF47" s="971"/>
      <c r="WOG47" s="971"/>
      <c r="WOH47" s="971"/>
      <c r="WOI47" s="971"/>
      <c r="WOJ47" s="971"/>
      <c r="WOK47" s="971"/>
      <c r="WOL47" s="971"/>
      <c r="WOM47" s="971"/>
      <c r="WON47" s="971"/>
      <c r="WOO47" s="971"/>
      <c r="WOP47" s="971"/>
      <c r="WOQ47" s="971"/>
      <c r="WOR47" s="971"/>
      <c r="WOS47" s="971"/>
      <c r="WOT47" s="971"/>
      <c r="WOU47" s="971"/>
      <c r="WOV47" s="971"/>
      <c r="WOW47" s="971"/>
      <c r="WOX47" s="971"/>
      <c r="WOY47" s="971"/>
      <c r="WOZ47" s="971"/>
      <c r="WPA47" s="971"/>
      <c r="WPB47" s="971"/>
      <c r="WPC47" s="971"/>
      <c r="WPD47" s="971"/>
      <c r="WPE47" s="971"/>
      <c r="WPF47" s="971"/>
      <c r="WPG47" s="971"/>
      <c r="WPH47" s="971"/>
      <c r="WPI47" s="971"/>
      <c r="WPJ47" s="971"/>
      <c r="WPK47" s="971"/>
      <c r="WPL47" s="971"/>
      <c r="WPM47" s="971"/>
      <c r="WPN47" s="971"/>
      <c r="WPO47" s="971"/>
      <c r="WPP47" s="971"/>
      <c r="WPQ47" s="971"/>
      <c r="WPR47" s="971"/>
      <c r="WPS47" s="971"/>
      <c r="WPT47" s="971"/>
      <c r="WPU47" s="971"/>
      <c r="WPV47" s="971"/>
      <c r="WPW47" s="971"/>
      <c r="WPX47" s="971"/>
      <c r="WPY47" s="971"/>
      <c r="WPZ47" s="971"/>
      <c r="WQA47" s="971"/>
      <c r="WQB47" s="971"/>
      <c r="WQC47" s="971"/>
      <c r="WQD47" s="971"/>
      <c r="WQE47" s="971"/>
      <c r="WQF47" s="971"/>
      <c r="WQG47" s="971"/>
      <c r="WQH47" s="971"/>
      <c r="WQI47" s="971"/>
      <c r="WQJ47" s="971"/>
      <c r="WQK47" s="971"/>
      <c r="WQL47" s="971"/>
      <c r="WQM47" s="971"/>
      <c r="WQN47" s="971"/>
      <c r="WQO47" s="971"/>
      <c r="WQP47" s="971"/>
      <c r="WQQ47" s="971"/>
      <c r="WQR47" s="971"/>
      <c r="WQS47" s="971"/>
      <c r="WQT47" s="971"/>
      <c r="WQU47" s="971"/>
      <c r="WQV47" s="971"/>
      <c r="WQW47" s="971"/>
      <c r="WQX47" s="971"/>
      <c r="WQY47" s="971"/>
      <c r="WQZ47" s="971"/>
      <c r="WRA47" s="971"/>
      <c r="WRB47" s="971"/>
      <c r="WRC47" s="971"/>
      <c r="WRD47" s="971"/>
      <c r="WRE47" s="971"/>
      <c r="WRF47" s="971"/>
      <c r="WRG47" s="971"/>
      <c r="WRH47" s="971"/>
      <c r="WRI47" s="971"/>
      <c r="WRJ47" s="971"/>
      <c r="WRK47" s="971"/>
      <c r="WRL47" s="971"/>
      <c r="WRM47" s="971"/>
      <c r="WRN47" s="971"/>
      <c r="WRO47" s="971"/>
      <c r="WRP47" s="971"/>
      <c r="WRQ47" s="971"/>
      <c r="WRR47" s="971"/>
      <c r="WRS47" s="971"/>
      <c r="WRT47" s="971"/>
      <c r="WRU47" s="971"/>
      <c r="WRV47" s="971"/>
      <c r="WRW47" s="971"/>
      <c r="WRX47" s="971"/>
      <c r="WRY47" s="971"/>
      <c r="WRZ47" s="971"/>
      <c r="WSA47" s="971"/>
      <c r="WSB47" s="971"/>
      <c r="WSC47" s="971"/>
      <c r="WSD47" s="971"/>
      <c r="WSE47" s="971"/>
      <c r="WSF47" s="971"/>
      <c r="WSG47" s="971"/>
      <c r="WSH47" s="971"/>
      <c r="WSI47" s="971"/>
      <c r="WSJ47" s="971"/>
      <c r="WSK47" s="971"/>
      <c r="WSL47" s="971"/>
      <c r="WSM47" s="971"/>
      <c r="WSN47" s="971"/>
      <c r="WSO47" s="971"/>
      <c r="WSP47" s="971"/>
      <c r="WSQ47" s="971"/>
      <c r="WSR47" s="971"/>
      <c r="WSS47" s="971"/>
      <c r="WST47" s="971"/>
      <c r="WSU47" s="971"/>
      <c r="WSV47" s="971"/>
      <c r="WSW47" s="971"/>
      <c r="WSX47" s="971"/>
      <c r="WSY47" s="971"/>
      <c r="WSZ47" s="971"/>
      <c r="WTA47" s="971"/>
      <c r="WTB47" s="971"/>
      <c r="WTC47" s="971"/>
      <c r="WTD47" s="971"/>
      <c r="WTE47" s="971"/>
      <c r="WTF47" s="971"/>
      <c r="WTG47" s="971"/>
      <c r="WTH47" s="971"/>
      <c r="WTI47" s="971"/>
      <c r="WTJ47" s="971"/>
      <c r="WTK47" s="971"/>
      <c r="WTL47" s="971"/>
      <c r="WTM47" s="971"/>
      <c r="WTN47" s="971"/>
      <c r="WTO47" s="971"/>
      <c r="WTP47" s="971"/>
      <c r="WTQ47" s="971"/>
      <c r="WTR47" s="971"/>
      <c r="WTS47" s="971"/>
      <c r="WTT47" s="971"/>
      <c r="WTU47" s="971"/>
      <c r="WTV47" s="971"/>
      <c r="WTW47" s="971"/>
      <c r="WTX47" s="971"/>
      <c r="WTY47" s="971"/>
      <c r="WTZ47" s="971"/>
      <c r="WUA47" s="971"/>
      <c r="WUB47" s="971"/>
      <c r="WUC47" s="971"/>
      <c r="WUD47" s="971"/>
      <c r="WUE47" s="971"/>
      <c r="WUF47" s="971"/>
      <c r="WUG47" s="971"/>
      <c r="WUH47" s="971"/>
      <c r="WUI47" s="971"/>
      <c r="WUJ47" s="971"/>
      <c r="WUK47" s="971"/>
      <c r="WUL47" s="971"/>
      <c r="WUM47" s="971"/>
      <c r="WUN47" s="971"/>
      <c r="WUO47" s="971"/>
      <c r="WUP47" s="971"/>
      <c r="WUQ47" s="971"/>
      <c r="WUR47" s="971"/>
      <c r="WUS47" s="971"/>
      <c r="WUT47" s="971"/>
      <c r="WUU47" s="971"/>
      <c r="WUV47" s="971"/>
      <c r="WUW47" s="971"/>
      <c r="WUX47" s="971"/>
      <c r="WUY47" s="971"/>
      <c r="WUZ47" s="971"/>
      <c r="WVA47" s="971"/>
      <c r="WVB47" s="971"/>
      <c r="WVC47" s="971"/>
      <c r="WVD47" s="971"/>
      <c r="WVE47" s="971"/>
      <c r="WVF47" s="971"/>
      <c r="WVG47" s="971"/>
      <c r="WVH47" s="971"/>
      <c r="WVI47" s="971"/>
      <c r="WVJ47" s="971"/>
      <c r="WVK47" s="971"/>
      <c r="WVL47" s="971"/>
      <c r="WVM47" s="971"/>
      <c r="WVN47" s="971"/>
      <c r="WVO47" s="971"/>
      <c r="WVP47" s="971"/>
      <c r="WVQ47" s="971"/>
      <c r="WVR47" s="971"/>
      <c r="WVS47" s="971"/>
      <c r="WVT47" s="971"/>
      <c r="WVU47" s="971"/>
      <c r="WVV47" s="971"/>
      <c r="WVW47" s="971"/>
      <c r="WVX47" s="971"/>
      <c r="WVY47" s="971"/>
      <c r="WVZ47" s="971"/>
      <c r="WWA47" s="971"/>
      <c r="WWB47" s="971"/>
      <c r="WWC47" s="971"/>
      <c r="WWD47" s="971"/>
      <c r="WWE47" s="971"/>
      <c r="WWF47" s="971"/>
      <c r="WWG47" s="971"/>
      <c r="WWH47" s="971"/>
      <c r="WWI47" s="971"/>
      <c r="WWJ47" s="971"/>
      <c r="WWK47" s="971"/>
      <c r="WWL47" s="971"/>
      <c r="WWM47" s="971"/>
      <c r="WWN47" s="971"/>
      <c r="WWO47" s="971"/>
      <c r="WWP47" s="971"/>
      <c r="WWQ47" s="971"/>
      <c r="WWR47" s="971"/>
      <c r="WWS47" s="971"/>
      <c r="WWT47" s="971"/>
      <c r="WWU47" s="971"/>
      <c r="WWV47" s="971"/>
      <c r="WWW47" s="971"/>
      <c r="WWX47" s="971"/>
      <c r="WWY47" s="971"/>
      <c r="WWZ47" s="971"/>
      <c r="WXA47" s="971"/>
      <c r="WXB47" s="971"/>
      <c r="WXC47" s="971"/>
      <c r="WXD47" s="971"/>
      <c r="WXE47" s="971"/>
      <c r="WXF47" s="971"/>
      <c r="WXG47" s="971"/>
      <c r="WXH47" s="971"/>
      <c r="WXI47" s="971"/>
      <c r="WXJ47" s="971"/>
      <c r="WXK47" s="971"/>
      <c r="WXL47" s="971"/>
      <c r="WXM47" s="971"/>
      <c r="WXN47" s="971"/>
      <c r="WXO47" s="971"/>
      <c r="WXP47" s="971"/>
      <c r="WXQ47" s="971"/>
      <c r="WXR47" s="971"/>
      <c r="WXS47" s="971"/>
      <c r="WXT47" s="971"/>
      <c r="WXU47" s="971"/>
      <c r="WXV47" s="971"/>
      <c r="WXW47" s="971"/>
      <c r="WXX47" s="971"/>
      <c r="WXY47" s="971"/>
      <c r="WXZ47" s="971"/>
      <c r="WYA47" s="971"/>
      <c r="WYB47" s="971"/>
      <c r="WYC47" s="971"/>
      <c r="WYD47" s="971"/>
      <c r="WYE47" s="971"/>
      <c r="WYF47" s="971"/>
      <c r="WYG47" s="971"/>
      <c r="WYH47" s="971"/>
      <c r="WYI47" s="971"/>
      <c r="WYJ47" s="971"/>
      <c r="WYK47" s="971"/>
      <c r="WYL47" s="971"/>
      <c r="WYM47" s="971"/>
      <c r="WYN47" s="971"/>
      <c r="WYO47" s="971"/>
      <c r="WYP47" s="971"/>
      <c r="WYQ47" s="971"/>
      <c r="WYR47" s="971"/>
      <c r="WYS47" s="971"/>
      <c r="WYT47" s="971"/>
      <c r="WYU47" s="971"/>
      <c r="WYV47" s="971"/>
      <c r="WYW47" s="971"/>
      <c r="WYX47" s="971"/>
      <c r="WYY47" s="971"/>
      <c r="WYZ47" s="971"/>
      <c r="WZA47" s="971"/>
      <c r="WZB47" s="971"/>
      <c r="WZC47" s="971"/>
      <c r="WZD47" s="971"/>
      <c r="WZE47" s="971"/>
      <c r="WZF47" s="971"/>
      <c r="WZG47" s="971"/>
      <c r="WZH47" s="971"/>
      <c r="WZI47" s="971"/>
      <c r="WZJ47" s="971"/>
      <c r="WZK47" s="971"/>
      <c r="WZL47" s="971"/>
      <c r="WZM47" s="971"/>
      <c r="WZN47" s="971"/>
      <c r="WZO47" s="971"/>
      <c r="WZP47" s="971"/>
      <c r="WZQ47" s="971"/>
      <c r="WZR47" s="971"/>
      <c r="WZS47" s="971"/>
      <c r="WZT47" s="971"/>
      <c r="WZU47" s="971"/>
      <c r="WZV47" s="971"/>
      <c r="WZW47" s="971"/>
      <c r="WZX47" s="971"/>
      <c r="WZY47" s="971"/>
      <c r="WZZ47" s="971"/>
      <c r="XAA47" s="971"/>
      <c r="XAB47" s="971"/>
      <c r="XAC47" s="971"/>
      <c r="XAD47" s="971"/>
      <c r="XAE47" s="971"/>
      <c r="XAF47" s="971"/>
      <c r="XAG47" s="971"/>
      <c r="XAH47" s="971"/>
      <c r="XAI47" s="971"/>
      <c r="XAJ47" s="971"/>
      <c r="XAK47" s="971"/>
      <c r="XAL47" s="971"/>
      <c r="XAM47" s="971"/>
      <c r="XAN47" s="971"/>
      <c r="XAO47" s="971"/>
      <c r="XAP47" s="971"/>
      <c r="XAQ47" s="971"/>
      <c r="XAR47" s="971"/>
      <c r="XAS47" s="971"/>
      <c r="XAT47" s="971"/>
      <c r="XAU47" s="971"/>
      <c r="XAV47" s="971"/>
      <c r="XAW47" s="971"/>
      <c r="XAX47" s="971"/>
      <c r="XAY47" s="971"/>
      <c r="XAZ47" s="971"/>
      <c r="XBA47" s="971"/>
      <c r="XBB47" s="971"/>
      <c r="XBC47" s="971"/>
      <c r="XBD47" s="971"/>
      <c r="XBE47" s="971"/>
      <c r="XBF47" s="971"/>
      <c r="XBG47" s="971"/>
      <c r="XBH47" s="971"/>
      <c r="XBI47" s="971"/>
      <c r="XBJ47" s="971"/>
      <c r="XBK47" s="971"/>
      <c r="XBL47" s="971"/>
      <c r="XBM47" s="971"/>
      <c r="XBN47" s="971"/>
      <c r="XBO47" s="971"/>
      <c r="XBP47" s="971"/>
      <c r="XBQ47" s="971"/>
      <c r="XBR47" s="971"/>
      <c r="XBS47" s="971"/>
      <c r="XBT47" s="971"/>
      <c r="XBU47" s="971"/>
      <c r="XBV47" s="971"/>
      <c r="XBW47" s="971"/>
      <c r="XBX47" s="971"/>
      <c r="XBY47" s="971"/>
      <c r="XBZ47" s="971"/>
      <c r="XCA47" s="971"/>
      <c r="XCB47" s="971"/>
      <c r="XCC47" s="971"/>
      <c r="XCD47" s="971"/>
      <c r="XCE47" s="971"/>
      <c r="XCF47" s="971"/>
      <c r="XCG47" s="971"/>
      <c r="XCH47" s="971"/>
      <c r="XCI47" s="971"/>
      <c r="XCJ47" s="971"/>
      <c r="XCK47" s="971"/>
      <c r="XCL47" s="971"/>
      <c r="XCM47" s="971"/>
      <c r="XCN47" s="971"/>
      <c r="XCO47" s="971"/>
      <c r="XCP47" s="971"/>
      <c r="XCQ47" s="971"/>
      <c r="XCR47" s="971"/>
      <c r="XCS47" s="971"/>
      <c r="XCT47" s="971"/>
      <c r="XCU47" s="971"/>
      <c r="XCV47" s="971"/>
      <c r="XCW47" s="971"/>
      <c r="XCX47" s="971"/>
      <c r="XCY47" s="971"/>
      <c r="XCZ47" s="971"/>
      <c r="XDA47" s="971"/>
      <c r="XDB47" s="971"/>
      <c r="XDC47" s="971"/>
      <c r="XDD47" s="971"/>
      <c r="XDE47" s="971"/>
      <c r="XDF47" s="971"/>
      <c r="XDG47" s="971"/>
      <c r="XDH47" s="971"/>
      <c r="XDI47" s="971"/>
      <c r="XDJ47" s="971"/>
      <c r="XDK47" s="971"/>
      <c r="XDL47" s="971"/>
      <c r="XDM47" s="971"/>
      <c r="XDN47" s="971"/>
      <c r="XDO47" s="971"/>
      <c r="XDP47" s="971"/>
      <c r="XDQ47" s="971"/>
      <c r="XDR47" s="971"/>
      <c r="XDS47" s="971"/>
      <c r="XDT47" s="971"/>
      <c r="XDU47" s="971"/>
      <c r="XDV47" s="971"/>
      <c r="XDW47" s="971"/>
      <c r="XDX47" s="971"/>
      <c r="XDY47" s="971"/>
      <c r="XDZ47" s="971"/>
      <c r="XEA47" s="971"/>
      <c r="XEB47" s="971"/>
      <c r="XEC47" s="971"/>
    </row>
    <row r="48" spans="1:16357" ht="68.25" customHeight="1">
      <c r="A48" s="97" t="s">
        <v>100</v>
      </c>
      <c r="B48" s="102" t="s">
        <v>101</v>
      </c>
      <c r="C48" s="98"/>
      <c r="D48" s="98"/>
      <c r="E48" s="98"/>
      <c r="F48" s="98"/>
      <c r="G48" s="98"/>
      <c r="H48" s="98"/>
      <c r="I48" s="98"/>
      <c r="J48" s="98"/>
      <c r="K48" s="98"/>
      <c r="L48" s="98"/>
      <c r="M48" s="98"/>
      <c r="N48" s="98"/>
      <c r="O48" s="97"/>
      <c r="P48" s="97"/>
      <c r="Q48" s="97"/>
      <c r="R48" s="97"/>
      <c r="S48" s="971"/>
      <c r="T48" s="971"/>
      <c r="U48" s="971"/>
      <c r="V48" s="971"/>
      <c r="W48" s="971"/>
      <c r="X48" s="971"/>
      <c r="Y48" s="971"/>
      <c r="Z48" s="971"/>
      <c r="AA48" s="971"/>
      <c r="AB48" s="971"/>
      <c r="AC48" s="971"/>
      <c r="AD48" s="971"/>
      <c r="AE48" s="971"/>
      <c r="AF48" s="971"/>
      <c r="AG48" s="971"/>
      <c r="AH48" s="7"/>
      <c r="AI48" s="35"/>
      <c r="AJ48" s="7"/>
      <c r="AK48" s="90"/>
      <c r="AL48" s="5"/>
      <c r="AM48" s="168"/>
      <c r="AN48" s="168"/>
      <c r="AO48" s="168"/>
      <c r="AP48" s="168"/>
      <c r="AQ48" s="168"/>
      <c r="AR48" s="168"/>
      <c r="AS48" s="168"/>
      <c r="AT48" s="168"/>
      <c r="AU48" s="168"/>
      <c r="AV48" s="168"/>
      <c r="AW48" s="168"/>
      <c r="AX48" s="971"/>
      <c r="AY48" s="971"/>
      <c r="AZ48" s="971"/>
      <c r="BA48" s="971"/>
      <c r="BB48" s="971"/>
      <c r="BC48" s="971"/>
      <c r="BD48" s="971"/>
      <c r="BE48" s="971"/>
      <c r="BF48" s="971"/>
      <c r="BG48" s="971"/>
      <c r="BH48" s="971"/>
      <c r="BI48" s="971"/>
      <c r="BJ48" s="971"/>
      <c r="BK48" s="971"/>
      <c r="BL48" s="971"/>
      <c r="BM48" s="971"/>
      <c r="BN48" s="971"/>
      <c r="BO48" s="971"/>
      <c r="BP48" s="971"/>
      <c r="BQ48" s="971"/>
      <c r="BR48" s="971"/>
      <c r="BS48" s="971"/>
      <c r="BT48" s="971"/>
      <c r="BU48" s="971"/>
      <c r="BV48" s="168"/>
      <c r="BW48" s="168"/>
      <c r="BX48" s="168"/>
      <c r="BY48" s="971"/>
      <c r="BZ48" s="971"/>
      <c r="CA48" s="971"/>
      <c r="CB48" s="971"/>
      <c r="CC48" s="971"/>
      <c r="CD48" s="971"/>
      <c r="CE48" s="971"/>
      <c r="CF48" s="971"/>
      <c r="CG48" s="971"/>
      <c r="CH48" s="971"/>
      <c r="CI48" s="971"/>
      <c r="CJ48" s="971"/>
      <c r="CK48" s="971"/>
      <c r="CL48" s="971"/>
      <c r="CM48" s="971"/>
      <c r="CN48" s="971"/>
      <c r="CO48" s="971"/>
      <c r="CP48" s="971"/>
      <c r="CQ48" s="971"/>
      <c r="CR48" s="971"/>
      <c r="CS48" s="971"/>
      <c r="CT48" s="971"/>
      <c r="CU48" s="971"/>
      <c r="CV48" s="971"/>
      <c r="CW48" s="971"/>
      <c r="CX48" s="971"/>
      <c r="CY48" s="971"/>
      <c r="CZ48" s="971"/>
      <c r="DA48" s="971"/>
      <c r="DB48" s="971"/>
      <c r="DC48" s="971"/>
      <c r="DD48" s="971"/>
      <c r="DE48" s="971"/>
      <c r="DF48" s="971"/>
      <c r="DG48" s="971"/>
      <c r="DH48" s="971"/>
      <c r="DI48" s="971"/>
      <c r="DJ48" s="971"/>
      <c r="DK48" s="971"/>
      <c r="DL48" s="971"/>
      <c r="DM48" s="971"/>
      <c r="DN48" s="971"/>
      <c r="DO48" s="971"/>
      <c r="DP48" s="971"/>
      <c r="DQ48" s="971"/>
      <c r="DR48" s="971"/>
      <c r="DS48" s="971"/>
      <c r="DT48" s="971"/>
      <c r="DU48" s="971"/>
      <c r="DV48" s="971"/>
      <c r="DW48" s="971"/>
      <c r="DX48" s="971"/>
      <c r="DY48" s="971"/>
      <c r="DZ48" s="971"/>
      <c r="EA48" s="971"/>
      <c r="EB48" s="971"/>
      <c r="EC48" s="971"/>
      <c r="ED48" s="971"/>
      <c r="EE48" s="971"/>
      <c r="EF48" s="971"/>
      <c r="EG48" s="971"/>
      <c r="EH48" s="971"/>
      <c r="EI48" s="971"/>
      <c r="EJ48" s="971"/>
      <c r="EK48" s="971"/>
      <c r="EL48" s="971"/>
      <c r="EM48" s="971"/>
      <c r="EN48" s="971"/>
      <c r="EO48" s="971"/>
      <c r="EP48" s="971"/>
      <c r="EQ48" s="971"/>
      <c r="ER48" s="971"/>
      <c r="ES48" s="971"/>
      <c r="ET48" s="971"/>
      <c r="EU48" s="971"/>
      <c r="EV48" s="971"/>
      <c r="EW48" s="971"/>
      <c r="EX48" s="971"/>
      <c r="EY48" s="971"/>
      <c r="EZ48" s="971"/>
      <c r="FA48" s="971"/>
      <c r="FB48" s="971"/>
      <c r="FC48" s="971"/>
      <c r="FD48" s="971"/>
      <c r="FE48" s="971"/>
      <c r="FF48" s="971"/>
      <c r="FG48" s="971"/>
      <c r="FH48" s="971"/>
      <c r="FI48" s="971"/>
      <c r="FJ48" s="971"/>
      <c r="FK48" s="971"/>
      <c r="FL48" s="971"/>
      <c r="FM48" s="971"/>
      <c r="FN48" s="971"/>
      <c r="FO48" s="971"/>
      <c r="FP48" s="971"/>
      <c r="FQ48" s="971"/>
      <c r="FR48" s="971"/>
      <c r="FS48" s="971"/>
      <c r="FT48" s="971"/>
      <c r="FU48" s="971"/>
      <c r="FV48" s="971"/>
      <c r="FW48" s="971"/>
      <c r="FX48" s="971"/>
      <c r="FY48" s="971"/>
      <c r="FZ48" s="971"/>
      <c r="GA48" s="971"/>
      <c r="GB48" s="971"/>
      <c r="GC48" s="971"/>
      <c r="GD48" s="971"/>
      <c r="GE48" s="971"/>
      <c r="GF48" s="971"/>
      <c r="GG48" s="971"/>
      <c r="GH48" s="971"/>
      <c r="GI48" s="971"/>
      <c r="GJ48" s="971"/>
      <c r="GK48" s="971"/>
      <c r="GL48" s="971"/>
      <c r="GM48" s="971"/>
      <c r="GN48" s="971"/>
      <c r="GO48" s="971"/>
      <c r="GP48" s="971"/>
      <c r="GQ48" s="971"/>
      <c r="GR48" s="971"/>
      <c r="GS48" s="971"/>
      <c r="GT48" s="971"/>
      <c r="GU48" s="971"/>
      <c r="GV48" s="971"/>
      <c r="GW48" s="971"/>
      <c r="GX48" s="971"/>
      <c r="GY48" s="971"/>
      <c r="GZ48" s="971"/>
      <c r="HA48" s="971"/>
      <c r="HB48" s="971"/>
      <c r="HC48" s="971"/>
      <c r="HD48" s="971"/>
      <c r="HE48" s="971"/>
      <c r="HF48" s="971"/>
      <c r="HG48" s="971"/>
      <c r="HH48" s="971"/>
      <c r="HI48" s="971"/>
      <c r="HJ48" s="971"/>
      <c r="HK48" s="971"/>
      <c r="HL48" s="971"/>
      <c r="HM48" s="971"/>
      <c r="HN48" s="971"/>
      <c r="HO48" s="971"/>
      <c r="HP48" s="971"/>
      <c r="HQ48" s="971"/>
      <c r="HR48" s="971"/>
      <c r="HS48" s="971"/>
      <c r="HT48" s="971"/>
      <c r="HU48" s="971"/>
      <c r="HV48" s="971"/>
      <c r="HW48" s="971"/>
      <c r="HX48" s="971"/>
      <c r="HY48" s="971"/>
      <c r="HZ48" s="971"/>
      <c r="IA48" s="971"/>
      <c r="IB48" s="971"/>
      <c r="IC48" s="971"/>
      <c r="ID48" s="971"/>
      <c r="IE48" s="971"/>
      <c r="IF48" s="971"/>
      <c r="IG48" s="971"/>
      <c r="IH48" s="971"/>
      <c r="II48" s="971"/>
      <c r="IJ48" s="971"/>
      <c r="IK48" s="971"/>
      <c r="IL48" s="971"/>
      <c r="IM48" s="971"/>
      <c r="IN48" s="971"/>
      <c r="IO48" s="971"/>
      <c r="IP48" s="971"/>
      <c r="IQ48" s="971"/>
      <c r="IR48" s="971"/>
      <c r="IS48" s="971"/>
      <c r="IT48" s="971"/>
      <c r="IU48" s="971"/>
      <c r="IV48" s="971"/>
      <c r="IW48" s="971"/>
      <c r="IX48" s="971"/>
      <c r="IY48" s="971"/>
      <c r="IZ48" s="971"/>
      <c r="JA48" s="971"/>
      <c r="JB48" s="971"/>
      <c r="JC48" s="971"/>
      <c r="JD48" s="971"/>
      <c r="JE48" s="971"/>
      <c r="JF48" s="971"/>
      <c r="JG48" s="971"/>
      <c r="JH48" s="971"/>
      <c r="JI48" s="971"/>
      <c r="JJ48" s="971"/>
      <c r="JK48" s="971"/>
      <c r="JL48" s="971"/>
      <c r="JM48" s="971"/>
      <c r="JN48" s="971"/>
      <c r="JO48" s="971"/>
      <c r="JP48" s="971"/>
      <c r="JQ48" s="971"/>
      <c r="JR48" s="971"/>
      <c r="JS48" s="971"/>
      <c r="JT48" s="971"/>
      <c r="JU48" s="971"/>
      <c r="JV48" s="971"/>
      <c r="JW48" s="971"/>
      <c r="JX48" s="971"/>
      <c r="JY48" s="971"/>
      <c r="JZ48" s="971"/>
      <c r="KA48" s="971"/>
      <c r="KB48" s="971"/>
      <c r="KC48" s="971"/>
      <c r="KD48" s="971"/>
      <c r="KE48" s="971"/>
      <c r="KF48" s="971"/>
      <c r="KG48" s="971"/>
      <c r="KH48" s="971"/>
      <c r="KI48" s="971"/>
      <c r="KJ48" s="971"/>
      <c r="KK48" s="971"/>
      <c r="KL48" s="971"/>
      <c r="KM48" s="971"/>
      <c r="KN48" s="971"/>
      <c r="KO48" s="971"/>
      <c r="KP48" s="971"/>
      <c r="KQ48" s="971"/>
      <c r="KR48" s="971"/>
      <c r="KS48" s="971"/>
      <c r="KT48" s="971"/>
      <c r="KU48" s="971"/>
      <c r="KV48" s="971"/>
      <c r="KW48" s="971"/>
      <c r="KX48" s="971"/>
      <c r="KY48" s="971"/>
      <c r="KZ48" s="971"/>
      <c r="LA48" s="971"/>
      <c r="LB48" s="971"/>
      <c r="LC48" s="971"/>
      <c r="LD48" s="971"/>
      <c r="LE48" s="971"/>
      <c r="LF48" s="971"/>
      <c r="LG48" s="971"/>
      <c r="LH48" s="971"/>
      <c r="LI48" s="971"/>
      <c r="LJ48" s="971"/>
      <c r="LK48" s="971"/>
      <c r="LL48" s="971"/>
      <c r="LM48" s="971"/>
      <c r="LN48" s="971"/>
      <c r="LO48" s="971"/>
      <c r="LP48" s="971"/>
      <c r="LQ48" s="971"/>
      <c r="LR48" s="971"/>
      <c r="LS48" s="971"/>
      <c r="LT48" s="971"/>
      <c r="LU48" s="971"/>
      <c r="LV48" s="971"/>
      <c r="LW48" s="971"/>
      <c r="LX48" s="971"/>
      <c r="LY48" s="971"/>
      <c r="LZ48" s="971"/>
      <c r="MA48" s="971"/>
      <c r="MB48" s="971"/>
      <c r="MC48" s="971"/>
      <c r="MD48" s="971"/>
      <c r="ME48" s="971"/>
      <c r="MF48" s="971"/>
      <c r="MG48" s="971"/>
      <c r="MH48" s="971"/>
      <c r="MI48" s="971"/>
      <c r="MJ48" s="971"/>
      <c r="MK48" s="971"/>
      <c r="ML48" s="971"/>
      <c r="MM48" s="971"/>
      <c r="MN48" s="971"/>
      <c r="MO48" s="971"/>
      <c r="MP48" s="971"/>
      <c r="MQ48" s="971"/>
      <c r="MR48" s="971"/>
      <c r="MS48" s="971"/>
      <c r="MT48" s="971"/>
      <c r="MU48" s="971"/>
      <c r="MV48" s="971"/>
      <c r="MW48" s="971"/>
      <c r="MX48" s="971"/>
      <c r="MY48" s="971"/>
      <c r="MZ48" s="971"/>
      <c r="NA48" s="971"/>
      <c r="NB48" s="971"/>
      <c r="NC48" s="971"/>
      <c r="ND48" s="971"/>
      <c r="NE48" s="971"/>
      <c r="NF48" s="971"/>
      <c r="NG48" s="971"/>
      <c r="NH48" s="971"/>
      <c r="NI48" s="971"/>
      <c r="NJ48" s="971"/>
      <c r="NK48" s="971"/>
      <c r="NL48" s="971"/>
      <c r="NM48" s="971"/>
      <c r="NN48" s="971"/>
      <c r="NO48" s="971"/>
      <c r="NP48" s="971"/>
      <c r="NQ48" s="971"/>
      <c r="NR48" s="971"/>
      <c r="NS48" s="971"/>
      <c r="NT48" s="971"/>
      <c r="NU48" s="971"/>
      <c r="NV48" s="971"/>
      <c r="NW48" s="971"/>
      <c r="NX48" s="971"/>
      <c r="NY48" s="971"/>
      <c r="NZ48" s="971"/>
      <c r="OA48" s="971"/>
      <c r="OB48" s="971"/>
      <c r="OC48" s="971"/>
      <c r="OD48" s="971"/>
      <c r="OE48" s="971"/>
      <c r="OF48" s="971"/>
      <c r="OG48" s="971"/>
      <c r="OH48" s="971"/>
      <c r="OI48" s="971"/>
      <c r="OJ48" s="971"/>
      <c r="OK48" s="971"/>
      <c r="OL48" s="971"/>
      <c r="OM48" s="971"/>
      <c r="ON48" s="971"/>
      <c r="OO48" s="971"/>
      <c r="OP48" s="971"/>
      <c r="OQ48" s="971"/>
      <c r="OR48" s="971"/>
      <c r="OS48" s="971"/>
      <c r="OT48" s="971"/>
      <c r="OU48" s="971"/>
      <c r="OV48" s="971"/>
      <c r="OW48" s="971"/>
      <c r="OX48" s="971"/>
      <c r="OY48" s="971"/>
      <c r="OZ48" s="971"/>
      <c r="PA48" s="971"/>
      <c r="PB48" s="971"/>
      <c r="PC48" s="971"/>
      <c r="PD48" s="971"/>
      <c r="PE48" s="971"/>
      <c r="PF48" s="971"/>
      <c r="PG48" s="971"/>
      <c r="PH48" s="971"/>
      <c r="PI48" s="971"/>
      <c r="PJ48" s="971"/>
      <c r="PK48" s="971"/>
      <c r="PL48" s="971"/>
      <c r="PM48" s="971"/>
      <c r="PN48" s="971"/>
      <c r="PO48" s="971"/>
      <c r="PP48" s="971"/>
      <c r="PQ48" s="971"/>
      <c r="PR48" s="971"/>
      <c r="PS48" s="971"/>
      <c r="PT48" s="971"/>
      <c r="PU48" s="971"/>
      <c r="PV48" s="971"/>
      <c r="PW48" s="971"/>
      <c r="PX48" s="971"/>
      <c r="PY48" s="971"/>
      <c r="PZ48" s="971"/>
      <c r="QA48" s="971"/>
      <c r="QB48" s="971"/>
      <c r="QC48" s="971"/>
      <c r="QD48" s="971"/>
      <c r="QE48" s="971"/>
      <c r="QF48" s="971"/>
      <c r="QG48" s="971"/>
      <c r="QH48" s="971"/>
      <c r="QI48" s="971"/>
      <c r="QJ48" s="971"/>
      <c r="QK48" s="971"/>
      <c r="QL48" s="971"/>
      <c r="QM48" s="971"/>
      <c r="QN48" s="971"/>
      <c r="QO48" s="971"/>
      <c r="QP48" s="971"/>
      <c r="QQ48" s="971"/>
      <c r="QR48" s="971"/>
      <c r="QS48" s="971"/>
      <c r="QT48" s="971"/>
      <c r="QU48" s="971"/>
      <c r="QV48" s="971"/>
      <c r="QW48" s="971"/>
      <c r="QX48" s="971"/>
      <c r="QY48" s="971"/>
      <c r="QZ48" s="971"/>
      <c r="RA48" s="971"/>
      <c r="RB48" s="971"/>
      <c r="RC48" s="971"/>
      <c r="RD48" s="971"/>
      <c r="RE48" s="971"/>
      <c r="RF48" s="971"/>
      <c r="RG48" s="971"/>
      <c r="RH48" s="971"/>
      <c r="RI48" s="971"/>
      <c r="RJ48" s="971"/>
      <c r="RK48" s="971"/>
      <c r="RL48" s="971"/>
      <c r="RM48" s="971"/>
      <c r="RN48" s="971"/>
      <c r="RO48" s="971"/>
      <c r="RP48" s="971"/>
      <c r="RQ48" s="971"/>
      <c r="RR48" s="971"/>
      <c r="RS48" s="971"/>
      <c r="RT48" s="971"/>
      <c r="RU48" s="971"/>
      <c r="RV48" s="971"/>
      <c r="RW48" s="971"/>
      <c r="RX48" s="971"/>
      <c r="RY48" s="971"/>
      <c r="RZ48" s="971"/>
      <c r="SA48" s="971"/>
      <c r="SB48" s="971"/>
      <c r="SC48" s="971"/>
      <c r="SD48" s="971"/>
      <c r="SE48" s="971"/>
      <c r="SF48" s="971"/>
      <c r="SG48" s="971"/>
      <c r="SH48" s="971"/>
      <c r="SI48" s="971"/>
      <c r="SJ48" s="971"/>
      <c r="SK48" s="971"/>
      <c r="SL48" s="971"/>
      <c r="SM48" s="971"/>
      <c r="SN48" s="971"/>
      <c r="SO48" s="971"/>
      <c r="SP48" s="971"/>
      <c r="SQ48" s="971"/>
      <c r="SR48" s="971"/>
      <c r="SS48" s="971"/>
      <c r="ST48" s="971"/>
      <c r="SU48" s="971"/>
      <c r="SV48" s="971"/>
      <c r="SW48" s="971"/>
      <c r="SX48" s="971"/>
      <c r="SY48" s="971"/>
      <c r="SZ48" s="971"/>
      <c r="TA48" s="971"/>
      <c r="TB48" s="971"/>
      <c r="TC48" s="971"/>
      <c r="TD48" s="971"/>
      <c r="TE48" s="971"/>
      <c r="TF48" s="971"/>
      <c r="TG48" s="971"/>
      <c r="TH48" s="971"/>
      <c r="TI48" s="971"/>
      <c r="TJ48" s="971"/>
      <c r="TK48" s="971"/>
      <c r="TL48" s="971"/>
      <c r="TM48" s="971"/>
      <c r="TN48" s="971"/>
      <c r="TO48" s="971"/>
      <c r="TP48" s="971"/>
      <c r="TQ48" s="971"/>
      <c r="TR48" s="971"/>
      <c r="TS48" s="971"/>
      <c r="TT48" s="971"/>
      <c r="TU48" s="971"/>
      <c r="TV48" s="971"/>
      <c r="TW48" s="971"/>
      <c r="TX48" s="971"/>
      <c r="TY48" s="971"/>
      <c r="TZ48" s="971"/>
      <c r="UA48" s="971"/>
      <c r="UB48" s="971"/>
      <c r="UC48" s="971"/>
      <c r="UD48" s="971"/>
      <c r="UE48" s="971"/>
      <c r="UF48" s="971"/>
      <c r="UG48" s="971"/>
      <c r="UH48" s="971"/>
      <c r="UI48" s="971"/>
      <c r="UJ48" s="971"/>
      <c r="UK48" s="971"/>
      <c r="UL48" s="971"/>
      <c r="UM48" s="971"/>
      <c r="UN48" s="971"/>
      <c r="UO48" s="971"/>
      <c r="UP48" s="971"/>
      <c r="UQ48" s="971"/>
      <c r="UR48" s="971"/>
      <c r="US48" s="971"/>
      <c r="UT48" s="971"/>
      <c r="UU48" s="971"/>
      <c r="UV48" s="971"/>
      <c r="UW48" s="971"/>
      <c r="UX48" s="971"/>
      <c r="UY48" s="971"/>
      <c r="UZ48" s="971"/>
      <c r="VA48" s="971"/>
      <c r="VB48" s="971"/>
      <c r="VC48" s="971"/>
      <c r="VD48" s="971"/>
      <c r="VE48" s="971"/>
      <c r="VF48" s="971"/>
      <c r="VG48" s="971"/>
      <c r="VH48" s="971"/>
      <c r="VI48" s="971"/>
      <c r="VJ48" s="971"/>
      <c r="VK48" s="971"/>
      <c r="VL48" s="971"/>
      <c r="VM48" s="971"/>
      <c r="VN48" s="971"/>
      <c r="VO48" s="971"/>
      <c r="VP48" s="971"/>
      <c r="VQ48" s="971"/>
      <c r="VR48" s="971"/>
      <c r="VS48" s="971"/>
      <c r="VT48" s="971"/>
      <c r="VU48" s="971"/>
      <c r="VV48" s="971"/>
      <c r="VW48" s="971"/>
      <c r="VX48" s="971"/>
      <c r="VY48" s="971"/>
      <c r="VZ48" s="971"/>
      <c r="WA48" s="971"/>
      <c r="WB48" s="971"/>
      <c r="WC48" s="971"/>
      <c r="WD48" s="971"/>
      <c r="WE48" s="971"/>
      <c r="WF48" s="971"/>
      <c r="WG48" s="971"/>
      <c r="WH48" s="971"/>
      <c r="WI48" s="971"/>
      <c r="WJ48" s="971"/>
      <c r="WK48" s="971"/>
      <c r="WL48" s="971"/>
      <c r="WM48" s="971"/>
      <c r="WN48" s="971"/>
      <c r="WO48" s="971"/>
      <c r="WP48" s="971"/>
      <c r="WQ48" s="971"/>
      <c r="WR48" s="971"/>
      <c r="WS48" s="971"/>
      <c r="WT48" s="971"/>
      <c r="WU48" s="971"/>
      <c r="WV48" s="971"/>
      <c r="WW48" s="971"/>
      <c r="WX48" s="971"/>
      <c r="WY48" s="971"/>
      <c r="WZ48" s="971"/>
      <c r="XA48" s="971"/>
      <c r="XB48" s="971"/>
      <c r="XC48" s="971"/>
      <c r="XD48" s="971"/>
      <c r="XE48" s="971"/>
      <c r="XF48" s="971"/>
      <c r="XG48" s="971"/>
      <c r="XH48" s="971"/>
      <c r="XI48" s="971"/>
      <c r="XJ48" s="971"/>
      <c r="XK48" s="971"/>
      <c r="XL48" s="971"/>
      <c r="XM48" s="971"/>
      <c r="XN48" s="971"/>
      <c r="XO48" s="971"/>
      <c r="XP48" s="971"/>
      <c r="XQ48" s="971"/>
      <c r="XR48" s="971"/>
      <c r="XS48" s="971"/>
      <c r="XT48" s="971"/>
      <c r="XU48" s="971"/>
      <c r="XV48" s="971"/>
      <c r="XW48" s="971"/>
      <c r="XX48" s="971"/>
      <c r="XY48" s="971"/>
      <c r="XZ48" s="971"/>
      <c r="YA48" s="971"/>
      <c r="YB48" s="971"/>
      <c r="YC48" s="971"/>
      <c r="YD48" s="971"/>
      <c r="YE48" s="971"/>
      <c r="YF48" s="971"/>
      <c r="YG48" s="971"/>
      <c r="YH48" s="971"/>
      <c r="YI48" s="971"/>
      <c r="YJ48" s="971"/>
      <c r="YK48" s="971"/>
      <c r="YL48" s="971"/>
      <c r="YM48" s="971"/>
      <c r="YN48" s="971"/>
      <c r="YO48" s="971"/>
      <c r="YP48" s="971"/>
      <c r="YQ48" s="971"/>
      <c r="YR48" s="971"/>
      <c r="YS48" s="971"/>
      <c r="YT48" s="971"/>
      <c r="YU48" s="971"/>
      <c r="YV48" s="971"/>
      <c r="YW48" s="971"/>
      <c r="YX48" s="971"/>
      <c r="YY48" s="971"/>
      <c r="YZ48" s="971"/>
      <c r="ZA48" s="971"/>
      <c r="ZB48" s="971"/>
      <c r="ZC48" s="971"/>
      <c r="ZD48" s="971"/>
      <c r="ZE48" s="971"/>
      <c r="ZF48" s="971"/>
      <c r="ZG48" s="971"/>
      <c r="ZH48" s="971"/>
      <c r="ZI48" s="971"/>
      <c r="ZJ48" s="971"/>
      <c r="ZK48" s="971"/>
      <c r="ZL48" s="971"/>
      <c r="ZM48" s="971"/>
      <c r="ZN48" s="971"/>
      <c r="ZO48" s="971"/>
      <c r="ZP48" s="971"/>
      <c r="ZQ48" s="971"/>
      <c r="ZR48" s="971"/>
      <c r="ZS48" s="971"/>
      <c r="ZT48" s="971"/>
      <c r="ZU48" s="971"/>
      <c r="ZV48" s="971"/>
      <c r="ZW48" s="971"/>
      <c r="ZX48" s="971"/>
      <c r="ZY48" s="971"/>
      <c r="ZZ48" s="971"/>
      <c r="AAA48" s="971"/>
      <c r="AAB48" s="971"/>
      <c r="AAC48" s="971"/>
      <c r="AAD48" s="971"/>
      <c r="AAE48" s="971"/>
      <c r="AAF48" s="971"/>
      <c r="AAG48" s="971"/>
      <c r="AAH48" s="971"/>
      <c r="AAI48" s="971"/>
      <c r="AAJ48" s="971"/>
      <c r="AAK48" s="971"/>
      <c r="AAL48" s="971"/>
      <c r="AAM48" s="971"/>
      <c r="AAN48" s="971"/>
      <c r="AAO48" s="971"/>
      <c r="AAP48" s="971"/>
      <c r="AAQ48" s="971"/>
      <c r="AAR48" s="971"/>
      <c r="AAS48" s="971"/>
      <c r="AAT48" s="971"/>
      <c r="AAU48" s="971"/>
      <c r="AAV48" s="971"/>
      <c r="AAW48" s="971"/>
      <c r="AAX48" s="971"/>
      <c r="AAY48" s="971"/>
      <c r="AAZ48" s="971"/>
      <c r="ABA48" s="971"/>
      <c r="ABB48" s="971"/>
      <c r="ABC48" s="971"/>
      <c r="ABD48" s="971"/>
      <c r="ABE48" s="971"/>
      <c r="ABF48" s="971"/>
      <c r="ABG48" s="971"/>
      <c r="ABH48" s="971"/>
      <c r="ABI48" s="971"/>
      <c r="ABJ48" s="971"/>
      <c r="ABK48" s="971"/>
      <c r="ABL48" s="971"/>
      <c r="ABM48" s="971"/>
      <c r="ABN48" s="971"/>
      <c r="ABO48" s="971"/>
      <c r="ABP48" s="971"/>
      <c r="ABQ48" s="971"/>
      <c r="ABR48" s="971"/>
      <c r="ABS48" s="971"/>
      <c r="ABT48" s="971"/>
      <c r="ABU48" s="971"/>
      <c r="ABV48" s="971"/>
      <c r="ABW48" s="971"/>
      <c r="ABX48" s="971"/>
      <c r="ABY48" s="971"/>
      <c r="ABZ48" s="971"/>
      <c r="ACA48" s="971"/>
      <c r="ACB48" s="971"/>
      <c r="ACC48" s="971"/>
      <c r="ACD48" s="971"/>
      <c r="ACE48" s="971"/>
      <c r="ACF48" s="971"/>
      <c r="ACG48" s="971"/>
      <c r="ACH48" s="971"/>
      <c r="ACI48" s="971"/>
      <c r="ACJ48" s="971"/>
      <c r="ACK48" s="971"/>
      <c r="ACL48" s="971"/>
      <c r="ACM48" s="971"/>
      <c r="ACN48" s="971"/>
      <c r="ACO48" s="971"/>
      <c r="ACP48" s="971"/>
      <c r="ACQ48" s="971"/>
      <c r="ACR48" s="971"/>
      <c r="ACS48" s="971"/>
      <c r="ACT48" s="971"/>
      <c r="ACU48" s="971"/>
      <c r="ACV48" s="971"/>
      <c r="ACW48" s="971"/>
      <c r="ACX48" s="971"/>
      <c r="ACY48" s="971"/>
      <c r="ACZ48" s="971"/>
      <c r="ADA48" s="971"/>
      <c r="ADB48" s="971"/>
      <c r="ADC48" s="971"/>
      <c r="ADD48" s="971"/>
      <c r="ADE48" s="971"/>
      <c r="ADF48" s="971"/>
      <c r="ADG48" s="971"/>
      <c r="ADH48" s="971"/>
      <c r="ADI48" s="971"/>
      <c r="ADJ48" s="971"/>
      <c r="ADK48" s="971"/>
      <c r="ADL48" s="971"/>
      <c r="ADM48" s="971"/>
      <c r="ADN48" s="971"/>
      <c r="ADO48" s="971"/>
      <c r="ADP48" s="971"/>
      <c r="ADQ48" s="971"/>
      <c r="ADR48" s="971"/>
      <c r="ADS48" s="971"/>
      <c r="ADT48" s="971"/>
      <c r="ADU48" s="971"/>
      <c r="ADV48" s="971"/>
      <c r="ADW48" s="971"/>
      <c r="ADX48" s="971"/>
      <c r="ADY48" s="971"/>
      <c r="ADZ48" s="971"/>
      <c r="AEA48" s="971"/>
      <c r="AEB48" s="971"/>
      <c r="AEC48" s="971"/>
      <c r="AED48" s="971"/>
      <c r="AEE48" s="971"/>
      <c r="AEF48" s="971"/>
      <c r="AEG48" s="971"/>
      <c r="AEH48" s="971"/>
      <c r="AEI48" s="971"/>
      <c r="AEJ48" s="971"/>
      <c r="AEK48" s="971"/>
      <c r="AEL48" s="971"/>
      <c r="AEM48" s="971"/>
      <c r="AEN48" s="971"/>
      <c r="AEO48" s="971"/>
      <c r="AEP48" s="971"/>
      <c r="AEQ48" s="971"/>
      <c r="AER48" s="971"/>
      <c r="AES48" s="971"/>
      <c r="AET48" s="971"/>
      <c r="AEU48" s="971"/>
      <c r="AEV48" s="971"/>
      <c r="AEW48" s="971"/>
      <c r="AEX48" s="971"/>
      <c r="AEY48" s="971"/>
      <c r="AEZ48" s="971"/>
      <c r="AFA48" s="971"/>
      <c r="AFB48" s="971"/>
      <c r="AFC48" s="971"/>
      <c r="AFD48" s="971"/>
      <c r="AFE48" s="971"/>
      <c r="AFF48" s="971"/>
      <c r="AFG48" s="971"/>
      <c r="AFH48" s="971"/>
      <c r="AFI48" s="971"/>
      <c r="AFJ48" s="971"/>
      <c r="AFK48" s="971"/>
      <c r="AFL48" s="971"/>
      <c r="AFM48" s="971"/>
      <c r="AFN48" s="971"/>
      <c r="AFO48" s="971"/>
      <c r="AFP48" s="971"/>
      <c r="AFQ48" s="971"/>
      <c r="AFR48" s="971"/>
      <c r="AFS48" s="971"/>
      <c r="AFT48" s="971"/>
      <c r="AFU48" s="971"/>
      <c r="AFV48" s="971"/>
      <c r="AFW48" s="971"/>
      <c r="AFX48" s="971"/>
      <c r="AFY48" s="971"/>
      <c r="AFZ48" s="971"/>
      <c r="AGA48" s="971"/>
      <c r="AGB48" s="971"/>
      <c r="AGC48" s="971"/>
      <c r="AGD48" s="971"/>
      <c r="AGE48" s="971"/>
      <c r="AGF48" s="971"/>
      <c r="AGG48" s="971"/>
      <c r="AGH48" s="971"/>
      <c r="AGI48" s="971"/>
      <c r="AGJ48" s="971"/>
      <c r="AGK48" s="971"/>
      <c r="AGL48" s="971"/>
      <c r="AGM48" s="971"/>
      <c r="AGN48" s="971"/>
      <c r="AGO48" s="971"/>
      <c r="AGP48" s="971"/>
      <c r="AGQ48" s="971"/>
      <c r="AGR48" s="971"/>
      <c r="AGS48" s="971"/>
      <c r="AGT48" s="971"/>
      <c r="AGU48" s="971"/>
      <c r="AGV48" s="971"/>
      <c r="AGW48" s="971"/>
      <c r="AGX48" s="971"/>
      <c r="AGY48" s="971"/>
      <c r="AGZ48" s="971"/>
      <c r="AHA48" s="971"/>
      <c r="AHB48" s="971"/>
      <c r="AHC48" s="971"/>
      <c r="AHD48" s="971"/>
      <c r="AHE48" s="971"/>
      <c r="AHF48" s="971"/>
      <c r="AHG48" s="971"/>
      <c r="AHH48" s="971"/>
      <c r="AHI48" s="971"/>
      <c r="AHJ48" s="971"/>
      <c r="AHK48" s="971"/>
      <c r="AHL48" s="971"/>
      <c r="AHM48" s="971"/>
      <c r="AHN48" s="971"/>
      <c r="AHO48" s="971"/>
      <c r="AHP48" s="971"/>
      <c r="AHQ48" s="971"/>
      <c r="AHR48" s="971"/>
      <c r="AHS48" s="971"/>
      <c r="AHT48" s="971"/>
      <c r="AHU48" s="971"/>
      <c r="AHV48" s="971"/>
      <c r="AHW48" s="971"/>
      <c r="AHX48" s="971"/>
      <c r="AHY48" s="971"/>
      <c r="AHZ48" s="971"/>
      <c r="AIA48" s="971"/>
      <c r="AIB48" s="971"/>
      <c r="AIC48" s="971"/>
      <c r="AID48" s="971"/>
      <c r="AIE48" s="971"/>
      <c r="AIF48" s="971"/>
      <c r="AIG48" s="971"/>
      <c r="AIH48" s="971"/>
      <c r="AII48" s="971"/>
      <c r="AIJ48" s="971"/>
      <c r="AIK48" s="971"/>
      <c r="AIL48" s="971"/>
      <c r="AIM48" s="971"/>
      <c r="AIN48" s="971"/>
      <c r="AIO48" s="971"/>
      <c r="AIP48" s="971"/>
      <c r="AIQ48" s="971"/>
      <c r="AIR48" s="971"/>
      <c r="AIS48" s="971"/>
      <c r="AIT48" s="971"/>
      <c r="AIU48" s="971"/>
      <c r="AIV48" s="971"/>
      <c r="AIW48" s="971"/>
      <c r="AIX48" s="971"/>
      <c r="AIY48" s="971"/>
      <c r="AIZ48" s="971"/>
      <c r="AJA48" s="971"/>
      <c r="AJB48" s="971"/>
      <c r="AJC48" s="971"/>
      <c r="AJD48" s="971"/>
      <c r="AJE48" s="971"/>
      <c r="AJF48" s="971"/>
      <c r="AJG48" s="971"/>
      <c r="AJH48" s="971"/>
      <c r="AJI48" s="971"/>
      <c r="AJJ48" s="971"/>
      <c r="AJK48" s="971"/>
      <c r="AJL48" s="971"/>
      <c r="AJM48" s="971"/>
      <c r="AJN48" s="971"/>
      <c r="AJO48" s="971"/>
      <c r="AJP48" s="971"/>
      <c r="AJQ48" s="971"/>
      <c r="AJR48" s="971"/>
      <c r="AJS48" s="971"/>
      <c r="AJT48" s="971"/>
      <c r="AJU48" s="971"/>
      <c r="AJV48" s="971"/>
      <c r="AJW48" s="971"/>
      <c r="AJX48" s="971"/>
      <c r="AJY48" s="971"/>
      <c r="AJZ48" s="971"/>
      <c r="AKA48" s="971"/>
      <c r="AKB48" s="971"/>
      <c r="AKC48" s="971"/>
      <c r="AKD48" s="971"/>
      <c r="AKE48" s="971"/>
      <c r="AKF48" s="971"/>
      <c r="AKG48" s="971"/>
      <c r="AKH48" s="971"/>
      <c r="AKI48" s="971"/>
      <c r="AKJ48" s="971"/>
      <c r="AKK48" s="971"/>
      <c r="AKL48" s="971"/>
      <c r="AKM48" s="971"/>
      <c r="AKN48" s="971"/>
      <c r="AKO48" s="971"/>
      <c r="AKP48" s="971"/>
      <c r="AKQ48" s="971"/>
      <c r="AKR48" s="971"/>
      <c r="AKS48" s="971"/>
      <c r="AKT48" s="971"/>
      <c r="AKU48" s="971"/>
      <c r="AKV48" s="971"/>
      <c r="AKW48" s="971"/>
      <c r="AKX48" s="971"/>
      <c r="AKY48" s="971"/>
      <c r="AKZ48" s="971"/>
      <c r="ALA48" s="971"/>
      <c r="ALB48" s="971"/>
      <c r="ALC48" s="971"/>
      <c r="ALD48" s="971"/>
      <c r="ALE48" s="971"/>
      <c r="ALF48" s="971"/>
      <c r="ALG48" s="971"/>
      <c r="ALH48" s="971"/>
      <c r="ALI48" s="971"/>
      <c r="ALJ48" s="971"/>
      <c r="ALK48" s="971"/>
      <c r="ALL48" s="971"/>
      <c r="ALM48" s="971"/>
      <c r="ALN48" s="971"/>
      <c r="ALO48" s="971"/>
      <c r="ALP48" s="971"/>
      <c r="ALQ48" s="971"/>
      <c r="ALR48" s="971"/>
      <c r="ALS48" s="971"/>
      <c r="ALT48" s="971"/>
      <c r="ALU48" s="971"/>
      <c r="ALV48" s="971"/>
      <c r="ALW48" s="971"/>
      <c r="ALX48" s="971"/>
      <c r="ALY48" s="971"/>
      <c r="ALZ48" s="971"/>
      <c r="AMA48" s="971"/>
      <c r="AMB48" s="971"/>
      <c r="AMC48" s="971"/>
      <c r="AMD48" s="971"/>
      <c r="AME48" s="971"/>
      <c r="AMF48" s="971"/>
      <c r="AMG48" s="971"/>
      <c r="AMH48" s="971"/>
      <c r="AMI48" s="971"/>
      <c r="AMJ48" s="971"/>
      <c r="AMK48" s="971"/>
      <c r="AML48" s="971"/>
      <c r="AMM48" s="971"/>
      <c r="AMN48" s="971"/>
      <c r="AMO48" s="971"/>
      <c r="AMP48" s="971"/>
      <c r="AMQ48" s="971"/>
      <c r="AMR48" s="971"/>
      <c r="AMS48" s="971"/>
      <c r="AMT48" s="971"/>
      <c r="AMU48" s="971"/>
      <c r="AMV48" s="971"/>
      <c r="AMW48" s="971"/>
      <c r="AMX48" s="971"/>
      <c r="AMY48" s="971"/>
      <c r="AMZ48" s="971"/>
      <c r="ANA48" s="971"/>
      <c r="ANB48" s="971"/>
      <c r="ANC48" s="971"/>
      <c r="AND48" s="971"/>
      <c r="ANE48" s="971"/>
      <c r="ANF48" s="971"/>
      <c r="ANG48" s="971"/>
      <c r="ANH48" s="971"/>
      <c r="ANI48" s="971"/>
      <c r="ANJ48" s="971"/>
      <c r="ANK48" s="971"/>
      <c r="ANL48" s="971"/>
      <c r="ANM48" s="971"/>
      <c r="ANN48" s="971"/>
      <c r="ANO48" s="971"/>
      <c r="ANP48" s="971"/>
      <c r="ANQ48" s="971"/>
      <c r="ANR48" s="971"/>
      <c r="ANS48" s="971"/>
      <c r="ANT48" s="971"/>
      <c r="ANU48" s="971"/>
      <c r="ANV48" s="971"/>
      <c r="ANW48" s="971"/>
      <c r="ANX48" s="971"/>
      <c r="ANY48" s="971"/>
      <c r="ANZ48" s="971"/>
      <c r="AOA48" s="971"/>
      <c r="AOB48" s="971"/>
      <c r="AOC48" s="971"/>
      <c r="AOD48" s="971"/>
      <c r="AOE48" s="971"/>
      <c r="AOF48" s="971"/>
      <c r="AOG48" s="971"/>
      <c r="AOH48" s="971"/>
      <c r="AOI48" s="971"/>
      <c r="AOJ48" s="971"/>
      <c r="AOK48" s="971"/>
      <c r="AOL48" s="971"/>
      <c r="AOM48" s="971"/>
      <c r="AON48" s="971"/>
      <c r="AOO48" s="971"/>
      <c r="AOP48" s="971"/>
      <c r="AOQ48" s="971"/>
      <c r="AOR48" s="971"/>
      <c r="AOS48" s="971"/>
      <c r="AOT48" s="971"/>
      <c r="AOU48" s="971"/>
      <c r="AOV48" s="971"/>
      <c r="AOW48" s="971"/>
      <c r="AOX48" s="971"/>
      <c r="AOY48" s="971"/>
      <c r="AOZ48" s="971"/>
      <c r="APA48" s="971"/>
      <c r="APB48" s="971"/>
      <c r="APC48" s="971"/>
      <c r="APD48" s="971"/>
      <c r="APE48" s="971"/>
      <c r="APF48" s="971"/>
      <c r="APG48" s="971"/>
      <c r="APH48" s="971"/>
      <c r="API48" s="971"/>
      <c r="APJ48" s="971"/>
      <c r="APK48" s="971"/>
      <c r="APL48" s="971"/>
      <c r="APM48" s="971"/>
      <c r="APN48" s="971"/>
      <c r="APO48" s="971"/>
      <c r="APP48" s="971"/>
      <c r="APQ48" s="971"/>
      <c r="APR48" s="971"/>
      <c r="APS48" s="971"/>
      <c r="APT48" s="971"/>
      <c r="APU48" s="971"/>
      <c r="APV48" s="971"/>
      <c r="APW48" s="971"/>
      <c r="APX48" s="971"/>
      <c r="APY48" s="971"/>
      <c r="APZ48" s="971"/>
      <c r="AQA48" s="971"/>
      <c r="AQB48" s="971"/>
      <c r="AQC48" s="971"/>
      <c r="AQD48" s="971"/>
      <c r="AQE48" s="971"/>
      <c r="AQF48" s="971"/>
      <c r="AQG48" s="971"/>
      <c r="AQH48" s="971"/>
      <c r="AQI48" s="971"/>
      <c r="AQJ48" s="971"/>
      <c r="AQK48" s="971"/>
      <c r="AQL48" s="971"/>
      <c r="AQM48" s="971"/>
      <c r="AQN48" s="971"/>
      <c r="AQO48" s="971"/>
      <c r="AQP48" s="971"/>
      <c r="AQQ48" s="971"/>
      <c r="AQR48" s="971"/>
      <c r="AQS48" s="971"/>
      <c r="AQT48" s="971"/>
      <c r="AQU48" s="971"/>
      <c r="AQV48" s="971"/>
      <c r="AQW48" s="971"/>
      <c r="AQX48" s="971"/>
      <c r="AQY48" s="971"/>
      <c r="AQZ48" s="971"/>
      <c r="ARA48" s="971"/>
      <c r="ARB48" s="971"/>
      <c r="ARC48" s="971"/>
      <c r="ARD48" s="971"/>
      <c r="ARE48" s="971"/>
      <c r="ARF48" s="971"/>
      <c r="ARG48" s="971"/>
      <c r="ARH48" s="971"/>
      <c r="ARI48" s="971"/>
      <c r="ARJ48" s="971"/>
      <c r="ARK48" s="971"/>
      <c r="ARL48" s="971"/>
      <c r="ARM48" s="971"/>
      <c r="ARN48" s="971"/>
      <c r="ARO48" s="971"/>
      <c r="ARP48" s="971"/>
      <c r="ARQ48" s="971"/>
      <c r="ARR48" s="971"/>
      <c r="ARS48" s="971"/>
      <c r="ART48" s="971"/>
      <c r="ARU48" s="971"/>
      <c r="ARV48" s="971"/>
      <c r="ARW48" s="971"/>
      <c r="ARX48" s="971"/>
      <c r="ARY48" s="971"/>
      <c r="ARZ48" s="971"/>
      <c r="ASA48" s="971"/>
      <c r="ASB48" s="971"/>
      <c r="ASC48" s="971"/>
      <c r="ASD48" s="971"/>
      <c r="ASE48" s="971"/>
      <c r="ASF48" s="971"/>
      <c r="ASG48" s="971"/>
      <c r="ASH48" s="971"/>
      <c r="ASI48" s="971"/>
      <c r="ASJ48" s="971"/>
      <c r="ASK48" s="971"/>
      <c r="ASL48" s="971"/>
      <c r="ASM48" s="971"/>
      <c r="ASN48" s="971"/>
      <c r="ASO48" s="971"/>
      <c r="ASP48" s="971"/>
      <c r="ASQ48" s="971"/>
      <c r="ASR48" s="971"/>
      <c r="ASS48" s="971"/>
      <c r="AST48" s="971"/>
      <c r="ASU48" s="971"/>
      <c r="ASV48" s="971"/>
      <c r="ASW48" s="971"/>
      <c r="ASX48" s="971"/>
      <c r="ASY48" s="971"/>
      <c r="ASZ48" s="971"/>
      <c r="ATA48" s="971"/>
      <c r="ATB48" s="971"/>
      <c r="ATC48" s="971"/>
      <c r="ATD48" s="971"/>
      <c r="ATE48" s="971"/>
      <c r="ATF48" s="971"/>
      <c r="ATG48" s="971"/>
      <c r="ATH48" s="971"/>
      <c r="ATI48" s="971"/>
      <c r="ATJ48" s="971"/>
      <c r="ATK48" s="971"/>
      <c r="ATL48" s="971"/>
      <c r="ATM48" s="971"/>
      <c r="ATN48" s="971"/>
      <c r="ATO48" s="971"/>
      <c r="ATP48" s="971"/>
      <c r="ATQ48" s="971"/>
      <c r="ATR48" s="971"/>
      <c r="ATS48" s="971"/>
      <c r="ATT48" s="971"/>
      <c r="ATU48" s="971"/>
      <c r="ATV48" s="971"/>
      <c r="ATW48" s="971"/>
      <c r="ATX48" s="971"/>
      <c r="ATY48" s="971"/>
      <c r="ATZ48" s="971"/>
      <c r="AUA48" s="971"/>
      <c r="AUB48" s="971"/>
      <c r="AUC48" s="971"/>
      <c r="AUD48" s="971"/>
      <c r="AUE48" s="971"/>
      <c r="AUF48" s="971"/>
      <c r="AUG48" s="971"/>
      <c r="AUH48" s="971"/>
      <c r="AUI48" s="971"/>
      <c r="AUJ48" s="971"/>
      <c r="AUK48" s="971"/>
      <c r="AUL48" s="971"/>
      <c r="AUM48" s="971"/>
      <c r="AUN48" s="971"/>
      <c r="AUO48" s="971"/>
      <c r="AUP48" s="971"/>
      <c r="AUQ48" s="971"/>
      <c r="AUR48" s="971"/>
      <c r="AUS48" s="971"/>
      <c r="AUT48" s="971"/>
      <c r="AUU48" s="971"/>
      <c r="AUV48" s="971"/>
      <c r="AUW48" s="971"/>
      <c r="AUX48" s="971"/>
      <c r="AUY48" s="971"/>
      <c r="AUZ48" s="971"/>
      <c r="AVA48" s="971"/>
      <c r="AVB48" s="971"/>
      <c r="AVC48" s="971"/>
      <c r="AVD48" s="971"/>
      <c r="AVE48" s="971"/>
      <c r="AVF48" s="971"/>
      <c r="AVG48" s="971"/>
      <c r="AVH48" s="971"/>
      <c r="AVI48" s="971"/>
      <c r="AVJ48" s="971"/>
      <c r="AVK48" s="971"/>
      <c r="AVL48" s="971"/>
      <c r="AVM48" s="971"/>
      <c r="AVN48" s="971"/>
      <c r="AVO48" s="971"/>
      <c r="AVP48" s="971"/>
      <c r="AVQ48" s="971"/>
      <c r="AVR48" s="971"/>
      <c r="AVS48" s="971"/>
      <c r="AVT48" s="971"/>
      <c r="AVU48" s="971"/>
      <c r="AVV48" s="971"/>
      <c r="AVW48" s="971"/>
      <c r="AVX48" s="971"/>
      <c r="AVY48" s="971"/>
      <c r="AVZ48" s="971"/>
      <c r="AWA48" s="971"/>
      <c r="AWB48" s="971"/>
      <c r="AWC48" s="971"/>
      <c r="AWD48" s="971"/>
      <c r="AWE48" s="971"/>
      <c r="AWF48" s="971"/>
      <c r="AWG48" s="971"/>
      <c r="AWH48" s="971"/>
      <c r="AWI48" s="971"/>
      <c r="AWJ48" s="971"/>
      <c r="AWK48" s="971"/>
      <c r="AWL48" s="971"/>
      <c r="AWM48" s="971"/>
      <c r="AWN48" s="971"/>
      <c r="AWO48" s="971"/>
      <c r="AWP48" s="971"/>
      <c r="AWQ48" s="971"/>
      <c r="AWR48" s="971"/>
      <c r="AWS48" s="971"/>
      <c r="AWT48" s="971"/>
      <c r="AWU48" s="971"/>
      <c r="AWV48" s="971"/>
      <c r="AWW48" s="971"/>
      <c r="AWX48" s="971"/>
      <c r="AWY48" s="971"/>
      <c r="AWZ48" s="971"/>
      <c r="AXA48" s="971"/>
      <c r="AXB48" s="971"/>
      <c r="AXC48" s="971"/>
      <c r="AXD48" s="971"/>
      <c r="AXE48" s="971"/>
      <c r="AXF48" s="971"/>
      <c r="AXG48" s="971"/>
      <c r="AXH48" s="971"/>
      <c r="AXI48" s="971"/>
      <c r="AXJ48" s="971"/>
      <c r="AXK48" s="971"/>
      <c r="AXL48" s="971"/>
      <c r="AXM48" s="971"/>
      <c r="AXN48" s="971"/>
      <c r="AXO48" s="971"/>
      <c r="AXP48" s="971"/>
      <c r="AXQ48" s="971"/>
      <c r="AXR48" s="971"/>
      <c r="AXS48" s="971"/>
      <c r="AXT48" s="971"/>
      <c r="AXU48" s="971"/>
      <c r="AXV48" s="971"/>
      <c r="AXW48" s="971"/>
      <c r="AXX48" s="971"/>
      <c r="AXY48" s="971"/>
      <c r="AXZ48" s="971"/>
      <c r="AYA48" s="971"/>
      <c r="AYB48" s="971"/>
      <c r="AYC48" s="971"/>
      <c r="AYD48" s="971"/>
      <c r="AYE48" s="971"/>
      <c r="AYF48" s="971"/>
      <c r="AYG48" s="971"/>
      <c r="AYH48" s="971"/>
      <c r="AYI48" s="971"/>
      <c r="AYJ48" s="971"/>
      <c r="AYK48" s="971"/>
      <c r="AYL48" s="971"/>
      <c r="AYM48" s="971"/>
      <c r="AYN48" s="971"/>
      <c r="AYO48" s="971"/>
      <c r="AYP48" s="971"/>
      <c r="AYQ48" s="971"/>
      <c r="AYR48" s="971"/>
      <c r="AYS48" s="971"/>
      <c r="AYT48" s="971"/>
      <c r="AYU48" s="971"/>
      <c r="AYV48" s="971"/>
      <c r="AYW48" s="971"/>
      <c r="AYX48" s="971"/>
      <c r="AYY48" s="971"/>
      <c r="AYZ48" s="971"/>
      <c r="AZA48" s="971"/>
      <c r="AZB48" s="971"/>
      <c r="AZC48" s="971"/>
      <c r="AZD48" s="971"/>
      <c r="AZE48" s="971"/>
      <c r="AZF48" s="971"/>
      <c r="AZG48" s="971"/>
      <c r="AZH48" s="971"/>
      <c r="AZI48" s="971"/>
      <c r="AZJ48" s="971"/>
      <c r="AZK48" s="971"/>
      <c r="AZL48" s="971"/>
      <c r="AZM48" s="971"/>
      <c r="AZN48" s="971"/>
      <c r="AZO48" s="971"/>
      <c r="AZP48" s="971"/>
      <c r="AZQ48" s="971"/>
      <c r="AZR48" s="971"/>
      <c r="AZS48" s="971"/>
      <c r="AZT48" s="971"/>
      <c r="AZU48" s="971"/>
      <c r="AZV48" s="971"/>
      <c r="AZW48" s="971"/>
      <c r="AZX48" s="971"/>
      <c r="AZY48" s="971"/>
      <c r="AZZ48" s="971"/>
      <c r="BAA48" s="971"/>
      <c r="BAB48" s="971"/>
      <c r="BAC48" s="971"/>
      <c r="BAD48" s="971"/>
      <c r="BAE48" s="971"/>
      <c r="BAF48" s="971"/>
      <c r="BAG48" s="971"/>
      <c r="BAH48" s="971"/>
      <c r="BAI48" s="971"/>
      <c r="BAJ48" s="971"/>
      <c r="BAK48" s="971"/>
      <c r="BAL48" s="971"/>
      <c r="BAM48" s="971"/>
      <c r="BAN48" s="971"/>
      <c r="BAO48" s="971"/>
      <c r="BAP48" s="971"/>
      <c r="BAQ48" s="971"/>
      <c r="BAR48" s="971"/>
      <c r="BAS48" s="971"/>
      <c r="BAT48" s="971"/>
      <c r="BAU48" s="971"/>
      <c r="BAV48" s="971"/>
      <c r="BAW48" s="971"/>
      <c r="BAX48" s="971"/>
      <c r="BAY48" s="971"/>
      <c r="BAZ48" s="971"/>
      <c r="BBA48" s="971"/>
      <c r="BBB48" s="971"/>
      <c r="BBC48" s="971"/>
      <c r="BBD48" s="971"/>
      <c r="BBE48" s="971"/>
      <c r="BBF48" s="971"/>
      <c r="BBG48" s="971"/>
      <c r="BBH48" s="971"/>
      <c r="BBI48" s="971"/>
      <c r="BBJ48" s="971"/>
      <c r="BBK48" s="971"/>
      <c r="BBL48" s="971"/>
      <c r="BBM48" s="971"/>
      <c r="BBN48" s="971"/>
      <c r="BBO48" s="971"/>
      <c r="BBP48" s="971"/>
      <c r="BBQ48" s="971"/>
      <c r="BBR48" s="971"/>
      <c r="BBS48" s="971"/>
      <c r="BBT48" s="971"/>
      <c r="BBU48" s="971"/>
      <c r="BBV48" s="971"/>
      <c r="BBW48" s="971"/>
      <c r="BBX48" s="971"/>
      <c r="BBY48" s="971"/>
      <c r="BBZ48" s="971"/>
      <c r="BCA48" s="971"/>
      <c r="BCB48" s="971"/>
      <c r="BCC48" s="971"/>
      <c r="BCD48" s="971"/>
      <c r="BCE48" s="971"/>
      <c r="BCF48" s="971"/>
      <c r="BCG48" s="971"/>
      <c r="BCH48" s="971"/>
      <c r="BCI48" s="971"/>
      <c r="BCJ48" s="971"/>
      <c r="BCK48" s="971"/>
      <c r="BCL48" s="971"/>
      <c r="BCM48" s="971"/>
      <c r="BCN48" s="971"/>
      <c r="BCO48" s="971"/>
      <c r="BCP48" s="971"/>
      <c r="BCQ48" s="971"/>
      <c r="BCR48" s="971"/>
      <c r="BCS48" s="971"/>
      <c r="BCT48" s="971"/>
      <c r="BCU48" s="971"/>
      <c r="BCV48" s="971"/>
      <c r="BCW48" s="971"/>
      <c r="BCX48" s="971"/>
      <c r="BCY48" s="971"/>
      <c r="BCZ48" s="971"/>
      <c r="BDA48" s="971"/>
      <c r="BDB48" s="971"/>
      <c r="BDC48" s="971"/>
      <c r="BDD48" s="971"/>
      <c r="BDE48" s="971"/>
      <c r="BDF48" s="971"/>
      <c r="BDG48" s="971"/>
      <c r="BDH48" s="971"/>
      <c r="BDI48" s="971"/>
      <c r="BDJ48" s="971"/>
      <c r="BDK48" s="971"/>
      <c r="BDL48" s="971"/>
      <c r="BDM48" s="971"/>
      <c r="BDN48" s="971"/>
      <c r="BDO48" s="971"/>
      <c r="BDP48" s="971"/>
      <c r="BDQ48" s="971"/>
      <c r="BDR48" s="971"/>
      <c r="BDS48" s="971"/>
      <c r="BDT48" s="971"/>
      <c r="BDU48" s="971"/>
      <c r="BDV48" s="971"/>
      <c r="BDW48" s="971"/>
      <c r="BDX48" s="971"/>
      <c r="BDY48" s="971"/>
      <c r="BDZ48" s="971"/>
      <c r="BEA48" s="971"/>
      <c r="BEB48" s="971"/>
      <c r="BEC48" s="971"/>
      <c r="BED48" s="971"/>
      <c r="BEE48" s="971"/>
      <c r="BEF48" s="971"/>
      <c r="BEG48" s="971"/>
      <c r="BEH48" s="971"/>
      <c r="BEI48" s="971"/>
      <c r="BEJ48" s="971"/>
      <c r="BEK48" s="971"/>
      <c r="BEL48" s="971"/>
      <c r="BEM48" s="971"/>
      <c r="BEN48" s="971"/>
      <c r="BEO48" s="971"/>
      <c r="BEP48" s="971"/>
      <c r="BEQ48" s="971"/>
      <c r="BER48" s="971"/>
      <c r="BES48" s="971"/>
      <c r="BET48" s="971"/>
      <c r="BEU48" s="971"/>
      <c r="BEV48" s="971"/>
      <c r="BEW48" s="971"/>
      <c r="BEX48" s="971"/>
      <c r="BEY48" s="971"/>
      <c r="BEZ48" s="971"/>
      <c r="BFA48" s="971"/>
      <c r="BFB48" s="971"/>
      <c r="BFC48" s="971"/>
      <c r="BFD48" s="971"/>
      <c r="BFE48" s="971"/>
      <c r="BFF48" s="971"/>
      <c r="BFG48" s="971"/>
      <c r="BFH48" s="971"/>
      <c r="BFI48" s="971"/>
      <c r="BFJ48" s="971"/>
      <c r="BFK48" s="971"/>
      <c r="BFL48" s="971"/>
      <c r="BFM48" s="971"/>
      <c r="BFN48" s="971"/>
      <c r="BFO48" s="971"/>
      <c r="BFP48" s="971"/>
      <c r="BFQ48" s="971"/>
      <c r="BFR48" s="971"/>
      <c r="BFS48" s="971"/>
      <c r="BFT48" s="971"/>
      <c r="BFU48" s="971"/>
      <c r="BFV48" s="971"/>
      <c r="BFW48" s="971"/>
      <c r="BFX48" s="971"/>
      <c r="BFY48" s="971"/>
      <c r="BFZ48" s="971"/>
      <c r="BGA48" s="971"/>
      <c r="BGB48" s="971"/>
      <c r="BGC48" s="971"/>
      <c r="BGD48" s="971"/>
      <c r="BGE48" s="971"/>
      <c r="BGF48" s="971"/>
      <c r="BGG48" s="971"/>
      <c r="BGH48" s="971"/>
      <c r="BGI48" s="971"/>
      <c r="BGJ48" s="971"/>
      <c r="BGK48" s="971"/>
      <c r="BGL48" s="971"/>
      <c r="BGM48" s="971"/>
      <c r="BGN48" s="971"/>
      <c r="BGO48" s="971"/>
      <c r="BGP48" s="971"/>
      <c r="BGQ48" s="971"/>
      <c r="BGR48" s="971"/>
      <c r="BGS48" s="971"/>
      <c r="BGT48" s="971"/>
      <c r="BGU48" s="971"/>
      <c r="BGV48" s="971"/>
      <c r="BGW48" s="971"/>
      <c r="BGX48" s="971"/>
      <c r="BGY48" s="971"/>
      <c r="BGZ48" s="971"/>
      <c r="BHA48" s="971"/>
      <c r="BHB48" s="971"/>
      <c r="BHC48" s="971"/>
      <c r="BHD48" s="971"/>
      <c r="BHE48" s="971"/>
      <c r="BHF48" s="971"/>
      <c r="BHG48" s="971"/>
      <c r="BHH48" s="971"/>
      <c r="BHI48" s="971"/>
      <c r="BHJ48" s="971"/>
      <c r="BHK48" s="971"/>
      <c r="BHL48" s="971"/>
      <c r="BHM48" s="971"/>
      <c r="BHN48" s="971"/>
      <c r="BHO48" s="971"/>
      <c r="BHP48" s="971"/>
      <c r="BHQ48" s="971"/>
      <c r="BHR48" s="971"/>
      <c r="BHS48" s="971"/>
      <c r="BHT48" s="971"/>
      <c r="BHU48" s="971"/>
      <c r="BHV48" s="971"/>
      <c r="BHW48" s="971"/>
      <c r="BHX48" s="971"/>
      <c r="BHY48" s="971"/>
      <c r="BHZ48" s="971"/>
      <c r="BIA48" s="971"/>
      <c r="BIB48" s="971"/>
      <c r="BIC48" s="971"/>
      <c r="BID48" s="971"/>
      <c r="BIE48" s="971"/>
      <c r="BIF48" s="971"/>
      <c r="BIG48" s="971"/>
      <c r="BIH48" s="971"/>
      <c r="BII48" s="971"/>
      <c r="BIJ48" s="971"/>
      <c r="BIK48" s="971"/>
      <c r="BIL48" s="971"/>
      <c r="BIM48" s="971"/>
      <c r="BIN48" s="971"/>
      <c r="BIO48" s="971"/>
      <c r="BIP48" s="971"/>
      <c r="BIQ48" s="971"/>
      <c r="BIR48" s="971"/>
      <c r="BIS48" s="971"/>
      <c r="BIT48" s="971"/>
      <c r="BIU48" s="971"/>
      <c r="BIV48" s="971"/>
      <c r="BIW48" s="971"/>
      <c r="BIX48" s="971"/>
      <c r="BIY48" s="971"/>
      <c r="BIZ48" s="971"/>
      <c r="BJA48" s="971"/>
      <c r="BJB48" s="971"/>
      <c r="BJC48" s="971"/>
      <c r="BJD48" s="971"/>
      <c r="BJE48" s="971"/>
      <c r="BJF48" s="971"/>
      <c r="BJG48" s="971"/>
      <c r="BJH48" s="971"/>
      <c r="BJI48" s="971"/>
      <c r="BJJ48" s="971"/>
      <c r="BJK48" s="971"/>
      <c r="BJL48" s="971"/>
      <c r="BJM48" s="971"/>
      <c r="BJN48" s="971"/>
      <c r="BJO48" s="971"/>
      <c r="BJP48" s="971"/>
      <c r="BJQ48" s="971"/>
      <c r="BJR48" s="971"/>
      <c r="BJS48" s="971"/>
      <c r="BJT48" s="971"/>
      <c r="BJU48" s="971"/>
      <c r="BJV48" s="971"/>
      <c r="BJW48" s="971"/>
      <c r="BJX48" s="971"/>
      <c r="BJY48" s="971"/>
      <c r="BJZ48" s="971"/>
      <c r="BKA48" s="971"/>
      <c r="BKB48" s="971"/>
      <c r="BKC48" s="971"/>
      <c r="BKD48" s="971"/>
      <c r="BKE48" s="971"/>
      <c r="BKF48" s="971"/>
      <c r="BKG48" s="971"/>
      <c r="BKH48" s="971"/>
      <c r="BKI48" s="971"/>
      <c r="BKJ48" s="971"/>
      <c r="BKK48" s="971"/>
      <c r="BKL48" s="971"/>
      <c r="BKM48" s="971"/>
      <c r="BKN48" s="971"/>
      <c r="BKO48" s="971"/>
      <c r="BKP48" s="971"/>
      <c r="BKQ48" s="971"/>
      <c r="BKR48" s="971"/>
      <c r="BKS48" s="971"/>
      <c r="BKT48" s="971"/>
      <c r="BKU48" s="971"/>
      <c r="BKV48" s="971"/>
      <c r="BKW48" s="971"/>
      <c r="BKX48" s="971"/>
      <c r="BKY48" s="971"/>
      <c r="BKZ48" s="971"/>
      <c r="BLA48" s="971"/>
      <c r="BLB48" s="971"/>
      <c r="BLC48" s="971"/>
      <c r="BLD48" s="971"/>
      <c r="BLE48" s="971"/>
      <c r="BLF48" s="971"/>
      <c r="BLG48" s="971"/>
      <c r="BLH48" s="971"/>
      <c r="BLI48" s="971"/>
      <c r="BLJ48" s="971"/>
      <c r="BLK48" s="971"/>
      <c r="BLL48" s="971"/>
      <c r="BLM48" s="971"/>
      <c r="BLN48" s="971"/>
      <c r="BLO48" s="971"/>
      <c r="BLP48" s="971"/>
      <c r="BLQ48" s="971"/>
      <c r="BLR48" s="971"/>
      <c r="BLS48" s="971"/>
      <c r="BLT48" s="971"/>
      <c r="BLU48" s="971"/>
      <c r="BLV48" s="971"/>
      <c r="BLW48" s="971"/>
      <c r="BLX48" s="971"/>
      <c r="BLY48" s="971"/>
      <c r="BLZ48" s="971"/>
      <c r="BMA48" s="971"/>
      <c r="BMB48" s="971"/>
      <c r="BMC48" s="971"/>
      <c r="BMD48" s="971"/>
      <c r="BME48" s="971"/>
      <c r="BMF48" s="971"/>
      <c r="BMG48" s="971"/>
      <c r="BMH48" s="971"/>
      <c r="BMI48" s="971"/>
      <c r="BMJ48" s="971"/>
      <c r="BMK48" s="971"/>
      <c r="BML48" s="971"/>
      <c r="BMM48" s="971"/>
      <c r="BMN48" s="971"/>
      <c r="BMO48" s="971"/>
      <c r="BMP48" s="971"/>
      <c r="BMQ48" s="971"/>
      <c r="BMR48" s="971"/>
      <c r="BMS48" s="971"/>
      <c r="BMT48" s="971"/>
      <c r="BMU48" s="971"/>
      <c r="BMV48" s="971"/>
      <c r="BMW48" s="971"/>
      <c r="BMX48" s="971"/>
      <c r="BMY48" s="971"/>
      <c r="BMZ48" s="971"/>
      <c r="BNA48" s="971"/>
      <c r="BNB48" s="971"/>
      <c r="BNC48" s="971"/>
      <c r="BND48" s="971"/>
      <c r="BNE48" s="971"/>
      <c r="BNF48" s="971"/>
      <c r="BNG48" s="971"/>
      <c r="BNH48" s="971"/>
      <c r="BNI48" s="971"/>
      <c r="BNJ48" s="971"/>
      <c r="BNK48" s="971"/>
      <c r="BNL48" s="971"/>
      <c r="BNM48" s="971"/>
      <c r="BNN48" s="971"/>
      <c r="BNO48" s="971"/>
      <c r="BNP48" s="971"/>
      <c r="BNQ48" s="971"/>
      <c r="BNR48" s="971"/>
      <c r="BNS48" s="971"/>
      <c r="BNT48" s="971"/>
      <c r="BNU48" s="971"/>
      <c r="BNV48" s="971"/>
      <c r="BNW48" s="971"/>
      <c r="BNX48" s="971"/>
      <c r="BNY48" s="971"/>
      <c r="BNZ48" s="971"/>
      <c r="BOA48" s="971"/>
      <c r="BOB48" s="971"/>
      <c r="BOC48" s="971"/>
      <c r="BOD48" s="971"/>
      <c r="BOE48" s="971"/>
      <c r="BOF48" s="971"/>
      <c r="BOG48" s="971"/>
      <c r="BOH48" s="971"/>
      <c r="BOI48" s="971"/>
      <c r="BOJ48" s="971"/>
      <c r="BOK48" s="971"/>
      <c r="BOL48" s="971"/>
      <c r="BOM48" s="971"/>
      <c r="BON48" s="971"/>
      <c r="BOO48" s="971"/>
      <c r="BOP48" s="971"/>
      <c r="BOQ48" s="971"/>
      <c r="BOR48" s="971"/>
      <c r="BOS48" s="971"/>
      <c r="BOT48" s="971"/>
      <c r="BOU48" s="971"/>
      <c r="BOV48" s="971"/>
      <c r="BOW48" s="971"/>
      <c r="BOX48" s="971"/>
      <c r="BOY48" s="971"/>
      <c r="BOZ48" s="971"/>
      <c r="BPA48" s="971"/>
      <c r="BPB48" s="971"/>
      <c r="BPC48" s="971"/>
      <c r="BPD48" s="971"/>
      <c r="BPE48" s="971"/>
      <c r="BPF48" s="971"/>
      <c r="BPG48" s="971"/>
      <c r="BPH48" s="971"/>
      <c r="BPI48" s="971"/>
      <c r="BPJ48" s="971"/>
      <c r="BPK48" s="971"/>
      <c r="BPL48" s="971"/>
      <c r="BPM48" s="971"/>
      <c r="BPN48" s="971"/>
      <c r="BPO48" s="971"/>
      <c r="BPP48" s="971"/>
      <c r="BPQ48" s="971"/>
      <c r="BPR48" s="971"/>
      <c r="BPS48" s="971"/>
      <c r="BPT48" s="971"/>
      <c r="BPU48" s="971"/>
      <c r="BPV48" s="971"/>
      <c r="BPW48" s="971"/>
      <c r="BPX48" s="971"/>
      <c r="BPY48" s="971"/>
      <c r="BPZ48" s="971"/>
      <c r="BQA48" s="971"/>
      <c r="BQB48" s="971"/>
      <c r="BQC48" s="971"/>
      <c r="BQD48" s="971"/>
      <c r="BQE48" s="971"/>
      <c r="BQF48" s="971"/>
      <c r="BQG48" s="971"/>
      <c r="BQH48" s="971"/>
      <c r="BQI48" s="971"/>
      <c r="BQJ48" s="971"/>
      <c r="BQK48" s="971"/>
      <c r="BQL48" s="971"/>
      <c r="BQM48" s="971"/>
      <c r="BQN48" s="971"/>
      <c r="BQO48" s="971"/>
      <c r="BQP48" s="971"/>
      <c r="BQQ48" s="971"/>
      <c r="BQR48" s="971"/>
      <c r="BQS48" s="971"/>
      <c r="BQT48" s="971"/>
      <c r="BQU48" s="971"/>
      <c r="BQV48" s="971"/>
      <c r="BQW48" s="971"/>
      <c r="BQX48" s="971"/>
      <c r="BQY48" s="971"/>
      <c r="BQZ48" s="971"/>
      <c r="BRA48" s="971"/>
      <c r="BRB48" s="971"/>
      <c r="BRC48" s="971"/>
      <c r="BRD48" s="971"/>
      <c r="BRE48" s="971"/>
      <c r="BRF48" s="971"/>
      <c r="BRG48" s="971"/>
      <c r="BRH48" s="971"/>
      <c r="BRI48" s="971"/>
      <c r="BRJ48" s="971"/>
      <c r="BRK48" s="971"/>
      <c r="BRL48" s="971"/>
      <c r="BRM48" s="971"/>
      <c r="BRN48" s="971"/>
      <c r="BRO48" s="971"/>
      <c r="BRP48" s="971"/>
      <c r="BRQ48" s="971"/>
      <c r="BRR48" s="971"/>
      <c r="BRS48" s="971"/>
      <c r="BRT48" s="971"/>
      <c r="BRU48" s="971"/>
      <c r="BRV48" s="971"/>
      <c r="BRW48" s="971"/>
      <c r="BRX48" s="971"/>
      <c r="BRY48" s="971"/>
      <c r="BRZ48" s="971"/>
      <c r="BSA48" s="971"/>
      <c r="BSB48" s="971"/>
      <c r="BSC48" s="971"/>
      <c r="BSD48" s="971"/>
      <c r="BSE48" s="971"/>
      <c r="BSF48" s="971"/>
      <c r="BSG48" s="971"/>
      <c r="BSH48" s="971"/>
      <c r="BSI48" s="971"/>
      <c r="BSJ48" s="971"/>
      <c r="BSK48" s="971"/>
      <c r="BSL48" s="971"/>
      <c r="BSM48" s="971"/>
      <c r="BSN48" s="971"/>
      <c r="BSO48" s="971"/>
      <c r="BSP48" s="971"/>
      <c r="BSQ48" s="971"/>
      <c r="BSR48" s="971"/>
      <c r="BSS48" s="971"/>
      <c r="BST48" s="971"/>
      <c r="BSU48" s="971"/>
      <c r="BSV48" s="971"/>
      <c r="BSW48" s="971"/>
      <c r="BSX48" s="971"/>
      <c r="BSY48" s="971"/>
      <c r="BSZ48" s="971"/>
      <c r="BTA48" s="971"/>
      <c r="BTB48" s="971"/>
      <c r="BTC48" s="971"/>
      <c r="BTD48" s="971"/>
      <c r="BTE48" s="971"/>
      <c r="BTF48" s="971"/>
      <c r="BTG48" s="971"/>
      <c r="BTH48" s="971"/>
      <c r="BTI48" s="971"/>
      <c r="BTJ48" s="971"/>
      <c r="BTK48" s="971"/>
      <c r="BTL48" s="971"/>
      <c r="BTM48" s="971"/>
      <c r="BTN48" s="971"/>
      <c r="BTO48" s="971"/>
      <c r="BTP48" s="971"/>
      <c r="BTQ48" s="971"/>
      <c r="BTR48" s="971"/>
      <c r="BTS48" s="971"/>
      <c r="BTT48" s="971"/>
      <c r="BTU48" s="971"/>
      <c r="BTV48" s="971"/>
      <c r="BTW48" s="971"/>
      <c r="BTX48" s="971"/>
      <c r="BTY48" s="971"/>
      <c r="BTZ48" s="971"/>
      <c r="BUA48" s="971"/>
      <c r="BUB48" s="971"/>
      <c r="BUC48" s="971"/>
      <c r="BUD48" s="971"/>
      <c r="BUE48" s="971"/>
      <c r="BUF48" s="971"/>
      <c r="BUG48" s="971"/>
      <c r="BUH48" s="971"/>
      <c r="BUI48" s="971"/>
      <c r="BUJ48" s="971"/>
      <c r="BUK48" s="971"/>
      <c r="BUL48" s="971"/>
      <c r="BUM48" s="971"/>
      <c r="BUN48" s="971"/>
      <c r="BUO48" s="971"/>
      <c r="BUP48" s="971"/>
      <c r="BUQ48" s="971"/>
      <c r="BUR48" s="971"/>
      <c r="BUS48" s="971"/>
      <c r="BUT48" s="971"/>
      <c r="BUU48" s="971"/>
      <c r="BUV48" s="971"/>
      <c r="BUW48" s="971"/>
      <c r="BUX48" s="971"/>
      <c r="BUY48" s="971"/>
      <c r="BUZ48" s="971"/>
      <c r="BVA48" s="971"/>
      <c r="BVB48" s="971"/>
      <c r="BVC48" s="971"/>
      <c r="BVD48" s="971"/>
      <c r="BVE48" s="971"/>
      <c r="BVF48" s="971"/>
      <c r="BVG48" s="971"/>
      <c r="BVH48" s="971"/>
      <c r="BVI48" s="971"/>
      <c r="BVJ48" s="971"/>
      <c r="BVK48" s="971"/>
      <c r="BVL48" s="971"/>
      <c r="BVM48" s="971"/>
      <c r="BVN48" s="971"/>
      <c r="BVO48" s="971"/>
      <c r="BVP48" s="971"/>
      <c r="BVQ48" s="971"/>
      <c r="BVR48" s="971"/>
      <c r="BVS48" s="971"/>
      <c r="BVT48" s="971"/>
      <c r="BVU48" s="971"/>
      <c r="BVV48" s="971"/>
      <c r="BVW48" s="971"/>
      <c r="BVX48" s="971"/>
      <c r="BVY48" s="971"/>
      <c r="BVZ48" s="971"/>
      <c r="BWA48" s="971"/>
      <c r="BWB48" s="971"/>
      <c r="BWC48" s="971"/>
      <c r="BWD48" s="971"/>
      <c r="BWE48" s="971"/>
      <c r="BWF48" s="971"/>
      <c r="BWG48" s="971"/>
      <c r="BWH48" s="971"/>
      <c r="BWI48" s="971"/>
      <c r="BWJ48" s="971"/>
      <c r="BWK48" s="971"/>
      <c r="BWL48" s="971"/>
      <c r="BWM48" s="971"/>
      <c r="BWN48" s="971"/>
      <c r="BWO48" s="971"/>
      <c r="BWP48" s="971"/>
      <c r="BWQ48" s="971"/>
      <c r="BWR48" s="971"/>
      <c r="BWS48" s="971"/>
      <c r="BWT48" s="971"/>
      <c r="BWU48" s="971"/>
      <c r="BWV48" s="971"/>
      <c r="BWW48" s="971"/>
      <c r="BWX48" s="971"/>
      <c r="BWY48" s="971"/>
      <c r="BWZ48" s="971"/>
      <c r="BXA48" s="971"/>
      <c r="BXB48" s="971"/>
      <c r="BXC48" s="971"/>
      <c r="BXD48" s="971"/>
      <c r="BXE48" s="971"/>
      <c r="BXF48" s="971"/>
      <c r="BXG48" s="971"/>
      <c r="BXH48" s="971"/>
      <c r="BXI48" s="971"/>
      <c r="BXJ48" s="971"/>
      <c r="BXK48" s="971"/>
      <c r="BXL48" s="971"/>
      <c r="BXM48" s="971"/>
      <c r="BXN48" s="971"/>
      <c r="BXO48" s="971"/>
      <c r="BXP48" s="971"/>
      <c r="BXQ48" s="971"/>
      <c r="BXR48" s="971"/>
      <c r="BXS48" s="971"/>
      <c r="BXT48" s="971"/>
      <c r="BXU48" s="971"/>
      <c r="BXV48" s="971"/>
      <c r="BXW48" s="971"/>
      <c r="BXX48" s="971"/>
      <c r="BXY48" s="971"/>
      <c r="BXZ48" s="971"/>
      <c r="BYA48" s="971"/>
      <c r="BYB48" s="971"/>
      <c r="BYC48" s="971"/>
      <c r="BYD48" s="971"/>
      <c r="BYE48" s="971"/>
      <c r="BYF48" s="971"/>
      <c r="BYG48" s="971"/>
      <c r="BYH48" s="971"/>
      <c r="BYI48" s="971"/>
      <c r="BYJ48" s="971"/>
      <c r="BYK48" s="971"/>
      <c r="BYL48" s="971"/>
      <c r="BYM48" s="971"/>
      <c r="BYN48" s="971"/>
      <c r="BYO48" s="971"/>
      <c r="BYP48" s="971"/>
      <c r="BYQ48" s="971"/>
      <c r="BYR48" s="971"/>
      <c r="BYS48" s="971"/>
      <c r="BYT48" s="971"/>
      <c r="BYU48" s="971"/>
      <c r="BYV48" s="971"/>
      <c r="BYW48" s="971"/>
      <c r="BYX48" s="971"/>
      <c r="BYY48" s="971"/>
      <c r="BYZ48" s="971"/>
      <c r="BZA48" s="971"/>
      <c r="BZB48" s="971"/>
      <c r="BZC48" s="971"/>
      <c r="BZD48" s="971"/>
      <c r="BZE48" s="971"/>
      <c r="BZF48" s="971"/>
      <c r="BZG48" s="971"/>
      <c r="BZH48" s="971"/>
      <c r="BZI48" s="971"/>
      <c r="BZJ48" s="971"/>
      <c r="BZK48" s="971"/>
      <c r="BZL48" s="971"/>
      <c r="BZM48" s="971"/>
      <c r="BZN48" s="971"/>
      <c r="BZO48" s="971"/>
      <c r="BZP48" s="971"/>
      <c r="BZQ48" s="971"/>
      <c r="BZR48" s="971"/>
      <c r="BZS48" s="971"/>
      <c r="BZT48" s="971"/>
      <c r="BZU48" s="971"/>
      <c r="BZV48" s="971"/>
      <c r="BZW48" s="971"/>
      <c r="BZX48" s="971"/>
      <c r="BZY48" s="971"/>
      <c r="BZZ48" s="971"/>
      <c r="CAA48" s="971"/>
      <c r="CAB48" s="971"/>
      <c r="CAC48" s="971"/>
      <c r="CAD48" s="971"/>
      <c r="CAE48" s="971"/>
      <c r="CAF48" s="971"/>
      <c r="CAG48" s="971"/>
      <c r="CAH48" s="971"/>
      <c r="CAI48" s="971"/>
      <c r="CAJ48" s="971"/>
      <c r="CAK48" s="971"/>
      <c r="CAL48" s="971"/>
      <c r="CAM48" s="971"/>
      <c r="CAN48" s="971"/>
      <c r="CAO48" s="971"/>
      <c r="CAP48" s="971"/>
      <c r="CAQ48" s="971"/>
      <c r="CAR48" s="971"/>
      <c r="CAS48" s="971"/>
      <c r="CAT48" s="971"/>
      <c r="CAU48" s="971"/>
      <c r="CAV48" s="971"/>
      <c r="CAW48" s="971"/>
      <c r="CAX48" s="971"/>
      <c r="CAY48" s="971"/>
      <c r="CAZ48" s="971"/>
      <c r="CBA48" s="971"/>
      <c r="CBB48" s="971"/>
      <c r="CBC48" s="971"/>
      <c r="CBD48" s="971"/>
      <c r="CBE48" s="971"/>
      <c r="CBF48" s="971"/>
      <c r="CBG48" s="971"/>
      <c r="CBH48" s="971"/>
      <c r="CBI48" s="971"/>
      <c r="CBJ48" s="971"/>
      <c r="CBK48" s="971"/>
      <c r="CBL48" s="971"/>
      <c r="CBM48" s="971"/>
      <c r="CBN48" s="971"/>
      <c r="CBO48" s="971"/>
      <c r="CBP48" s="971"/>
      <c r="CBQ48" s="971"/>
      <c r="CBR48" s="971"/>
      <c r="CBS48" s="971"/>
      <c r="CBT48" s="971"/>
      <c r="CBU48" s="971"/>
      <c r="CBV48" s="971"/>
      <c r="CBW48" s="971"/>
      <c r="CBX48" s="971"/>
      <c r="CBY48" s="971"/>
      <c r="CBZ48" s="971"/>
      <c r="CCA48" s="971"/>
      <c r="CCB48" s="971"/>
      <c r="CCC48" s="971"/>
      <c r="CCD48" s="971"/>
      <c r="CCE48" s="971"/>
      <c r="CCF48" s="971"/>
      <c r="CCG48" s="971"/>
      <c r="CCH48" s="971"/>
      <c r="CCI48" s="971"/>
      <c r="CCJ48" s="971"/>
      <c r="CCK48" s="971"/>
      <c r="CCL48" s="971"/>
      <c r="CCM48" s="971"/>
      <c r="CCN48" s="971"/>
      <c r="CCO48" s="971"/>
      <c r="CCP48" s="971"/>
      <c r="CCQ48" s="971"/>
      <c r="CCR48" s="971"/>
      <c r="CCS48" s="971"/>
      <c r="CCT48" s="971"/>
      <c r="CCU48" s="971"/>
      <c r="CCV48" s="971"/>
      <c r="CCW48" s="971"/>
      <c r="CCX48" s="971"/>
      <c r="CCY48" s="971"/>
      <c r="CCZ48" s="971"/>
      <c r="CDA48" s="971"/>
      <c r="CDB48" s="971"/>
      <c r="CDC48" s="971"/>
      <c r="CDD48" s="971"/>
      <c r="CDE48" s="971"/>
      <c r="CDF48" s="971"/>
      <c r="CDG48" s="971"/>
      <c r="CDH48" s="971"/>
      <c r="CDI48" s="971"/>
      <c r="CDJ48" s="971"/>
      <c r="CDK48" s="971"/>
      <c r="CDL48" s="971"/>
      <c r="CDM48" s="971"/>
      <c r="CDN48" s="971"/>
      <c r="CDO48" s="971"/>
      <c r="CDP48" s="971"/>
      <c r="CDQ48" s="971"/>
      <c r="CDR48" s="971"/>
      <c r="CDS48" s="971"/>
      <c r="CDT48" s="971"/>
      <c r="CDU48" s="971"/>
      <c r="CDV48" s="971"/>
      <c r="CDW48" s="971"/>
      <c r="CDX48" s="971"/>
      <c r="CDY48" s="971"/>
      <c r="CDZ48" s="971"/>
      <c r="CEA48" s="971"/>
      <c r="CEB48" s="971"/>
      <c r="CEC48" s="971"/>
      <c r="CED48" s="971"/>
      <c r="CEE48" s="971"/>
      <c r="CEF48" s="971"/>
      <c r="CEG48" s="971"/>
      <c r="CEH48" s="971"/>
      <c r="CEI48" s="971"/>
      <c r="CEJ48" s="971"/>
      <c r="CEK48" s="971"/>
      <c r="CEL48" s="971"/>
      <c r="CEM48" s="971"/>
      <c r="CEN48" s="971"/>
      <c r="CEO48" s="971"/>
      <c r="CEP48" s="971"/>
      <c r="CEQ48" s="971"/>
      <c r="CER48" s="971"/>
      <c r="CES48" s="971"/>
      <c r="CET48" s="971"/>
      <c r="CEU48" s="971"/>
      <c r="CEV48" s="971"/>
      <c r="CEW48" s="971"/>
      <c r="CEX48" s="971"/>
      <c r="CEY48" s="971"/>
      <c r="CEZ48" s="971"/>
      <c r="CFA48" s="971"/>
      <c r="CFB48" s="971"/>
      <c r="CFC48" s="971"/>
      <c r="CFD48" s="971"/>
      <c r="CFE48" s="971"/>
      <c r="CFF48" s="971"/>
      <c r="CFG48" s="971"/>
      <c r="CFH48" s="971"/>
      <c r="CFI48" s="971"/>
      <c r="CFJ48" s="971"/>
      <c r="CFK48" s="971"/>
      <c r="CFL48" s="971"/>
      <c r="CFM48" s="971"/>
      <c r="CFN48" s="971"/>
      <c r="CFO48" s="971"/>
      <c r="CFP48" s="971"/>
      <c r="CFQ48" s="971"/>
      <c r="CFR48" s="971"/>
      <c r="CFS48" s="971"/>
      <c r="CFT48" s="971"/>
      <c r="CFU48" s="971"/>
      <c r="CFV48" s="971"/>
      <c r="CFW48" s="971"/>
      <c r="CFX48" s="971"/>
      <c r="CFY48" s="971"/>
      <c r="CFZ48" s="971"/>
      <c r="CGA48" s="971"/>
      <c r="CGB48" s="971"/>
      <c r="CGC48" s="971"/>
      <c r="CGD48" s="971"/>
      <c r="CGE48" s="971"/>
      <c r="CGF48" s="971"/>
      <c r="CGG48" s="971"/>
      <c r="CGH48" s="971"/>
      <c r="CGI48" s="971"/>
      <c r="CGJ48" s="971"/>
      <c r="CGK48" s="971"/>
      <c r="CGL48" s="971"/>
      <c r="CGM48" s="971"/>
      <c r="CGN48" s="971"/>
      <c r="CGO48" s="971"/>
      <c r="CGP48" s="971"/>
      <c r="CGQ48" s="971"/>
      <c r="CGR48" s="971"/>
      <c r="CGS48" s="971"/>
      <c r="CGT48" s="971"/>
      <c r="CGU48" s="971"/>
      <c r="CGV48" s="971"/>
      <c r="CGW48" s="971"/>
      <c r="CGX48" s="971"/>
      <c r="CGY48" s="971"/>
      <c r="CGZ48" s="971"/>
      <c r="CHA48" s="971"/>
      <c r="CHB48" s="971"/>
      <c r="CHC48" s="971"/>
      <c r="CHD48" s="971"/>
      <c r="CHE48" s="971"/>
      <c r="CHF48" s="971"/>
      <c r="CHG48" s="971"/>
      <c r="CHH48" s="971"/>
      <c r="CHI48" s="971"/>
      <c r="CHJ48" s="971"/>
      <c r="CHK48" s="971"/>
      <c r="CHL48" s="971"/>
      <c r="CHM48" s="971"/>
      <c r="CHN48" s="971"/>
      <c r="CHO48" s="971"/>
      <c r="CHP48" s="971"/>
      <c r="CHQ48" s="971"/>
      <c r="CHR48" s="971"/>
      <c r="CHS48" s="971"/>
      <c r="CHT48" s="971"/>
      <c r="CHU48" s="971"/>
      <c r="CHV48" s="971"/>
      <c r="CHW48" s="971"/>
      <c r="CHX48" s="971"/>
      <c r="CHY48" s="971"/>
      <c r="CHZ48" s="971"/>
      <c r="CIA48" s="971"/>
      <c r="CIB48" s="971"/>
      <c r="CIC48" s="971"/>
      <c r="CID48" s="971"/>
      <c r="CIE48" s="971"/>
      <c r="CIF48" s="971"/>
      <c r="CIG48" s="971"/>
      <c r="CIH48" s="971"/>
      <c r="CII48" s="971"/>
      <c r="CIJ48" s="971"/>
      <c r="CIK48" s="971"/>
      <c r="CIL48" s="971"/>
      <c r="CIM48" s="971"/>
      <c r="CIN48" s="971"/>
      <c r="CIO48" s="971"/>
      <c r="CIP48" s="971"/>
      <c r="CIQ48" s="971"/>
      <c r="CIR48" s="971"/>
      <c r="CIS48" s="971"/>
      <c r="CIT48" s="971"/>
      <c r="CIU48" s="971"/>
      <c r="CIV48" s="971"/>
      <c r="CIW48" s="971"/>
      <c r="CIX48" s="971"/>
      <c r="CIY48" s="971"/>
      <c r="CIZ48" s="971"/>
      <c r="CJA48" s="971"/>
      <c r="CJB48" s="971"/>
      <c r="CJC48" s="971"/>
      <c r="CJD48" s="971"/>
      <c r="CJE48" s="971"/>
      <c r="CJF48" s="971"/>
      <c r="CJG48" s="971"/>
      <c r="CJH48" s="971"/>
      <c r="CJI48" s="971"/>
      <c r="CJJ48" s="971"/>
      <c r="CJK48" s="971"/>
      <c r="CJL48" s="971"/>
      <c r="CJM48" s="971"/>
      <c r="CJN48" s="971"/>
      <c r="CJO48" s="971"/>
      <c r="CJP48" s="971"/>
      <c r="CJQ48" s="971"/>
      <c r="CJR48" s="971"/>
      <c r="CJS48" s="971"/>
      <c r="CJT48" s="971"/>
      <c r="CJU48" s="971"/>
      <c r="CJV48" s="971"/>
      <c r="CJW48" s="971"/>
      <c r="CJX48" s="971"/>
      <c r="CJY48" s="971"/>
      <c r="CJZ48" s="971"/>
      <c r="CKA48" s="971"/>
      <c r="CKB48" s="971"/>
      <c r="CKC48" s="971"/>
      <c r="CKD48" s="971"/>
      <c r="CKE48" s="971"/>
      <c r="CKF48" s="971"/>
      <c r="CKG48" s="971"/>
      <c r="CKH48" s="971"/>
      <c r="CKI48" s="971"/>
      <c r="CKJ48" s="971"/>
      <c r="CKK48" s="971"/>
      <c r="CKL48" s="971"/>
      <c r="CKM48" s="971"/>
      <c r="CKN48" s="971"/>
      <c r="CKO48" s="971"/>
      <c r="CKP48" s="971"/>
      <c r="CKQ48" s="971"/>
      <c r="CKR48" s="971"/>
      <c r="CKS48" s="971"/>
      <c r="CKT48" s="971"/>
      <c r="CKU48" s="971"/>
      <c r="CKV48" s="971"/>
      <c r="CKW48" s="971"/>
      <c r="CKX48" s="971"/>
      <c r="CKY48" s="971"/>
      <c r="CKZ48" s="971"/>
      <c r="CLA48" s="971"/>
      <c r="CLB48" s="971"/>
      <c r="CLC48" s="971"/>
      <c r="CLD48" s="971"/>
      <c r="CLE48" s="971"/>
      <c r="CLF48" s="971"/>
      <c r="CLG48" s="971"/>
      <c r="CLH48" s="971"/>
      <c r="CLI48" s="971"/>
      <c r="CLJ48" s="971"/>
      <c r="CLK48" s="971"/>
      <c r="CLL48" s="971"/>
      <c r="CLM48" s="971"/>
      <c r="CLN48" s="971"/>
      <c r="CLO48" s="971"/>
      <c r="CLP48" s="971"/>
      <c r="CLQ48" s="971"/>
      <c r="CLR48" s="971"/>
      <c r="CLS48" s="971"/>
      <c r="CLT48" s="971"/>
      <c r="CLU48" s="971"/>
      <c r="CLV48" s="971"/>
      <c r="CLW48" s="971"/>
      <c r="CLX48" s="971"/>
      <c r="CLY48" s="971"/>
      <c r="CLZ48" s="971"/>
      <c r="CMA48" s="971"/>
      <c r="CMB48" s="971"/>
      <c r="CMC48" s="971"/>
      <c r="CMD48" s="971"/>
      <c r="CME48" s="971"/>
      <c r="CMF48" s="971"/>
      <c r="CMG48" s="971"/>
      <c r="CMH48" s="971"/>
      <c r="CMI48" s="971"/>
      <c r="CMJ48" s="971"/>
      <c r="CMK48" s="971"/>
      <c r="CML48" s="971"/>
      <c r="CMM48" s="971"/>
      <c r="CMN48" s="971"/>
      <c r="CMO48" s="971"/>
      <c r="CMP48" s="971"/>
      <c r="CMQ48" s="971"/>
      <c r="CMR48" s="971"/>
      <c r="CMS48" s="971"/>
      <c r="CMT48" s="971"/>
      <c r="CMU48" s="971"/>
      <c r="CMV48" s="971"/>
      <c r="CMW48" s="971"/>
      <c r="CMX48" s="971"/>
      <c r="CMY48" s="971"/>
      <c r="CMZ48" s="971"/>
      <c r="CNA48" s="971"/>
      <c r="CNB48" s="971"/>
      <c r="CNC48" s="971"/>
      <c r="CND48" s="971"/>
      <c r="CNE48" s="971"/>
      <c r="CNF48" s="971"/>
      <c r="CNG48" s="971"/>
      <c r="CNH48" s="971"/>
      <c r="CNI48" s="971"/>
      <c r="CNJ48" s="971"/>
      <c r="CNK48" s="971"/>
      <c r="CNL48" s="971"/>
      <c r="CNM48" s="971"/>
      <c r="CNN48" s="971"/>
      <c r="CNO48" s="971"/>
      <c r="CNP48" s="971"/>
      <c r="CNQ48" s="971"/>
      <c r="CNR48" s="971"/>
      <c r="CNS48" s="971"/>
      <c r="CNT48" s="971"/>
      <c r="CNU48" s="971"/>
      <c r="CNV48" s="971"/>
      <c r="CNW48" s="971"/>
      <c r="CNX48" s="971"/>
      <c r="CNY48" s="971"/>
      <c r="CNZ48" s="971"/>
      <c r="COA48" s="971"/>
      <c r="COB48" s="971"/>
      <c r="COC48" s="971"/>
      <c r="COD48" s="971"/>
      <c r="COE48" s="971"/>
      <c r="COF48" s="971"/>
      <c r="COG48" s="971"/>
      <c r="COH48" s="971"/>
      <c r="COI48" s="971"/>
      <c r="COJ48" s="971"/>
      <c r="COK48" s="971"/>
      <c r="COL48" s="971"/>
      <c r="COM48" s="971"/>
      <c r="CON48" s="971"/>
      <c r="COO48" s="971"/>
      <c r="COP48" s="971"/>
      <c r="COQ48" s="971"/>
      <c r="COR48" s="971"/>
      <c r="COS48" s="971"/>
      <c r="COT48" s="971"/>
      <c r="COU48" s="971"/>
      <c r="COV48" s="971"/>
      <c r="COW48" s="971"/>
      <c r="COX48" s="971"/>
      <c r="COY48" s="971"/>
      <c r="COZ48" s="971"/>
      <c r="CPA48" s="971"/>
      <c r="CPB48" s="971"/>
      <c r="CPC48" s="971"/>
      <c r="CPD48" s="971"/>
      <c r="CPE48" s="971"/>
      <c r="CPF48" s="971"/>
      <c r="CPG48" s="971"/>
      <c r="CPH48" s="971"/>
      <c r="CPI48" s="971"/>
      <c r="CPJ48" s="971"/>
      <c r="CPK48" s="971"/>
      <c r="CPL48" s="971"/>
      <c r="CPM48" s="971"/>
      <c r="CPN48" s="971"/>
      <c r="CPO48" s="971"/>
      <c r="CPP48" s="971"/>
      <c r="CPQ48" s="971"/>
      <c r="CPR48" s="971"/>
      <c r="CPS48" s="971"/>
      <c r="CPT48" s="971"/>
      <c r="CPU48" s="971"/>
      <c r="CPV48" s="971"/>
      <c r="CPW48" s="971"/>
      <c r="CPX48" s="971"/>
      <c r="CPY48" s="971"/>
      <c r="CPZ48" s="971"/>
      <c r="CQA48" s="971"/>
      <c r="CQB48" s="971"/>
      <c r="CQC48" s="971"/>
      <c r="CQD48" s="971"/>
      <c r="CQE48" s="971"/>
      <c r="CQF48" s="971"/>
      <c r="CQG48" s="971"/>
      <c r="CQH48" s="971"/>
      <c r="CQI48" s="971"/>
      <c r="CQJ48" s="971"/>
      <c r="CQK48" s="971"/>
      <c r="CQL48" s="971"/>
      <c r="CQM48" s="971"/>
      <c r="CQN48" s="971"/>
      <c r="CQO48" s="971"/>
      <c r="CQP48" s="971"/>
      <c r="CQQ48" s="971"/>
      <c r="CQR48" s="971"/>
      <c r="CQS48" s="971"/>
      <c r="CQT48" s="971"/>
      <c r="CQU48" s="971"/>
      <c r="CQV48" s="971"/>
      <c r="CQW48" s="971"/>
      <c r="CQX48" s="971"/>
      <c r="CQY48" s="971"/>
      <c r="CQZ48" s="971"/>
      <c r="CRA48" s="971"/>
      <c r="CRB48" s="971"/>
      <c r="CRC48" s="971"/>
      <c r="CRD48" s="971"/>
      <c r="CRE48" s="971"/>
      <c r="CRF48" s="971"/>
      <c r="CRG48" s="971"/>
      <c r="CRH48" s="971"/>
      <c r="CRI48" s="971"/>
      <c r="CRJ48" s="971"/>
      <c r="CRK48" s="971"/>
      <c r="CRL48" s="971"/>
      <c r="CRM48" s="971"/>
      <c r="CRN48" s="971"/>
      <c r="CRO48" s="971"/>
      <c r="CRP48" s="971"/>
      <c r="CRQ48" s="971"/>
      <c r="CRR48" s="971"/>
      <c r="CRS48" s="971"/>
      <c r="CRT48" s="971"/>
      <c r="CRU48" s="971"/>
      <c r="CRV48" s="971"/>
      <c r="CRW48" s="971"/>
      <c r="CRX48" s="971"/>
      <c r="CRY48" s="971"/>
      <c r="CRZ48" s="971"/>
      <c r="CSA48" s="971"/>
      <c r="CSB48" s="971"/>
      <c r="CSC48" s="971"/>
      <c r="CSD48" s="971"/>
      <c r="CSE48" s="971"/>
      <c r="CSF48" s="971"/>
      <c r="CSG48" s="971"/>
      <c r="CSH48" s="971"/>
      <c r="CSI48" s="971"/>
      <c r="CSJ48" s="971"/>
      <c r="CSK48" s="971"/>
      <c r="CSL48" s="971"/>
      <c r="CSM48" s="971"/>
      <c r="CSN48" s="971"/>
      <c r="CSO48" s="971"/>
      <c r="CSP48" s="971"/>
      <c r="CSQ48" s="971"/>
      <c r="CSR48" s="971"/>
      <c r="CSS48" s="971"/>
      <c r="CST48" s="971"/>
      <c r="CSU48" s="971"/>
      <c r="CSV48" s="971"/>
      <c r="CSW48" s="971"/>
      <c r="CSX48" s="971"/>
      <c r="CSY48" s="971"/>
      <c r="CSZ48" s="971"/>
      <c r="CTA48" s="971"/>
      <c r="CTB48" s="971"/>
      <c r="CTC48" s="971"/>
      <c r="CTD48" s="971"/>
      <c r="CTE48" s="971"/>
      <c r="CTF48" s="971"/>
      <c r="CTG48" s="971"/>
      <c r="CTH48" s="971"/>
      <c r="CTI48" s="971"/>
      <c r="CTJ48" s="971"/>
      <c r="CTK48" s="971"/>
      <c r="CTL48" s="971"/>
      <c r="CTM48" s="971"/>
      <c r="CTN48" s="971"/>
      <c r="CTO48" s="971"/>
      <c r="CTP48" s="971"/>
      <c r="CTQ48" s="971"/>
      <c r="CTR48" s="971"/>
      <c r="CTS48" s="971"/>
      <c r="CTT48" s="971"/>
      <c r="CTU48" s="971"/>
      <c r="CTV48" s="971"/>
      <c r="CTW48" s="971"/>
      <c r="CTX48" s="971"/>
      <c r="CTY48" s="971"/>
      <c r="CTZ48" s="971"/>
      <c r="CUA48" s="971"/>
      <c r="CUB48" s="971"/>
      <c r="CUC48" s="971"/>
      <c r="CUD48" s="971"/>
      <c r="CUE48" s="971"/>
      <c r="CUF48" s="971"/>
      <c r="CUG48" s="971"/>
      <c r="CUH48" s="971"/>
      <c r="CUI48" s="971"/>
      <c r="CUJ48" s="971"/>
      <c r="CUK48" s="971"/>
      <c r="CUL48" s="971"/>
      <c r="CUM48" s="971"/>
      <c r="CUN48" s="971"/>
      <c r="CUO48" s="971"/>
      <c r="CUP48" s="971"/>
      <c r="CUQ48" s="971"/>
      <c r="CUR48" s="971"/>
      <c r="CUS48" s="971"/>
      <c r="CUT48" s="971"/>
      <c r="CUU48" s="971"/>
      <c r="CUV48" s="971"/>
      <c r="CUW48" s="971"/>
      <c r="CUX48" s="971"/>
      <c r="CUY48" s="971"/>
      <c r="CUZ48" s="971"/>
      <c r="CVA48" s="971"/>
      <c r="CVB48" s="971"/>
      <c r="CVC48" s="971"/>
      <c r="CVD48" s="971"/>
      <c r="CVE48" s="971"/>
      <c r="CVF48" s="971"/>
      <c r="CVG48" s="971"/>
      <c r="CVH48" s="971"/>
      <c r="CVI48" s="971"/>
      <c r="CVJ48" s="971"/>
      <c r="CVK48" s="971"/>
      <c r="CVL48" s="971"/>
      <c r="CVM48" s="971"/>
      <c r="CVN48" s="971"/>
      <c r="CVO48" s="971"/>
      <c r="CVP48" s="971"/>
      <c r="CVQ48" s="971"/>
      <c r="CVR48" s="971"/>
      <c r="CVS48" s="971"/>
      <c r="CVT48" s="971"/>
      <c r="CVU48" s="971"/>
      <c r="CVV48" s="971"/>
      <c r="CVW48" s="971"/>
      <c r="CVX48" s="971"/>
      <c r="CVY48" s="971"/>
      <c r="CVZ48" s="971"/>
      <c r="CWA48" s="971"/>
      <c r="CWB48" s="971"/>
      <c r="CWC48" s="971"/>
      <c r="CWD48" s="971"/>
      <c r="CWE48" s="971"/>
      <c r="CWF48" s="971"/>
      <c r="CWG48" s="971"/>
      <c r="CWH48" s="971"/>
      <c r="CWI48" s="971"/>
      <c r="CWJ48" s="971"/>
      <c r="CWK48" s="971"/>
      <c r="CWL48" s="971"/>
      <c r="CWM48" s="971"/>
      <c r="CWN48" s="971"/>
      <c r="CWO48" s="971"/>
      <c r="CWP48" s="971"/>
      <c r="CWQ48" s="971"/>
      <c r="CWR48" s="971"/>
      <c r="CWS48" s="971"/>
      <c r="CWT48" s="971"/>
      <c r="CWU48" s="971"/>
      <c r="CWV48" s="971"/>
      <c r="CWW48" s="971"/>
      <c r="CWX48" s="971"/>
      <c r="CWY48" s="971"/>
      <c r="CWZ48" s="971"/>
      <c r="CXA48" s="971"/>
      <c r="CXB48" s="971"/>
      <c r="CXC48" s="971"/>
      <c r="CXD48" s="971"/>
      <c r="CXE48" s="971"/>
      <c r="CXF48" s="971"/>
      <c r="CXG48" s="971"/>
      <c r="CXH48" s="971"/>
      <c r="CXI48" s="971"/>
      <c r="CXJ48" s="971"/>
      <c r="CXK48" s="971"/>
      <c r="CXL48" s="971"/>
      <c r="CXM48" s="971"/>
      <c r="CXN48" s="971"/>
      <c r="CXO48" s="971"/>
      <c r="CXP48" s="971"/>
      <c r="CXQ48" s="971"/>
      <c r="CXR48" s="971"/>
      <c r="CXS48" s="971"/>
      <c r="CXT48" s="971"/>
      <c r="CXU48" s="971"/>
      <c r="CXV48" s="971"/>
      <c r="CXW48" s="971"/>
      <c r="CXX48" s="971"/>
      <c r="CXY48" s="971"/>
      <c r="CXZ48" s="971"/>
      <c r="CYA48" s="971"/>
      <c r="CYB48" s="971"/>
      <c r="CYC48" s="971"/>
      <c r="CYD48" s="971"/>
      <c r="CYE48" s="971"/>
      <c r="CYF48" s="971"/>
      <c r="CYG48" s="971"/>
      <c r="CYH48" s="971"/>
      <c r="CYI48" s="971"/>
      <c r="CYJ48" s="971"/>
      <c r="CYK48" s="971"/>
      <c r="CYL48" s="971"/>
      <c r="CYM48" s="971"/>
      <c r="CYN48" s="971"/>
      <c r="CYO48" s="971"/>
      <c r="CYP48" s="971"/>
      <c r="CYQ48" s="971"/>
      <c r="CYR48" s="971"/>
      <c r="CYS48" s="971"/>
      <c r="CYT48" s="971"/>
      <c r="CYU48" s="971"/>
      <c r="CYV48" s="971"/>
      <c r="CYW48" s="971"/>
      <c r="CYX48" s="971"/>
      <c r="CYY48" s="971"/>
      <c r="CYZ48" s="971"/>
      <c r="CZA48" s="971"/>
      <c r="CZB48" s="971"/>
      <c r="CZC48" s="971"/>
      <c r="CZD48" s="971"/>
      <c r="CZE48" s="971"/>
      <c r="CZF48" s="971"/>
      <c r="CZG48" s="971"/>
      <c r="CZH48" s="971"/>
      <c r="CZI48" s="971"/>
      <c r="CZJ48" s="971"/>
      <c r="CZK48" s="971"/>
      <c r="CZL48" s="971"/>
      <c r="CZM48" s="971"/>
      <c r="CZN48" s="971"/>
      <c r="CZO48" s="971"/>
      <c r="CZP48" s="971"/>
      <c r="CZQ48" s="971"/>
      <c r="CZR48" s="971"/>
      <c r="CZS48" s="971"/>
      <c r="CZT48" s="971"/>
      <c r="CZU48" s="971"/>
      <c r="CZV48" s="971"/>
      <c r="CZW48" s="971"/>
      <c r="CZX48" s="971"/>
      <c r="CZY48" s="971"/>
      <c r="CZZ48" s="971"/>
      <c r="DAA48" s="971"/>
      <c r="DAB48" s="971"/>
      <c r="DAC48" s="971"/>
      <c r="DAD48" s="971"/>
      <c r="DAE48" s="971"/>
      <c r="DAF48" s="971"/>
      <c r="DAG48" s="971"/>
      <c r="DAH48" s="971"/>
      <c r="DAI48" s="971"/>
      <c r="DAJ48" s="971"/>
      <c r="DAK48" s="971"/>
      <c r="DAL48" s="971"/>
      <c r="DAM48" s="971"/>
      <c r="DAN48" s="971"/>
      <c r="DAO48" s="971"/>
      <c r="DAP48" s="971"/>
      <c r="DAQ48" s="971"/>
      <c r="DAR48" s="971"/>
      <c r="DAS48" s="971"/>
      <c r="DAT48" s="971"/>
      <c r="DAU48" s="971"/>
      <c r="DAV48" s="971"/>
      <c r="DAW48" s="971"/>
      <c r="DAX48" s="971"/>
      <c r="DAY48" s="971"/>
      <c r="DAZ48" s="971"/>
      <c r="DBA48" s="971"/>
      <c r="DBB48" s="971"/>
      <c r="DBC48" s="971"/>
      <c r="DBD48" s="971"/>
      <c r="DBE48" s="971"/>
      <c r="DBF48" s="971"/>
      <c r="DBG48" s="971"/>
      <c r="DBH48" s="971"/>
      <c r="DBI48" s="971"/>
      <c r="DBJ48" s="971"/>
      <c r="DBK48" s="971"/>
      <c r="DBL48" s="971"/>
      <c r="DBM48" s="971"/>
      <c r="DBN48" s="971"/>
      <c r="DBO48" s="971"/>
      <c r="DBP48" s="971"/>
      <c r="DBQ48" s="971"/>
      <c r="DBR48" s="971"/>
      <c r="DBS48" s="971"/>
      <c r="DBT48" s="971"/>
      <c r="DBU48" s="971"/>
      <c r="DBV48" s="971"/>
      <c r="DBW48" s="971"/>
      <c r="DBX48" s="971"/>
      <c r="DBY48" s="971"/>
      <c r="DBZ48" s="971"/>
      <c r="DCA48" s="971"/>
      <c r="DCB48" s="971"/>
      <c r="DCC48" s="971"/>
      <c r="DCD48" s="971"/>
      <c r="DCE48" s="971"/>
      <c r="DCF48" s="971"/>
      <c r="DCG48" s="971"/>
      <c r="DCH48" s="971"/>
      <c r="DCI48" s="971"/>
      <c r="DCJ48" s="971"/>
      <c r="DCK48" s="971"/>
      <c r="DCL48" s="971"/>
      <c r="DCM48" s="971"/>
      <c r="DCN48" s="971"/>
      <c r="DCO48" s="971"/>
      <c r="DCP48" s="971"/>
      <c r="DCQ48" s="971"/>
      <c r="DCR48" s="971"/>
      <c r="DCS48" s="971"/>
      <c r="DCT48" s="971"/>
      <c r="DCU48" s="971"/>
      <c r="DCV48" s="971"/>
      <c r="DCW48" s="971"/>
      <c r="DCX48" s="971"/>
      <c r="DCY48" s="971"/>
      <c r="DCZ48" s="971"/>
      <c r="DDA48" s="971"/>
      <c r="DDB48" s="971"/>
      <c r="DDC48" s="971"/>
      <c r="DDD48" s="971"/>
      <c r="DDE48" s="971"/>
      <c r="DDF48" s="971"/>
      <c r="DDG48" s="971"/>
      <c r="DDH48" s="971"/>
      <c r="DDI48" s="971"/>
      <c r="DDJ48" s="971"/>
      <c r="DDK48" s="971"/>
      <c r="DDL48" s="971"/>
      <c r="DDM48" s="971"/>
      <c r="DDN48" s="971"/>
      <c r="DDO48" s="971"/>
      <c r="DDP48" s="971"/>
      <c r="DDQ48" s="971"/>
      <c r="DDR48" s="971"/>
      <c r="DDS48" s="971"/>
      <c r="DDT48" s="971"/>
      <c r="DDU48" s="971"/>
      <c r="DDV48" s="971"/>
      <c r="DDW48" s="971"/>
      <c r="DDX48" s="971"/>
      <c r="DDY48" s="971"/>
      <c r="DDZ48" s="971"/>
      <c r="DEA48" s="971"/>
      <c r="DEB48" s="971"/>
      <c r="DEC48" s="971"/>
      <c r="DED48" s="971"/>
      <c r="DEE48" s="971"/>
      <c r="DEF48" s="971"/>
      <c r="DEG48" s="971"/>
      <c r="DEH48" s="971"/>
      <c r="DEI48" s="971"/>
      <c r="DEJ48" s="971"/>
      <c r="DEK48" s="971"/>
      <c r="DEL48" s="971"/>
      <c r="DEM48" s="971"/>
      <c r="DEN48" s="971"/>
      <c r="DEO48" s="971"/>
      <c r="DEP48" s="971"/>
      <c r="DEQ48" s="971"/>
      <c r="DER48" s="971"/>
      <c r="DES48" s="971"/>
      <c r="DET48" s="971"/>
      <c r="DEU48" s="971"/>
      <c r="DEV48" s="971"/>
      <c r="DEW48" s="971"/>
      <c r="DEX48" s="971"/>
      <c r="DEY48" s="971"/>
      <c r="DEZ48" s="971"/>
      <c r="DFA48" s="971"/>
      <c r="DFB48" s="971"/>
      <c r="DFC48" s="971"/>
      <c r="DFD48" s="971"/>
      <c r="DFE48" s="971"/>
      <c r="DFF48" s="971"/>
      <c r="DFG48" s="971"/>
      <c r="DFH48" s="971"/>
      <c r="DFI48" s="971"/>
      <c r="DFJ48" s="971"/>
      <c r="DFK48" s="971"/>
      <c r="DFL48" s="971"/>
      <c r="DFM48" s="971"/>
      <c r="DFN48" s="971"/>
      <c r="DFO48" s="971"/>
      <c r="DFP48" s="971"/>
      <c r="DFQ48" s="971"/>
      <c r="DFR48" s="971"/>
      <c r="DFS48" s="971"/>
      <c r="DFT48" s="971"/>
      <c r="DFU48" s="971"/>
      <c r="DFV48" s="971"/>
      <c r="DFW48" s="971"/>
      <c r="DFX48" s="971"/>
      <c r="DFY48" s="971"/>
      <c r="DFZ48" s="971"/>
      <c r="DGA48" s="971"/>
      <c r="DGB48" s="971"/>
      <c r="DGC48" s="971"/>
      <c r="DGD48" s="971"/>
      <c r="DGE48" s="971"/>
      <c r="DGF48" s="971"/>
      <c r="DGG48" s="971"/>
      <c r="DGH48" s="971"/>
      <c r="DGI48" s="971"/>
      <c r="DGJ48" s="971"/>
      <c r="DGK48" s="971"/>
      <c r="DGL48" s="971"/>
      <c r="DGM48" s="971"/>
      <c r="DGN48" s="971"/>
      <c r="DGO48" s="971"/>
      <c r="DGP48" s="971"/>
      <c r="DGQ48" s="971"/>
      <c r="DGR48" s="971"/>
      <c r="DGS48" s="971"/>
      <c r="DGT48" s="971"/>
      <c r="DGU48" s="971"/>
      <c r="DGV48" s="971"/>
      <c r="DGW48" s="971"/>
      <c r="DGX48" s="971"/>
      <c r="DGY48" s="971"/>
      <c r="DGZ48" s="971"/>
      <c r="DHA48" s="971"/>
      <c r="DHB48" s="971"/>
      <c r="DHC48" s="971"/>
      <c r="DHD48" s="971"/>
      <c r="DHE48" s="971"/>
      <c r="DHF48" s="971"/>
      <c r="DHG48" s="971"/>
      <c r="DHH48" s="971"/>
      <c r="DHI48" s="971"/>
      <c r="DHJ48" s="971"/>
      <c r="DHK48" s="971"/>
      <c r="DHL48" s="971"/>
      <c r="DHM48" s="971"/>
      <c r="DHN48" s="971"/>
      <c r="DHO48" s="971"/>
      <c r="DHP48" s="971"/>
      <c r="DHQ48" s="971"/>
      <c r="DHR48" s="971"/>
      <c r="DHS48" s="971"/>
      <c r="DHT48" s="971"/>
      <c r="DHU48" s="971"/>
      <c r="DHV48" s="971"/>
      <c r="DHW48" s="971"/>
      <c r="DHX48" s="971"/>
      <c r="DHY48" s="971"/>
      <c r="DHZ48" s="971"/>
      <c r="DIA48" s="971"/>
      <c r="DIB48" s="971"/>
      <c r="DIC48" s="971"/>
      <c r="DID48" s="971"/>
      <c r="DIE48" s="971"/>
      <c r="DIF48" s="971"/>
      <c r="DIG48" s="971"/>
      <c r="DIH48" s="971"/>
      <c r="DII48" s="971"/>
      <c r="DIJ48" s="971"/>
      <c r="DIK48" s="971"/>
      <c r="DIL48" s="971"/>
      <c r="DIM48" s="971"/>
      <c r="DIN48" s="971"/>
      <c r="DIO48" s="971"/>
      <c r="DIP48" s="971"/>
      <c r="DIQ48" s="971"/>
      <c r="DIR48" s="971"/>
      <c r="DIS48" s="971"/>
      <c r="DIT48" s="971"/>
      <c r="DIU48" s="971"/>
      <c r="DIV48" s="971"/>
      <c r="DIW48" s="971"/>
      <c r="DIX48" s="971"/>
      <c r="DIY48" s="971"/>
      <c r="DIZ48" s="971"/>
      <c r="DJA48" s="971"/>
      <c r="DJB48" s="971"/>
      <c r="DJC48" s="971"/>
      <c r="DJD48" s="971"/>
      <c r="DJE48" s="971"/>
      <c r="DJF48" s="971"/>
      <c r="DJG48" s="971"/>
      <c r="DJH48" s="971"/>
      <c r="DJI48" s="971"/>
      <c r="DJJ48" s="971"/>
      <c r="DJK48" s="971"/>
      <c r="DJL48" s="971"/>
      <c r="DJM48" s="971"/>
      <c r="DJN48" s="971"/>
      <c r="DJO48" s="971"/>
      <c r="DJP48" s="971"/>
      <c r="DJQ48" s="971"/>
      <c r="DJR48" s="971"/>
      <c r="DJS48" s="971"/>
      <c r="DJT48" s="971"/>
      <c r="DJU48" s="971"/>
      <c r="DJV48" s="971"/>
      <c r="DJW48" s="971"/>
      <c r="DJX48" s="971"/>
      <c r="DJY48" s="971"/>
      <c r="DJZ48" s="971"/>
      <c r="DKA48" s="971"/>
      <c r="DKB48" s="971"/>
      <c r="DKC48" s="971"/>
      <c r="DKD48" s="971"/>
      <c r="DKE48" s="971"/>
      <c r="DKF48" s="971"/>
      <c r="DKG48" s="971"/>
      <c r="DKH48" s="971"/>
      <c r="DKI48" s="971"/>
      <c r="DKJ48" s="971"/>
      <c r="DKK48" s="971"/>
      <c r="DKL48" s="971"/>
      <c r="DKM48" s="971"/>
      <c r="DKN48" s="971"/>
      <c r="DKO48" s="971"/>
      <c r="DKP48" s="971"/>
      <c r="DKQ48" s="971"/>
      <c r="DKR48" s="971"/>
      <c r="DKS48" s="971"/>
      <c r="DKT48" s="971"/>
      <c r="DKU48" s="971"/>
      <c r="DKV48" s="971"/>
      <c r="DKW48" s="971"/>
      <c r="DKX48" s="971"/>
      <c r="DKY48" s="971"/>
      <c r="DKZ48" s="971"/>
      <c r="DLA48" s="971"/>
      <c r="DLB48" s="971"/>
      <c r="DLC48" s="971"/>
      <c r="DLD48" s="971"/>
      <c r="DLE48" s="971"/>
      <c r="DLF48" s="971"/>
      <c r="DLG48" s="971"/>
      <c r="DLH48" s="971"/>
      <c r="DLI48" s="971"/>
      <c r="DLJ48" s="971"/>
      <c r="DLK48" s="971"/>
      <c r="DLL48" s="971"/>
      <c r="DLM48" s="971"/>
      <c r="DLN48" s="971"/>
      <c r="DLO48" s="971"/>
      <c r="DLP48" s="971"/>
      <c r="DLQ48" s="971"/>
      <c r="DLR48" s="971"/>
      <c r="DLS48" s="971"/>
      <c r="DLT48" s="971"/>
      <c r="DLU48" s="971"/>
      <c r="DLV48" s="971"/>
      <c r="DLW48" s="971"/>
      <c r="DLX48" s="971"/>
      <c r="DLY48" s="971"/>
      <c r="DLZ48" s="971"/>
      <c r="DMA48" s="971"/>
      <c r="DMB48" s="971"/>
      <c r="DMC48" s="971"/>
      <c r="DMD48" s="971"/>
      <c r="DME48" s="971"/>
      <c r="DMF48" s="971"/>
      <c r="DMG48" s="971"/>
      <c r="DMH48" s="971"/>
      <c r="DMI48" s="971"/>
      <c r="DMJ48" s="971"/>
      <c r="DMK48" s="971"/>
      <c r="DML48" s="971"/>
      <c r="DMM48" s="971"/>
      <c r="DMN48" s="971"/>
      <c r="DMO48" s="971"/>
      <c r="DMP48" s="971"/>
      <c r="DMQ48" s="971"/>
      <c r="DMR48" s="971"/>
      <c r="DMS48" s="971"/>
      <c r="DMT48" s="971"/>
      <c r="DMU48" s="971"/>
      <c r="DMV48" s="971"/>
      <c r="DMW48" s="971"/>
      <c r="DMX48" s="971"/>
      <c r="DMY48" s="971"/>
      <c r="DMZ48" s="971"/>
      <c r="DNA48" s="971"/>
      <c r="DNB48" s="971"/>
      <c r="DNC48" s="971"/>
      <c r="DND48" s="971"/>
      <c r="DNE48" s="971"/>
      <c r="DNF48" s="971"/>
      <c r="DNG48" s="971"/>
      <c r="DNH48" s="971"/>
      <c r="DNI48" s="971"/>
      <c r="DNJ48" s="971"/>
      <c r="DNK48" s="971"/>
      <c r="DNL48" s="971"/>
      <c r="DNM48" s="971"/>
      <c r="DNN48" s="971"/>
      <c r="DNO48" s="971"/>
      <c r="DNP48" s="971"/>
      <c r="DNQ48" s="971"/>
      <c r="DNR48" s="971"/>
      <c r="DNS48" s="971"/>
      <c r="DNT48" s="971"/>
      <c r="DNU48" s="971"/>
      <c r="DNV48" s="971"/>
      <c r="DNW48" s="971"/>
      <c r="DNX48" s="971"/>
      <c r="DNY48" s="971"/>
      <c r="DNZ48" s="971"/>
      <c r="DOA48" s="971"/>
      <c r="DOB48" s="971"/>
      <c r="DOC48" s="971"/>
      <c r="DOD48" s="971"/>
      <c r="DOE48" s="971"/>
      <c r="DOF48" s="971"/>
      <c r="DOG48" s="971"/>
      <c r="DOH48" s="971"/>
      <c r="DOI48" s="971"/>
      <c r="DOJ48" s="971"/>
      <c r="DOK48" s="971"/>
      <c r="DOL48" s="971"/>
      <c r="DOM48" s="971"/>
      <c r="DON48" s="971"/>
      <c r="DOO48" s="971"/>
      <c r="DOP48" s="971"/>
      <c r="DOQ48" s="971"/>
      <c r="DOR48" s="971"/>
      <c r="DOS48" s="971"/>
      <c r="DOT48" s="971"/>
      <c r="DOU48" s="971"/>
      <c r="DOV48" s="971"/>
      <c r="DOW48" s="971"/>
      <c r="DOX48" s="971"/>
      <c r="DOY48" s="971"/>
      <c r="DOZ48" s="971"/>
      <c r="DPA48" s="971"/>
      <c r="DPB48" s="971"/>
      <c r="DPC48" s="971"/>
      <c r="DPD48" s="971"/>
      <c r="DPE48" s="971"/>
      <c r="DPF48" s="971"/>
      <c r="DPG48" s="971"/>
      <c r="DPH48" s="971"/>
      <c r="DPI48" s="971"/>
      <c r="DPJ48" s="971"/>
      <c r="DPK48" s="971"/>
      <c r="DPL48" s="971"/>
      <c r="DPM48" s="971"/>
      <c r="DPN48" s="971"/>
      <c r="DPO48" s="971"/>
      <c r="DPP48" s="971"/>
      <c r="DPQ48" s="971"/>
      <c r="DPR48" s="971"/>
      <c r="DPS48" s="971"/>
      <c r="DPT48" s="971"/>
      <c r="DPU48" s="971"/>
      <c r="DPV48" s="971"/>
      <c r="DPW48" s="971"/>
      <c r="DPX48" s="971"/>
      <c r="DPY48" s="971"/>
      <c r="DPZ48" s="971"/>
      <c r="DQA48" s="971"/>
      <c r="DQB48" s="971"/>
      <c r="DQC48" s="971"/>
      <c r="DQD48" s="971"/>
      <c r="DQE48" s="971"/>
      <c r="DQF48" s="971"/>
      <c r="DQG48" s="971"/>
      <c r="DQH48" s="971"/>
      <c r="DQI48" s="971"/>
      <c r="DQJ48" s="971"/>
      <c r="DQK48" s="971"/>
      <c r="DQL48" s="971"/>
      <c r="DQM48" s="971"/>
      <c r="DQN48" s="971"/>
      <c r="DQO48" s="971"/>
      <c r="DQP48" s="971"/>
      <c r="DQQ48" s="971"/>
      <c r="DQR48" s="971"/>
      <c r="DQS48" s="971"/>
      <c r="DQT48" s="971"/>
      <c r="DQU48" s="971"/>
      <c r="DQV48" s="971"/>
      <c r="DQW48" s="971"/>
      <c r="DQX48" s="971"/>
      <c r="DQY48" s="971"/>
      <c r="DQZ48" s="971"/>
      <c r="DRA48" s="971"/>
      <c r="DRB48" s="971"/>
      <c r="DRC48" s="971"/>
      <c r="DRD48" s="971"/>
      <c r="DRE48" s="971"/>
      <c r="DRF48" s="971"/>
      <c r="DRG48" s="971"/>
      <c r="DRH48" s="971"/>
      <c r="DRI48" s="971"/>
      <c r="DRJ48" s="971"/>
      <c r="DRK48" s="971"/>
      <c r="DRL48" s="971"/>
      <c r="DRM48" s="971"/>
      <c r="DRN48" s="971"/>
      <c r="DRO48" s="971"/>
      <c r="DRP48" s="971"/>
      <c r="DRQ48" s="971"/>
      <c r="DRR48" s="971"/>
      <c r="DRS48" s="971"/>
      <c r="DRT48" s="971"/>
      <c r="DRU48" s="971"/>
      <c r="DRV48" s="971"/>
      <c r="DRW48" s="971"/>
      <c r="DRX48" s="971"/>
      <c r="DRY48" s="971"/>
      <c r="DRZ48" s="971"/>
      <c r="DSA48" s="971"/>
      <c r="DSB48" s="971"/>
      <c r="DSC48" s="971"/>
      <c r="DSD48" s="971"/>
      <c r="DSE48" s="971"/>
      <c r="DSF48" s="971"/>
      <c r="DSG48" s="971"/>
      <c r="DSH48" s="971"/>
      <c r="DSI48" s="971"/>
      <c r="DSJ48" s="971"/>
      <c r="DSK48" s="971"/>
      <c r="DSL48" s="971"/>
      <c r="DSM48" s="971"/>
      <c r="DSN48" s="971"/>
      <c r="DSO48" s="971"/>
      <c r="DSP48" s="971"/>
      <c r="DSQ48" s="971"/>
      <c r="DSR48" s="971"/>
      <c r="DSS48" s="971"/>
      <c r="DST48" s="971"/>
      <c r="DSU48" s="971"/>
      <c r="DSV48" s="971"/>
      <c r="DSW48" s="971"/>
      <c r="DSX48" s="971"/>
      <c r="DSY48" s="971"/>
      <c r="DSZ48" s="971"/>
      <c r="DTA48" s="971"/>
      <c r="DTB48" s="971"/>
      <c r="DTC48" s="971"/>
      <c r="DTD48" s="971"/>
      <c r="DTE48" s="971"/>
      <c r="DTF48" s="971"/>
      <c r="DTG48" s="971"/>
      <c r="DTH48" s="971"/>
      <c r="DTI48" s="971"/>
      <c r="DTJ48" s="971"/>
      <c r="DTK48" s="971"/>
      <c r="DTL48" s="971"/>
      <c r="DTM48" s="971"/>
      <c r="DTN48" s="971"/>
      <c r="DTO48" s="971"/>
      <c r="DTP48" s="971"/>
      <c r="DTQ48" s="971"/>
      <c r="DTR48" s="971"/>
      <c r="DTS48" s="971"/>
      <c r="DTT48" s="971"/>
      <c r="DTU48" s="971"/>
      <c r="DTV48" s="971"/>
      <c r="DTW48" s="971"/>
      <c r="DTX48" s="971"/>
      <c r="DTY48" s="971"/>
      <c r="DTZ48" s="971"/>
      <c r="DUA48" s="971"/>
      <c r="DUB48" s="971"/>
      <c r="DUC48" s="971"/>
      <c r="DUD48" s="971"/>
      <c r="DUE48" s="971"/>
      <c r="DUF48" s="971"/>
      <c r="DUG48" s="971"/>
      <c r="DUH48" s="971"/>
      <c r="DUI48" s="971"/>
      <c r="DUJ48" s="971"/>
      <c r="DUK48" s="971"/>
      <c r="DUL48" s="971"/>
      <c r="DUM48" s="971"/>
      <c r="DUN48" s="971"/>
      <c r="DUO48" s="971"/>
      <c r="DUP48" s="971"/>
      <c r="DUQ48" s="971"/>
      <c r="DUR48" s="971"/>
      <c r="DUS48" s="971"/>
      <c r="DUT48" s="971"/>
      <c r="DUU48" s="971"/>
      <c r="DUV48" s="971"/>
      <c r="DUW48" s="971"/>
      <c r="DUX48" s="971"/>
      <c r="DUY48" s="971"/>
      <c r="DUZ48" s="971"/>
      <c r="DVA48" s="971"/>
      <c r="DVB48" s="971"/>
      <c r="DVC48" s="971"/>
      <c r="DVD48" s="971"/>
      <c r="DVE48" s="971"/>
      <c r="DVF48" s="971"/>
      <c r="DVG48" s="971"/>
      <c r="DVH48" s="971"/>
      <c r="DVI48" s="971"/>
      <c r="DVJ48" s="971"/>
      <c r="DVK48" s="971"/>
      <c r="DVL48" s="971"/>
      <c r="DVM48" s="971"/>
      <c r="DVN48" s="971"/>
      <c r="DVO48" s="971"/>
      <c r="DVP48" s="971"/>
      <c r="DVQ48" s="971"/>
      <c r="DVR48" s="971"/>
      <c r="DVS48" s="971"/>
      <c r="DVT48" s="971"/>
      <c r="DVU48" s="971"/>
      <c r="DVV48" s="971"/>
      <c r="DVW48" s="971"/>
      <c r="DVX48" s="971"/>
      <c r="DVY48" s="971"/>
      <c r="DVZ48" s="971"/>
      <c r="DWA48" s="971"/>
      <c r="DWB48" s="971"/>
      <c r="DWC48" s="971"/>
      <c r="DWD48" s="971"/>
      <c r="DWE48" s="971"/>
      <c r="DWF48" s="971"/>
      <c r="DWG48" s="971"/>
      <c r="DWH48" s="971"/>
      <c r="DWI48" s="971"/>
      <c r="DWJ48" s="971"/>
      <c r="DWK48" s="971"/>
      <c r="DWL48" s="971"/>
      <c r="DWM48" s="971"/>
      <c r="DWN48" s="971"/>
      <c r="DWO48" s="971"/>
      <c r="DWP48" s="971"/>
      <c r="DWQ48" s="971"/>
      <c r="DWR48" s="971"/>
      <c r="DWS48" s="971"/>
      <c r="DWT48" s="971"/>
      <c r="DWU48" s="971"/>
      <c r="DWV48" s="971"/>
      <c r="DWW48" s="971"/>
      <c r="DWX48" s="971"/>
      <c r="DWY48" s="971"/>
      <c r="DWZ48" s="971"/>
      <c r="DXA48" s="971"/>
      <c r="DXB48" s="971"/>
      <c r="DXC48" s="971"/>
      <c r="DXD48" s="971"/>
      <c r="DXE48" s="971"/>
      <c r="DXF48" s="971"/>
      <c r="DXG48" s="971"/>
      <c r="DXH48" s="971"/>
      <c r="DXI48" s="971"/>
      <c r="DXJ48" s="971"/>
      <c r="DXK48" s="971"/>
      <c r="DXL48" s="971"/>
      <c r="DXM48" s="971"/>
      <c r="DXN48" s="971"/>
      <c r="DXO48" s="971"/>
      <c r="DXP48" s="971"/>
      <c r="DXQ48" s="971"/>
      <c r="DXR48" s="971"/>
      <c r="DXS48" s="971"/>
      <c r="DXT48" s="971"/>
      <c r="DXU48" s="971"/>
      <c r="DXV48" s="971"/>
      <c r="DXW48" s="971"/>
      <c r="DXX48" s="971"/>
      <c r="DXY48" s="971"/>
      <c r="DXZ48" s="971"/>
      <c r="DYA48" s="971"/>
      <c r="DYB48" s="971"/>
      <c r="DYC48" s="971"/>
      <c r="DYD48" s="971"/>
      <c r="DYE48" s="971"/>
      <c r="DYF48" s="971"/>
      <c r="DYG48" s="971"/>
      <c r="DYH48" s="971"/>
      <c r="DYI48" s="971"/>
      <c r="DYJ48" s="971"/>
      <c r="DYK48" s="971"/>
      <c r="DYL48" s="971"/>
      <c r="DYM48" s="971"/>
      <c r="DYN48" s="971"/>
      <c r="DYO48" s="971"/>
      <c r="DYP48" s="971"/>
      <c r="DYQ48" s="971"/>
      <c r="DYR48" s="971"/>
      <c r="DYS48" s="971"/>
      <c r="DYT48" s="971"/>
      <c r="DYU48" s="971"/>
      <c r="DYV48" s="971"/>
      <c r="DYW48" s="971"/>
      <c r="DYX48" s="971"/>
      <c r="DYY48" s="971"/>
      <c r="DYZ48" s="971"/>
      <c r="DZA48" s="971"/>
      <c r="DZB48" s="971"/>
      <c r="DZC48" s="971"/>
      <c r="DZD48" s="971"/>
      <c r="DZE48" s="971"/>
      <c r="DZF48" s="971"/>
      <c r="DZG48" s="971"/>
      <c r="DZH48" s="971"/>
      <c r="DZI48" s="971"/>
      <c r="DZJ48" s="971"/>
      <c r="DZK48" s="971"/>
      <c r="DZL48" s="971"/>
      <c r="DZM48" s="971"/>
      <c r="DZN48" s="971"/>
      <c r="DZO48" s="971"/>
      <c r="DZP48" s="971"/>
      <c r="DZQ48" s="971"/>
      <c r="DZR48" s="971"/>
      <c r="DZS48" s="971"/>
      <c r="DZT48" s="971"/>
      <c r="DZU48" s="971"/>
      <c r="DZV48" s="971"/>
      <c r="DZW48" s="971"/>
      <c r="DZX48" s="971"/>
      <c r="DZY48" s="971"/>
      <c r="DZZ48" s="971"/>
      <c r="EAA48" s="971"/>
      <c r="EAB48" s="971"/>
      <c r="EAC48" s="971"/>
      <c r="EAD48" s="971"/>
      <c r="EAE48" s="971"/>
      <c r="EAF48" s="971"/>
      <c r="EAG48" s="971"/>
      <c r="EAH48" s="971"/>
      <c r="EAI48" s="971"/>
      <c r="EAJ48" s="971"/>
      <c r="EAK48" s="971"/>
      <c r="EAL48" s="971"/>
      <c r="EAM48" s="971"/>
      <c r="EAN48" s="971"/>
      <c r="EAO48" s="971"/>
      <c r="EAP48" s="971"/>
      <c r="EAQ48" s="971"/>
      <c r="EAR48" s="971"/>
      <c r="EAS48" s="971"/>
      <c r="EAT48" s="971"/>
      <c r="EAU48" s="971"/>
      <c r="EAV48" s="971"/>
      <c r="EAW48" s="971"/>
      <c r="EAX48" s="971"/>
      <c r="EAY48" s="971"/>
      <c r="EAZ48" s="971"/>
      <c r="EBA48" s="971"/>
      <c r="EBB48" s="971"/>
      <c r="EBC48" s="971"/>
      <c r="EBD48" s="971"/>
      <c r="EBE48" s="971"/>
      <c r="EBF48" s="971"/>
      <c r="EBG48" s="971"/>
      <c r="EBH48" s="971"/>
      <c r="EBI48" s="971"/>
      <c r="EBJ48" s="971"/>
      <c r="EBK48" s="971"/>
      <c r="EBL48" s="971"/>
      <c r="EBM48" s="971"/>
      <c r="EBN48" s="971"/>
      <c r="EBO48" s="971"/>
      <c r="EBP48" s="971"/>
      <c r="EBQ48" s="971"/>
      <c r="EBR48" s="971"/>
      <c r="EBS48" s="971"/>
      <c r="EBT48" s="971"/>
      <c r="EBU48" s="971"/>
      <c r="EBV48" s="971"/>
      <c r="EBW48" s="971"/>
      <c r="EBX48" s="971"/>
      <c r="EBY48" s="971"/>
      <c r="EBZ48" s="971"/>
      <c r="ECA48" s="971"/>
      <c r="ECB48" s="971"/>
      <c r="ECC48" s="971"/>
      <c r="ECD48" s="971"/>
      <c r="ECE48" s="971"/>
      <c r="ECF48" s="971"/>
      <c r="ECG48" s="971"/>
      <c r="ECH48" s="971"/>
      <c r="ECI48" s="971"/>
      <c r="ECJ48" s="971"/>
      <c r="ECK48" s="971"/>
      <c r="ECL48" s="971"/>
      <c r="ECM48" s="971"/>
      <c r="ECN48" s="971"/>
      <c r="ECO48" s="971"/>
      <c r="ECP48" s="971"/>
      <c r="ECQ48" s="971"/>
      <c r="ECR48" s="971"/>
      <c r="ECS48" s="971"/>
      <c r="ECT48" s="971"/>
      <c r="ECU48" s="971"/>
      <c r="ECV48" s="971"/>
      <c r="ECW48" s="971"/>
      <c r="ECX48" s="971"/>
      <c r="ECY48" s="971"/>
      <c r="ECZ48" s="971"/>
      <c r="EDA48" s="971"/>
      <c r="EDB48" s="971"/>
      <c r="EDC48" s="971"/>
      <c r="EDD48" s="971"/>
      <c r="EDE48" s="971"/>
      <c r="EDF48" s="971"/>
      <c r="EDG48" s="971"/>
      <c r="EDH48" s="971"/>
      <c r="EDI48" s="971"/>
      <c r="EDJ48" s="971"/>
      <c r="EDK48" s="971"/>
      <c r="EDL48" s="971"/>
      <c r="EDM48" s="971"/>
      <c r="EDN48" s="971"/>
      <c r="EDO48" s="971"/>
      <c r="EDP48" s="971"/>
      <c r="EDQ48" s="971"/>
      <c r="EDR48" s="971"/>
      <c r="EDS48" s="971"/>
      <c r="EDT48" s="971"/>
      <c r="EDU48" s="971"/>
      <c r="EDV48" s="971"/>
      <c r="EDW48" s="971"/>
      <c r="EDX48" s="971"/>
      <c r="EDY48" s="971"/>
      <c r="EDZ48" s="971"/>
      <c r="EEA48" s="971"/>
      <c r="EEB48" s="971"/>
      <c r="EEC48" s="971"/>
      <c r="EED48" s="971"/>
      <c r="EEE48" s="971"/>
      <c r="EEF48" s="971"/>
      <c r="EEG48" s="971"/>
      <c r="EEH48" s="971"/>
      <c r="EEI48" s="971"/>
      <c r="EEJ48" s="971"/>
      <c r="EEK48" s="971"/>
      <c r="EEL48" s="971"/>
      <c r="EEM48" s="971"/>
      <c r="EEN48" s="971"/>
      <c r="EEO48" s="971"/>
      <c r="EEP48" s="971"/>
      <c r="EEQ48" s="971"/>
      <c r="EER48" s="971"/>
      <c r="EES48" s="971"/>
      <c r="EET48" s="971"/>
      <c r="EEU48" s="971"/>
      <c r="EEV48" s="971"/>
      <c r="EEW48" s="971"/>
      <c r="EEX48" s="971"/>
      <c r="EEY48" s="971"/>
      <c r="EEZ48" s="971"/>
      <c r="EFA48" s="971"/>
      <c r="EFB48" s="971"/>
      <c r="EFC48" s="971"/>
      <c r="EFD48" s="971"/>
      <c r="EFE48" s="971"/>
      <c r="EFF48" s="971"/>
      <c r="EFG48" s="971"/>
      <c r="EFH48" s="971"/>
      <c r="EFI48" s="971"/>
      <c r="EFJ48" s="971"/>
      <c r="EFK48" s="971"/>
      <c r="EFL48" s="971"/>
      <c r="EFM48" s="971"/>
      <c r="EFN48" s="971"/>
      <c r="EFO48" s="971"/>
      <c r="EFP48" s="971"/>
      <c r="EFQ48" s="971"/>
      <c r="EFR48" s="971"/>
      <c r="EFS48" s="971"/>
      <c r="EFT48" s="971"/>
      <c r="EFU48" s="971"/>
      <c r="EFV48" s="971"/>
      <c r="EFW48" s="971"/>
      <c r="EFX48" s="971"/>
      <c r="EFY48" s="971"/>
      <c r="EFZ48" s="971"/>
      <c r="EGA48" s="971"/>
      <c r="EGB48" s="971"/>
      <c r="EGC48" s="971"/>
      <c r="EGD48" s="971"/>
      <c r="EGE48" s="971"/>
      <c r="EGF48" s="971"/>
      <c r="EGG48" s="971"/>
      <c r="EGH48" s="971"/>
      <c r="EGI48" s="971"/>
      <c r="EGJ48" s="971"/>
      <c r="EGK48" s="971"/>
      <c r="EGL48" s="971"/>
      <c r="EGM48" s="971"/>
      <c r="EGN48" s="971"/>
      <c r="EGO48" s="971"/>
      <c r="EGP48" s="971"/>
      <c r="EGQ48" s="971"/>
      <c r="EGR48" s="971"/>
      <c r="EGS48" s="971"/>
      <c r="EGT48" s="971"/>
      <c r="EGU48" s="971"/>
      <c r="EGV48" s="971"/>
      <c r="EGW48" s="971"/>
      <c r="EGX48" s="971"/>
      <c r="EGY48" s="971"/>
      <c r="EGZ48" s="971"/>
      <c r="EHA48" s="971"/>
      <c r="EHB48" s="971"/>
      <c r="EHC48" s="971"/>
      <c r="EHD48" s="971"/>
      <c r="EHE48" s="971"/>
      <c r="EHF48" s="971"/>
      <c r="EHG48" s="971"/>
      <c r="EHH48" s="971"/>
      <c r="EHI48" s="971"/>
      <c r="EHJ48" s="971"/>
      <c r="EHK48" s="971"/>
      <c r="EHL48" s="971"/>
      <c r="EHM48" s="971"/>
      <c r="EHN48" s="971"/>
      <c r="EHO48" s="971"/>
      <c r="EHP48" s="971"/>
      <c r="EHQ48" s="971"/>
      <c r="EHR48" s="971"/>
      <c r="EHS48" s="971"/>
      <c r="EHT48" s="971"/>
      <c r="EHU48" s="971"/>
      <c r="EHV48" s="971"/>
      <c r="EHW48" s="971"/>
      <c r="EHX48" s="971"/>
      <c r="EHY48" s="971"/>
      <c r="EHZ48" s="971"/>
      <c r="EIA48" s="971"/>
      <c r="EIB48" s="971"/>
      <c r="EIC48" s="971"/>
      <c r="EID48" s="971"/>
      <c r="EIE48" s="971"/>
      <c r="EIF48" s="971"/>
      <c r="EIG48" s="971"/>
      <c r="EIH48" s="971"/>
      <c r="EII48" s="971"/>
      <c r="EIJ48" s="971"/>
      <c r="EIK48" s="971"/>
      <c r="EIL48" s="971"/>
      <c r="EIM48" s="971"/>
      <c r="EIN48" s="971"/>
      <c r="EIO48" s="971"/>
      <c r="EIP48" s="971"/>
      <c r="EIQ48" s="971"/>
      <c r="EIR48" s="971"/>
      <c r="EIS48" s="971"/>
      <c r="EIT48" s="971"/>
      <c r="EIU48" s="971"/>
      <c r="EIV48" s="971"/>
      <c r="EIW48" s="971"/>
      <c r="EIX48" s="971"/>
      <c r="EIY48" s="971"/>
      <c r="EIZ48" s="971"/>
      <c r="EJA48" s="971"/>
      <c r="EJB48" s="971"/>
      <c r="EJC48" s="971"/>
      <c r="EJD48" s="971"/>
      <c r="EJE48" s="971"/>
      <c r="EJF48" s="971"/>
      <c r="EJG48" s="971"/>
      <c r="EJH48" s="971"/>
      <c r="EJI48" s="971"/>
      <c r="EJJ48" s="971"/>
      <c r="EJK48" s="971"/>
      <c r="EJL48" s="971"/>
      <c r="EJM48" s="971"/>
      <c r="EJN48" s="971"/>
      <c r="EJO48" s="971"/>
      <c r="EJP48" s="971"/>
      <c r="EJQ48" s="971"/>
      <c r="EJR48" s="971"/>
      <c r="EJS48" s="971"/>
      <c r="EJT48" s="971"/>
      <c r="EJU48" s="971"/>
      <c r="EJV48" s="971"/>
      <c r="EJW48" s="971"/>
      <c r="EJX48" s="971"/>
      <c r="EJY48" s="971"/>
      <c r="EJZ48" s="971"/>
      <c r="EKA48" s="971"/>
      <c r="EKB48" s="971"/>
      <c r="EKC48" s="971"/>
      <c r="EKD48" s="971"/>
      <c r="EKE48" s="971"/>
      <c r="EKF48" s="971"/>
      <c r="EKG48" s="971"/>
      <c r="EKH48" s="971"/>
      <c r="EKI48" s="971"/>
      <c r="EKJ48" s="971"/>
      <c r="EKK48" s="971"/>
      <c r="EKL48" s="971"/>
      <c r="EKM48" s="971"/>
      <c r="EKN48" s="971"/>
      <c r="EKO48" s="971"/>
      <c r="EKP48" s="971"/>
      <c r="EKQ48" s="971"/>
      <c r="EKR48" s="971"/>
      <c r="EKS48" s="971"/>
      <c r="EKT48" s="971"/>
      <c r="EKU48" s="971"/>
      <c r="EKV48" s="971"/>
      <c r="EKW48" s="971"/>
      <c r="EKX48" s="971"/>
      <c r="EKY48" s="971"/>
      <c r="EKZ48" s="971"/>
      <c r="ELA48" s="971"/>
      <c r="ELB48" s="971"/>
      <c r="ELC48" s="971"/>
      <c r="ELD48" s="971"/>
      <c r="ELE48" s="971"/>
      <c r="ELF48" s="971"/>
      <c r="ELG48" s="971"/>
      <c r="ELH48" s="971"/>
      <c r="ELI48" s="971"/>
      <c r="ELJ48" s="971"/>
      <c r="ELK48" s="971"/>
      <c r="ELL48" s="971"/>
      <c r="ELM48" s="971"/>
      <c r="ELN48" s="971"/>
      <c r="ELO48" s="971"/>
      <c r="ELP48" s="971"/>
      <c r="ELQ48" s="971"/>
      <c r="ELR48" s="971"/>
      <c r="ELS48" s="971"/>
      <c r="ELT48" s="971"/>
      <c r="ELU48" s="971"/>
      <c r="ELV48" s="971"/>
      <c r="ELW48" s="971"/>
      <c r="ELX48" s="971"/>
      <c r="ELY48" s="971"/>
      <c r="ELZ48" s="971"/>
      <c r="EMA48" s="971"/>
      <c r="EMB48" s="971"/>
      <c r="EMC48" s="971"/>
      <c r="EMD48" s="971"/>
      <c r="EME48" s="971"/>
      <c r="EMF48" s="971"/>
      <c r="EMG48" s="971"/>
      <c r="EMH48" s="971"/>
      <c r="EMI48" s="971"/>
      <c r="EMJ48" s="971"/>
      <c r="EMK48" s="971"/>
      <c r="EML48" s="971"/>
      <c r="EMM48" s="971"/>
      <c r="EMN48" s="971"/>
      <c r="EMO48" s="971"/>
      <c r="EMP48" s="971"/>
      <c r="EMQ48" s="971"/>
      <c r="EMR48" s="971"/>
      <c r="EMS48" s="971"/>
      <c r="EMT48" s="971"/>
      <c r="EMU48" s="971"/>
      <c r="EMV48" s="971"/>
      <c r="EMW48" s="971"/>
      <c r="EMX48" s="971"/>
      <c r="EMY48" s="971"/>
      <c r="EMZ48" s="971"/>
      <c r="ENA48" s="971"/>
      <c r="ENB48" s="971"/>
      <c r="ENC48" s="971"/>
      <c r="END48" s="971"/>
      <c r="ENE48" s="971"/>
      <c r="ENF48" s="971"/>
      <c r="ENG48" s="971"/>
      <c r="ENH48" s="971"/>
      <c r="ENI48" s="971"/>
      <c r="ENJ48" s="971"/>
      <c r="ENK48" s="971"/>
      <c r="ENL48" s="971"/>
      <c r="ENM48" s="971"/>
      <c r="ENN48" s="971"/>
      <c r="ENO48" s="971"/>
      <c r="ENP48" s="971"/>
      <c r="ENQ48" s="971"/>
      <c r="ENR48" s="971"/>
      <c r="ENS48" s="971"/>
      <c r="ENT48" s="971"/>
      <c r="ENU48" s="971"/>
      <c r="ENV48" s="971"/>
      <c r="ENW48" s="971"/>
      <c r="ENX48" s="971"/>
      <c r="ENY48" s="971"/>
      <c r="ENZ48" s="971"/>
      <c r="EOA48" s="971"/>
      <c r="EOB48" s="971"/>
      <c r="EOC48" s="971"/>
      <c r="EOD48" s="971"/>
      <c r="EOE48" s="971"/>
      <c r="EOF48" s="971"/>
      <c r="EOG48" s="971"/>
      <c r="EOH48" s="971"/>
      <c r="EOI48" s="971"/>
      <c r="EOJ48" s="971"/>
      <c r="EOK48" s="971"/>
      <c r="EOL48" s="971"/>
      <c r="EOM48" s="971"/>
      <c r="EON48" s="971"/>
      <c r="EOO48" s="971"/>
      <c r="EOP48" s="971"/>
      <c r="EOQ48" s="971"/>
      <c r="EOR48" s="971"/>
      <c r="EOS48" s="971"/>
      <c r="EOT48" s="971"/>
      <c r="EOU48" s="971"/>
      <c r="EOV48" s="971"/>
      <c r="EOW48" s="971"/>
      <c r="EOX48" s="971"/>
      <c r="EOY48" s="971"/>
      <c r="EOZ48" s="971"/>
      <c r="EPA48" s="971"/>
      <c r="EPB48" s="971"/>
      <c r="EPC48" s="971"/>
      <c r="EPD48" s="971"/>
      <c r="EPE48" s="971"/>
      <c r="EPF48" s="971"/>
      <c r="EPG48" s="971"/>
      <c r="EPH48" s="971"/>
      <c r="EPI48" s="971"/>
      <c r="EPJ48" s="971"/>
      <c r="EPK48" s="971"/>
      <c r="EPL48" s="971"/>
      <c r="EPM48" s="971"/>
      <c r="EPN48" s="971"/>
      <c r="EPO48" s="971"/>
      <c r="EPP48" s="971"/>
      <c r="EPQ48" s="971"/>
      <c r="EPR48" s="971"/>
      <c r="EPS48" s="971"/>
      <c r="EPT48" s="971"/>
      <c r="EPU48" s="971"/>
      <c r="EPV48" s="971"/>
      <c r="EPW48" s="971"/>
      <c r="EPX48" s="971"/>
      <c r="EPY48" s="971"/>
      <c r="EPZ48" s="971"/>
      <c r="EQA48" s="971"/>
      <c r="EQB48" s="971"/>
      <c r="EQC48" s="971"/>
      <c r="EQD48" s="971"/>
      <c r="EQE48" s="971"/>
      <c r="EQF48" s="971"/>
      <c r="EQG48" s="971"/>
      <c r="EQH48" s="971"/>
      <c r="EQI48" s="971"/>
      <c r="EQJ48" s="971"/>
      <c r="EQK48" s="971"/>
      <c r="EQL48" s="971"/>
      <c r="EQM48" s="971"/>
      <c r="EQN48" s="971"/>
      <c r="EQO48" s="971"/>
      <c r="EQP48" s="971"/>
      <c r="EQQ48" s="971"/>
      <c r="EQR48" s="971"/>
      <c r="EQS48" s="971"/>
      <c r="EQT48" s="971"/>
      <c r="EQU48" s="971"/>
      <c r="EQV48" s="971"/>
      <c r="EQW48" s="971"/>
      <c r="EQX48" s="971"/>
      <c r="EQY48" s="971"/>
      <c r="EQZ48" s="971"/>
      <c r="ERA48" s="971"/>
      <c r="ERB48" s="971"/>
      <c r="ERC48" s="971"/>
      <c r="ERD48" s="971"/>
      <c r="ERE48" s="971"/>
      <c r="ERF48" s="971"/>
      <c r="ERG48" s="971"/>
      <c r="ERH48" s="971"/>
      <c r="ERI48" s="971"/>
      <c r="ERJ48" s="971"/>
      <c r="ERK48" s="971"/>
      <c r="ERL48" s="971"/>
      <c r="ERM48" s="971"/>
      <c r="ERN48" s="971"/>
      <c r="ERO48" s="971"/>
      <c r="ERP48" s="971"/>
      <c r="ERQ48" s="971"/>
      <c r="ERR48" s="971"/>
      <c r="ERS48" s="971"/>
      <c r="ERT48" s="971"/>
      <c r="ERU48" s="971"/>
      <c r="ERV48" s="971"/>
      <c r="ERW48" s="971"/>
      <c r="ERX48" s="971"/>
      <c r="ERY48" s="971"/>
      <c r="ERZ48" s="971"/>
      <c r="ESA48" s="971"/>
      <c r="ESB48" s="971"/>
      <c r="ESC48" s="971"/>
      <c r="ESD48" s="971"/>
      <c r="ESE48" s="971"/>
      <c r="ESF48" s="971"/>
      <c r="ESG48" s="971"/>
      <c r="ESH48" s="971"/>
      <c r="ESI48" s="971"/>
      <c r="ESJ48" s="971"/>
      <c r="ESK48" s="971"/>
      <c r="ESL48" s="971"/>
      <c r="ESM48" s="971"/>
      <c r="ESN48" s="971"/>
      <c r="ESO48" s="971"/>
      <c r="ESP48" s="971"/>
      <c r="ESQ48" s="971"/>
      <c r="ESR48" s="971"/>
      <c r="ESS48" s="971"/>
      <c r="EST48" s="971"/>
      <c r="ESU48" s="971"/>
      <c r="ESV48" s="971"/>
      <c r="ESW48" s="971"/>
      <c r="ESX48" s="971"/>
      <c r="ESY48" s="971"/>
      <c r="ESZ48" s="971"/>
      <c r="ETA48" s="971"/>
      <c r="ETB48" s="971"/>
      <c r="ETC48" s="971"/>
      <c r="ETD48" s="971"/>
      <c r="ETE48" s="971"/>
      <c r="ETF48" s="971"/>
      <c r="ETG48" s="971"/>
      <c r="ETH48" s="971"/>
      <c r="ETI48" s="971"/>
      <c r="ETJ48" s="971"/>
      <c r="ETK48" s="971"/>
      <c r="ETL48" s="971"/>
      <c r="ETM48" s="971"/>
      <c r="ETN48" s="971"/>
      <c r="ETO48" s="971"/>
      <c r="ETP48" s="971"/>
      <c r="ETQ48" s="971"/>
      <c r="ETR48" s="971"/>
      <c r="ETS48" s="971"/>
      <c r="ETT48" s="971"/>
      <c r="ETU48" s="971"/>
      <c r="ETV48" s="971"/>
      <c r="ETW48" s="971"/>
      <c r="ETX48" s="971"/>
      <c r="ETY48" s="971"/>
      <c r="ETZ48" s="971"/>
      <c r="EUA48" s="971"/>
      <c r="EUB48" s="971"/>
      <c r="EUC48" s="971"/>
      <c r="EUD48" s="971"/>
      <c r="EUE48" s="971"/>
      <c r="EUF48" s="971"/>
      <c r="EUG48" s="971"/>
      <c r="EUH48" s="971"/>
      <c r="EUI48" s="971"/>
      <c r="EUJ48" s="971"/>
      <c r="EUK48" s="971"/>
      <c r="EUL48" s="971"/>
      <c r="EUM48" s="971"/>
      <c r="EUN48" s="971"/>
      <c r="EUO48" s="971"/>
      <c r="EUP48" s="971"/>
      <c r="EUQ48" s="971"/>
      <c r="EUR48" s="971"/>
      <c r="EUS48" s="971"/>
      <c r="EUT48" s="971"/>
      <c r="EUU48" s="971"/>
      <c r="EUV48" s="971"/>
      <c r="EUW48" s="971"/>
      <c r="EUX48" s="971"/>
      <c r="EUY48" s="971"/>
      <c r="EUZ48" s="971"/>
      <c r="EVA48" s="971"/>
      <c r="EVB48" s="971"/>
      <c r="EVC48" s="971"/>
      <c r="EVD48" s="971"/>
      <c r="EVE48" s="971"/>
      <c r="EVF48" s="971"/>
      <c r="EVG48" s="971"/>
      <c r="EVH48" s="971"/>
      <c r="EVI48" s="971"/>
      <c r="EVJ48" s="971"/>
      <c r="EVK48" s="971"/>
      <c r="EVL48" s="971"/>
      <c r="EVM48" s="971"/>
      <c r="EVN48" s="971"/>
      <c r="EVO48" s="971"/>
      <c r="EVP48" s="971"/>
      <c r="EVQ48" s="971"/>
      <c r="EVR48" s="971"/>
      <c r="EVS48" s="971"/>
      <c r="EVT48" s="971"/>
      <c r="EVU48" s="971"/>
      <c r="EVV48" s="971"/>
      <c r="EVW48" s="971"/>
      <c r="EVX48" s="971"/>
      <c r="EVY48" s="971"/>
      <c r="EVZ48" s="971"/>
      <c r="EWA48" s="971"/>
      <c r="EWB48" s="971"/>
      <c r="EWC48" s="971"/>
      <c r="EWD48" s="971"/>
      <c r="EWE48" s="971"/>
      <c r="EWF48" s="971"/>
      <c r="EWG48" s="971"/>
      <c r="EWH48" s="971"/>
      <c r="EWI48" s="971"/>
      <c r="EWJ48" s="971"/>
      <c r="EWK48" s="971"/>
      <c r="EWL48" s="971"/>
      <c r="EWM48" s="971"/>
      <c r="EWN48" s="971"/>
      <c r="EWO48" s="971"/>
      <c r="EWP48" s="971"/>
      <c r="EWQ48" s="971"/>
      <c r="EWR48" s="971"/>
      <c r="EWS48" s="971"/>
      <c r="EWT48" s="971"/>
      <c r="EWU48" s="971"/>
      <c r="EWV48" s="971"/>
      <c r="EWW48" s="971"/>
      <c r="EWX48" s="971"/>
      <c r="EWY48" s="971"/>
      <c r="EWZ48" s="971"/>
      <c r="EXA48" s="971"/>
      <c r="EXB48" s="971"/>
      <c r="EXC48" s="971"/>
      <c r="EXD48" s="971"/>
      <c r="EXE48" s="971"/>
      <c r="EXF48" s="971"/>
      <c r="EXG48" s="971"/>
      <c r="EXH48" s="971"/>
      <c r="EXI48" s="971"/>
      <c r="EXJ48" s="971"/>
      <c r="EXK48" s="971"/>
      <c r="EXL48" s="971"/>
      <c r="EXM48" s="971"/>
      <c r="EXN48" s="971"/>
      <c r="EXO48" s="971"/>
      <c r="EXP48" s="971"/>
      <c r="EXQ48" s="971"/>
      <c r="EXR48" s="971"/>
      <c r="EXS48" s="971"/>
      <c r="EXT48" s="971"/>
      <c r="EXU48" s="971"/>
      <c r="EXV48" s="971"/>
      <c r="EXW48" s="971"/>
      <c r="EXX48" s="971"/>
      <c r="EXY48" s="971"/>
      <c r="EXZ48" s="971"/>
      <c r="EYA48" s="971"/>
      <c r="EYB48" s="971"/>
      <c r="EYC48" s="971"/>
      <c r="EYD48" s="971"/>
      <c r="EYE48" s="971"/>
      <c r="EYF48" s="971"/>
      <c r="EYG48" s="971"/>
      <c r="EYH48" s="971"/>
      <c r="EYI48" s="971"/>
      <c r="EYJ48" s="971"/>
      <c r="EYK48" s="971"/>
      <c r="EYL48" s="971"/>
      <c r="EYM48" s="971"/>
      <c r="EYN48" s="971"/>
      <c r="EYO48" s="971"/>
      <c r="EYP48" s="971"/>
      <c r="EYQ48" s="971"/>
      <c r="EYR48" s="971"/>
      <c r="EYS48" s="971"/>
      <c r="EYT48" s="971"/>
      <c r="EYU48" s="971"/>
      <c r="EYV48" s="971"/>
      <c r="EYW48" s="971"/>
      <c r="EYX48" s="971"/>
      <c r="EYY48" s="971"/>
      <c r="EYZ48" s="971"/>
      <c r="EZA48" s="971"/>
      <c r="EZB48" s="971"/>
      <c r="EZC48" s="971"/>
      <c r="EZD48" s="971"/>
      <c r="EZE48" s="971"/>
      <c r="EZF48" s="971"/>
      <c r="EZG48" s="971"/>
      <c r="EZH48" s="971"/>
      <c r="EZI48" s="971"/>
      <c r="EZJ48" s="971"/>
      <c r="EZK48" s="971"/>
      <c r="EZL48" s="971"/>
      <c r="EZM48" s="971"/>
      <c r="EZN48" s="971"/>
      <c r="EZO48" s="971"/>
      <c r="EZP48" s="971"/>
      <c r="EZQ48" s="971"/>
      <c r="EZR48" s="971"/>
      <c r="EZS48" s="971"/>
      <c r="EZT48" s="971"/>
      <c r="EZU48" s="971"/>
      <c r="EZV48" s="971"/>
      <c r="EZW48" s="971"/>
      <c r="EZX48" s="971"/>
      <c r="EZY48" s="971"/>
      <c r="EZZ48" s="971"/>
      <c r="FAA48" s="971"/>
      <c r="FAB48" s="971"/>
      <c r="FAC48" s="971"/>
      <c r="FAD48" s="971"/>
      <c r="FAE48" s="971"/>
      <c r="FAF48" s="971"/>
      <c r="FAG48" s="971"/>
      <c r="FAH48" s="971"/>
      <c r="FAI48" s="971"/>
      <c r="FAJ48" s="971"/>
      <c r="FAK48" s="971"/>
      <c r="FAL48" s="971"/>
      <c r="FAM48" s="971"/>
      <c r="FAN48" s="971"/>
      <c r="FAO48" s="971"/>
      <c r="FAP48" s="971"/>
      <c r="FAQ48" s="971"/>
      <c r="FAR48" s="971"/>
      <c r="FAS48" s="971"/>
      <c r="FAT48" s="971"/>
      <c r="FAU48" s="971"/>
      <c r="FAV48" s="971"/>
      <c r="FAW48" s="971"/>
      <c r="FAX48" s="971"/>
      <c r="FAY48" s="971"/>
      <c r="FAZ48" s="971"/>
      <c r="FBA48" s="971"/>
      <c r="FBB48" s="971"/>
      <c r="FBC48" s="971"/>
      <c r="FBD48" s="971"/>
      <c r="FBE48" s="971"/>
      <c r="FBF48" s="971"/>
      <c r="FBG48" s="971"/>
      <c r="FBH48" s="971"/>
      <c r="FBI48" s="971"/>
      <c r="FBJ48" s="971"/>
      <c r="FBK48" s="971"/>
      <c r="FBL48" s="971"/>
      <c r="FBM48" s="971"/>
      <c r="FBN48" s="971"/>
      <c r="FBO48" s="971"/>
      <c r="FBP48" s="971"/>
      <c r="FBQ48" s="971"/>
      <c r="FBR48" s="971"/>
      <c r="FBS48" s="971"/>
      <c r="FBT48" s="971"/>
      <c r="FBU48" s="971"/>
      <c r="FBV48" s="971"/>
      <c r="FBW48" s="971"/>
      <c r="FBX48" s="971"/>
      <c r="FBY48" s="971"/>
      <c r="FBZ48" s="971"/>
      <c r="FCA48" s="971"/>
      <c r="FCB48" s="971"/>
      <c r="FCC48" s="971"/>
      <c r="FCD48" s="971"/>
      <c r="FCE48" s="971"/>
      <c r="FCF48" s="971"/>
      <c r="FCG48" s="971"/>
      <c r="FCH48" s="971"/>
      <c r="FCI48" s="971"/>
      <c r="FCJ48" s="971"/>
      <c r="FCK48" s="971"/>
      <c r="FCL48" s="971"/>
      <c r="FCM48" s="971"/>
      <c r="FCN48" s="971"/>
      <c r="FCO48" s="971"/>
      <c r="FCP48" s="971"/>
      <c r="FCQ48" s="971"/>
      <c r="FCR48" s="971"/>
      <c r="FCS48" s="971"/>
      <c r="FCT48" s="971"/>
      <c r="FCU48" s="971"/>
      <c r="FCV48" s="971"/>
      <c r="FCW48" s="971"/>
      <c r="FCX48" s="971"/>
      <c r="FCY48" s="971"/>
      <c r="FCZ48" s="971"/>
      <c r="FDA48" s="971"/>
      <c r="FDB48" s="971"/>
      <c r="FDC48" s="971"/>
      <c r="FDD48" s="971"/>
      <c r="FDE48" s="971"/>
      <c r="FDF48" s="971"/>
      <c r="FDG48" s="971"/>
      <c r="FDH48" s="971"/>
      <c r="FDI48" s="971"/>
      <c r="FDJ48" s="971"/>
      <c r="FDK48" s="971"/>
      <c r="FDL48" s="971"/>
      <c r="FDM48" s="971"/>
      <c r="FDN48" s="971"/>
      <c r="FDO48" s="971"/>
      <c r="FDP48" s="971"/>
      <c r="FDQ48" s="971"/>
      <c r="FDR48" s="971"/>
      <c r="FDS48" s="971"/>
      <c r="FDT48" s="971"/>
      <c r="FDU48" s="971"/>
      <c r="FDV48" s="971"/>
      <c r="FDW48" s="971"/>
      <c r="FDX48" s="971"/>
      <c r="FDY48" s="971"/>
      <c r="FDZ48" s="971"/>
      <c r="FEA48" s="971"/>
      <c r="FEB48" s="971"/>
      <c r="FEC48" s="971"/>
      <c r="FED48" s="971"/>
      <c r="FEE48" s="971"/>
      <c r="FEF48" s="971"/>
      <c r="FEG48" s="971"/>
      <c r="FEH48" s="971"/>
      <c r="FEI48" s="971"/>
      <c r="FEJ48" s="971"/>
      <c r="FEK48" s="971"/>
      <c r="FEL48" s="971"/>
      <c r="FEM48" s="971"/>
      <c r="FEN48" s="971"/>
      <c r="FEO48" s="971"/>
      <c r="FEP48" s="971"/>
      <c r="FEQ48" s="971"/>
      <c r="FER48" s="971"/>
      <c r="FES48" s="971"/>
      <c r="FET48" s="971"/>
      <c r="FEU48" s="971"/>
      <c r="FEV48" s="971"/>
      <c r="FEW48" s="971"/>
      <c r="FEX48" s="971"/>
      <c r="FEY48" s="971"/>
      <c r="FEZ48" s="971"/>
      <c r="FFA48" s="971"/>
      <c r="FFB48" s="971"/>
      <c r="FFC48" s="971"/>
      <c r="FFD48" s="971"/>
      <c r="FFE48" s="971"/>
      <c r="FFF48" s="971"/>
      <c r="FFG48" s="971"/>
      <c r="FFH48" s="971"/>
      <c r="FFI48" s="971"/>
      <c r="FFJ48" s="971"/>
      <c r="FFK48" s="971"/>
      <c r="FFL48" s="971"/>
      <c r="FFM48" s="971"/>
      <c r="FFN48" s="971"/>
      <c r="FFO48" s="971"/>
      <c r="FFP48" s="971"/>
      <c r="FFQ48" s="971"/>
      <c r="FFR48" s="971"/>
      <c r="FFS48" s="971"/>
      <c r="FFT48" s="971"/>
      <c r="FFU48" s="971"/>
      <c r="FFV48" s="971"/>
      <c r="FFW48" s="971"/>
      <c r="FFX48" s="971"/>
      <c r="FFY48" s="971"/>
      <c r="FFZ48" s="971"/>
      <c r="FGA48" s="971"/>
      <c r="FGB48" s="971"/>
      <c r="FGC48" s="971"/>
      <c r="FGD48" s="971"/>
      <c r="FGE48" s="971"/>
      <c r="FGF48" s="971"/>
      <c r="FGG48" s="971"/>
      <c r="FGH48" s="971"/>
      <c r="FGI48" s="971"/>
      <c r="FGJ48" s="971"/>
      <c r="FGK48" s="971"/>
      <c r="FGL48" s="971"/>
      <c r="FGM48" s="971"/>
      <c r="FGN48" s="971"/>
      <c r="FGO48" s="971"/>
      <c r="FGP48" s="971"/>
      <c r="FGQ48" s="971"/>
      <c r="FGR48" s="971"/>
      <c r="FGS48" s="971"/>
      <c r="FGT48" s="971"/>
      <c r="FGU48" s="971"/>
      <c r="FGV48" s="971"/>
      <c r="FGW48" s="971"/>
      <c r="FGX48" s="971"/>
      <c r="FGY48" s="971"/>
      <c r="FGZ48" s="971"/>
      <c r="FHA48" s="971"/>
      <c r="FHB48" s="971"/>
      <c r="FHC48" s="971"/>
      <c r="FHD48" s="971"/>
      <c r="FHE48" s="971"/>
      <c r="FHF48" s="971"/>
      <c r="FHG48" s="971"/>
      <c r="FHH48" s="971"/>
      <c r="FHI48" s="971"/>
      <c r="FHJ48" s="971"/>
      <c r="FHK48" s="971"/>
      <c r="FHL48" s="971"/>
      <c r="FHM48" s="971"/>
      <c r="FHN48" s="971"/>
      <c r="FHO48" s="971"/>
      <c r="FHP48" s="971"/>
      <c r="FHQ48" s="971"/>
      <c r="FHR48" s="971"/>
      <c r="FHS48" s="971"/>
      <c r="FHT48" s="971"/>
      <c r="FHU48" s="971"/>
      <c r="FHV48" s="971"/>
      <c r="FHW48" s="971"/>
      <c r="FHX48" s="971"/>
      <c r="FHY48" s="971"/>
      <c r="FHZ48" s="971"/>
      <c r="FIA48" s="971"/>
      <c r="FIB48" s="971"/>
      <c r="FIC48" s="971"/>
      <c r="FID48" s="971"/>
      <c r="FIE48" s="971"/>
      <c r="FIF48" s="971"/>
      <c r="FIG48" s="971"/>
      <c r="FIH48" s="971"/>
      <c r="FII48" s="971"/>
      <c r="FIJ48" s="971"/>
      <c r="FIK48" s="971"/>
      <c r="FIL48" s="971"/>
      <c r="FIM48" s="971"/>
      <c r="FIN48" s="971"/>
      <c r="FIO48" s="971"/>
      <c r="FIP48" s="971"/>
      <c r="FIQ48" s="971"/>
      <c r="FIR48" s="971"/>
      <c r="FIS48" s="971"/>
      <c r="FIT48" s="971"/>
      <c r="FIU48" s="971"/>
      <c r="FIV48" s="971"/>
      <c r="FIW48" s="971"/>
      <c r="FIX48" s="971"/>
      <c r="FIY48" s="971"/>
      <c r="FIZ48" s="971"/>
      <c r="FJA48" s="971"/>
      <c r="FJB48" s="971"/>
      <c r="FJC48" s="971"/>
      <c r="FJD48" s="971"/>
      <c r="FJE48" s="971"/>
      <c r="FJF48" s="971"/>
      <c r="FJG48" s="971"/>
      <c r="FJH48" s="971"/>
      <c r="FJI48" s="971"/>
      <c r="FJJ48" s="971"/>
      <c r="FJK48" s="971"/>
      <c r="FJL48" s="971"/>
      <c r="FJM48" s="971"/>
      <c r="FJN48" s="971"/>
      <c r="FJO48" s="971"/>
      <c r="FJP48" s="971"/>
      <c r="FJQ48" s="971"/>
      <c r="FJR48" s="971"/>
      <c r="FJS48" s="971"/>
      <c r="FJT48" s="971"/>
      <c r="FJU48" s="971"/>
      <c r="FJV48" s="971"/>
      <c r="FJW48" s="971"/>
      <c r="FJX48" s="971"/>
      <c r="FJY48" s="971"/>
      <c r="FJZ48" s="971"/>
      <c r="FKA48" s="971"/>
      <c r="FKB48" s="971"/>
      <c r="FKC48" s="971"/>
      <c r="FKD48" s="971"/>
      <c r="FKE48" s="971"/>
      <c r="FKF48" s="971"/>
      <c r="FKG48" s="971"/>
      <c r="FKH48" s="971"/>
      <c r="FKI48" s="971"/>
      <c r="FKJ48" s="971"/>
      <c r="FKK48" s="971"/>
      <c r="FKL48" s="971"/>
      <c r="FKM48" s="971"/>
      <c r="FKN48" s="971"/>
      <c r="FKO48" s="971"/>
      <c r="FKP48" s="971"/>
      <c r="FKQ48" s="971"/>
      <c r="FKR48" s="971"/>
      <c r="FKS48" s="971"/>
      <c r="FKT48" s="971"/>
      <c r="FKU48" s="971"/>
      <c r="FKV48" s="971"/>
      <c r="FKW48" s="971"/>
      <c r="FKX48" s="971"/>
      <c r="FKY48" s="971"/>
      <c r="FKZ48" s="971"/>
      <c r="FLA48" s="971"/>
      <c r="FLB48" s="971"/>
      <c r="FLC48" s="971"/>
      <c r="FLD48" s="971"/>
      <c r="FLE48" s="971"/>
      <c r="FLF48" s="971"/>
      <c r="FLG48" s="971"/>
      <c r="FLH48" s="971"/>
      <c r="FLI48" s="971"/>
      <c r="FLJ48" s="971"/>
      <c r="FLK48" s="971"/>
      <c r="FLL48" s="971"/>
      <c r="FLM48" s="971"/>
      <c r="FLN48" s="971"/>
      <c r="FLO48" s="971"/>
      <c r="FLP48" s="971"/>
      <c r="FLQ48" s="971"/>
      <c r="FLR48" s="971"/>
      <c r="FLS48" s="971"/>
      <c r="FLT48" s="971"/>
      <c r="FLU48" s="971"/>
      <c r="FLV48" s="971"/>
      <c r="FLW48" s="971"/>
      <c r="FLX48" s="971"/>
      <c r="FLY48" s="971"/>
      <c r="FLZ48" s="971"/>
      <c r="FMA48" s="971"/>
      <c r="FMB48" s="971"/>
      <c r="FMC48" s="971"/>
      <c r="FMD48" s="971"/>
      <c r="FME48" s="971"/>
      <c r="FMF48" s="971"/>
      <c r="FMG48" s="971"/>
      <c r="FMH48" s="971"/>
      <c r="FMI48" s="971"/>
      <c r="FMJ48" s="971"/>
      <c r="FMK48" s="971"/>
      <c r="FML48" s="971"/>
      <c r="FMM48" s="971"/>
      <c r="FMN48" s="971"/>
      <c r="FMO48" s="971"/>
      <c r="FMP48" s="971"/>
      <c r="FMQ48" s="971"/>
      <c r="FMR48" s="971"/>
      <c r="FMS48" s="971"/>
      <c r="FMT48" s="971"/>
      <c r="FMU48" s="971"/>
      <c r="FMV48" s="971"/>
      <c r="FMW48" s="971"/>
      <c r="FMX48" s="971"/>
      <c r="FMY48" s="971"/>
      <c r="FMZ48" s="971"/>
      <c r="FNA48" s="971"/>
      <c r="FNB48" s="971"/>
      <c r="FNC48" s="971"/>
      <c r="FND48" s="971"/>
      <c r="FNE48" s="971"/>
      <c r="FNF48" s="971"/>
      <c r="FNG48" s="971"/>
      <c r="FNH48" s="971"/>
      <c r="FNI48" s="971"/>
      <c r="FNJ48" s="971"/>
      <c r="FNK48" s="971"/>
      <c r="FNL48" s="971"/>
      <c r="FNM48" s="971"/>
      <c r="FNN48" s="971"/>
      <c r="FNO48" s="971"/>
      <c r="FNP48" s="971"/>
      <c r="FNQ48" s="971"/>
      <c r="FNR48" s="971"/>
      <c r="FNS48" s="971"/>
      <c r="FNT48" s="971"/>
      <c r="FNU48" s="971"/>
      <c r="FNV48" s="971"/>
      <c r="FNW48" s="971"/>
      <c r="FNX48" s="971"/>
      <c r="FNY48" s="971"/>
      <c r="FNZ48" s="971"/>
      <c r="FOA48" s="971"/>
      <c r="FOB48" s="971"/>
      <c r="FOC48" s="971"/>
      <c r="FOD48" s="971"/>
      <c r="FOE48" s="971"/>
      <c r="FOF48" s="971"/>
      <c r="FOG48" s="971"/>
      <c r="FOH48" s="971"/>
      <c r="FOI48" s="971"/>
      <c r="FOJ48" s="971"/>
      <c r="FOK48" s="971"/>
      <c r="FOL48" s="971"/>
      <c r="FOM48" s="971"/>
      <c r="FON48" s="971"/>
      <c r="FOO48" s="971"/>
      <c r="FOP48" s="971"/>
      <c r="FOQ48" s="971"/>
      <c r="FOR48" s="971"/>
      <c r="FOS48" s="971"/>
      <c r="FOT48" s="971"/>
      <c r="FOU48" s="971"/>
      <c r="FOV48" s="971"/>
      <c r="FOW48" s="971"/>
      <c r="FOX48" s="971"/>
      <c r="FOY48" s="971"/>
      <c r="FOZ48" s="971"/>
      <c r="FPA48" s="971"/>
      <c r="FPB48" s="971"/>
      <c r="FPC48" s="971"/>
      <c r="FPD48" s="971"/>
      <c r="FPE48" s="971"/>
      <c r="FPF48" s="971"/>
      <c r="FPG48" s="971"/>
      <c r="FPH48" s="971"/>
      <c r="FPI48" s="971"/>
      <c r="FPJ48" s="971"/>
      <c r="FPK48" s="971"/>
      <c r="FPL48" s="971"/>
      <c r="FPM48" s="971"/>
      <c r="FPN48" s="971"/>
      <c r="FPO48" s="971"/>
      <c r="FPP48" s="971"/>
      <c r="FPQ48" s="971"/>
      <c r="FPR48" s="971"/>
      <c r="FPS48" s="971"/>
      <c r="FPT48" s="971"/>
      <c r="FPU48" s="971"/>
      <c r="FPV48" s="971"/>
      <c r="FPW48" s="971"/>
      <c r="FPX48" s="971"/>
      <c r="FPY48" s="971"/>
      <c r="FPZ48" s="971"/>
      <c r="FQA48" s="971"/>
      <c r="FQB48" s="971"/>
      <c r="FQC48" s="971"/>
      <c r="FQD48" s="971"/>
      <c r="FQE48" s="971"/>
      <c r="FQF48" s="971"/>
      <c r="FQG48" s="971"/>
      <c r="FQH48" s="971"/>
      <c r="FQI48" s="971"/>
      <c r="FQJ48" s="971"/>
      <c r="FQK48" s="971"/>
      <c r="FQL48" s="971"/>
      <c r="FQM48" s="971"/>
      <c r="FQN48" s="971"/>
      <c r="FQO48" s="971"/>
      <c r="FQP48" s="971"/>
      <c r="FQQ48" s="971"/>
      <c r="FQR48" s="971"/>
      <c r="FQS48" s="971"/>
      <c r="FQT48" s="971"/>
      <c r="FQU48" s="971"/>
      <c r="FQV48" s="971"/>
      <c r="FQW48" s="971"/>
      <c r="FQX48" s="971"/>
      <c r="FQY48" s="971"/>
      <c r="FQZ48" s="971"/>
      <c r="FRA48" s="971"/>
      <c r="FRB48" s="971"/>
      <c r="FRC48" s="971"/>
      <c r="FRD48" s="971"/>
      <c r="FRE48" s="971"/>
      <c r="FRF48" s="971"/>
      <c r="FRG48" s="971"/>
      <c r="FRH48" s="971"/>
      <c r="FRI48" s="971"/>
      <c r="FRJ48" s="971"/>
      <c r="FRK48" s="971"/>
      <c r="FRL48" s="971"/>
      <c r="FRM48" s="971"/>
      <c r="FRN48" s="971"/>
      <c r="FRO48" s="971"/>
      <c r="FRP48" s="971"/>
      <c r="FRQ48" s="971"/>
      <c r="FRR48" s="971"/>
      <c r="FRS48" s="971"/>
      <c r="FRT48" s="971"/>
      <c r="FRU48" s="971"/>
      <c r="FRV48" s="971"/>
      <c r="FRW48" s="971"/>
      <c r="FRX48" s="971"/>
      <c r="FRY48" s="971"/>
      <c r="FRZ48" s="971"/>
      <c r="FSA48" s="971"/>
      <c r="FSB48" s="971"/>
      <c r="FSC48" s="971"/>
      <c r="FSD48" s="971"/>
      <c r="FSE48" s="971"/>
      <c r="FSF48" s="971"/>
      <c r="FSG48" s="971"/>
      <c r="FSH48" s="971"/>
      <c r="FSI48" s="971"/>
      <c r="FSJ48" s="971"/>
      <c r="FSK48" s="971"/>
      <c r="FSL48" s="971"/>
      <c r="FSM48" s="971"/>
      <c r="FSN48" s="971"/>
      <c r="FSO48" s="971"/>
      <c r="FSP48" s="971"/>
      <c r="FSQ48" s="971"/>
      <c r="FSR48" s="971"/>
      <c r="FSS48" s="971"/>
      <c r="FST48" s="971"/>
      <c r="FSU48" s="971"/>
      <c r="FSV48" s="971"/>
      <c r="FSW48" s="971"/>
      <c r="FSX48" s="971"/>
      <c r="FSY48" s="971"/>
      <c r="FSZ48" s="971"/>
      <c r="FTA48" s="971"/>
      <c r="FTB48" s="971"/>
      <c r="FTC48" s="971"/>
      <c r="FTD48" s="971"/>
      <c r="FTE48" s="971"/>
      <c r="FTF48" s="971"/>
      <c r="FTG48" s="971"/>
      <c r="FTH48" s="971"/>
      <c r="FTI48" s="971"/>
      <c r="FTJ48" s="971"/>
      <c r="FTK48" s="971"/>
      <c r="FTL48" s="971"/>
      <c r="FTM48" s="971"/>
      <c r="FTN48" s="971"/>
      <c r="FTO48" s="971"/>
      <c r="FTP48" s="971"/>
      <c r="FTQ48" s="971"/>
      <c r="FTR48" s="971"/>
      <c r="FTS48" s="971"/>
      <c r="FTT48" s="971"/>
      <c r="FTU48" s="971"/>
      <c r="FTV48" s="971"/>
      <c r="FTW48" s="971"/>
      <c r="FTX48" s="971"/>
      <c r="FTY48" s="971"/>
      <c r="FTZ48" s="971"/>
      <c r="FUA48" s="971"/>
      <c r="FUB48" s="971"/>
      <c r="FUC48" s="971"/>
      <c r="FUD48" s="971"/>
      <c r="FUE48" s="971"/>
      <c r="FUF48" s="971"/>
      <c r="FUG48" s="971"/>
      <c r="FUH48" s="971"/>
      <c r="FUI48" s="971"/>
      <c r="FUJ48" s="971"/>
      <c r="FUK48" s="971"/>
      <c r="FUL48" s="971"/>
      <c r="FUM48" s="971"/>
      <c r="FUN48" s="971"/>
      <c r="FUO48" s="971"/>
      <c r="FUP48" s="971"/>
      <c r="FUQ48" s="971"/>
      <c r="FUR48" s="971"/>
      <c r="FUS48" s="971"/>
      <c r="FUT48" s="971"/>
      <c r="FUU48" s="971"/>
      <c r="FUV48" s="971"/>
      <c r="FUW48" s="971"/>
      <c r="FUX48" s="971"/>
      <c r="FUY48" s="971"/>
      <c r="FUZ48" s="971"/>
      <c r="FVA48" s="971"/>
      <c r="FVB48" s="971"/>
      <c r="FVC48" s="971"/>
      <c r="FVD48" s="971"/>
      <c r="FVE48" s="971"/>
      <c r="FVF48" s="971"/>
      <c r="FVG48" s="971"/>
      <c r="FVH48" s="971"/>
      <c r="FVI48" s="971"/>
      <c r="FVJ48" s="971"/>
      <c r="FVK48" s="971"/>
      <c r="FVL48" s="971"/>
      <c r="FVM48" s="971"/>
      <c r="FVN48" s="971"/>
      <c r="FVO48" s="971"/>
      <c r="FVP48" s="971"/>
      <c r="FVQ48" s="971"/>
      <c r="FVR48" s="971"/>
      <c r="FVS48" s="971"/>
      <c r="FVT48" s="971"/>
      <c r="FVU48" s="971"/>
      <c r="FVV48" s="971"/>
      <c r="FVW48" s="971"/>
      <c r="FVX48" s="971"/>
      <c r="FVY48" s="971"/>
      <c r="FVZ48" s="971"/>
      <c r="FWA48" s="971"/>
      <c r="FWB48" s="971"/>
      <c r="FWC48" s="971"/>
      <c r="FWD48" s="971"/>
      <c r="FWE48" s="971"/>
      <c r="FWF48" s="971"/>
      <c r="FWG48" s="971"/>
      <c r="FWH48" s="971"/>
      <c r="FWI48" s="971"/>
      <c r="FWJ48" s="971"/>
      <c r="FWK48" s="971"/>
      <c r="FWL48" s="971"/>
      <c r="FWM48" s="971"/>
      <c r="FWN48" s="971"/>
      <c r="FWO48" s="971"/>
      <c r="FWP48" s="971"/>
      <c r="FWQ48" s="971"/>
      <c r="FWR48" s="971"/>
      <c r="FWS48" s="971"/>
      <c r="FWT48" s="971"/>
      <c r="FWU48" s="971"/>
      <c r="FWV48" s="971"/>
      <c r="FWW48" s="971"/>
      <c r="FWX48" s="971"/>
      <c r="FWY48" s="971"/>
      <c r="FWZ48" s="971"/>
      <c r="FXA48" s="971"/>
      <c r="FXB48" s="971"/>
      <c r="FXC48" s="971"/>
      <c r="FXD48" s="971"/>
      <c r="FXE48" s="971"/>
      <c r="FXF48" s="971"/>
      <c r="FXG48" s="971"/>
      <c r="FXH48" s="971"/>
      <c r="FXI48" s="971"/>
      <c r="FXJ48" s="971"/>
      <c r="FXK48" s="971"/>
      <c r="FXL48" s="971"/>
      <c r="FXM48" s="971"/>
      <c r="FXN48" s="971"/>
      <c r="FXO48" s="971"/>
      <c r="FXP48" s="971"/>
      <c r="FXQ48" s="971"/>
      <c r="FXR48" s="971"/>
      <c r="FXS48" s="971"/>
      <c r="FXT48" s="971"/>
      <c r="FXU48" s="971"/>
      <c r="FXV48" s="971"/>
      <c r="FXW48" s="971"/>
      <c r="FXX48" s="971"/>
      <c r="FXY48" s="971"/>
      <c r="FXZ48" s="971"/>
      <c r="FYA48" s="971"/>
      <c r="FYB48" s="971"/>
      <c r="FYC48" s="971"/>
      <c r="FYD48" s="971"/>
      <c r="FYE48" s="971"/>
      <c r="FYF48" s="971"/>
      <c r="FYG48" s="971"/>
      <c r="FYH48" s="971"/>
      <c r="FYI48" s="971"/>
      <c r="FYJ48" s="971"/>
      <c r="FYK48" s="971"/>
      <c r="FYL48" s="971"/>
      <c r="FYM48" s="971"/>
      <c r="FYN48" s="971"/>
      <c r="FYO48" s="971"/>
      <c r="FYP48" s="971"/>
      <c r="FYQ48" s="971"/>
      <c r="FYR48" s="971"/>
      <c r="FYS48" s="971"/>
      <c r="FYT48" s="971"/>
      <c r="FYU48" s="971"/>
      <c r="FYV48" s="971"/>
      <c r="FYW48" s="971"/>
      <c r="FYX48" s="971"/>
      <c r="FYY48" s="971"/>
      <c r="FYZ48" s="971"/>
      <c r="FZA48" s="971"/>
      <c r="FZB48" s="971"/>
      <c r="FZC48" s="971"/>
      <c r="FZD48" s="971"/>
      <c r="FZE48" s="971"/>
      <c r="FZF48" s="971"/>
      <c r="FZG48" s="971"/>
      <c r="FZH48" s="971"/>
      <c r="FZI48" s="971"/>
      <c r="FZJ48" s="971"/>
      <c r="FZK48" s="971"/>
      <c r="FZL48" s="971"/>
      <c r="FZM48" s="971"/>
      <c r="FZN48" s="971"/>
      <c r="FZO48" s="971"/>
      <c r="FZP48" s="971"/>
      <c r="FZQ48" s="971"/>
      <c r="FZR48" s="971"/>
      <c r="FZS48" s="971"/>
      <c r="FZT48" s="971"/>
      <c r="FZU48" s="971"/>
      <c r="FZV48" s="971"/>
      <c r="FZW48" s="971"/>
      <c r="FZX48" s="971"/>
      <c r="FZY48" s="971"/>
      <c r="FZZ48" s="971"/>
      <c r="GAA48" s="971"/>
      <c r="GAB48" s="971"/>
      <c r="GAC48" s="971"/>
      <c r="GAD48" s="971"/>
      <c r="GAE48" s="971"/>
      <c r="GAF48" s="971"/>
      <c r="GAG48" s="971"/>
      <c r="GAH48" s="971"/>
      <c r="GAI48" s="971"/>
      <c r="GAJ48" s="971"/>
      <c r="GAK48" s="971"/>
      <c r="GAL48" s="971"/>
      <c r="GAM48" s="971"/>
      <c r="GAN48" s="971"/>
      <c r="GAO48" s="971"/>
      <c r="GAP48" s="971"/>
      <c r="GAQ48" s="971"/>
      <c r="GAR48" s="971"/>
      <c r="GAS48" s="971"/>
      <c r="GAT48" s="971"/>
      <c r="GAU48" s="971"/>
      <c r="GAV48" s="971"/>
      <c r="GAW48" s="971"/>
      <c r="GAX48" s="971"/>
      <c r="GAY48" s="971"/>
      <c r="GAZ48" s="971"/>
      <c r="GBA48" s="971"/>
      <c r="GBB48" s="971"/>
      <c r="GBC48" s="971"/>
      <c r="GBD48" s="971"/>
      <c r="GBE48" s="971"/>
      <c r="GBF48" s="971"/>
      <c r="GBG48" s="971"/>
      <c r="GBH48" s="971"/>
      <c r="GBI48" s="971"/>
      <c r="GBJ48" s="971"/>
      <c r="GBK48" s="971"/>
      <c r="GBL48" s="971"/>
      <c r="GBM48" s="971"/>
      <c r="GBN48" s="971"/>
      <c r="GBO48" s="971"/>
      <c r="GBP48" s="971"/>
      <c r="GBQ48" s="971"/>
      <c r="GBR48" s="971"/>
      <c r="GBS48" s="971"/>
      <c r="GBT48" s="971"/>
      <c r="GBU48" s="971"/>
      <c r="GBV48" s="971"/>
      <c r="GBW48" s="971"/>
      <c r="GBX48" s="971"/>
      <c r="GBY48" s="971"/>
      <c r="GBZ48" s="971"/>
      <c r="GCA48" s="971"/>
      <c r="GCB48" s="971"/>
      <c r="GCC48" s="971"/>
      <c r="GCD48" s="971"/>
      <c r="GCE48" s="971"/>
      <c r="GCF48" s="971"/>
      <c r="GCG48" s="971"/>
      <c r="GCH48" s="971"/>
      <c r="GCI48" s="971"/>
      <c r="GCJ48" s="971"/>
      <c r="GCK48" s="971"/>
      <c r="GCL48" s="971"/>
      <c r="GCM48" s="971"/>
      <c r="GCN48" s="971"/>
      <c r="GCO48" s="971"/>
      <c r="GCP48" s="971"/>
      <c r="GCQ48" s="971"/>
      <c r="GCR48" s="971"/>
      <c r="GCS48" s="971"/>
      <c r="GCT48" s="971"/>
      <c r="GCU48" s="971"/>
      <c r="GCV48" s="971"/>
      <c r="GCW48" s="971"/>
      <c r="GCX48" s="971"/>
      <c r="GCY48" s="971"/>
      <c r="GCZ48" s="971"/>
      <c r="GDA48" s="971"/>
      <c r="GDB48" s="971"/>
      <c r="GDC48" s="971"/>
      <c r="GDD48" s="971"/>
      <c r="GDE48" s="971"/>
      <c r="GDF48" s="971"/>
      <c r="GDG48" s="971"/>
      <c r="GDH48" s="971"/>
      <c r="GDI48" s="971"/>
      <c r="GDJ48" s="971"/>
      <c r="GDK48" s="971"/>
      <c r="GDL48" s="971"/>
      <c r="GDM48" s="971"/>
      <c r="GDN48" s="971"/>
      <c r="GDO48" s="971"/>
      <c r="GDP48" s="971"/>
      <c r="GDQ48" s="971"/>
      <c r="GDR48" s="971"/>
      <c r="GDS48" s="971"/>
      <c r="GDT48" s="971"/>
      <c r="GDU48" s="971"/>
      <c r="GDV48" s="971"/>
      <c r="GDW48" s="971"/>
      <c r="GDX48" s="971"/>
      <c r="GDY48" s="971"/>
      <c r="GDZ48" s="971"/>
      <c r="GEA48" s="971"/>
      <c r="GEB48" s="971"/>
      <c r="GEC48" s="971"/>
      <c r="GED48" s="971"/>
      <c r="GEE48" s="971"/>
      <c r="GEF48" s="971"/>
      <c r="GEG48" s="971"/>
      <c r="GEH48" s="971"/>
      <c r="GEI48" s="971"/>
      <c r="GEJ48" s="971"/>
      <c r="GEK48" s="971"/>
      <c r="GEL48" s="971"/>
      <c r="GEM48" s="971"/>
      <c r="GEN48" s="971"/>
      <c r="GEO48" s="971"/>
      <c r="GEP48" s="971"/>
      <c r="GEQ48" s="971"/>
      <c r="GER48" s="971"/>
      <c r="GES48" s="971"/>
      <c r="GET48" s="971"/>
      <c r="GEU48" s="971"/>
      <c r="GEV48" s="971"/>
      <c r="GEW48" s="971"/>
      <c r="GEX48" s="971"/>
      <c r="GEY48" s="971"/>
      <c r="GEZ48" s="971"/>
      <c r="GFA48" s="971"/>
      <c r="GFB48" s="971"/>
      <c r="GFC48" s="971"/>
      <c r="GFD48" s="971"/>
      <c r="GFE48" s="971"/>
      <c r="GFF48" s="971"/>
      <c r="GFG48" s="971"/>
      <c r="GFH48" s="971"/>
      <c r="GFI48" s="971"/>
      <c r="GFJ48" s="971"/>
      <c r="GFK48" s="971"/>
      <c r="GFL48" s="971"/>
      <c r="GFM48" s="971"/>
      <c r="GFN48" s="971"/>
      <c r="GFO48" s="971"/>
      <c r="GFP48" s="971"/>
      <c r="GFQ48" s="971"/>
      <c r="GFR48" s="971"/>
      <c r="GFS48" s="971"/>
      <c r="GFT48" s="971"/>
      <c r="GFU48" s="971"/>
      <c r="GFV48" s="971"/>
      <c r="GFW48" s="971"/>
      <c r="GFX48" s="971"/>
      <c r="GFY48" s="971"/>
      <c r="GFZ48" s="971"/>
      <c r="GGA48" s="971"/>
      <c r="GGB48" s="971"/>
      <c r="GGC48" s="971"/>
      <c r="GGD48" s="971"/>
      <c r="GGE48" s="971"/>
      <c r="GGF48" s="971"/>
      <c r="GGG48" s="971"/>
      <c r="GGH48" s="971"/>
      <c r="GGI48" s="971"/>
      <c r="GGJ48" s="971"/>
      <c r="GGK48" s="971"/>
      <c r="GGL48" s="971"/>
      <c r="GGM48" s="971"/>
      <c r="GGN48" s="971"/>
      <c r="GGO48" s="971"/>
      <c r="GGP48" s="971"/>
      <c r="GGQ48" s="971"/>
      <c r="GGR48" s="971"/>
      <c r="GGS48" s="971"/>
      <c r="GGT48" s="971"/>
      <c r="GGU48" s="971"/>
      <c r="GGV48" s="971"/>
      <c r="GGW48" s="971"/>
      <c r="GGX48" s="971"/>
      <c r="GGY48" s="971"/>
      <c r="GGZ48" s="971"/>
      <c r="GHA48" s="971"/>
      <c r="GHB48" s="971"/>
      <c r="GHC48" s="971"/>
      <c r="GHD48" s="971"/>
      <c r="GHE48" s="971"/>
      <c r="GHF48" s="971"/>
      <c r="GHG48" s="971"/>
      <c r="GHH48" s="971"/>
      <c r="GHI48" s="971"/>
      <c r="GHJ48" s="971"/>
      <c r="GHK48" s="971"/>
      <c r="GHL48" s="971"/>
      <c r="GHM48" s="971"/>
      <c r="GHN48" s="971"/>
      <c r="GHO48" s="971"/>
      <c r="GHP48" s="971"/>
      <c r="GHQ48" s="971"/>
      <c r="GHR48" s="971"/>
      <c r="GHS48" s="971"/>
      <c r="GHT48" s="971"/>
      <c r="GHU48" s="971"/>
      <c r="GHV48" s="971"/>
      <c r="GHW48" s="971"/>
      <c r="GHX48" s="971"/>
      <c r="GHY48" s="971"/>
      <c r="GHZ48" s="971"/>
      <c r="GIA48" s="971"/>
      <c r="GIB48" s="971"/>
      <c r="GIC48" s="971"/>
      <c r="GID48" s="971"/>
      <c r="GIE48" s="971"/>
      <c r="GIF48" s="971"/>
      <c r="GIG48" s="971"/>
      <c r="GIH48" s="971"/>
      <c r="GII48" s="971"/>
      <c r="GIJ48" s="971"/>
      <c r="GIK48" s="971"/>
      <c r="GIL48" s="971"/>
      <c r="GIM48" s="971"/>
      <c r="GIN48" s="971"/>
      <c r="GIO48" s="971"/>
      <c r="GIP48" s="971"/>
      <c r="GIQ48" s="971"/>
      <c r="GIR48" s="971"/>
      <c r="GIS48" s="971"/>
      <c r="GIT48" s="971"/>
      <c r="GIU48" s="971"/>
      <c r="GIV48" s="971"/>
      <c r="GIW48" s="971"/>
      <c r="GIX48" s="971"/>
      <c r="GIY48" s="971"/>
      <c r="GIZ48" s="971"/>
      <c r="GJA48" s="971"/>
      <c r="GJB48" s="971"/>
      <c r="GJC48" s="971"/>
      <c r="GJD48" s="971"/>
      <c r="GJE48" s="971"/>
      <c r="GJF48" s="971"/>
      <c r="GJG48" s="971"/>
      <c r="GJH48" s="971"/>
      <c r="GJI48" s="971"/>
      <c r="GJJ48" s="971"/>
      <c r="GJK48" s="971"/>
      <c r="GJL48" s="971"/>
      <c r="GJM48" s="971"/>
      <c r="GJN48" s="971"/>
      <c r="GJO48" s="971"/>
      <c r="GJP48" s="971"/>
      <c r="GJQ48" s="971"/>
      <c r="GJR48" s="971"/>
      <c r="GJS48" s="971"/>
      <c r="GJT48" s="971"/>
      <c r="GJU48" s="971"/>
      <c r="GJV48" s="971"/>
      <c r="GJW48" s="971"/>
      <c r="GJX48" s="971"/>
      <c r="GJY48" s="971"/>
      <c r="GJZ48" s="971"/>
      <c r="GKA48" s="971"/>
      <c r="GKB48" s="971"/>
      <c r="GKC48" s="971"/>
      <c r="GKD48" s="971"/>
      <c r="GKE48" s="971"/>
      <c r="GKF48" s="971"/>
      <c r="GKG48" s="971"/>
      <c r="GKH48" s="971"/>
      <c r="GKI48" s="971"/>
      <c r="GKJ48" s="971"/>
      <c r="GKK48" s="971"/>
      <c r="GKL48" s="971"/>
      <c r="GKM48" s="971"/>
      <c r="GKN48" s="971"/>
      <c r="GKO48" s="971"/>
      <c r="GKP48" s="971"/>
      <c r="GKQ48" s="971"/>
      <c r="GKR48" s="971"/>
      <c r="GKS48" s="971"/>
      <c r="GKT48" s="971"/>
      <c r="GKU48" s="971"/>
      <c r="GKV48" s="971"/>
      <c r="GKW48" s="971"/>
      <c r="GKX48" s="971"/>
      <c r="GKY48" s="971"/>
      <c r="GKZ48" s="971"/>
      <c r="GLA48" s="971"/>
      <c r="GLB48" s="971"/>
      <c r="GLC48" s="971"/>
      <c r="GLD48" s="971"/>
      <c r="GLE48" s="971"/>
      <c r="GLF48" s="971"/>
      <c r="GLG48" s="971"/>
      <c r="GLH48" s="971"/>
      <c r="GLI48" s="971"/>
      <c r="GLJ48" s="971"/>
      <c r="GLK48" s="971"/>
      <c r="GLL48" s="971"/>
      <c r="GLM48" s="971"/>
      <c r="GLN48" s="971"/>
      <c r="GLO48" s="971"/>
      <c r="GLP48" s="971"/>
      <c r="GLQ48" s="971"/>
      <c r="GLR48" s="971"/>
      <c r="GLS48" s="971"/>
      <c r="GLT48" s="971"/>
      <c r="GLU48" s="971"/>
      <c r="GLV48" s="971"/>
      <c r="GLW48" s="971"/>
      <c r="GLX48" s="971"/>
      <c r="GLY48" s="971"/>
      <c r="GLZ48" s="971"/>
      <c r="GMA48" s="971"/>
      <c r="GMB48" s="971"/>
      <c r="GMC48" s="971"/>
      <c r="GMD48" s="971"/>
      <c r="GME48" s="971"/>
      <c r="GMF48" s="971"/>
      <c r="GMG48" s="971"/>
      <c r="GMH48" s="971"/>
      <c r="GMI48" s="971"/>
      <c r="GMJ48" s="971"/>
      <c r="GMK48" s="971"/>
      <c r="GML48" s="971"/>
      <c r="GMM48" s="971"/>
      <c r="GMN48" s="971"/>
      <c r="GMO48" s="971"/>
      <c r="GMP48" s="971"/>
      <c r="GMQ48" s="971"/>
      <c r="GMR48" s="971"/>
      <c r="GMS48" s="971"/>
      <c r="GMT48" s="971"/>
      <c r="GMU48" s="971"/>
      <c r="GMV48" s="971"/>
      <c r="GMW48" s="971"/>
      <c r="GMX48" s="971"/>
      <c r="GMY48" s="971"/>
      <c r="GMZ48" s="971"/>
      <c r="GNA48" s="971"/>
      <c r="GNB48" s="971"/>
      <c r="GNC48" s="971"/>
      <c r="GND48" s="971"/>
      <c r="GNE48" s="971"/>
      <c r="GNF48" s="971"/>
      <c r="GNG48" s="971"/>
      <c r="GNH48" s="971"/>
      <c r="GNI48" s="971"/>
      <c r="GNJ48" s="971"/>
      <c r="GNK48" s="971"/>
      <c r="GNL48" s="971"/>
      <c r="GNM48" s="971"/>
      <c r="GNN48" s="971"/>
      <c r="GNO48" s="971"/>
      <c r="GNP48" s="971"/>
      <c r="GNQ48" s="971"/>
      <c r="GNR48" s="971"/>
      <c r="GNS48" s="971"/>
      <c r="GNT48" s="971"/>
      <c r="GNU48" s="971"/>
      <c r="GNV48" s="971"/>
      <c r="GNW48" s="971"/>
      <c r="GNX48" s="971"/>
      <c r="GNY48" s="971"/>
      <c r="GNZ48" s="971"/>
      <c r="GOA48" s="971"/>
      <c r="GOB48" s="971"/>
      <c r="GOC48" s="971"/>
      <c r="GOD48" s="971"/>
      <c r="GOE48" s="971"/>
      <c r="GOF48" s="971"/>
      <c r="GOG48" s="971"/>
      <c r="GOH48" s="971"/>
      <c r="GOI48" s="971"/>
      <c r="GOJ48" s="971"/>
      <c r="GOK48" s="971"/>
      <c r="GOL48" s="971"/>
      <c r="GOM48" s="971"/>
      <c r="GON48" s="971"/>
      <c r="GOO48" s="971"/>
      <c r="GOP48" s="971"/>
      <c r="GOQ48" s="971"/>
      <c r="GOR48" s="971"/>
      <c r="GOS48" s="971"/>
      <c r="GOT48" s="971"/>
      <c r="GOU48" s="971"/>
      <c r="GOV48" s="971"/>
      <c r="GOW48" s="971"/>
      <c r="GOX48" s="971"/>
      <c r="GOY48" s="971"/>
      <c r="GOZ48" s="971"/>
      <c r="GPA48" s="971"/>
      <c r="GPB48" s="971"/>
      <c r="GPC48" s="971"/>
      <c r="GPD48" s="971"/>
      <c r="GPE48" s="971"/>
      <c r="GPF48" s="971"/>
      <c r="GPG48" s="971"/>
      <c r="GPH48" s="971"/>
      <c r="GPI48" s="971"/>
      <c r="GPJ48" s="971"/>
      <c r="GPK48" s="971"/>
      <c r="GPL48" s="971"/>
      <c r="GPM48" s="971"/>
      <c r="GPN48" s="971"/>
      <c r="GPO48" s="971"/>
      <c r="GPP48" s="971"/>
      <c r="GPQ48" s="971"/>
      <c r="GPR48" s="971"/>
      <c r="GPS48" s="971"/>
      <c r="GPT48" s="971"/>
      <c r="GPU48" s="971"/>
      <c r="GPV48" s="971"/>
      <c r="GPW48" s="971"/>
      <c r="GPX48" s="971"/>
      <c r="GPY48" s="971"/>
      <c r="GPZ48" s="971"/>
      <c r="GQA48" s="971"/>
      <c r="GQB48" s="971"/>
      <c r="GQC48" s="971"/>
      <c r="GQD48" s="971"/>
      <c r="GQE48" s="971"/>
      <c r="GQF48" s="971"/>
      <c r="GQG48" s="971"/>
      <c r="GQH48" s="971"/>
      <c r="GQI48" s="971"/>
      <c r="GQJ48" s="971"/>
      <c r="GQK48" s="971"/>
      <c r="GQL48" s="971"/>
      <c r="GQM48" s="971"/>
      <c r="GQN48" s="971"/>
      <c r="GQO48" s="971"/>
      <c r="GQP48" s="971"/>
      <c r="GQQ48" s="971"/>
      <c r="GQR48" s="971"/>
      <c r="GQS48" s="971"/>
      <c r="GQT48" s="971"/>
      <c r="GQU48" s="971"/>
      <c r="GQV48" s="971"/>
      <c r="GQW48" s="971"/>
      <c r="GQX48" s="971"/>
      <c r="GQY48" s="971"/>
      <c r="GQZ48" s="971"/>
      <c r="GRA48" s="971"/>
      <c r="GRB48" s="971"/>
      <c r="GRC48" s="971"/>
      <c r="GRD48" s="971"/>
      <c r="GRE48" s="971"/>
      <c r="GRF48" s="971"/>
      <c r="GRG48" s="971"/>
      <c r="GRH48" s="971"/>
      <c r="GRI48" s="971"/>
      <c r="GRJ48" s="971"/>
      <c r="GRK48" s="971"/>
      <c r="GRL48" s="971"/>
      <c r="GRM48" s="971"/>
      <c r="GRN48" s="971"/>
      <c r="GRO48" s="971"/>
      <c r="GRP48" s="971"/>
      <c r="GRQ48" s="971"/>
      <c r="GRR48" s="971"/>
      <c r="GRS48" s="971"/>
      <c r="GRT48" s="971"/>
      <c r="GRU48" s="971"/>
      <c r="GRV48" s="971"/>
      <c r="GRW48" s="971"/>
      <c r="GRX48" s="971"/>
      <c r="GRY48" s="971"/>
      <c r="GRZ48" s="971"/>
      <c r="GSA48" s="971"/>
      <c r="GSB48" s="971"/>
      <c r="GSC48" s="971"/>
      <c r="GSD48" s="971"/>
      <c r="GSE48" s="971"/>
      <c r="GSF48" s="971"/>
      <c r="GSG48" s="971"/>
      <c r="GSH48" s="971"/>
      <c r="GSI48" s="971"/>
      <c r="GSJ48" s="971"/>
      <c r="GSK48" s="971"/>
      <c r="GSL48" s="971"/>
      <c r="GSM48" s="971"/>
      <c r="GSN48" s="971"/>
      <c r="GSO48" s="971"/>
      <c r="GSP48" s="971"/>
      <c r="GSQ48" s="971"/>
      <c r="GSR48" s="971"/>
      <c r="GSS48" s="971"/>
      <c r="GST48" s="971"/>
      <c r="GSU48" s="971"/>
      <c r="GSV48" s="971"/>
      <c r="GSW48" s="971"/>
      <c r="GSX48" s="971"/>
      <c r="GSY48" s="971"/>
      <c r="GSZ48" s="971"/>
      <c r="GTA48" s="971"/>
      <c r="GTB48" s="971"/>
      <c r="GTC48" s="971"/>
      <c r="GTD48" s="971"/>
      <c r="GTE48" s="971"/>
      <c r="GTF48" s="971"/>
      <c r="GTG48" s="971"/>
      <c r="GTH48" s="971"/>
      <c r="GTI48" s="971"/>
      <c r="GTJ48" s="971"/>
      <c r="GTK48" s="971"/>
      <c r="GTL48" s="971"/>
      <c r="GTM48" s="971"/>
      <c r="GTN48" s="971"/>
      <c r="GTO48" s="971"/>
      <c r="GTP48" s="971"/>
      <c r="GTQ48" s="971"/>
      <c r="GTR48" s="971"/>
      <c r="GTS48" s="971"/>
      <c r="GTT48" s="971"/>
      <c r="GTU48" s="971"/>
      <c r="GTV48" s="971"/>
      <c r="GTW48" s="971"/>
      <c r="GTX48" s="971"/>
      <c r="GTY48" s="971"/>
      <c r="GTZ48" s="971"/>
      <c r="GUA48" s="971"/>
      <c r="GUB48" s="971"/>
      <c r="GUC48" s="971"/>
      <c r="GUD48" s="971"/>
      <c r="GUE48" s="971"/>
      <c r="GUF48" s="971"/>
      <c r="GUG48" s="971"/>
      <c r="GUH48" s="971"/>
      <c r="GUI48" s="971"/>
      <c r="GUJ48" s="971"/>
      <c r="GUK48" s="971"/>
      <c r="GUL48" s="971"/>
      <c r="GUM48" s="971"/>
      <c r="GUN48" s="971"/>
      <c r="GUO48" s="971"/>
      <c r="GUP48" s="971"/>
      <c r="GUQ48" s="971"/>
      <c r="GUR48" s="971"/>
      <c r="GUS48" s="971"/>
      <c r="GUT48" s="971"/>
      <c r="GUU48" s="971"/>
      <c r="GUV48" s="971"/>
      <c r="GUW48" s="971"/>
      <c r="GUX48" s="971"/>
      <c r="GUY48" s="971"/>
      <c r="GUZ48" s="971"/>
      <c r="GVA48" s="971"/>
      <c r="GVB48" s="971"/>
      <c r="GVC48" s="971"/>
      <c r="GVD48" s="971"/>
      <c r="GVE48" s="971"/>
      <c r="GVF48" s="971"/>
      <c r="GVG48" s="971"/>
      <c r="GVH48" s="971"/>
      <c r="GVI48" s="971"/>
      <c r="GVJ48" s="971"/>
      <c r="GVK48" s="971"/>
      <c r="GVL48" s="971"/>
      <c r="GVM48" s="971"/>
      <c r="GVN48" s="971"/>
      <c r="GVO48" s="971"/>
      <c r="GVP48" s="971"/>
      <c r="GVQ48" s="971"/>
      <c r="GVR48" s="971"/>
      <c r="GVS48" s="971"/>
      <c r="GVT48" s="971"/>
      <c r="GVU48" s="971"/>
      <c r="GVV48" s="971"/>
      <c r="GVW48" s="971"/>
      <c r="GVX48" s="971"/>
      <c r="GVY48" s="971"/>
      <c r="GVZ48" s="971"/>
      <c r="GWA48" s="971"/>
      <c r="GWB48" s="971"/>
      <c r="GWC48" s="971"/>
      <c r="GWD48" s="971"/>
      <c r="GWE48" s="971"/>
      <c r="GWF48" s="971"/>
      <c r="GWG48" s="971"/>
      <c r="GWH48" s="971"/>
      <c r="GWI48" s="971"/>
      <c r="GWJ48" s="971"/>
      <c r="GWK48" s="971"/>
      <c r="GWL48" s="971"/>
      <c r="GWM48" s="971"/>
      <c r="GWN48" s="971"/>
      <c r="GWO48" s="971"/>
      <c r="GWP48" s="971"/>
      <c r="GWQ48" s="971"/>
      <c r="GWR48" s="971"/>
      <c r="GWS48" s="971"/>
      <c r="GWT48" s="971"/>
      <c r="GWU48" s="971"/>
      <c r="GWV48" s="971"/>
      <c r="GWW48" s="971"/>
      <c r="GWX48" s="971"/>
      <c r="GWY48" s="971"/>
      <c r="GWZ48" s="971"/>
      <c r="GXA48" s="971"/>
      <c r="GXB48" s="971"/>
      <c r="GXC48" s="971"/>
      <c r="GXD48" s="971"/>
      <c r="GXE48" s="971"/>
      <c r="GXF48" s="971"/>
      <c r="GXG48" s="971"/>
      <c r="GXH48" s="971"/>
      <c r="GXI48" s="971"/>
      <c r="GXJ48" s="971"/>
      <c r="GXK48" s="971"/>
      <c r="GXL48" s="971"/>
      <c r="GXM48" s="971"/>
      <c r="GXN48" s="971"/>
      <c r="GXO48" s="971"/>
      <c r="GXP48" s="971"/>
      <c r="GXQ48" s="971"/>
      <c r="GXR48" s="971"/>
      <c r="GXS48" s="971"/>
      <c r="GXT48" s="971"/>
      <c r="GXU48" s="971"/>
      <c r="GXV48" s="971"/>
      <c r="GXW48" s="971"/>
      <c r="GXX48" s="971"/>
      <c r="GXY48" s="971"/>
      <c r="GXZ48" s="971"/>
      <c r="GYA48" s="971"/>
      <c r="GYB48" s="971"/>
      <c r="GYC48" s="971"/>
      <c r="GYD48" s="971"/>
      <c r="GYE48" s="971"/>
      <c r="GYF48" s="971"/>
      <c r="GYG48" s="971"/>
      <c r="GYH48" s="971"/>
      <c r="GYI48" s="971"/>
      <c r="GYJ48" s="971"/>
      <c r="GYK48" s="971"/>
      <c r="GYL48" s="971"/>
      <c r="GYM48" s="971"/>
      <c r="GYN48" s="971"/>
      <c r="GYO48" s="971"/>
      <c r="GYP48" s="971"/>
      <c r="GYQ48" s="971"/>
      <c r="GYR48" s="971"/>
      <c r="GYS48" s="971"/>
      <c r="GYT48" s="971"/>
      <c r="GYU48" s="971"/>
      <c r="GYV48" s="971"/>
      <c r="GYW48" s="971"/>
      <c r="GYX48" s="971"/>
      <c r="GYY48" s="971"/>
      <c r="GYZ48" s="971"/>
      <c r="GZA48" s="971"/>
      <c r="GZB48" s="971"/>
      <c r="GZC48" s="971"/>
      <c r="GZD48" s="971"/>
      <c r="GZE48" s="971"/>
      <c r="GZF48" s="971"/>
      <c r="GZG48" s="971"/>
      <c r="GZH48" s="971"/>
      <c r="GZI48" s="971"/>
      <c r="GZJ48" s="971"/>
      <c r="GZK48" s="971"/>
      <c r="GZL48" s="971"/>
      <c r="GZM48" s="971"/>
      <c r="GZN48" s="971"/>
      <c r="GZO48" s="971"/>
      <c r="GZP48" s="971"/>
      <c r="GZQ48" s="971"/>
      <c r="GZR48" s="971"/>
      <c r="GZS48" s="971"/>
      <c r="GZT48" s="971"/>
      <c r="GZU48" s="971"/>
      <c r="GZV48" s="971"/>
      <c r="GZW48" s="971"/>
      <c r="GZX48" s="971"/>
      <c r="GZY48" s="971"/>
      <c r="GZZ48" s="971"/>
      <c r="HAA48" s="971"/>
      <c r="HAB48" s="971"/>
      <c r="HAC48" s="971"/>
      <c r="HAD48" s="971"/>
      <c r="HAE48" s="971"/>
      <c r="HAF48" s="971"/>
      <c r="HAG48" s="971"/>
      <c r="HAH48" s="971"/>
      <c r="HAI48" s="971"/>
      <c r="HAJ48" s="971"/>
      <c r="HAK48" s="971"/>
      <c r="HAL48" s="971"/>
      <c r="HAM48" s="971"/>
      <c r="HAN48" s="971"/>
      <c r="HAO48" s="971"/>
      <c r="HAP48" s="971"/>
      <c r="HAQ48" s="971"/>
      <c r="HAR48" s="971"/>
      <c r="HAS48" s="971"/>
      <c r="HAT48" s="971"/>
      <c r="HAU48" s="971"/>
      <c r="HAV48" s="971"/>
      <c r="HAW48" s="971"/>
      <c r="HAX48" s="971"/>
      <c r="HAY48" s="971"/>
      <c r="HAZ48" s="971"/>
      <c r="HBA48" s="971"/>
      <c r="HBB48" s="971"/>
      <c r="HBC48" s="971"/>
      <c r="HBD48" s="971"/>
      <c r="HBE48" s="971"/>
      <c r="HBF48" s="971"/>
      <c r="HBG48" s="971"/>
      <c r="HBH48" s="971"/>
      <c r="HBI48" s="971"/>
      <c r="HBJ48" s="971"/>
      <c r="HBK48" s="971"/>
      <c r="HBL48" s="971"/>
      <c r="HBM48" s="971"/>
      <c r="HBN48" s="971"/>
      <c r="HBO48" s="971"/>
      <c r="HBP48" s="971"/>
      <c r="HBQ48" s="971"/>
      <c r="HBR48" s="971"/>
      <c r="HBS48" s="971"/>
      <c r="HBT48" s="971"/>
      <c r="HBU48" s="971"/>
      <c r="HBV48" s="971"/>
      <c r="HBW48" s="971"/>
      <c r="HBX48" s="971"/>
      <c r="HBY48" s="971"/>
      <c r="HBZ48" s="971"/>
      <c r="HCA48" s="971"/>
      <c r="HCB48" s="971"/>
      <c r="HCC48" s="971"/>
      <c r="HCD48" s="971"/>
      <c r="HCE48" s="971"/>
      <c r="HCF48" s="971"/>
      <c r="HCG48" s="971"/>
      <c r="HCH48" s="971"/>
      <c r="HCI48" s="971"/>
      <c r="HCJ48" s="971"/>
      <c r="HCK48" s="971"/>
      <c r="HCL48" s="971"/>
      <c r="HCM48" s="971"/>
      <c r="HCN48" s="971"/>
      <c r="HCO48" s="971"/>
      <c r="HCP48" s="971"/>
      <c r="HCQ48" s="971"/>
      <c r="HCR48" s="971"/>
      <c r="HCS48" s="971"/>
      <c r="HCT48" s="971"/>
      <c r="HCU48" s="971"/>
      <c r="HCV48" s="971"/>
      <c r="HCW48" s="971"/>
      <c r="HCX48" s="971"/>
      <c r="HCY48" s="971"/>
      <c r="HCZ48" s="971"/>
      <c r="HDA48" s="971"/>
      <c r="HDB48" s="971"/>
      <c r="HDC48" s="971"/>
      <c r="HDD48" s="971"/>
      <c r="HDE48" s="971"/>
      <c r="HDF48" s="971"/>
      <c r="HDG48" s="971"/>
      <c r="HDH48" s="971"/>
      <c r="HDI48" s="971"/>
      <c r="HDJ48" s="971"/>
      <c r="HDK48" s="971"/>
      <c r="HDL48" s="971"/>
      <c r="HDM48" s="971"/>
      <c r="HDN48" s="971"/>
      <c r="HDO48" s="971"/>
      <c r="HDP48" s="971"/>
      <c r="HDQ48" s="971"/>
      <c r="HDR48" s="971"/>
      <c r="HDS48" s="971"/>
      <c r="HDT48" s="971"/>
      <c r="HDU48" s="971"/>
      <c r="HDV48" s="971"/>
      <c r="HDW48" s="971"/>
      <c r="HDX48" s="971"/>
      <c r="HDY48" s="971"/>
      <c r="HDZ48" s="971"/>
      <c r="HEA48" s="971"/>
      <c r="HEB48" s="971"/>
      <c r="HEC48" s="971"/>
      <c r="HED48" s="971"/>
      <c r="HEE48" s="971"/>
      <c r="HEF48" s="971"/>
      <c r="HEG48" s="971"/>
      <c r="HEH48" s="971"/>
      <c r="HEI48" s="971"/>
      <c r="HEJ48" s="971"/>
      <c r="HEK48" s="971"/>
      <c r="HEL48" s="971"/>
      <c r="HEM48" s="971"/>
      <c r="HEN48" s="971"/>
      <c r="HEO48" s="971"/>
      <c r="HEP48" s="971"/>
      <c r="HEQ48" s="971"/>
      <c r="HER48" s="971"/>
      <c r="HES48" s="971"/>
      <c r="HET48" s="971"/>
      <c r="HEU48" s="971"/>
      <c r="HEV48" s="971"/>
      <c r="HEW48" s="971"/>
      <c r="HEX48" s="971"/>
      <c r="HEY48" s="971"/>
      <c r="HEZ48" s="971"/>
      <c r="HFA48" s="971"/>
      <c r="HFB48" s="971"/>
      <c r="HFC48" s="971"/>
      <c r="HFD48" s="971"/>
      <c r="HFE48" s="971"/>
      <c r="HFF48" s="971"/>
      <c r="HFG48" s="971"/>
      <c r="HFH48" s="971"/>
      <c r="HFI48" s="971"/>
      <c r="HFJ48" s="971"/>
      <c r="HFK48" s="971"/>
      <c r="HFL48" s="971"/>
      <c r="HFM48" s="971"/>
      <c r="HFN48" s="971"/>
      <c r="HFO48" s="971"/>
      <c r="HFP48" s="971"/>
      <c r="HFQ48" s="971"/>
      <c r="HFR48" s="971"/>
      <c r="HFS48" s="971"/>
      <c r="HFT48" s="971"/>
      <c r="HFU48" s="971"/>
      <c r="HFV48" s="971"/>
      <c r="HFW48" s="971"/>
      <c r="HFX48" s="971"/>
      <c r="HFY48" s="971"/>
      <c r="HFZ48" s="971"/>
      <c r="HGA48" s="971"/>
      <c r="HGB48" s="971"/>
      <c r="HGC48" s="971"/>
      <c r="HGD48" s="971"/>
      <c r="HGE48" s="971"/>
      <c r="HGF48" s="971"/>
      <c r="HGG48" s="971"/>
      <c r="HGH48" s="971"/>
      <c r="HGI48" s="971"/>
      <c r="HGJ48" s="971"/>
      <c r="HGK48" s="971"/>
      <c r="HGL48" s="971"/>
      <c r="HGM48" s="971"/>
      <c r="HGN48" s="971"/>
      <c r="HGO48" s="971"/>
      <c r="HGP48" s="971"/>
      <c r="HGQ48" s="971"/>
      <c r="HGR48" s="971"/>
      <c r="HGS48" s="971"/>
      <c r="HGT48" s="971"/>
      <c r="HGU48" s="971"/>
      <c r="HGV48" s="971"/>
      <c r="HGW48" s="971"/>
      <c r="HGX48" s="971"/>
      <c r="HGY48" s="971"/>
      <c r="HGZ48" s="971"/>
      <c r="HHA48" s="971"/>
      <c r="HHB48" s="971"/>
      <c r="HHC48" s="971"/>
      <c r="HHD48" s="971"/>
      <c r="HHE48" s="971"/>
      <c r="HHF48" s="971"/>
      <c r="HHG48" s="971"/>
      <c r="HHH48" s="971"/>
      <c r="HHI48" s="971"/>
      <c r="HHJ48" s="971"/>
      <c r="HHK48" s="971"/>
      <c r="HHL48" s="971"/>
      <c r="HHM48" s="971"/>
      <c r="HHN48" s="971"/>
      <c r="HHO48" s="971"/>
      <c r="HHP48" s="971"/>
      <c r="HHQ48" s="971"/>
      <c r="HHR48" s="971"/>
      <c r="HHS48" s="971"/>
      <c r="HHT48" s="971"/>
      <c r="HHU48" s="971"/>
      <c r="HHV48" s="971"/>
      <c r="HHW48" s="971"/>
      <c r="HHX48" s="971"/>
      <c r="HHY48" s="971"/>
      <c r="HHZ48" s="971"/>
      <c r="HIA48" s="971"/>
      <c r="HIB48" s="971"/>
      <c r="HIC48" s="971"/>
      <c r="HID48" s="971"/>
      <c r="HIE48" s="971"/>
      <c r="HIF48" s="971"/>
      <c r="HIG48" s="971"/>
      <c r="HIH48" s="971"/>
      <c r="HII48" s="971"/>
      <c r="HIJ48" s="971"/>
      <c r="HIK48" s="971"/>
      <c r="HIL48" s="971"/>
      <c r="HIM48" s="971"/>
      <c r="HIN48" s="971"/>
      <c r="HIO48" s="971"/>
      <c r="HIP48" s="971"/>
      <c r="HIQ48" s="971"/>
      <c r="HIR48" s="971"/>
      <c r="HIS48" s="971"/>
      <c r="HIT48" s="971"/>
      <c r="HIU48" s="971"/>
      <c r="HIV48" s="971"/>
      <c r="HIW48" s="971"/>
      <c r="HIX48" s="971"/>
      <c r="HIY48" s="971"/>
      <c r="HIZ48" s="971"/>
      <c r="HJA48" s="971"/>
      <c r="HJB48" s="971"/>
      <c r="HJC48" s="971"/>
      <c r="HJD48" s="971"/>
      <c r="HJE48" s="971"/>
      <c r="HJF48" s="971"/>
      <c r="HJG48" s="971"/>
      <c r="HJH48" s="971"/>
      <c r="HJI48" s="971"/>
      <c r="HJJ48" s="971"/>
      <c r="HJK48" s="971"/>
      <c r="HJL48" s="971"/>
      <c r="HJM48" s="971"/>
      <c r="HJN48" s="971"/>
      <c r="HJO48" s="971"/>
      <c r="HJP48" s="971"/>
      <c r="HJQ48" s="971"/>
      <c r="HJR48" s="971"/>
      <c r="HJS48" s="971"/>
      <c r="HJT48" s="971"/>
      <c r="HJU48" s="971"/>
      <c r="HJV48" s="971"/>
      <c r="HJW48" s="971"/>
      <c r="HJX48" s="971"/>
      <c r="HJY48" s="971"/>
      <c r="HJZ48" s="971"/>
      <c r="HKA48" s="971"/>
      <c r="HKB48" s="971"/>
      <c r="HKC48" s="971"/>
      <c r="HKD48" s="971"/>
      <c r="HKE48" s="971"/>
      <c r="HKF48" s="971"/>
      <c r="HKG48" s="971"/>
      <c r="HKH48" s="971"/>
      <c r="HKI48" s="971"/>
      <c r="HKJ48" s="971"/>
      <c r="HKK48" s="971"/>
      <c r="HKL48" s="971"/>
      <c r="HKM48" s="971"/>
      <c r="HKN48" s="971"/>
      <c r="HKO48" s="971"/>
      <c r="HKP48" s="971"/>
      <c r="HKQ48" s="971"/>
      <c r="HKR48" s="971"/>
      <c r="HKS48" s="971"/>
      <c r="HKT48" s="971"/>
      <c r="HKU48" s="971"/>
      <c r="HKV48" s="971"/>
      <c r="HKW48" s="971"/>
      <c r="HKX48" s="971"/>
      <c r="HKY48" s="971"/>
      <c r="HKZ48" s="971"/>
      <c r="HLA48" s="971"/>
      <c r="HLB48" s="971"/>
      <c r="HLC48" s="971"/>
      <c r="HLD48" s="971"/>
      <c r="HLE48" s="971"/>
      <c r="HLF48" s="971"/>
      <c r="HLG48" s="971"/>
      <c r="HLH48" s="971"/>
      <c r="HLI48" s="971"/>
      <c r="HLJ48" s="971"/>
      <c r="HLK48" s="971"/>
      <c r="HLL48" s="971"/>
      <c r="HLM48" s="971"/>
      <c r="HLN48" s="971"/>
      <c r="HLO48" s="971"/>
      <c r="HLP48" s="971"/>
      <c r="HLQ48" s="971"/>
      <c r="HLR48" s="971"/>
      <c r="HLS48" s="971"/>
      <c r="HLT48" s="971"/>
      <c r="HLU48" s="971"/>
      <c r="HLV48" s="971"/>
      <c r="HLW48" s="971"/>
      <c r="HLX48" s="971"/>
      <c r="HLY48" s="971"/>
      <c r="HLZ48" s="971"/>
      <c r="HMA48" s="971"/>
      <c r="HMB48" s="971"/>
      <c r="HMC48" s="971"/>
      <c r="HMD48" s="971"/>
      <c r="HME48" s="971"/>
      <c r="HMF48" s="971"/>
      <c r="HMG48" s="971"/>
      <c r="HMH48" s="971"/>
      <c r="HMI48" s="971"/>
      <c r="HMJ48" s="971"/>
      <c r="HMK48" s="971"/>
      <c r="HML48" s="971"/>
      <c r="HMM48" s="971"/>
      <c r="HMN48" s="971"/>
      <c r="HMO48" s="971"/>
      <c r="HMP48" s="971"/>
      <c r="HMQ48" s="971"/>
      <c r="HMR48" s="971"/>
      <c r="HMS48" s="971"/>
      <c r="HMT48" s="971"/>
      <c r="HMU48" s="971"/>
      <c r="HMV48" s="971"/>
      <c r="HMW48" s="971"/>
      <c r="HMX48" s="971"/>
      <c r="HMY48" s="971"/>
      <c r="HMZ48" s="971"/>
      <c r="HNA48" s="971"/>
      <c r="HNB48" s="971"/>
      <c r="HNC48" s="971"/>
      <c r="HND48" s="971"/>
      <c r="HNE48" s="971"/>
      <c r="HNF48" s="971"/>
      <c r="HNG48" s="971"/>
      <c r="HNH48" s="971"/>
      <c r="HNI48" s="971"/>
      <c r="HNJ48" s="971"/>
      <c r="HNK48" s="971"/>
      <c r="HNL48" s="971"/>
      <c r="HNM48" s="971"/>
      <c r="HNN48" s="971"/>
      <c r="HNO48" s="971"/>
      <c r="HNP48" s="971"/>
      <c r="HNQ48" s="971"/>
      <c r="HNR48" s="971"/>
      <c r="HNS48" s="971"/>
      <c r="HNT48" s="971"/>
      <c r="HNU48" s="971"/>
      <c r="HNV48" s="971"/>
      <c r="HNW48" s="971"/>
      <c r="HNX48" s="971"/>
      <c r="HNY48" s="971"/>
      <c r="HNZ48" s="971"/>
      <c r="HOA48" s="971"/>
      <c r="HOB48" s="971"/>
      <c r="HOC48" s="971"/>
      <c r="HOD48" s="971"/>
      <c r="HOE48" s="971"/>
      <c r="HOF48" s="971"/>
      <c r="HOG48" s="971"/>
      <c r="HOH48" s="971"/>
      <c r="HOI48" s="971"/>
      <c r="HOJ48" s="971"/>
      <c r="HOK48" s="971"/>
      <c r="HOL48" s="971"/>
      <c r="HOM48" s="971"/>
      <c r="HON48" s="971"/>
      <c r="HOO48" s="971"/>
      <c r="HOP48" s="971"/>
      <c r="HOQ48" s="971"/>
      <c r="HOR48" s="971"/>
      <c r="HOS48" s="971"/>
      <c r="HOT48" s="971"/>
      <c r="HOU48" s="971"/>
      <c r="HOV48" s="971"/>
      <c r="HOW48" s="971"/>
      <c r="HOX48" s="971"/>
      <c r="HOY48" s="971"/>
      <c r="HOZ48" s="971"/>
      <c r="HPA48" s="971"/>
      <c r="HPB48" s="971"/>
      <c r="HPC48" s="971"/>
      <c r="HPD48" s="971"/>
      <c r="HPE48" s="971"/>
      <c r="HPF48" s="971"/>
      <c r="HPG48" s="971"/>
      <c r="HPH48" s="971"/>
      <c r="HPI48" s="971"/>
      <c r="HPJ48" s="971"/>
      <c r="HPK48" s="971"/>
      <c r="HPL48" s="971"/>
      <c r="HPM48" s="971"/>
      <c r="HPN48" s="971"/>
      <c r="HPO48" s="971"/>
      <c r="HPP48" s="971"/>
      <c r="HPQ48" s="971"/>
      <c r="HPR48" s="971"/>
      <c r="HPS48" s="971"/>
      <c r="HPT48" s="971"/>
      <c r="HPU48" s="971"/>
      <c r="HPV48" s="971"/>
      <c r="HPW48" s="971"/>
      <c r="HPX48" s="971"/>
      <c r="HPY48" s="971"/>
      <c r="HPZ48" s="971"/>
      <c r="HQA48" s="971"/>
      <c r="HQB48" s="971"/>
      <c r="HQC48" s="971"/>
      <c r="HQD48" s="971"/>
      <c r="HQE48" s="971"/>
      <c r="HQF48" s="971"/>
      <c r="HQG48" s="971"/>
      <c r="HQH48" s="971"/>
      <c r="HQI48" s="971"/>
      <c r="HQJ48" s="971"/>
      <c r="HQK48" s="971"/>
      <c r="HQL48" s="971"/>
      <c r="HQM48" s="971"/>
      <c r="HQN48" s="971"/>
      <c r="HQO48" s="971"/>
      <c r="HQP48" s="971"/>
      <c r="HQQ48" s="971"/>
      <c r="HQR48" s="971"/>
      <c r="HQS48" s="971"/>
      <c r="HQT48" s="971"/>
      <c r="HQU48" s="971"/>
      <c r="HQV48" s="971"/>
      <c r="HQW48" s="971"/>
      <c r="HQX48" s="971"/>
      <c r="HQY48" s="971"/>
      <c r="HQZ48" s="971"/>
      <c r="HRA48" s="971"/>
      <c r="HRB48" s="971"/>
      <c r="HRC48" s="971"/>
      <c r="HRD48" s="971"/>
      <c r="HRE48" s="971"/>
      <c r="HRF48" s="971"/>
      <c r="HRG48" s="971"/>
      <c r="HRH48" s="971"/>
      <c r="HRI48" s="971"/>
      <c r="HRJ48" s="971"/>
      <c r="HRK48" s="971"/>
      <c r="HRL48" s="971"/>
      <c r="HRM48" s="971"/>
      <c r="HRN48" s="971"/>
      <c r="HRO48" s="971"/>
      <c r="HRP48" s="971"/>
      <c r="HRQ48" s="971"/>
      <c r="HRR48" s="971"/>
      <c r="HRS48" s="971"/>
      <c r="HRT48" s="971"/>
      <c r="HRU48" s="971"/>
      <c r="HRV48" s="971"/>
      <c r="HRW48" s="971"/>
      <c r="HRX48" s="971"/>
      <c r="HRY48" s="971"/>
      <c r="HRZ48" s="971"/>
      <c r="HSA48" s="971"/>
      <c r="HSB48" s="971"/>
      <c r="HSC48" s="971"/>
      <c r="HSD48" s="971"/>
      <c r="HSE48" s="971"/>
      <c r="HSF48" s="971"/>
      <c r="HSG48" s="971"/>
      <c r="HSH48" s="971"/>
      <c r="HSI48" s="971"/>
      <c r="HSJ48" s="971"/>
      <c r="HSK48" s="971"/>
      <c r="HSL48" s="971"/>
      <c r="HSM48" s="971"/>
      <c r="HSN48" s="971"/>
      <c r="HSO48" s="971"/>
      <c r="HSP48" s="971"/>
      <c r="HSQ48" s="971"/>
      <c r="HSR48" s="971"/>
      <c r="HSS48" s="971"/>
      <c r="HST48" s="971"/>
      <c r="HSU48" s="971"/>
      <c r="HSV48" s="971"/>
      <c r="HSW48" s="971"/>
      <c r="HSX48" s="971"/>
      <c r="HSY48" s="971"/>
      <c r="HSZ48" s="971"/>
      <c r="HTA48" s="971"/>
      <c r="HTB48" s="971"/>
      <c r="HTC48" s="971"/>
      <c r="HTD48" s="971"/>
      <c r="HTE48" s="971"/>
      <c r="HTF48" s="971"/>
      <c r="HTG48" s="971"/>
      <c r="HTH48" s="971"/>
      <c r="HTI48" s="971"/>
      <c r="HTJ48" s="971"/>
      <c r="HTK48" s="971"/>
      <c r="HTL48" s="971"/>
      <c r="HTM48" s="971"/>
      <c r="HTN48" s="971"/>
      <c r="HTO48" s="971"/>
      <c r="HTP48" s="971"/>
      <c r="HTQ48" s="971"/>
      <c r="HTR48" s="971"/>
      <c r="HTS48" s="971"/>
      <c r="HTT48" s="971"/>
      <c r="HTU48" s="971"/>
      <c r="HTV48" s="971"/>
      <c r="HTW48" s="971"/>
      <c r="HTX48" s="971"/>
      <c r="HTY48" s="971"/>
      <c r="HTZ48" s="971"/>
      <c r="HUA48" s="971"/>
      <c r="HUB48" s="971"/>
      <c r="HUC48" s="971"/>
      <c r="HUD48" s="971"/>
      <c r="HUE48" s="971"/>
      <c r="HUF48" s="971"/>
      <c r="HUG48" s="971"/>
      <c r="HUH48" s="971"/>
      <c r="HUI48" s="971"/>
      <c r="HUJ48" s="971"/>
      <c r="HUK48" s="971"/>
      <c r="HUL48" s="971"/>
      <c r="HUM48" s="971"/>
      <c r="HUN48" s="971"/>
      <c r="HUO48" s="971"/>
      <c r="HUP48" s="971"/>
      <c r="HUQ48" s="971"/>
      <c r="HUR48" s="971"/>
      <c r="HUS48" s="971"/>
      <c r="HUT48" s="971"/>
      <c r="HUU48" s="971"/>
      <c r="HUV48" s="971"/>
      <c r="HUW48" s="971"/>
      <c r="HUX48" s="971"/>
      <c r="HUY48" s="971"/>
      <c r="HUZ48" s="971"/>
      <c r="HVA48" s="971"/>
      <c r="HVB48" s="971"/>
      <c r="HVC48" s="971"/>
      <c r="HVD48" s="971"/>
      <c r="HVE48" s="971"/>
      <c r="HVF48" s="971"/>
      <c r="HVG48" s="971"/>
      <c r="HVH48" s="971"/>
      <c r="HVI48" s="971"/>
      <c r="HVJ48" s="971"/>
      <c r="HVK48" s="971"/>
      <c r="HVL48" s="971"/>
      <c r="HVM48" s="971"/>
      <c r="HVN48" s="971"/>
      <c r="HVO48" s="971"/>
      <c r="HVP48" s="971"/>
      <c r="HVQ48" s="971"/>
      <c r="HVR48" s="971"/>
      <c r="HVS48" s="971"/>
      <c r="HVT48" s="971"/>
      <c r="HVU48" s="971"/>
      <c r="HVV48" s="971"/>
      <c r="HVW48" s="971"/>
      <c r="HVX48" s="971"/>
      <c r="HVY48" s="971"/>
      <c r="HVZ48" s="971"/>
      <c r="HWA48" s="971"/>
      <c r="HWB48" s="971"/>
      <c r="HWC48" s="971"/>
      <c r="HWD48" s="971"/>
      <c r="HWE48" s="971"/>
      <c r="HWF48" s="971"/>
      <c r="HWG48" s="971"/>
      <c r="HWH48" s="971"/>
      <c r="HWI48" s="971"/>
      <c r="HWJ48" s="971"/>
      <c r="HWK48" s="971"/>
      <c r="HWL48" s="971"/>
      <c r="HWM48" s="971"/>
      <c r="HWN48" s="971"/>
      <c r="HWO48" s="971"/>
      <c r="HWP48" s="971"/>
      <c r="HWQ48" s="971"/>
      <c r="HWR48" s="971"/>
      <c r="HWS48" s="971"/>
      <c r="HWT48" s="971"/>
      <c r="HWU48" s="971"/>
      <c r="HWV48" s="971"/>
      <c r="HWW48" s="971"/>
      <c r="HWX48" s="971"/>
      <c r="HWY48" s="971"/>
      <c r="HWZ48" s="971"/>
      <c r="HXA48" s="971"/>
      <c r="HXB48" s="971"/>
      <c r="HXC48" s="971"/>
      <c r="HXD48" s="971"/>
      <c r="HXE48" s="971"/>
      <c r="HXF48" s="971"/>
      <c r="HXG48" s="971"/>
      <c r="HXH48" s="971"/>
      <c r="HXI48" s="971"/>
      <c r="HXJ48" s="971"/>
      <c r="HXK48" s="971"/>
      <c r="HXL48" s="971"/>
      <c r="HXM48" s="971"/>
      <c r="HXN48" s="971"/>
      <c r="HXO48" s="971"/>
      <c r="HXP48" s="971"/>
      <c r="HXQ48" s="971"/>
      <c r="HXR48" s="971"/>
      <c r="HXS48" s="971"/>
      <c r="HXT48" s="971"/>
      <c r="HXU48" s="971"/>
      <c r="HXV48" s="971"/>
      <c r="HXW48" s="971"/>
      <c r="HXX48" s="971"/>
      <c r="HXY48" s="971"/>
      <c r="HXZ48" s="971"/>
      <c r="HYA48" s="971"/>
      <c r="HYB48" s="971"/>
      <c r="HYC48" s="971"/>
      <c r="HYD48" s="971"/>
      <c r="HYE48" s="971"/>
      <c r="HYF48" s="971"/>
      <c r="HYG48" s="971"/>
      <c r="HYH48" s="971"/>
      <c r="HYI48" s="971"/>
      <c r="HYJ48" s="971"/>
      <c r="HYK48" s="971"/>
      <c r="HYL48" s="971"/>
      <c r="HYM48" s="971"/>
      <c r="HYN48" s="971"/>
      <c r="HYO48" s="971"/>
      <c r="HYP48" s="971"/>
      <c r="HYQ48" s="971"/>
      <c r="HYR48" s="971"/>
      <c r="HYS48" s="971"/>
      <c r="HYT48" s="971"/>
      <c r="HYU48" s="971"/>
      <c r="HYV48" s="971"/>
      <c r="HYW48" s="971"/>
      <c r="HYX48" s="971"/>
      <c r="HYY48" s="971"/>
      <c r="HYZ48" s="971"/>
      <c r="HZA48" s="971"/>
      <c r="HZB48" s="971"/>
      <c r="HZC48" s="971"/>
      <c r="HZD48" s="971"/>
      <c r="HZE48" s="971"/>
      <c r="HZF48" s="971"/>
      <c r="HZG48" s="971"/>
      <c r="HZH48" s="971"/>
      <c r="HZI48" s="971"/>
      <c r="HZJ48" s="971"/>
      <c r="HZK48" s="971"/>
      <c r="HZL48" s="971"/>
      <c r="HZM48" s="971"/>
      <c r="HZN48" s="971"/>
      <c r="HZO48" s="971"/>
      <c r="HZP48" s="971"/>
      <c r="HZQ48" s="971"/>
      <c r="HZR48" s="971"/>
      <c r="HZS48" s="971"/>
      <c r="HZT48" s="971"/>
      <c r="HZU48" s="971"/>
      <c r="HZV48" s="971"/>
      <c r="HZW48" s="971"/>
      <c r="HZX48" s="971"/>
      <c r="HZY48" s="971"/>
      <c r="HZZ48" s="971"/>
      <c r="IAA48" s="971"/>
      <c r="IAB48" s="971"/>
      <c r="IAC48" s="971"/>
      <c r="IAD48" s="971"/>
      <c r="IAE48" s="971"/>
      <c r="IAF48" s="971"/>
      <c r="IAG48" s="971"/>
      <c r="IAH48" s="971"/>
      <c r="IAI48" s="971"/>
      <c r="IAJ48" s="971"/>
      <c r="IAK48" s="971"/>
      <c r="IAL48" s="971"/>
      <c r="IAM48" s="971"/>
      <c r="IAN48" s="971"/>
      <c r="IAO48" s="971"/>
      <c r="IAP48" s="971"/>
      <c r="IAQ48" s="971"/>
      <c r="IAR48" s="971"/>
      <c r="IAS48" s="971"/>
      <c r="IAT48" s="971"/>
      <c r="IAU48" s="971"/>
      <c r="IAV48" s="971"/>
      <c r="IAW48" s="971"/>
      <c r="IAX48" s="971"/>
      <c r="IAY48" s="971"/>
      <c r="IAZ48" s="971"/>
      <c r="IBA48" s="971"/>
      <c r="IBB48" s="971"/>
      <c r="IBC48" s="971"/>
      <c r="IBD48" s="971"/>
      <c r="IBE48" s="971"/>
      <c r="IBF48" s="971"/>
      <c r="IBG48" s="971"/>
      <c r="IBH48" s="971"/>
      <c r="IBI48" s="971"/>
      <c r="IBJ48" s="971"/>
      <c r="IBK48" s="971"/>
      <c r="IBL48" s="971"/>
      <c r="IBM48" s="971"/>
      <c r="IBN48" s="971"/>
      <c r="IBO48" s="971"/>
      <c r="IBP48" s="971"/>
      <c r="IBQ48" s="971"/>
      <c r="IBR48" s="971"/>
      <c r="IBS48" s="971"/>
      <c r="IBT48" s="971"/>
      <c r="IBU48" s="971"/>
      <c r="IBV48" s="971"/>
      <c r="IBW48" s="971"/>
      <c r="IBX48" s="971"/>
      <c r="IBY48" s="971"/>
      <c r="IBZ48" s="971"/>
      <c r="ICA48" s="971"/>
      <c r="ICB48" s="971"/>
      <c r="ICC48" s="971"/>
      <c r="ICD48" s="971"/>
      <c r="ICE48" s="971"/>
      <c r="ICF48" s="971"/>
      <c r="ICG48" s="971"/>
      <c r="ICH48" s="971"/>
      <c r="ICI48" s="971"/>
      <c r="ICJ48" s="971"/>
      <c r="ICK48" s="971"/>
      <c r="ICL48" s="971"/>
      <c r="ICM48" s="971"/>
      <c r="ICN48" s="971"/>
      <c r="ICO48" s="971"/>
      <c r="ICP48" s="971"/>
      <c r="ICQ48" s="971"/>
      <c r="ICR48" s="971"/>
      <c r="ICS48" s="971"/>
      <c r="ICT48" s="971"/>
      <c r="ICU48" s="971"/>
      <c r="ICV48" s="971"/>
      <c r="ICW48" s="971"/>
      <c r="ICX48" s="971"/>
      <c r="ICY48" s="971"/>
      <c r="ICZ48" s="971"/>
      <c r="IDA48" s="971"/>
      <c r="IDB48" s="971"/>
      <c r="IDC48" s="971"/>
      <c r="IDD48" s="971"/>
      <c r="IDE48" s="971"/>
      <c r="IDF48" s="971"/>
      <c r="IDG48" s="971"/>
      <c r="IDH48" s="971"/>
      <c r="IDI48" s="971"/>
      <c r="IDJ48" s="971"/>
      <c r="IDK48" s="971"/>
      <c r="IDL48" s="971"/>
      <c r="IDM48" s="971"/>
      <c r="IDN48" s="971"/>
      <c r="IDO48" s="971"/>
      <c r="IDP48" s="971"/>
      <c r="IDQ48" s="971"/>
      <c r="IDR48" s="971"/>
      <c r="IDS48" s="971"/>
      <c r="IDT48" s="971"/>
      <c r="IDU48" s="971"/>
      <c r="IDV48" s="971"/>
      <c r="IDW48" s="971"/>
      <c r="IDX48" s="971"/>
      <c r="IDY48" s="971"/>
      <c r="IDZ48" s="971"/>
      <c r="IEA48" s="971"/>
      <c r="IEB48" s="971"/>
      <c r="IEC48" s="971"/>
      <c r="IED48" s="971"/>
      <c r="IEE48" s="971"/>
      <c r="IEF48" s="971"/>
      <c r="IEG48" s="971"/>
      <c r="IEH48" s="971"/>
      <c r="IEI48" s="971"/>
      <c r="IEJ48" s="971"/>
      <c r="IEK48" s="971"/>
      <c r="IEL48" s="971"/>
      <c r="IEM48" s="971"/>
      <c r="IEN48" s="971"/>
      <c r="IEO48" s="971"/>
      <c r="IEP48" s="971"/>
      <c r="IEQ48" s="971"/>
      <c r="IER48" s="971"/>
      <c r="IES48" s="971"/>
      <c r="IET48" s="971"/>
      <c r="IEU48" s="971"/>
      <c r="IEV48" s="971"/>
      <c r="IEW48" s="971"/>
      <c r="IEX48" s="971"/>
      <c r="IEY48" s="971"/>
      <c r="IEZ48" s="971"/>
      <c r="IFA48" s="971"/>
      <c r="IFB48" s="971"/>
      <c r="IFC48" s="971"/>
      <c r="IFD48" s="971"/>
      <c r="IFE48" s="971"/>
      <c r="IFF48" s="971"/>
      <c r="IFG48" s="971"/>
      <c r="IFH48" s="971"/>
      <c r="IFI48" s="971"/>
      <c r="IFJ48" s="971"/>
      <c r="IFK48" s="971"/>
      <c r="IFL48" s="971"/>
      <c r="IFM48" s="971"/>
      <c r="IFN48" s="971"/>
      <c r="IFO48" s="971"/>
      <c r="IFP48" s="971"/>
      <c r="IFQ48" s="971"/>
      <c r="IFR48" s="971"/>
      <c r="IFS48" s="971"/>
      <c r="IFT48" s="971"/>
      <c r="IFU48" s="971"/>
      <c r="IFV48" s="971"/>
      <c r="IFW48" s="971"/>
      <c r="IFX48" s="971"/>
      <c r="IFY48" s="971"/>
      <c r="IFZ48" s="971"/>
      <c r="IGA48" s="971"/>
      <c r="IGB48" s="971"/>
      <c r="IGC48" s="971"/>
      <c r="IGD48" s="971"/>
      <c r="IGE48" s="971"/>
      <c r="IGF48" s="971"/>
      <c r="IGG48" s="971"/>
      <c r="IGH48" s="971"/>
      <c r="IGI48" s="971"/>
      <c r="IGJ48" s="971"/>
      <c r="IGK48" s="971"/>
      <c r="IGL48" s="971"/>
      <c r="IGM48" s="971"/>
      <c r="IGN48" s="971"/>
      <c r="IGO48" s="971"/>
      <c r="IGP48" s="971"/>
      <c r="IGQ48" s="971"/>
      <c r="IGR48" s="971"/>
      <c r="IGS48" s="971"/>
      <c r="IGT48" s="971"/>
      <c r="IGU48" s="971"/>
      <c r="IGV48" s="971"/>
      <c r="IGW48" s="971"/>
      <c r="IGX48" s="971"/>
      <c r="IGY48" s="971"/>
      <c r="IGZ48" s="971"/>
      <c r="IHA48" s="971"/>
      <c r="IHB48" s="971"/>
      <c r="IHC48" s="971"/>
      <c r="IHD48" s="971"/>
      <c r="IHE48" s="971"/>
      <c r="IHF48" s="971"/>
      <c r="IHG48" s="971"/>
      <c r="IHH48" s="971"/>
      <c r="IHI48" s="971"/>
      <c r="IHJ48" s="971"/>
      <c r="IHK48" s="971"/>
      <c r="IHL48" s="971"/>
      <c r="IHM48" s="971"/>
      <c r="IHN48" s="971"/>
      <c r="IHO48" s="971"/>
      <c r="IHP48" s="971"/>
      <c r="IHQ48" s="971"/>
      <c r="IHR48" s="971"/>
      <c r="IHS48" s="971"/>
      <c r="IHT48" s="971"/>
      <c r="IHU48" s="971"/>
      <c r="IHV48" s="971"/>
      <c r="IHW48" s="971"/>
      <c r="IHX48" s="971"/>
      <c r="IHY48" s="971"/>
      <c r="IHZ48" s="971"/>
      <c r="IIA48" s="971"/>
      <c r="IIB48" s="971"/>
      <c r="IIC48" s="971"/>
      <c r="IID48" s="971"/>
      <c r="IIE48" s="971"/>
      <c r="IIF48" s="971"/>
      <c r="IIG48" s="971"/>
      <c r="IIH48" s="971"/>
      <c r="III48" s="971"/>
      <c r="IIJ48" s="971"/>
      <c r="IIK48" s="971"/>
      <c r="IIL48" s="971"/>
      <c r="IIM48" s="971"/>
      <c r="IIN48" s="971"/>
      <c r="IIO48" s="971"/>
      <c r="IIP48" s="971"/>
      <c r="IIQ48" s="971"/>
      <c r="IIR48" s="971"/>
      <c r="IIS48" s="971"/>
      <c r="IIT48" s="971"/>
      <c r="IIU48" s="971"/>
      <c r="IIV48" s="971"/>
      <c r="IIW48" s="971"/>
      <c r="IIX48" s="971"/>
      <c r="IIY48" s="971"/>
      <c r="IIZ48" s="971"/>
      <c r="IJA48" s="971"/>
      <c r="IJB48" s="971"/>
      <c r="IJC48" s="971"/>
      <c r="IJD48" s="971"/>
      <c r="IJE48" s="971"/>
      <c r="IJF48" s="971"/>
      <c r="IJG48" s="971"/>
      <c r="IJH48" s="971"/>
      <c r="IJI48" s="971"/>
      <c r="IJJ48" s="971"/>
      <c r="IJK48" s="971"/>
      <c r="IJL48" s="971"/>
      <c r="IJM48" s="971"/>
      <c r="IJN48" s="971"/>
      <c r="IJO48" s="971"/>
      <c r="IJP48" s="971"/>
      <c r="IJQ48" s="971"/>
      <c r="IJR48" s="971"/>
      <c r="IJS48" s="971"/>
      <c r="IJT48" s="971"/>
      <c r="IJU48" s="971"/>
      <c r="IJV48" s="971"/>
      <c r="IJW48" s="971"/>
      <c r="IJX48" s="971"/>
      <c r="IJY48" s="971"/>
      <c r="IJZ48" s="971"/>
      <c r="IKA48" s="971"/>
      <c r="IKB48" s="971"/>
      <c r="IKC48" s="971"/>
      <c r="IKD48" s="971"/>
      <c r="IKE48" s="971"/>
      <c r="IKF48" s="971"/>
      <c r="IKG48" s="971"/>
      <c r="IKH48" s="971"/>
      <c r="IKI48" s="971"/>
      <c r="IKJ48" s="971"/>
      <c r="IKK48" s="971"/>
      <c r="IKL48" s="971"/>
      <c r="IKM48" s="971"/>
      <c r="IKN48" s="971"/>
      <c r="IKO48" s="971"/>
      <c r="IKP48" s="971"/>
      <c r="IKQ48" s="971"/>
      <c r="IKR48" s="971"/>
      <c r="IKS48" s="971"/>
      <c r="IKT48" s="971"/>
      <c r="IKU48" s="971"/>
      <c r="IKV48" s="971"/>
      <c r="IKW48" s="971"/>
      <c r="IKX48" s="971"/>
      <c r="IKY48" s="971"/>
      <c r="IKZ48" s="971"/>
      <c r="ILA48" s="971"/>
      <c r="ILB48" s="971"/>
      <c r="ILC48" s="971"/>
      <c r="ILD48" s="971"/>
      <c r="ILE48" s="971"/>
      <c r="ILF48" s="971"/>
      <c r="ILG48" s="971"/>
      <c r="ILH48" s="971"/>
      <c r="ILI48" s="971"/>
      <c r="ILJ48" s="971"/>
      <c r="ILK48" s="971"/>
      <c r="ILL48" s="971"/>
      <c r="ILM48" s="971"/>
      <c r="ILN48" s="971"/>
      <c r="ILO48" s="971"/>
      <c r="ILP48" s="971"/>
      <c r="ILQ48" s="971"/>
      <c r="ILR48" s="971"/>
      <c r="ILS48" s="971"/>
      <c r="ILT48" s="971"/>
      <c r="ILU48" s="971"/>
      <c r="ILV48" s="971"/>
      <c r="ILW48" s="971"/>
      <c r="ILX48" s="971"/>
      <c r="ILY48" s="971"/>
      <c r="ILZ48" s="971"/>
      <c r="IMA48" s="971"/>
      <c r="IMB48" s="971"/>
      <c r="IMC48" s="971"/>
      <c r="IMD48" s="971"/>
      <c r="IME48" s="971"/>
      <c r="IMF48" s="971"/>
      <c r="IMG48" s="971"/>
      <c r="IMH48" s="971"/>
      <c r="IMI48" s="971"/>
      <c r="IMJ48" s="971"/>
      <c r="IMK48" s="971"/>
      <c r="IML48" s="971"/>
      <c r="IMM48" s="971"/>
      <c r="IMN48" s="971"/>
      <c r="IMO48" s="971"/>
      <c r="IMP48" s="971"/>
      <c r="IMQ48" s="971"/>
      <c r="IMR48" s="971"/>
      <c r="IMS48" s="971"/>
      <c r="IMT48" s="971"/>
      <c r="IMU48" s="971"/>
      <c r="IMV48" s="971"/>
      <c r="IMW48" s="971"/>
      <c r="IMX48" s="971"/>
      <c r="IMY48" s="971"/>
      <c r="IMZ48" s="971"/>
      <c r="INA48" s="971"/>
      <c r="INB48" s="971"/>
      <c r="INC48" s="971"/>
      <c r="IND48" s="971"/>
      <c r="INE48" s="971"/>
      <c r="INF48" s="971"/>
      <c r="ING48" s="971"/>
      <c r="INH48" s="971"/>
      <c r="INI48" s="971"/>
      <c r="INJ48" s="971"/>
      <c r="INK48" s="971"/>
      <c r="INL48" s="971"/>
      <c r="INM48" s="971"/>
      <c r="INN48" s="971"/>
      <c r="INO48" s="971"/>
      <c r="INP48" s="971"/>
      <c r="INQ48" s="971"/>
      <c r="INR48" s="971"/>
      <c r="INS48" s="971"/>
      <c r="INT48" s="971"/>
      <c r="INU48" s="971"/>
      <c r="INV48" s="971"/>
      <c r="INW48" s="971"/>
      <c r="INX48" s="971"/>
      <c r="INY48" s="971"/>
      <c r="INZ48" s="971"/>
      <c r="IOA48" s="971"/>
      <c r="IOB48" s="971"/>
      <c r="IOC48" s="971"/>
      <c r="IOD48" s="971"/>
      <c r="IOE48" s="971"/>
      <c r="IOF48" s="971"/>
      <c r="IOG48" s="971"/>
      <c r="IOH48" s="971"/>
      <c r="IOI48" s="971"/>
      <c r="IOJ48" s="971"/>
      <c r="IOK48" s="971"/>
      <c r="IOL48" s="971"/>
      <c r="IOM48" s="971"/>
      <c r="ION48" s="971"/>
      <c r="IOO48" s="971"/>
      <c r="IOP48" s="971"/>
      <c r="IOQ48" s="971"/>
      <c r="IOR48" s="971"/>
      <c r="IOS48" s="971"/>
      <c r="IOT48" s="971"/>
      <c r="IOU48" s="971"/>
      <c r="IOV48" s="971"/>
      <c r="IOW48" s="971"/>
      <c r="IOX48" s="971"/>
      <c r="IOY48" s="971"/>
      <c r="IOZ48" s="971"/>
      <c r="IPA48" s="971"/>
      <c r="IPB48" s="971"/>
      <c r="IPC48" s="971"/>
      <c r="IPD48" s="971"/>
      <c r="IPE48" s="971"/>
      <c r="IPF48" s="971"/>
      <c r="IPG48" s="971"/>
      <c r="IPH48" s="971"/>
      <c r="IPI48" s="971"/>
      <c r="IPJ48" s="971"/>
      <c r="IPK48" s="971"/>
      <c r="IPL48" s="971"/>
      <c r="IPM48" s="971"/>
      <c r="IPN48" s="971"/>
      <c r="IPO48" s="971"/>
      <c r="IPP48" s="971"/>
      <c r="IPQ48" s="971"/>
      <c r="IPR48" s="971"/>
      <c r="IPS48" s="971"/>
      <c r="IPT48" s="971"/>
      <c r="IPU48" s="971"/>
      <c r="IPV48" s="971"/>
      <c r="IPW48" s="971"/>
      <c r="IPX48" s="971"/>
      <c r="IPY48" s="971"/>
      <c r="IPZ48" s="971"/>
      <c r="IQA48" s="971"/>
      <c r="IQB48" s="971"/>
      <c r="IQC48" s="971"/>
      <c r="IQD48" s="971"/>
      <c r="IQE48" s="971"/>
      <c r="IQF48" s="971"/>
      <c r="IQG48" s="971"/>
      <c r="IQH48" s="971"/>
      <c r="IQI48" s="971"/>
      <c r="IQJ48" s="971"/>
      <c r="IQK48" s="971"/>
      <c r="IQL48" s="971"/>
      <c r="IQM48" s="971"/>
      <c r="IQN48" s="971"/>
      <c r="IQO48" s="971"/>
      <c r="IQP48" s="971"/>
      <c r="IQQ48" s="971"/>
      <c r="IQR48" s="971"/>
      <c r="IQS48" s="971"/>
      <c r="IQT48" s="971"/>
      <c r="IQU48" s="971"/>
      <c r="IQV48" s="971"/>
      <c r="IQW48" s="971"/>
      <c r="IQX48" s="971"/>
      <c r="IQY48" s="971"/>
      <c r="IQZ48" s="971"/>
      <c r="IRA48" s="971"/>
      <c r="IRB48" s="971"/>
      <c r="IRC48" s="971"/>
      <c r="IRD48" s="971"/>
      <c r="IRE48" s="971"/>
      <c r="IRF48" s="971"/>
      <c r="IRG48" s="971"/>
      <c r="IRH48" s="971"/>
      <c r="IRI48" s="971"/>
      <c r="IRJ48" s="971"/>
      <c r="IRK48" s="971"/>
      <c r="IRL48" s="971"/>
      <c r="IRM48" s="971"/>
      <c r="IRN48" s="971"/>
      <c r="IRO48" s="971"/>
      <c r="IRP48" s="971"/>
      <c r="IRQ48" s="971"/>
      <c r="IRR48" s="971"/>
      <c r="IRS48" s="971"/>
      <c r="IRT48" s="971"/>
      <c r="IRU48" s="971"/>
      <c r="IRV48" s="971"/>
      <c r="IRW48" s="971"/>
      <c r="IRX48" s="971"/>
      <c r="IRY48" s="971"/>
      <c r="IRZ48" s="971"/>
      <c r="ISA48" s="971"/>
      <c r="ISB48" s="971"/>
      <c r="ISC48" s="971"/>
      <c r="ISD48" s="971"/>
      <c r="ISE48" s="971"/>
      <c r="ISF48" s="971"/>
      <c r="ISG48" s="971"/>
      <c r="ISH48" s="971"/>
      <c r="ISI48" s="971"/>
      <c r="ISJ48" s="971"/>
      <c r="ISK48" s="971"/>
      <c r="ISL48" s="971"/>
      <c r="ISM48" s="971"/>
      <c r="ISN48" s="971"/>
      <c r="ISO48" s="971"/>
      <c r="ISP48" s="971"/>
      <c r="ISQ48" s="971"/>
      <c r="ISR48" s="971"/>
      <c r="ISS48" s="971"/>
      <c r="IST48" s="971"/>
      <c r="ISU48" s="971"/>
      <c r="ISV48" s="971"/>
      <c r="ISW48" s="971"/>
      <c r="ISX48" s="971"/>
      <c r="ISY48" s="971"/>
      <c r="ISZ48" s="971"/>
      <c r="ITA48" s="971"/>
      <c r="ITB48" s="971"/>
      <c r="ITC48" s="971"/>
      <c r="ITD48" s="971"/>
      <c r="ITE48" s="971"/>
      <c r="ITF48" s="971"/>
      <c r="ITG48" s="971"/>
      <c r="ITH48" s="971"/>
      <c r="ITI48" s="971"/>
      <c r="ITJ48" s="971"/>
      <c r="ITK48" s="971"/>
      <c r="ITL48" s="971"/>
      <c r="ITM48" s="971"/>
      <c r="ITN48" s="971"/>
      <c r="ITO48" s="971"/>
      <c r="ITP48" s="971"/>
      <c r="ITQ48" s="971"/>
      <c r="ITR48" s="971"/>
      <c r="ITS48" s="971"/>
      <c r="ITT48" s="971"/>
      <c r="ITU48" s="971"/>
      <c r="ITV48" s="971"/>
      <c r="ITW48" s="971"/>
      <c r="ITX48" s="971"/>
      <c r="ITY48" s="971"/>
      <c r="ITZ48" s="971"/>
      <c r="IUA48" s="971"/>
      <c r="IUB48" s="971"/>
      <c r="IUC48" s="971"/>
      <c r="IUD48" s="971"/>
      <c r="IUE48" s="971"/>
      <c r="IUF48" s="971"/>
      <c r="IUG48" s="971"/>
      <c r="IUH48" s="971"/>
      <c r="IUI48" s="971"/>
      <c r="IUJ48" s="971"/>
      <c r="IUK48" s="971"/>
      <c r="IUL48" s="971"/>
      <c r="IUM48" s="971"/>
      <c r="IUN48" s="971"/>
      <c r="IUO48" s="971"/>
      <c r="IUP48" s="971"/>
      <c r="IUQ48" s="971"/>
      <c r="IUR48" s="971"/>
      <c r="IUS48" s="971"/>
      <c r="IUT48" s="971"/>
      <c r="IUU48" s="971"/>
      <c r="IUV48" s="971"/>
      <c r="IUW48" s="971"/>
      <c r="IUX48" s="971"/>
      <c r="IUY48" s="971"/>
      <c r="IUZ48" s="971"/>
      <c r="IVA48" s="971"/>
      <c r="IVB48" s="971"/>
      <c r="IVC48" s="971"/>
      <c r="IVD48" s="971"/>
      <c r="IVE48" s="971"/>
      <c r="IVF48" s="971"/>
      <c r="IVG48" s="971"/>
      <c r="IVH48" s="971"/>
      <c r="IVI48" s="971"/>
      <c r="IVJ48" s="971"/>
      <c r="IVK48" s="971"/>
      <c r="IVL48" s="971"/>
      <c r="IVM48" s="971"/>
      <c r="IVN48" s="971"/>
      <c r="IVO48" s="971"/>
      <c r="IVP48" s="971"/>
      <c r="IVQ48" s="971"/>
      <c r="IVR48" s="971"/>
      <c r="IVS48" s="971"/>
      <c r="IVT48" s="971"/>
      <c r="IVU48" s="971"/>
      <c r="IVV48" s="971"/>
      <c r="IVW48" s="971"/>
      <c r="IVX48" s="971"/>
      <c r="IVY48" s="971"/>
      <c r="IVZ48" s="971"/>
      <c r="IWA48" s="971"/>
      <c r="IWB48" s="971"/>
      <c r="IWC48" s="971"/>
      <c r="IWD48" s="971"/>
      <c r="IWE48" s="971"/>
      <c r="IWF48" s="971"/>
      <c r="IWG48" s="971"/>
      <c r="IWH48" s="971"/>
      <c r="IWI48" s="971"/>
      <c r="IWJ48" s="971"/>
      <c r="IWK48" s="971"/>
      <c r="IWL48" s="971"/>
      <c r="IWM48" s="971"/>
      <c r="IWN48" s="971"/>
      <c r="IWO48" s="971"/>
      <c r="IWP48" s="971"/>
      <c r="IWQ48" s="971"/>
      <c r="IWR48" s="971"/>
      <c r="IWS48" s="971"/>
      <c r="IWT48" s="971"/>
      <c r="IWU48" s="971"/>
      <c r="IWV48" s="971"/>
      <c r="IWW48" s="971"/>
      <c r="IWX48" s="971"/>
      <c r="IWY48" s="971"/>
      <c r="IWZ48" s="971"/>
      <c r="IXA48" s="971"/>
      <c r="IXB48" s="971"/>
      <c r="IXC48" s="971"/>
      <c r="IXD48" s="971"/>
      <c r="IXE48" s="971"/>
      <c r="IXF48" s="971"/>
      <c r="IXG48" s="971"/>
      <c r="IXH48" s="971"/>
      <c r="IXI48" s="971"/>
      <c r="IXJ48" s="971"/>
      <c r="IXK48" s="971"/>
      <c r="IXL48" s="971"/>
      <c r="IXM48" s="971"/>
      <c r="IXN48" s="971"/>
      <c r="IXO48" s="971"/>
      <c r="IXP48" s="971"/>
      <c r="IXQ48" s="971"/>
      <c r="IXR48" s="971"/>
      <c r="IXS48" s="971"/>
      <c r="IXT48" s="971"/>
      <c r="IXU48" s="971"/>
      <c r="IXV48" s="971"/>
      <c r="IXW48" s="971"/>
      <c r="IXX48" s="971"/>
      <c r="IXY48" s="971"/>
      <c r="IXZ48" s="971"/>
      <c r="IYA48" s="971"/>
      <c r="IYB48" s="971"/>
      <c r="IYC48" s="971"/>
      <c r="IYD48" s="971"/>
      <c r="IYE48" s="971"/>
      <c r="IYF48" s="971"/>
      <c r="IYG48" s="971"/>
      <c r="IYH48" s="971"/>
      <c r="IYI48" s="971"/>
      <c r="IYJ48" s="971"/>
      <c r="IYK48" s="971"/>
      <c r="IYL48" s="971"/>
      <c r="IYM48" s="971"/>
      <c r="IYN48" s="971"/>
      <c r="IYO48" s="971"/>
      <c r="IYP48" s="971"/>
      <c r="IYQ48" s="971"/>
      <c r="IYR48" s="971"/>
      <c r="IYS48" s="971"/>
      <c r="IYT48" s="971"/>
      <c r="IYU48" s="971"/>
      <c r="IYV48" s="971"/>
      <c r="IYW48" s="971"/>
      <c r="IYX48" s="971"/>
      <c r="IYY48" s="971"/>
      <c r="IYZ48" s="971"/>
      <c r="IZA48" s="971"/>
      <c r="IZB48" s="971"/>
      <c r="IZC48" s="971"/>
      <c r="IZD48" s="971"/>
      <c r="IZE48" s="971"/>
      <c r="IZF48" s="971"/>
      <c r="IZG48" s="971"/>
      <c r="IZH48" s="971"/>
      <c r="IZI48" s="971"/>
      <c r="IZJ48" s="971"/>
      <c r="IZK48" s="971"/>
      <c r="IZL48" s="971"/>
      <c r="IZM48" s="971"/>
      <c r="IZN48" s="971"/>
      <c r="IZO48" s="971"/>
      <c r="IZP48" s="971"/>
      <c r="IZQ48" s="971"/>
      <c r="IZR48" s="971"/>
      <c r="IZS48" s="971"/>
      <c r="IZT48" s="971"/>
      <c r="IZU48" s="971"/>
      <c r="IZV48" s="971"/>
      <c r="IZW48" s="971"/>
      <c r="IZX48" s="971"/>
      <c r="IZY48" s="971"/>
      <c r="IZZ48" s="971"/>
      <c r="JAA48" s="971"/>
      <c r="JAB48" s="971"/>
      <c r="JAC48" s="971"/>
      <c r="JAD48" s="971"/>
      <c r="JAE48" s="971"/>
      <c r="JAF48" s="971"/>
      <c r="JAG48" s="971"/>
      <c r="JAH48" s="971"/>
      <c r="JAI48" s="971"/>
      <c r="JAJ48" s="971"/>
      <c r="JAK48" s="971"/>
      <c r="JAL48" s="971"/>
      <c r="JAM48" s="971"/>
      <c r="JAN48" s="971"/>
      <c r="JAO48" s="971"/>
      <c r="JAP48" s="971"/>
      <c r="JAQ48" s="971"/>
      <c r="JAR48" s="971"/>
      <c r="JAS48" s="971"/>
      <c r="JAT48" s="971"/>
      <c r="JAU48" s="971"/>
      <c r="JAV48" s="971"/>
      <c r="JAW48" s="971"/>
      <c r="JAX48" s="971"/>
      <c r="JAY48" s="971"/>
      <c r="JAZ48" s="971"/>
      <c r="JBA48" s="971"/>
      <c r="JBB48" s="971"/>
      <c r="JBC48" s="971"/>
      <c r="JBD48" s="971"/>
      <c r="JBE48" s="971"/>
      <c r="JBF48" s="971"/>
      <c r="JBG48" s="971"/>
      <c r="JBH48" s="971"/>
      <c r="JBI48" s="971"/>
      <c r="JBJ48" s="971"/>
      <c r="JBK48" s="971"/>
      <c r="JBL48" s="971"/>
      <c r="JBM48" s="971"/>
      <c r="JBN48" s="971"/>
      <c r="JBO48" s="971"/>
      <c r="JBP48" s="971"/>
      <c r="JBQ48" s="971"/>
      <c r="JBR48" s="971"/>
      <c r="JBS48" s="971"/>
      <c r="JBT48" s="971"/>
      <c r="JBU48" s="971"/>
      <c r="JBV48" s="971"/>
      <c r="JBW48" s="971"/>
      <c r="JBX48" s="971"/>
      <c r="JBY48" s="971"/>
      <c r="JBZ48" s="971"/>
      <c r="JCA48" s="971"/>
      <c r="JCB48" s="971"/>
      <c r="JCC48" s="971"/>
      <c r="JCD48" s="971"/>
      <c r="JCE48" s="971"/>
      <c r="JCF48" s="971"/>
      <c r="JCG48" s="971"/>
      <c r="JCH48" s="971"/>
      <c r="JCI48" s="971"/>
      <c r="JCJ48" s="971"/>
      <c r="JCK48" s="971"/>
      <c r="JCL48" s="971"/>
      <c r="JCM48" s="971"/>
      <c r="JCN48" s="971"/>
      <c r="JCO48" s="971"/>
      <c r="JCP48" s="971"/>
      <c r="JCQ48" s="971"/>
      <c r="JCR48" s="971"/>
      <c r="JCS48" s="971"/>
      <c r="JCT48" s="971"/>
      <c r="JCU48" s="971"/>
      <c r="JCV48" s="971"/>
      <c r="JCW48" s="971"/>
      <c r="JCX48" s="971"/>
      <c r="JCY48" s="971"/>
      <c r="JCZ48" s="971"/>
      <c r="JDA48" s="971"/>
      <c r="JDB48" s="971"/>
      <c r="JDC48" s="971"/>
      <c r="JDD48" s="971"/>
      <c r="JDE48" s="971"/>
      <c r="JDF48" s="971"/>
      <c r="JDG48" s="971"/>
      <c r="JDH48" s="971"/>
      <c r="JDI48" s="971"/>
      <c r="JDJ48" s="971"/>
      <c r="JDK48" s="971"/>
      <c r="JDL48" s="971"/>
      <c r="JDM48" s="971"/>
      <c r="JDN48" s="971"/>
      <c r="JDO48" s="971"/>
      <c r="JDP48" s="971"/>
      <c r="JDQ48" s="971"/>
      <c r="JDR48" s="971"/>
      <c r="JDS48" s="971"/>
      <c r="JDT48" s="971"/>
      <c r="JDU48" s="971"/>
      <c r="JDV48" s="971"/>
      <c r="JDW48" s="971"/>
      <c r="JDX48" s="971"/>
      <c r="JDY48" s="971"/>
      <c r="JDZ48" s="971"/>
      <c r="JEA48" s="971"/>
      <c r="JEB48" s="971"/>
      <c r="JEC48" s="971"/>
      <c r="JED48" s="971"/>
      <c r="JEE48" s="971"/>
      <c r="JEF48" s="971"/>
      <c r="JEG48" s="971"/>
      <c r="JEH48" s="971"/>
      <c r="JEI48" s="971"/>
      <c r="JEJ48" s="971"/>
      <c r="JEK48" s="971"/>
      <c r="JEL48" s="971"/>
      <c r="JEM48" s="971"/>
      <c r="JEN48" s="971"/>
      <c r="JEO48" s="971"/>
      <c r="JEP48" s="971"/>
      <c r="JEQ48" s="971"/>
      <c r="JER48" s="971"/>
      <c r="JES48" s="971"/>
      <c r="JET48" s="971"/>
      <c r="JEU48" s="971"/>
      <c r="JEV48" s="971"/>
      <c r="JEW48" s="971"/>
      <c r="JEX48" s="971"/>
      <c r="JEY48" s="971"/>
      <c r="JEZ48" s="971"/>
      <c r="JFA48" s="971"/>
      <c r="JFB48" s="971"/>
      <c r="JFC48" s="971"/>
      <c r="JFD48" s="971"/>
      <c r="JFE48" s="971"/>
      <c r="JFF48" s="971"/>
      <c r="JFG48" s="971"/>
      <c r="JFH48" s="971"/>
      <c r="JFI48" s="971"/>
      <c r="JFJ48" s="971"/>
      <c r="JFK48" s="971"/>
      <c r="JFL48" s="971"/>
      <c r="JFM48" s="971"/>
      <c r="JFN48" s="971"/>
      <c r="JFO48" s="971"/>
      <c r="JFP48" s="971"/>
      <c r="JFQ48" s="971"/>
      <c r="JFR48" s="971"/>
      <c r="JFS48" s="971"/>
      <c r="JFT48" s="971"/>
      <c r="JFU48" s="971"/>
      <c r="JFV48" s="971"/>
      <c r="JFW48" s="971"/>
      <c r="JFX48" s="971"/>
      <c r="JFY48" s="971"/>
      <c r="JFZ48" s="971"/>
      <c r="JGA48" s="971"/>
      <c r="JGB48" s="971"/>
      <c r="JGC48" s="971"/>
      <c r="JGD48" s="971"/>
      <c r="JGE48" s="971"/>
      <c r="JGF48" s="971"/>
      <c r="JGG48" s="971"/>
      <c r="JGH48" s="971"/>
      <c r="JGI48" s="971"/>
      <c r="JGJ48" s="971"/>
      <c r="JGK48" s="971"/>
      <c r="JGL48" s="971"/>
      <c r="JGM48" s="971"/>
      <c r="JGN48" s="971"/>
      <c r="JGO48" s="971"/>
      <c r="JGP48" s="971"/>
      <c r="JGQ48" s="971"/>
      <c r="JGR48" s="971"/>
      <c r="JGS48" s="971"/>
      <c r="JGT48" s="971"/>
      <c r="JGU48" s="971"/>
      <c r="JGV48" s="971"/>
      <c r="JGW48" s="971"/>
      <c r="JGX48" s="971"/>
      <c r="JGY48" s="971"/>
      <c r="JGZ48" s="971"/>
      <c r="JHA48" s="971"/>
      <c r="JHB48" s="971"/>
      <c r="JHC48" s="971"/>
      <c r="JHD48" s="971"/>
      <c r="JHE48" s="971"/>
      <c r="JHF48" s="971"/>
      <c r="JHG48" s="971"/>
      <c r="JHH48" s="971"/>
      <c r="JHI48" s="971"/>
      <c r="JHJ48" s="971"/>
      <c r="JHK48" s="971"/>
      <c r="JHL48" s="971"/>
      <c r="JHM48" s="971"/>
      <c r="JHN48" s="971"/>
      <c r="JHO48" s="971"/>
      <c r="JHP48" s="971"/>
      <c r="JHQ48" s="971"/>
      <c r="JHR48" s="971"/>
      <c r="JHS48" s="971"/>
      <c r="JHT48" s="971"/>
      <c r="JHU48" s="971"/>
      <c r="JHV48" s="971"/>
      <c r="JHW48" s="971"/>
      <c r="JHX48" s="971"/>
      <c r="JHY48" s="971"/>
      <c r="JHZ48" s="971"/>
      <c r="JIA48" s="971"/>
      <c r="JIB48" s="971"/>
      <c r="JIC48" s="971"/>
      <c r="JID48" s="971"/>
      <c r="JIE48" s="971"/>
      <c r="JIF48" s="971"/>
      <c r="JIG48" s="971"/>
      <c r="JIH48" s="971"/>
      <c r="JII48" s="971"/>
      <c r="JIJ48" s="971"/>
      <c r="JIK48" s="971"/>
      <c r="JIL48" s="971"/>
      <c r="JIM48" s="971"/>
      <c r="JIN48" s="971"/>
      <c r="JIO48" s="971"/>
      <c r="JIP48" s="971"/>
      <c r="JIQ48" s="971"/>
      <c r="JIR48" s="971"/>
      <c r="JIS48" s="971"/>
      <c r="JIT48" s="971"/>
      <c r="JIU48" s="971"/>
      <c r="JIV48" s="971"/>
      <c r="JIW48" s="971"/>
      <c r="JIX48" s="971"/>
      <c r="JIY48" s="971"/>
      <c r="JIZ48" s="971"/>
      <c r="JJA48" s="971"/>
      <c r="JJB48" s="971"/>
      <c r="JJC48" s="971"/>
      <c r="JJD48" s="971"/>
      <c r="JJE48" s="971"/>
      <c r="JJF48" s="971"/>
      <c r="JJG48" s="971"/>
      <c r="JJH48" s="971"/>
      <c r="JJI48" s="971"/>
      <c r="JJJ48" s="971"/>
      <c r="JJK48" s="971"/>
      <c r="JJL48" s="971"/>
      <c r="JJM48" s="971"/>
      <c r="JJN48" s="971"/>
      <c r="JJO48" s="971"/>
      <c r="JJP48" s="971"/>
      <c r="JJQ48" s="971"/>
      <c r="JJR48" s="971"/>
      <c r="JJS48" s="971"/>
      <c r="JJT48" s="971"/>
      <c r="JJU48" s="971"/>
      <c r="JJV48" s="971"/>
      <c r="JJW48" s="971"/>
      <c r="JJX48" s="971"/>
      <c r="JJY48" s="971"/>
      <c r="JJZ48" s="971"/>
      <c r="JKA48" s="971"/>
      <c r="JKB48" s="971"/>
      <c r="JKC48" s="971"/>
      <c r="JKD48" s="971"/>
      <c r="JKE48" s="971"/>
      <c r="JKF48" s="971"/>
      <c r="JKG48" s="971"/>
      <c r="JKH48" s="971"/>
      <c r="JKI48" s="971"/>
      <c r="JKJ48" s="971"/>
      <c r="JKK48" s="971"/>
      <c r="JKL48" s="971"/>
      <c r="JKM48" s="971"/>
      <c r="JKN48" s="971"/>
      <c r="JKO48" s="971"/>
      <c r="JKP48" s="971"/>
      <c r="JKQ48" s="971"/>
      <c r="JKR48" s="971"/>
      <c r="JKS48" s="971"/>
      <c r="JKT48" s="971"/>
      <c r="JKU48" s="971"/>
      <c r="JKV48" s="971"/>
      <c r="JKW48" s="971"/>
      <c r="JKX48" s="971"/>
      <c r="JKY48" s="971"/>
      <c r="JKZ48" s="971"/>
      <c r="JLA48" s="971"/>
      <c r="JLB48" s="971"/>
      <c r="JLC48" s="971"/>
      <c r="JLD48" s="971"/>
      <c r="JLE48" s="971"/>
      <c r="JLF48" s="971"/>
      <c r="JLG48" s="971"/>
      <c r="JLH48" s="971"/>
      <c r="JLI48" s="971"/>
      <c r="JLJ48" s="971"/>
      <c r="JLK48" s="971"/>
      <c r="JLL48" s="971"/>
      <c r="JLM48" s="971"/>
      <c r="JLN48" s="971"/>
      <c r="JLO48" s="971"/>
      <c r="JLP48" s="971"/>
      <c r="JLQ48" s="971"/>
      <c r="JLR48" s="971"/>
      <c r="JLS48" s="971"/>
      <c r="JLT48" s="971"/>
      <c r="JLU48" s="971"/>
      <c r="JLV48" s="971"/>
      <c r="JLW48" s="971"/>
      <c r="JLX48" s="971"/>
      <c r="JLY48" s="971"/>
      <c r="JLZ48" s="971"/>
      <c r="JMA48" s="971"/>
      <c r="JMB48" s="971"/>
      <c r="JMC48" s="971"/>
      <c r="JMD48" s="971"/>
      <c r="JME48" s="971"/>
      <c r="JMF48" s="971"/>
      <c r="JMG48" s="971"/>
      <c r="JMH48" s="971"/>
      <c r="JMI48" s="971"/>
      <c r="JMJ48" s="971"/>
      <c r="JMK48" s="971"/>
      <c r="JML48" s="971"/>
      <c r="JMM48" s="971"/>
      <c r="JMN48" s="971"/>
      <c r="JMO48" s="971"/>
      <c r="JMP48" s="971"/>
      <c r="JMQ48" s="971"/>
      <c r="JMR48" s="971"/>
      <c r="JMS48" s="971"/>
      <c r="JMT48" s="971"/>
      <c r="JMU48" s="971"/>
      <c r="JMV48" s="971"/>
      <c r="JMW48" s="971"/>
      <c r="JMX48" s="971"/>
      <c r="JMY48" s="971"/>
      <c r="JMZ48" s="971"/>
      <c r="JNA48" s="971"/>
      <c r="JNB48" s="971"/>
      <c r="JNC48" s="971"/>
      <c r="JND48" s="971"/>
      <c r="JNE48" s="971"/>
      <c r="JNF48" s="971"/>
      <c r="JNG48" s="971"/>
      <c r="JNH48" s="971"/>
      <c r="JNI48" s="971"/>
      <c r="JNJ48" s="971"/>
      <c r="JNK48" s="971"/>
      <c r="JNL48" s="971"/>
      <c r="JNM48" s="971"/>
      <c r="JNN48" s="971"/>
      <c r="JNO48" s="971"/>
      <c r="JNP48" s="971"/>
      <c r="JNQ48" s="971"/>
      <c r="JNR48" s="971"/>
      <c r="JNS48" s="971"/>
      <c r="JNT48" s="971"/>
      <c r="JNU48" s="971"/>
      <c r="JNV48" s="971"/>
      <c r="JNW48" s="971"/>
      <c r="JNX48" s="971"/>
      <c r="JNY48" s="971"/>
      <c r="JNZ48" s="971"/>
      <c r="JOA48" s="971"/>
      <c r="JOB48" s="971"/>
      <c r="JOC48" s="971"/>
      <c r="JOD48" s="971"/>
      <c r="JOE48" s="971"/>
      <c r="JOF48" s="971"/>
      <c r="JOG48" s="971"/>
      <c r="JOH48" s="971"/>
      <c r="JOI48" s="971"/>
      <c r="JOJ48" s="971"/>
      <c r="JOK48" s="971"/>
      <c r="JOL48" s="971"/>
      <c r="JOM48" s="971"/>
      <c r="JON48" s="971"/>
      <c r="JOO48" s="971"/>
      <c r="JOP48" s="971"/>
      <c r="JOQ48" s="971"/>
      <c r="JOR48" s="971"/>
      <c r="JOS48" s="971"/>
      <c r="JOT48" s="971"/>
      <c r="JOU48" s="971"/>
      <c r="JOV48" s="971"/>
      <c r="JOW48" s="971"/>
      <c r="JOX48" s="971"/>
      <c r="JOY48" s="971"/>
      <c r="JOZ48" s="971"/>
      <c r="JPA48" s="971"/>
      <c r="JPB48" s="971"/>
      <c r="JPC48" s="971"/>
      <c r="JPD48" s="971"/>
      <c r="JPE48" s="971"/>
      <c r="JPF48" s="971"/>
      <c r="JPG48" s="971"/>
      <c r="JPH48" s="971"/>
      <c r="JPI48" s="971"/>
      <c r="JPJ48" s="971"/>
      <c r="JPK48" s="971"/>
      <c r="JPL48" s="971"/>
      <c r="JPM48" s="971"/>
      <c r="JPN48" s="971"/>
      <c r="JPO48" s="971"/>
      <c r="JPP48" s="971"/>
      <c r="JPQ48" s="971"/>
      <c r="JPR48" s="971"/>
      <c r="JPS48" s="971"/>
      <c r="JPT48" s="971"/>
      <c r="JPU48" s="971"/>
      <c r="JPV48" s="971"/>
      <c r="JPW48" s="971"/>
      <c r="JPX48" s="971"/>
      <c r="JPY48" s="971"/>
      <c r="JPZ48" s="971"/>
      <c r="JQA48" s="971"/>
      <c r="JQB48" s="971"/>
      <c r="JQC48" s="971"/>
      <c r="JQD48" s="971"/>
      <c r="JQE48" s="971"/>
      <c r="JQF48" s="971"/>
      <c r="JQG48" s="971"/>
      <c r="JQH48" s="971"/>
      <c r="JQI48" s="971"/>
      <c r="JQJ48" s="971"/>
      <c r="JQK48" s="971"/>
      <c r="JQL48" s="971"/>
      <c r="JQM48" s="971"/>
      <c r="JQN48" s="971"/>
      <c r="JQO48" s="971"/>
      <c r="JQP48" s="971"/>
      <c r="JQQ48" s="971"/>
      <c r="JQR48" s="971"/>
      <c r="JQS48" s="971"/>
      <c r="JQT48" s="971"/>
      <c r="JQU48" s="971"/>
      <c r="JQV48" s="971"/>
      <c r="JQW48" s="971"/>
      <c r="JQX48" s="971"/>
      <c r="JQY48" s="971"/>
      <c r="JQZ48" s="971"/>
      <c r="JRA48" s="971"/>
      <c r="JRB48" s="971"/>
      <c r="JRC48" s="971"/>
      <c r="JRD48" s="971"/>
      <c r="JRE48" s="971"/>
      <c r="JRF48" s="971"/>
      <c r="JRG48" s="971"/>
      <c r="JRH48" s="971"/>
      <c r="JRI48" s="971"/>
      <c r="JRJ48" s="971"/>
      <c r="JRK48" s="971"/>
      <c r="JRL48" s="971"/>
      <c r="JRM48" s="971"/>
      <c r="JRN48" s="971"/>
      <c r="JRO48" s="971"/>
      <c r="JRP48" s="971"/>
      <c r="JRQ48" s="971"/>
      <c r="JRR48" s="971"/>
      <c r="JRS48" s="971"/>
      <c r="JRT48" s="971"/>
      <c r="JRU48" s="971"/>
      <c r="JRV48" s="971"/>
      <c r="JRW48" s="971"/>
      <c r="JRX48" s="971"/>
      <c r="JRY48" s="971"/>
      <c r="JRZ48" s="971"/>
      <c r="JSA48" s="971"/>
      <c r="JSB48" s="971"/>
      <c r="JSC48" s="971"/>
      <c r="JSD48" s="971"/>
      <c r="JSE48" s="971"/>
      <c r="JSF48" s="971"/>
      <c r="JSG48" s="971"/>
      <c r="JSH48" s="971"/>
      <c r="JSI48" s="971"/>
      <c r="JSJ48" s="971"/>
      <c r="JSK48" s="971"/>
      <c r="JSL48" s="971"/>
      <c r="JSM48" s="971"/>
      <c r="JSN48" s="971"/>
      <c r="JSO48" s="971"/>
      <c r="JSP48" s="971"/>
      <c r="JSQ48" s="971"/>
      <c r="JSR48" s="971"/>
      <c r="JSS48" s="971"/>
      <c r="JST48" s="971"/>
      <c r="JSU48" s="971"/>
      <c r="JSV48" s="971"/>
      <c r="JSW48" s="971"/>
      <c r="JSX48" s="971"/>
      <c r="JSY48" s="971"/>
      <c r="JSZ48" s="971"/>
      <c r="JTA48" s="971"/>
      <c r="JTB48" s="971"/>
      <c r="JTC48" s="971"/>
      <c r="JTD48" s="971"/>
      <c r="JTE48" s="971"/>
      <c r="JTF48" s="971"/>
      <c r="JTG48" s="971"/>
      <c r="JTH48" s="971"/>
      <c r="JTI48" s="971"/>
      <c r="JTJ48" s="971"/>
      <c r="JTK48" s="971"/>
      <c r="JTL48" s="971"/>
      <c r="JTM48" s="971"/>
      <c r="JTN48" s="971"/>
      <c r="JTO48" s="971"/>
      <c r="JTP48" s="971"/>
      <c r="JTQ48" s="971"/>
      <c r="JTR48" s="971"/>
      <c r="JTS48" s="971"/>
      <c r="JTT48" s="971"/>
      <c r="JTU48" s="971"/>
      <c r="JTV48" s="971"/>
      <c r="JTW48" s="971"/>
      <c r="JTX48" s="971"/>
      <c r="JTY48" s="971"/>
      <c r="JTZ48" s="971"/>
      <c r="JUA48" s="971"/>
      <c r="JUB48" s="971"/>
      <c r="JUC48" s="971"/>
      <c r="JUD48" s="971"/>
      <c r="JUE48" s="971"/>
      <c r="JUF48" s="971"/>
      <c r="JUG48" s="971"/>
      <c r="JUH48" s="971"/>
      <c r="JUI48" s="971"/>
      <c r="JUJ48" s="971"/>
      <c r="JUK48" s="971"/>
      <c r="JUL48" s="971"/>
      <c r="JUM48" s="971"/>
      <c r="JUN48" s="971"/>
      <c r="JUO48" s="971"/>
      <c r="JUP48" s="971"/>
      <c r="JUQ48" s="971"/>
      <c r="JUR48" s="971"/>
      <c r="JUS48" s="971"/>
      <c r="JUT48" s="971"/>
      <c r="JUU48" s="971"/>
      <c r="JUV48" s="971"/>
      <c r="JUW48" s="971"/>
      <c r="JUX48" s="971"/>
      <c r="JUY48" s="971"/>
      <c r="JUZ48" s="971"/>
      <c r="JVA48" s="971"/>
      <c r="JVB48" s="971"/>
      <c r="JVC48" s="971"/>
      <c r="JVD48" s="971"/>
      <c r="JVE48" s="971"/>
      <c r="JVF48" s="971"/>
      <c r="JVG48" s="971"/>
      <c r="JVH48" s="971"/>
      <c r="JVI48" s="971"/>
      <c r="JVJ48" s="971"/>
      <c r="JVK48" s="971"/>
      <c r="JVL48" s="971"/>
      <c r="JVM48" s="971"/>
      <c r="JVN48" s="971"/>
      <c r="JVO48" s="971"/>
      <c r="JVP48" s="971"/>
      <c r="JVQ48" s="971"/>
      <c r="JVR48" s="971"/>
      <c r="JVS48" s="971"/>
      <c r="JVT48" s="971"/>
      <c r="JVU48" s="971"/>
      <c r="JVV48" s="971"/>
      <c r="JVW48" s="971"/>
      <c r="JVX48" s="971"/>
      <c r="JVY48" s="971"/>
      <c r="JVZ48" s="971"/>
      <c r="JWA48" s="971"/>
      <c r="JWB48" s="971"/>
      <c r="JWC48" s="971"/>
      <c r="JWD48" s="971"/>
      <c r="JWE48" s="971"/>
      <c r="JWF48" s="971"/>
      <c r="JWG48" s="971"/>
      <c r="JWH48" s="971"/>
      <c r="JWI48" s="971"/>
      <c r="JWJ48" s="971"/>
      <c r="JWK48" s="971"/>
      <c r="JWL48" s="971"/>
      <c r="JWM48" s="971"/>
      <c r="JWN48" s="971"/>
      <c r="JWO48" s="971"/>
      <c r="JWP48" s="971"/>
      <c r="JWQ48" s="971"/>
      <c r="JWR48" s="971"/>
      <c r="JWS48" s="971"/>
      <c r="JWT48" s="971"/>
      <c r="JWU48" s="971"/>
      <c r="JWV48" s="971"/>
      <c r="JWW48" s="971"/>
      <c r="JWX48" s="971"/>
      <c r="JWY48" s="971"/>
      <c r="JWZ48" s="971"/>
      <c r="JXA48" s="971"/>
      <c r="JXB48" s="971"/>
      <c r="JXC48" s="971"/>
      <c r="JXD48" s="971"/>
      <c r="JXE48" s="971"/>
      <c r="JXF48" s="971"/>
      <c r="JXG48" s="971"/>
      <c r="JXH48" s="971"/>
      <c r="JXI48" s="971"/>
      <c r="JXJ48" s="971"/>
      <c r="JXK48" s="971"/>
      <c r="JXL48" s="971"/>
      <c r="JXM48" s="971"/>
      <c r="JXN48" s="971"/>
      <c r="JXO48" s="971"/>
      <c r="JXP48" s="971"/>
      <c r="JXQ48" s="971"/>
      <c r="JXR48" s="971"/>
      <c r="JXS48" s="971"/>
      <c r="JXT48" s="971"/>
      <c r="JXU48" s="971"/>
      <c r="JXV48" s="971"/>
      <c r="JXW48" s="971"/>
      <c r="JXX48" s="971"/>
      <c r="JXY48" s="971"/>
      <c r="JXZ48" s="971"/>
      <c r="JYA48" s="971"/>
      <c r="JYB48" s="971"/>
      <c r="JYC48" s="971"/>
      <c r="JYD48" s="971"/>
      <c r="JYE48" s="971"/>
      <c r="JYF48" s="971"/>
      <c r="JYG48" s="971"/>
      <c r="JYH48" s="971"/>
      <c r="JYI48" s="971"/>
      <c r="JYJ48" s="971"/>
      <c r="JYK48" s="971"/>
      <c r="JYL48" s="971"/>
      <c r="JYM48" s="971"/>
      <c r="JYN48" s="971"/>
      <c r="JYO48" s="971"/>
      <c r="JYP48" s="971"/>
      <c r="JYQ48" s="971"/>
      <c r="JYR48" s="971"/>
      <c r="JYS48" s="971"/>
      <c r="JYT48" s="971"/>
      <c r="JYU48" s="971"/>
      <c r="JYV48" s="971"/>
      <c r="JYW48" s="971"/>
      <c r="JYX48" s="971"/>
      <c r="JYY48" s="971"/>
      <c r="JYZ48" s="971"/>
      <c r="JZA48" s="971"/>
      <c r="JZB48" s="971"/>
      <c r="JZC48" s="971"/>
      <c r="JZD48" s="971"/>
      <c r="JZE48" s="971"/>
      <c r="JZF48" s="971"/>
      <c r="JZG48" s="971"/>
      <c r="JZH48" s="971"/>
      <c r="JZI48" s="971"/>
      <c r="JZJ48" s="971"/>
      <c r="JZK48" s="971"/>
      <c r="JZL48" s="971"/>
      <c r="JZM48" s="971"/>
      <c r="JZN48" s="971"/>
      <c r="JZO48" s="971"/>
      <c r="JZP48" s="971"/>
      <c r="JZQ48" s="971"/>
      <c r="JZR48" s="971"/>
      <c r="JZS48" s="971"/>
      <c r="JZT48" s="971"/>
      <c r="JZU48" s="971"/>
      <c r="JZV48" s="971"/>
      <c r="JZW48" s="971"/>
      <c r="JZX48" s="971"/>
      <c r="JZY48" s="971"/>
      <c r="JZZ48" s="971"/>
      <c r="KAA48" s="971"/>
      <c r="KAB48" s="971"/>
      <c r="KAC48" s="971"/>
      <c r="KAD48" s="971"/>
      <c r="KAE48" s="971"/>
      <c r="KAF48" s="971"/>
      <c r="KAG48" s="971"/>
      <c r="KAH48" s="971"/>
      <c r="KAI48" s="971"/>
      <c r="KAJ48" s="971"/>
      <c r="KAK48" s="971"/>
      <c r="KAL48" s="971"/>
      <c r="KAM48" s="971"/>
      <c r="KAN48" s="971"/>
      <c r="KAO48" s="971"/>
      <c r="KAP48" s="971"/>
      <c r="KAQ48" s="971"/>
      <c r="KAR48" s="971"/>
      <c r="KAS48" s="971"/>
      <c r="KAT48" s="971"/>
      <c r="KAU48" s="971"/>
      <c r="KAV48" s="971"/>
      <c r="KAW48" s="971"/>
      <c r="KAX48" s="971"/>
      <c r="KAY48" s="971"/>
      <c r="KAZ48" s="971"/>
      <c r="KBA48" s="971"/>
      <c r="KBB48" s="971"/>
      <c r="KBC48" s="971"/>
      <c r="KBD48" s="971"/>
      <c r="KBE48" s="971"/>
      <c r="KBF48" s="971"/>
      <c r="KBG48" s="971"/>
      <c r="KBH48" s="971"/>
      <c r="KBI48" s="971"/>
      <c r="KBJ48" s="971"/>
      <c r="KBK48" s="971"/>
      <c r="KBL48" s="971"/>
      <c r="KBM48" s="971"/>
      <c r="KBN48" s="971"/>
      <c r="KBO48" s="971"/>
      <c r="KBP48" s="971"/>
      <c r="KBQ48" s="971"/>
      <c r="KBR48" s="971"/>
      <c r="KBS48" s="971"/>
      <c r="KBT48" s="971"/>
      <c r="KBU48" s="971"/>
      <c r="KBV48" s="971"/>
      <c r="KBW48" s="971"/>
      <c r="KBX48" s="971"/>
      <c r="KBY48" s="971"/>
      <c r="KBZ48" s="971"/>
      <c r="KCA48" s="971"/>
      <c r="KCB48" s="971"/>
      <c r="KCC48" s="971"/>
      <c r="KCD48" s="971"/>
      <c r="KCE48" s="971"/>
      <c r="KCF48" s="971"/>
      <c r="KCG48" s="971"/>
      <c r="KCH48" s="971"/>
      <c r="KCI48" s="971"/>
      <c r="KCJ48" s="971"/>
      <c r="KCK48" s="971"/>
      <c r="KCL48" s="971"/>
      <c r="KCM48" s="971"/>
      <c r="KCN48" s="971"/>
      <c r="KCO48" s="971"/>
      <c r="KCP48" s="971"/>
      <c r="KCQ48" s="971"/>
      <c r="KCR48" s="971"/>
      <c r="KCS48" s="971"/>
      <c r="KCT48" s="971"/>
      <c r="KCU48" s="971"/>
      <c r="KCV48" s="971"/>
      <c r="KCW48" s="971"/>
      <c r="KCX48" s="971"/>
      <c r="KCY48" s="971"/>
      <c r="KCZ48" s="971"/>
      <c r="KDA48" s="971"/>
      <c r="KDB48" s="971"/>
      <c r="KDC48" s="971"/>
      <c r="KDD48" s="971"/>
      <c r="KDE48" s="971"/>
      <c r="KDF48" s="971"/>
      <c r="KDG48" s="971"/>
      <c r="KDH48" s="971"/>
      <c r="KDI48" s="971"/>
      <c r="KDJ48" s="971"/>
      <c r="KDK48" s="971"/>
      <c r="KDL48" s="971"/>
      <c r="KDM48" s="971"/>
      <c r="KDN48" s="971"/>
      <c r="KDO48" s="971"/>
      <c r="KDP48" s="971"/>
      <c r="KDQ48" s="971"/>
      <c r="KDR48" s="971"/>
      <c r="KDS48" s="971"/>
      <c r="KDT48" s="971"/>
      <c r="KDU48" s="971"/>
      <c r="KDV48" s="971"/>
      <c r="KDW48" s="971"/>
      <c r="KDX48" s="971"/>
      <c r="KDY48" s="971"/>
      <c r="KDZ48" s="971"/>
      <c r="KEA48" s="971"/>
      <c r="KEB48" s="971"/>
      <c r="KEC48" s="971"/>
      <c r="KED48" s="971"/>
      <c r="KEE48" s="971"/>
      <c r="KEF48" s="971"/>
      <c r="KEG48" s="971"/>
      <c r="KEH48" s="971"/>
      <c r="KEI48" s="971"/>
      <c r="KEJ48" s="971"/>
      <c r="KEK48" s="971"/>
      <c r="KEL48" s="971"/>
      <c r="KEM48" s="971"/>
      <c r="KEN48" s="971"/>
      <c r="KEO48" s="971"/>
      <c r="KEP48" s="971"/>
      <c r="KEQ48" s="971"/>
      <c r="KER48" s="971"/>
      <c r="KES48" s="971"/>
      <c r="KET48" s="971"/>
      <c r="KEU48" s="971"/>
      <c r="KEV48" s="971"/>
      <c r="KEW48" s="971"/>
      <c r="KEX48" s="971"/>
      <c r="KEY48" s="971"/>
      <c r="KEZ48" s="971"/>
      <c r="KFA48" s="971"/>
      <c r="KFB48" s="971"/>
      <c r="KFC48" s="971"/>
      <c r="KFD48" s="971"/>
      <c r="KFE48" s="971"/>
      <c r="KFF48" s="971"/>
      <c r="KFG48" s="971"/>
      <c r="KFH48" s="971"/>
      <c r="KFI48" s="971"/>
      <c r="KFJ48" s="971"/>
      <c r="KFK48" s="971"/>
      <c r="KFL48" s="971"/>
      <c r="KFM48" s="971"/>
      <c r="KFN48" s="971"/>
      <c r="KFO48" s="971"/>
      <c r="KFP48" s="971"/>
      <c r="KFQ48" s="971"/>
      <c r="KFR48" s="971"/>
      <c r="KFS48" s="971"/>
      <c r="KFT48" s="971"/>
      <c r="KFU48" s="971"/>
      <c r="KFV48" s="971"/>
      <c r="KFW48" s="971"/>
      <c r="KFX48" s="971"/>
      <c r="KFY48" s="971"/>
      <c r="KFZ48" s="971"/>
      <c r="KGA48" s="971"/>
      <c r="KGB48" s="971"/>
      <c r="KGC48" s="971"/>
      <c r="KGD48" s="971"/>
      <c r="KGE48" s="971"/>
      <c r="KGF48" s="971"/>
      <c r="KGG48" s="971"/>
      <c r="KGH48" s="971"/>
      <c r="KGI48" s="971"/>
      <c r="KGJ48" s="971"/>
      <c r="KGK48" s="971"/>
      <c r="KGL48" s="971"/>
      <c r="KGM48" s="971"/>
      <c r="KGN48" s="971"/>
      <c r="KGO48" s="971"/>
      <c r="KGP48" s="971"/>
      <c r="KGQ48" s="971"/>
      <c r="KGR48" s="971"/>
      <c r="KGS48" s="971"/>
      <c r="KGT48" s="971"/>
      <c r="KGU48" s="971"/>
      <c r="KGV48" s="971"/>
      <c r="KGW48" s="971"/>
      <c r="KGX48" s="971"/>
      <c r="KGY48" s="971"/>
      <c r="KGZ48" s="971"/>
      <c r="KHA48" s="971"/>
      <c r="KHB48" s="971"/>
      <c r="KHC48" s="971"/>
      <c r="KHD48" s="971"/>
      <c r="KHE48" s="971"/>
      <c r="KHF48" s="971"/>
      <c r="KHG48" s="971"/>
      <c r="KHH48" s="971"/>
      <c r="KHI48" s="971"/>
      <c r="KHJ48" s="971"/>
      <c r="KHK48" s="971"/>
      <c r="KHL48" s="971"/>
      <c r="KHM48" s="971"/>
      <c r="KHN48" s="971"/>
      <c r="KHO48" s="971"/>
      <c r="KHP48" s="971"/>
      <c r="KHQ48" s="971"/>
      <c r="KHR48" s="971"/>
      <c r="KHS48" s="971"/>
      <c r="KHT48" s="971"/>
      <c r="KHU48" s="971"/>
      <c r="KHV48" s="971"/>
      <c r="KHW48" s="971"/>
      <c r="KHX48" s="971"/>
      <c r="KHY48" s="971"/>
      <c r="KHZ48" s="971"/>
      <c r="KIA48" s="971"/>
      <c r="KIB48" s="971"/>
      <c r="KIC48" s="971"/>
      <c r="KID48" s="971"/>
      <c r="KIE48" s="971"/>
      <c r="KIF48" s="971"/>
      <c r="KIG48" s="971"/>
      <c r="KIH48" s="971"/>
      <c r="KII48" s="971"/>
      <c r="KIJ48" s="971"/>
      <c r="KIK48" s="971"/>
      <c r="KIL48" s="971"/>
      <c r="KIM48" s="971"/>
      <c r="KIN48" s="971"/>
      <c r="KIO48" s="971"/>
      <c r="KIP48" s="971"/>
      <c r="KIQ48" s="971"/>
      <c r="KIR48" s="971"/>
      <c r="KIS48" s="971"/>
      <c r="KIT48" s="971"/>
      <c r="KIU48" s="971"/>
      <c r="KIV48" s="971"/>
      <c r="KIW48" s="971"/>
      <c r="KIX48" s="971"/>
      <c r="KIY48" s="971"/>
      <c r="KIZ48" s="971"/>
      <c r="KJA48" s="971"/>
      <c r="KJB48" s="971"/>
      <c r="KJC48" s="971"/>
      <c r="KJD48" s="971"/>
      <c r="KJE48" s="971"/>
      <c r="KJF48" s="971"/>
      <c r="KJG48" s="971"/>
      <c r="KJH48" s="971"/>
      <c r="KJI48" s="971"/>
      <c r="KJJ48" s="971"/>
      <c r="KJK48" s="971"/>
      <c r="KJL48" s="971"/>
      <c r="KJM48" s="971"/>
      <c r="KJN48" s="971"/>
      <c r="KJO48" s="971"/>
      <c r="KJP48" s="971"/>
      <c r="KJQ48" s="971"/>
      <c r="KJR48" s="971"/>
      <c r="KJS48" s="971"/>
      <c r="KJT48" s="971"/>
      <c r="KJU48" s="971"/>
      <c r="KJV48" s="971"/>
      <c r="KJW48" s="971"/>
      <c r="KJX48" s="971"/>
      <c r="KJY48" s="971"/>
      <c r="KJZ48" s="971"/>
      <c r="KKA48" s="971"/>
      <c r="KKB48" s="971"/>
      <c r="KKC48" s="971"/>
      <c r="KKD48" s="971"/>
      <c r="KKE48" s="971"/>
      <c r="KKF48" s="971"/>
      <c r="KKG48" s="971"/>
      <c r="KKH48" s="971"/>
      <c r="KKI48" s="971"/>
      <c r="KKJ48" s="971"/>
      <c r="KKK48" s="971"/>
      <c r="KKL48" s="971"/>
      <c r="KKM48" s="971"/>
      <c r="KKN48" s="971"/>
      <c r="KKO48" s="971"/>
      <c r="KKP48" s="971"/>
      <c r="KKQ48" s="971"/>
      <c r="KKR48" s="971"/>
      <c r="KKS48" s="971"/>
      <c r="KKT48" s="971"/>
      <c r="KKU48" s="971"/>
      <c r="KKV48" s="971"/>
      <c r="KKW48" s="971"/>
      <c r="KKX48" s="971"/>
      <c r="KKY48" s="971"/>
      <c r="KKZ48" s="971"/>
      <c r="KLA48" s="971"/>
      <c r="KLB48" s="971"/>
      <c r="KLC48" s="971"/>
      <c r="KLD48" s="971"/>
      <c r="KLE48" s="971"/>
      <c r="KLF48" s="971"/>
      <c r="KLG48" s="971"/>
      <c r="KLH48" s="971"/>
      <c r="KLI48" s="971"/>
      <c r="KLJ48" s="971"/>
      <c r="KLK48" s="971"/>
      <c r="KLL48" s="971"/>
      <c r="KLM48" s="971"/>
      <c r="KLN48" s="971"/>
      <c r="KLO48" s="971"/>
      <c r="KLP48" s="971"/>
      <c r="KLQ48" s="971"/>
      <c r="KLR48" s="971"/>
      <c r="KLS48" s="971"/>
      <c r="KLT48" s="971"/>
      <c r="KLU48" s="971"/>
      <c r="KLV48" s="971"/>
      <c r="KLW48" s="971"/>
      <c r="KLX48" s="971"/>
      <c r="KLY48" s="971"/>
      <c r="KLZ48" s="971"/>
      <c r="KMA48" s="971"/>
      <c r="KMB48" s="971"/>
      <c r="KMC48" s="971"/>
      <c r="KMD48" s="971"/>
      <c r="KME48" s="971"/>
      <c r="KMF48" s="971"/>
      <c r="KMG48" s="971"/>
      <c r="KMH48" s="971"/>
      <c r="KMI48" s="971"/>
      <c r="KMJ48" s="971"/>
      <c r="KMK48" s="971"/>
      <c r="KML48" s="971"/>
      <c r="KMM48" s="971"/>
      <c r="KMN48" s="971"/>
      <c r="KMO48" s="971"/>
      <c r="KMP48" s="971"/>
      <c r="KMQ48" s="971"/>
      <c r="KMR48" s="971"/>
      <c r="KMS48" s="971"/>
      <c r="KMT48" s="971"/>
      <c r="KMU48" s="971"/>
      <c r="KMV48" s="971"/>
      <c r="KMW48" s="971"/>
      <c r="KMX48" s="971"/>
      <c r="KMY48" s="971"/>
      <c r="KMZ48" s="971"/>
      <c r="KNA48" s="971"/>
      <c r="KNB48" s="971"/>
      <c r="KNC48" s="971"/>
      <c r="KND48" s="971"/>
      <c r="KNE48" s="971"/>
      <c r="KNF48" s="971"/>
      <c r="KNG48" s="971"/>
      <c r="KNH48" s="971"/>
      <c r="KNI48" s="971"/>
      <c r="KNJ48" s="971"/>
      <c r="KNK48" s="971"/>
      <c r="KNL48" s="971"/>
      <c r="KNM48" s="971"/>
      <c r="KNN48" s="971"/>
      <c r="KNO48" s="971"/>
      <c r="KNP48" s="971"/>
      <c r="KNQ48" s="971"/>
      <c r="KNR48" s="971"/>
      <c r="KNS48" s="971"/>
      <c r="KNT48" s="971"/>
      <c r="KNU48" s="971"/>
      <c r="KNV48" s="971"/>
      <c r="KNW48" s="971"/>
      <c r="KNX48" s="971"/>
      <c r="KNY48" s="971"/>
      <c r="KNZ48" s="971"/>
      <c r="KOA48" s="971"/>
      <c r="KOB48" s="971"/>
      <c r="KOC48" s="971"/>
      <c r="KOD48" s="971"/>
      <c r="KOE48" s="971"/>
      <c r="KOF48" s="971"/>
      <c r="KOG48" s="971"/>
      <c r="KOH48" s="971"/>
      <c r="KOI48" s="971"/>
      <c r="KOJ48" s="971"/>
      <c r="KOK48" s="971"/>
      <c r="KOL48" s="971"/>
      <c r="KOM48" s="971"/>
      <c r="KON48" s="971"/>
      <c r="KOO48" s="971"/>
      <c r="KOP48" s="971"/>
      <c r="KOQ48" s="971"/>
      <c r="KOR48" s="971"/>
      <c r="KOS48" s="971"/>
      <c r="KOT48" s="971"/>
      <c r="KOU48" s="971"/>
      <c r="KOV48" s="971"/>
      <c r="KOW48" s="971"/>
      <c r="KOX48" s="971"/>
      <c r="KOY48" s="971"/>
      <c r="KOZ48" s="971"/>
      <c r="KPA48" s="971"/>
      <c r="KPB48" s="971"/>
      <c r="KPC48" s="971"/>
      <c r="KPD48" s="971"/>
      <c r="KPE48" s="971"/>
      <c r="KPF48" s="971"/>
      <c r="KPG48" s="971"/>
      <c r="KPH48" s="971"/>
      <c r="KPI48" s="971"/>
      <c r="KPJ48" s="971"/>
      <c r="KPK48" s="971"/>
      <c r="KPL48" s="971"/>
      <c r="KPM48" s="971"/>
      <c r="KPN48" s="971"/>
      <c r="KPO48" s="971"/>
      <c r="KPP48" s="971"/>
      <c r="KPQ48" s="971"/>
      <c r="KPR48" s="971"/>
      <c r="KPS48" s="971"/>
      <c r="KPT48" s="971"/>
      <c r="KPU48" s="971"/>
      <c r="KPV48" s="971"/>
      <c r="KPW48" s="971"/>
      <c r="KPX48" s="971"/>
      <c r="KPY48" s="971"/>
      <c r="KPZ48" s="971"/>
      <c r="KQA48" s="971"/>
      <c r="KQB48" s="971"/>
      <c r="KQC48" s="971"/>
      <c r="KQD48" s="971"/>
      <c r="KQE48" s="971"/>
      <c r="KQF48" s="971"/>
      <c r="KQG48" s="971"/>
      <c r="KQH48" s="971"/>
      <c r="KQI48" s="971"/>
      <c r="KQJ48" s="971"/>
      <c r="KQK48" s="971"/>
      <c r="KQL48" s="971"/>
      <c r="KQM48" s="971"/>
      <c r="KQN48" s="971"/>
      <c r="KQO48" s="971"/>
      <c r="KQP48" s="971"/>
      <c r="KQQ48" s="971"/>
      <c r="KQR48" s="971"/>
      <c r="KQS48" s="971"/>
      <c r="KQT48" s="971"/>
      <c r="KQU48" s="971"/>
      <c r="KQV48" s="971"/>
      <c r="KQW48" s="971"/>
      <c r="KQX48" s="971"/>
      <c r="KQY48" s="971"/>
      <c r="KQZ48" s="971"/>
      <c r="KRA48" s="971"/>
      <c r="KRB48" s="971"/>
      <c r="KRC48" s="971"/>
      <c r="KRD48" s="971"/>
      <c r="KRE48" s="971"/>
      <c r="KRF48" s="971"/>
      <c r="KRG48" s="971"/>
      <c r="KRH48" s="971"/>
      <c r="KRI48" s="971"/>
      <c r="KRJ48" s="971"/>
      <c r="KRK48" s="971"/>
      <c r="KRL48" s="971"/>
      <c r="KRM48" s="971"/>
      <c r="KRN48" s="971"/>
      <c r="KRO48" s="971"/>
      <c r="KRP48" s="971"/>
      <c r="KRQ48" s="971"/>
      <c r="KRR48" s="971"/>
      <c r="KRS48" s="971"/>
      <c r="KRT48" s="971"/>
      <c r="KRU48" s="971"/>
      <c r="KRV48" s="971"/>
      <c r="KRW48" s="971"/>
      <c r="KRX48" s="971"/>
      <c r="KRY48" s="971"/>
      <c r="KRZ48" s="971"/>
      <c r="KSA48" s="971"/>
      <c r="KSB48" s="971"/>
      <c r="KSC48" s="971"/>
      <c r="KSD48" s="971"/>
      <c r="KSE48" s="971"/>
      <c r="KSF48" s="971"/>
      <c r="KSG48" s="971"/>
      <c r="KSH48" s="971"/>
      <c r="KSI48" s="971"/>
      <c r="KSJ48" s="971"/>
      <c r="KSK48" s="971"/>
      <c r="KSL48" s="971"/>
      <c r="KSM48" s="971"/>
      <c r="KSN48" s="971"/>
      <c r="KSO48" s="971"/>
      <c r="KSP48" s="971"/>
      <c r="KSQ48" s="971"/>
      <c r="KSR48" s="971"/>
      <c r="KSS48" s="971"/>
      <c r="KST48" s="971"/>
      <c r="KSU48" s="971"/>
      <c r="KSV48" s="971"/>
      <c r="KSW48" s="971"/>
      <c r="KSX48" s="971"/>
      <c r="KSY48" s="971"/>
      <c r="KSZ48" s="971"/>
      <c r="KTA48" s="971"/>
      <c r="KTB48" s="971"/>
      <c r="KTC48" s="971"/>
      <c r="KTD48" s="971"/>
      <c r="KTE48" s="971"/>
      <c r="KTF48" s="971"/>
      <c r="KTG48" s="971"/>
      <c r="KTH48" s="971"/>
      <c r="KTI48" s="971"/>
      <c r="KTJ48" s="971"/>
      <c r="KTK48" s="971"/>
      <c r="KTL48" s="971"/>
      <c r="KTM48" s="971"/>
      <c r="KTN48" s="971"/>
      <c r="KTO48" s="971"/>
      <c r="KTP48" s="971"/>
      <c r="KTQ48" s="971"/>
      <c r="KTR48" s="971"/>
      <c r="KTS48" s="971"/>
      <c r="KTT48" s="971"/>
      <c r="KTU48" s="971"/>
      <c r="KTV48" s="971"/>
      <c r="KTW48" s="971"/>
      <c r="KTX48" s="971"/>
      <c r="KTY48" s="971"/>
      <c r="KTZ48" s="971"/>
      <c r="KUA48" s="971"/>
      <c r="KUB48" s="971"/>
      <c r="KUC48" s="971"/>
      <c r="KUD48" s="971"/>
      <c r="KUE48" s="971"/>
      <c r="KUF48" s="971"/>
      <c r="KUG48" s="971"/>
      <c r="KUH48" s="971"/>
      <c r="KUI48" s="971"/>
      <c r="KUJ48" s="971"/>
      <c r="KUK48" s="971"/>
      <c r="KUL48" s="971"/>
      <c r="KUM48" s="971"/>
      <c r="KUN48" s="971"/>
      <c r="KUO48" s="971"/>
      <c r="KUP48" s="971"/>
      <c r="KUQ48" s="971"/>
      <c r="KUR48" s="971"/>
      <c r="KUS48" s="971"/>
      <c r="KUT48" s="971"/>
      <c r="KUU48" s="971"/>
      <c r="KUV48" s="971"/>
      <c r="KUW48" s="971"/>
      <c r="KUX48" s="971"/>
      <c r="KUY48" s="971"/>
      <c r="KUZ48" s="971"/>
      <c r="KVA48" s="971"/>
      <c r="KVB48" s="971"/>
      <c r="KVC48" s="971"/>
      <c r="KVD48" s="971"/>
      <c r="KVE48" s="971"/>
      <c r="KVF48" s="971"/>
      <c r="KVG48" s="971"/>
      <c r="KVH48" s="971"/>
      <c r="KVI48" s="971"/>
      <c r="KVJ48" s="971"/>
      <c r="KVK48" s="971"/>
      <c r="KVL48" s="971"/>
      <c r="KVM48" s="971"/>
      <c r="KVN48" s="971"/>
      <c r="KVO48" s="971"/>
      <c r="KVP48" s="971"/>
      <c r="KVQ48" s="971"/>
      <c r="KVR48" s="971"/>
      <c r="KVS48" s="971"/>
      <c r="KVT48" s="971"/>
      <c r="KVU48" s="971"/>
      <c r="KVV48" s="971"/>
      <c r="KVW48" s="971"/>
      <c r="KVX48" s="971"/>
      <c r="KVY48" s="971"/>
      <c r="KVZ48" s="971"/>
      <c r="KWA48" s="971"/>
      <c r="KWB48" s="971"/>
      <c r="KWC48" s="971"/>
      <c r="KWD48" s="971"/>
      <c r="KWE48" s="971"/>
      <c r="KWF48" s="971"/>
      <c r="KWG48" s="971"/>
      <c r="KWH48" s="971"/>
      <c r="KWI48" s="971"/>
      <c r="KWJ48" s="971"/>
      <c r="KWK48" s="971"/>
      <c r="KWL48" s="971"/>
      <c r="KWM48" s="971"/>
      <c r="KWN48" s="971"/>
      <c r="KWO48" s="971"/>
      <c r="KWP48" s="971"/>
      <c r="KWQ48" s="971"/>
      <c r="KWR48" s="971"/>
      <c r="KWS48" s="971"/>
      <c r="KWT48" s="971"/>
      <c r="KWU48" s="971"/>
      <c r="KWV48" s="971"/>
      <c r="KWW48" s="971"/>
      <c r="KWX48" s="971"/>
      <c r="KWY48" s="971"/>
      <c r="KWZ48" s="971"/>
      <c r="KXA48" s="971"/>
      <c r="KXB48" s="971"/>
      <c r="KXC48" s="971"/>
      <c r="KXD48" s="971"/>
      <c r="KXE48" s="971"/>
      <c r="KXF48" s="971"/>
      <c r="KXG48" s="971"/>
      <c r="KXH48" s="971"/>
      <c r="KXI48" s="971"/>
      <c r="KXJ48" s="971"/>
      <c r="KXK48" s="971"/>
      <c r="KXL48" s="971"/>
      <c r="KXM48" s="971"/>
      <c r="KXN48" s="971"/>
      <c r="KXO48" s="971"/>
      <c r="KXP48" s="971"/>
      <c r="KXQ48" s="971"/>
      <c r="KXR48" s="971"/>
      <c r="KXS48" s="971"/>
      <c r="KXT48" s="971"/>
      <c r="KXU48" s="971"/>
      <c r="KXV48" s="971"/>
      <c r="KXW48" s="971"/>
      <c r="KXX48" s="971"/>
      <c r="KXY48" s="971"/>
      <c r="KXZ48" s="971"/>
      <c r="KYA48" s="971"/>
      <c r="KYB48" s="971"/>
      <c r="KYC48" s="971"/>
      <c r="KYD48" s="971"/>
      <c r="KYE48" s="971"/>
      <c r="KYF48" s="971"/>
      <c r="KYG48" s="971"/>
      <c r="KYH48" s="971"/>
      <c r="KYI48" s="971"/>
      <c r="KYJ48" s="971"/>
      <c r="KYK48" s="971"/>
      <c r="KYL48" s="971"/>
      <c r="KYM48" s="971"/>
      <c r="KYN48" s="971"/>
      <c r="KYO48" s="971"/>
      <c r="KYP48" s="971"/>
      <c r="KYQ48" s="971"/>
      <c r="KYR48" s="971"/>
      <c r="KYS48" s="971"/>
      <c r="KYT48" s="971"/>
      <c r="KYU48" s="971"/>
      <c r="KYV48" s="971"/>
      <c r="KYW48" s="971"/>
      <c r="KYX48" s="971"/>
      <c r="KYY48" s="971"/>
      <c r="KYZ48" s="971"/>
      <c r="KZA48" s="971"/>
      <c r="KZB48" s="971"/>
      <c r="KZC48" s="971"/>
      <c r="KZD48" s="971"/>
      <c r="KZE48" s="971"/>
      <c r="KZF48" s="971"/>
      <c r="KZG48" s="971"/>
      <c r="KZH48" s="971"/>
      <c r="KZI48" s="971"/>
      <c r="KZJ48" s="971"/>
      <c r="KZK48" s="971"/>
      <c r="KZL48" s="971"/>
      <c r="KZM48" s="971"/>
      <c r="KZN48" s="971"/>
      <c r="KZO48" s="971"/>
      <c r="KZP48" s="971"/>
      <c r="KZQ48" s="971"/>
      <c r="KZR48" s="971"/>
      <c r="KZS48" s="971"/>
      <c r="KZT48" s="971"/>
      <c r="KZU48" s="971"/>
      <c r="KZV48" s="971"/>
      <c r="KZW48" s="971"/>
      <c r="KZX48" s="971"/>
      <c r="KZY48" s="971"/>
      <c r="KZZ48" s="971"/>
      <c r="LAA48" s="971"/>
      <c r="LAB48" s="971"/>
      <c r="LAC48" s="971"/>
      <c r="LAD48" s="971"/>
      <c r="LAE48" s="971"/>
      <c r="LAF48" s="971"/>
      <c r="LAG48" s="971"/>
      <c r="LAH48" s="971"/>
      <c r="LAI48" s="971"/>
      <c r="LAJ48" s="971"/>
      <c r="LAK48" s="971"/>
      <c r="LAL48" s="971"/>
      <c r="LAM48" s="971"/>
      <c r="LAN48" s="971"/>
      <c r="LAO48" s="971"/>
      <c r="LAP48" s="971"/>
      <c r="LAQ48" s="971"/>
      <c r="LAR48" s="971"/>
      <c r="LAS48" s="971"/>
      <c r="LAT48" s="971"/>
      <c r="LAU48" s="971"/>
      <c r="LAV48" s="971"/>
      <c r="LAW48" s="971"/>
      <c r="LAX48" s="971"/>
      <c r="LAY48" s="971"/>
      <c r="LAZ48" s="971"/>
      <c r="LBA48" s="971"/>
      <c r="LBB48" s="971"/>
      <c r="LBC48" s="971"/>
      <c r="LBD48" s="971"/>
      <c r="LBE48" s="971"/>
      <c r="LBF48" s="971"/>
      <c r="LBG48" s="971"/>
      <c r="LBH48" s="971"/>
      <c r="LBI48" s="971"/>
      <c r="LBJ48" s="971"/>
      <c r="LBK48" s="971"/>
      <c r="LBL48" s="971"/>
      <c r="LBM48" s="971"/>
      <c r="LBN48" s="971"/>
      <c r="LBO48" s="971"/>
      <c r="LBP48" s="971"/>
      <c r="LBQ48" s="971"/>
      <c r="LBR48" s="971"/>
      <c r="LBS48" s="971"/>
      <c r="LBT48" s="971"/>
      <c r="LBU48" s="971"/>
      <c r="LBV48" s="971"/>
      <c r="LBW48" s="971"/>
      <c r="LBX48" s="971"/>
      <c r="LBY48" s="971"/>
      <c r="LBZ48" s="971"/>
      <c r="LCA48" s="971"/>
      <c r="LCB48" s="971"/>
      <c r="LCC48" s="971"/>
      <c r="LCD48" s="971"/>
      <c r="LCE48" s="971"/>
      <c r="LCF48" s="971"/>
      <c r="LCG48" s="971"/>
      <c r="LCH48" s="971"/>
      <c r="LCI48" s="971"/>
      <c r="LCJ48" s="971"/>
      <c r="LCK48" s="971"/>
      <c r="LCL48" s="971"/>
      <c r="LCM48" s="971"/>
      <c r="LCN48" s="971"/>
      <c r="LCO48" s="971"/>
      <c r="LCP48" s="971"/>
      <c r="LCQ48" s="971"/>
      <c r="LCR48" s="971"/>
      <c r="LCS48" s="971"/>
      <c r="LCT48" s="971"/>
      <c r="LCU48" s="971"/>
      <c r="LCV48" s="971"/>
      <c r="LCW48" s="971"/>
      <c r="LCX48" s="971"/>
      <c r="LCY48" s="971"/>
      <c r="LCZ48" s="971"/>
      <c r="LDA48" s="971"/>
      <c r="LDB48" s="971"/>
      <c r="LDC48" s="971"/>
      <c r="LDD48" s="971"/>
      <c r="LDE48" s="971"/>
      <c r="LDF48" s="971"/>
      <c r="LDG48" s="971"/>
      <c r="LDH48" s="971"/>
      <c r="LDI48" s="971"/>
      <c r="LDJ48" s="971"/>
      <c r="LDK48" s="971"/>
      <c r="LDL48" s="971"/>
      <c r="LDM48" s="971"/>
      <c r="LDN48" s="971"/>
      <c r="LDO48" s="971"/>
      <c r="LDP48" s="971"/>
      <c r="LDQ48" s="971"/>
      <c r="LDR48" s="971"/>
      <c r="LDS48" s="971"/>
      <c r="LDT48" s="971"/>
      <c r="LDU48" s="971"/>
      <c r="LDV48" s="971"/>
      <c r="LDW48" s="971"/>
      <c r="LDX48" s="971"/>
      <c r="LDY48" s="971"/>
      <c r="LDZ48" s="971"/>
      <c r="LEA48" s="971"/>
      <c r="LEB48" s="971"/>
      <c r="LEC48" s="971"/>
      <c r="LED48" s="971"/>
      <c r="LEE48" s="971"/>
      <c r="LEF48" s="971"/>
      <c r="LEG48" s="971"/>
      <c r="LEH48" s="971"/>
      <c r="LEI48" s="971"/>
      <c r="LEJ48" s="971"/>
      <c r="LEK48" s="971"/>
      <c r="LEL48" s="971"/>
      <c r="LEM48" s="971"/>
      <c r="LEN48" s="971"/>
      <c r="LEO48" s="971"/>
      <c r="LEP48" s="971"/>
      <c r="LEQ48" s="971"/>
      <c r="LER48" s="971"/>
      <c r="LES48" s="971"/>
      <c r="LET48" s="971"/>
      <c r="LEU48" s="971"/>
      <c r="LEV48" s="971"/>
      <c r="LEW48" s="971"/>
      <c r="LEX48" s="971"/>
      <c r="LEY48" s="971"/>
      <c r="LEZ48" s="971"/>
      <c r="LFA48" s="971"/>
      <c r="LFB48" s="971"/>
      <c r="LFC48" s="971"/>
      <c r="LFD48" s="971"/>
      <c r="LFE48" s="971"/>
      <c r="LFF48" s="971"/>
      <c r="LFG48" s="971"/>
      <c r="LFH48" s="971"/>
      <c r="LFI48" s="971"/>
      <c r="LFJ48" s="971"/>
      <c r="LFK48" s="971"/>
      <c r="LFL48" s="971"/>
      <c r="LFM48" s="971"/>
      <c r="LFN48" s="971"/>
      <c r="LFO48" s="971"/>
      <c r="LFP48" s="971"/>
      <c r="LFQ48" s="971"/>
      <c r="LFR48" s="971"/>
      <c r="LFS48" s="971"/>
      <c r="LFT48" s="971"/>
      <c r="LFU48" s="971"/>
      <c r="LFV48" s="971"/>
      <c r="LFW48" s="971"/>
      <c r="LFX48" s="971"/>
      <c r="LFY48" s="971"/>
      <c r="LFZ48" s="971"/>
      <c r="LGA48" s="971"/>
      <c r="LGB48" s="971"/>
      <c r="LGC48" s="971"/>
      <c r="LGD48" s="971"/>
      <c r="LGE48" s="971"/>
      <c r="LGF48" s="971"/>
      <c r="LGG48" s="971"/>
      <c r="LGH48" s="971"/>
      <c r="LGI48" s="971"/>
      <c r="LGJ48" s="971"/>
      <c r="LGK48" s="971"/>
      <c r="LGL48" s="971"/>
      <c r="LGM48" s="971"/>
      <c r="LGN48" s="971"/>
      <c r="LGO48" s="971"/>
      <c r="LGP48" s="971"/>
      <c r="LGQ48" s="971"/>
      <c r="LGR48" s="971"/>
      <c r="LGS48" s="971"/>
      <c r="LGT48" s="971"/>
      <c r="LGU48" s="971"/>
      <c r="LGV48" s="971"/>
      <c r="LGW48" s="971"/>
      <c r="LGX48" s="971"/>
      <c r="LGY48" s="971"/>
      <c r="LGZ48" s="971"/>
      <c r="LHA48" s="971"/>
      <c r="LHB48" s="971"/>
      <c r="LHC48" s="971"/>
      <c r="LHD48" s="971"/>
      <c r="LHE48" s="971"/>
      <c r="LHF48" s="971"/>
      <c r="LHG48" s="971"/>
      <c r="LHH48" s="971"/>
      <c r="LHI48" s="971"/>
      <c r="LHJ48" s="971"/>
      <c r="LHK48" s="971"/>
      <c r="LHL48" s="971"/>
      <c r="LHM48" s="971"/>
      <c r="LHN48" s="971"/>
      <c r="LHO48" s="971"/>
      <c r="LHP48" s="971"/>
      <c r="LHQ48" s="971"/>
      <c r="LHR48" s="971"/>
      <c r="LHS48" s="971"/>
      <c r="LHT48" s="971"/>
      <c r="LHU48" s="971"/>
      <c r="LHV48" s="971"/>
      <c r="LHW48" s="971"/>
      <c r="LHX48" s="971"/>
      <c r="LHY48" s="971"/>
      <c r="LHZ48" s="971"/>
      <c r="LIA48" s="971"/>
      <c r="LIB48" s="971"/>
      <c r="LIC48" s="971"/>
      <c r="LID48" s="971"/>
      <c r="LIE48" s="971"/>
      <c r="LIF48" s="971"/>
      <c r="LIG48" s="971"/>
      <c r="LIH48" s="971"/>
      <c r="LII48" s="971"/>
      <c r="LIJ48" s="971"/>
      <c r="LIK48" s="971"/>
      <c r="LIL48" s="971"/>
      <c r="LIM48" s="971"/>
      <c r="LIN48" s="971"/>
      <c r="LIO48" s="971"/>
      <c r="LIP48" s="971"/>
      <c r="LIQ48" s="971"/>
      <c r="LIR48" s="971"/>
      <c r="LIS48" s="971"/>
      <c r="LIT48" s="971"/>
      <c r="LIU48" s="971"/>
      <c r="LIV48" s="971"/>
      <c r="LIW48" s="971"/>
      <c r="LIX48" s="971"/>
      <c r="LIY48" s="971"/>
      <c r="LIZ48" s="971"/>
      <c r="LJA48" s="971"/>
      <c r="LJB48" s="971"/>
      <c r="LJC48" s="971"/>
      <c r="LJD48" s="971"/>
      <c r="LJE48" s="971"/>
      <c r="LJF48" s="971"/>
      <c r="LJG48" s="971"/>
      <c r="LJH48" s="971"/>
      <c r="LJI48" s="971"/>
      <c r="LJJ48" s="971"/>
      <c r="LJK48" s="971"/>
      <c r="LJL48" s="971"/>
      <c r="LJM48" s="971"/>
      <c r="LJN48" s="971"/>
      <c r="LJO48" s="971"/>
      <c r="LJP48" s="971"/>
      <c r="LJQ48" s="971"/>
      <c r="LJR48" s="971"/>
      <c r="LJS48" s="971"/>
      <c r="LJT48" s="971"/>
      <c r="LJU48" s="971"/>
      <c r="LJV48" s="971"/>
      <c r="LJW48" s="971"/>
      <c r="LJX48" s="971"/>
      <c r="LJY48" s="971"/>
      <c r="LJZ48" s="971"/>
      <c r="LKA48" s="971"/>
      <c r="LKB48" s="971"/>
      <c r="LKC48" s="971"/>
      <c r="LKD48" s="971"/>
      <c r="LKE48" s="971"/>
      <c r="LKF48" s="971"/>
      <c r="LKG48" s="971"/>
      <c r="LKH48" s="971"/>
      <c r="LKI48" s="971"/>
      <c r="LKJ48" s="971"/>
      <c r="LKK48" s="971"/>
      <c r="LKL48" s="971"/>
      <c r="LKM48" s="971"/>
      <c r="LKN48" s="971"/>
      <c r="LKO48" s="971"/>
      <c r="LKP48" s="971"/>
      <c r="LKQ48" s="971"/>
      <c r="LKR48" s="971"/>
      <c r="LKS48" s="971"/>
      <c r="LKT48" s="971"/>
      <c r="LKU48" s="971"/>
      <c r="LKV48" s="971"/>
      <c r="LKW48" s="971"/>
      <c r="LKX48" s="971"/>
      <c r="LKY48" s="971"/>
      <c r="LKZ48" s="971"/>
      <c r="LLA48" s="971"/>
      <c r="LLB48" s="971"/>
      <c r="LLC48" s="971"/>
      <c r="LLD48" s="971"/>
      <c r="LLE48" s="971"/>
      <c r="LLF48" s="971"/>
      <c r="LLG48" s="971"/>
      <c r="LLH48" s="971"/>
      <c r="LLI48" s="971"/>
      <c r="LLJ48" s="971"/>
      <c r="LLK48" s="971"/>
      <c r="LLL48" s="971"/>
      <c r="LLM48" s="971"/>
      <c r="LLN48" s="971"/>
      <c r="LLO48" s="971"/>
      <c r="LLP48" s="971"/>
      <c r="LLQ48" s="971"/>
      <c r="LLR48" s="971"/>
      <c r="LLS48" s="971"/>
      <c r="LLT48" s="971"/>
      <c r="LLU48" s="971"/>
      <c r="LLV48" s="971"/>
      <c r="LLW48" s="971"/>
      <c r="LLX48" s="971"/>
      <c r="LLY48" s="971"/>
      <c r="LLZ48" s="971"/>
      <c r="LMA48" s="971"/>
      <c r="LMB48" s="971"/>
      <c r="LMC48" s="971"/>
      <c r="LMD48" s="971"/>
      <c r="LME48" s="971"/>
      <c r="LMF48" s="971"/>
      <c r="LMG48" s="971"/>
      <c r="LMH48" s="971"/>
      <c r="LMI48" s="971"/>
      <c r="LMJ48" s="971"/>
      <c r="LMK48" s="971"/>
      <c r="LML48" s="971"/>
      <c r="LMM48" s="971"/>
      <c r="LMN48" s="971"/>
      <c r="LMO48" s="971"/>
      <c r="LMP48" s="971"/>
      <c r="LMQ48" s="971"/>
      <c r="LMR48" s="971"/>
      <c r="LMS48" s="971"/>
      <c r="LMT48" s="971"/>
      <c r="LMU48" s="971"/>
      <c r="LMV48" s="971"/>
      <c r="LMW48" s="971"/>
      <c r="LMX48" s="971"/>
      <c r="LMY48" s="971"/>
      <c r="LMZ48" s="971"/>
      <c r="LNA48" s="971"/>
      <c r="LNB48" s="971"/>
      <c r="LNC48" s="971"/>
      <c r="LND48" s="971"/>
      <c r="LNE48" s="971"/>
      <c r="LNF48" s="971"/>
      <c r="LNG48" s="971"/>
      <c r="LNH48" s="971"/>
      <c r="LNI48" s="971"/>
      <c r="LNJ48" s="971"/>
      <c r="LNK48" s="971"/>
      <c r="LNL48" s="971"/>
      <c r="LNM48" s="971"/>
      <c r="LNN48" s="971"/>
      <c r="LNO48" s="971"/>
      <c r="LNP48" s="971"/>
      <c r="LNQ48" s="971"/>
      <c r="LNR48" s="971"/>
      <c r="LNS48" s="971"/>
      <c r="LNT48" s="971"/>
      <c r="LNU48" s="971"/>
      <c r="LNV48" s="971"/>
      <c r="LNW48" s="971"/>
      <c r="LNX48" s="971"/>
      <c r="LNY48" s="971"/>
      <c r="LNZ48" s="971"/>
      <c r="LOA48" s="971"/>
      <c r="LOB48" s="971"/>
      <c r="LOC48" s="971"/>
      <c r="LOD48" s="971"/>
      <c r="LOE48" s="971"/>
      <c r="LOF48" s="971"/>
      <c r="LOG48" s="971"/>
      <c r="LOH48" s="971"/>
      <c r="LOI48" s="971"/>
      <c r="LOJ48" s="971"/>
      <c r="LOK48" s="971"/>
      <c r="LOL48" s="971"/>
      <c r="LOM48" s="971"/>
      <c r="LON48" s="971"/>
      <c r="LOO48" s="971"/>
      <c r="LOP48" s="971"/>
      <c r="LOQ48" s="971"/>
      <c r="LOR48" s="971"/>
      <c r="LOS48" s="971"/>
      <c r="LOT48" s="971"/>
      <c r="LOU48" s="971"/>
      <c r="LOV48" s="971"/>
      <c r="LOW48" s="971"/>
      <c r="LOX48" s="971"/>
      <c r="LOY48" s="971"/>
      <c r="LOZ48" s="971"/>
      <c r="LPA48" s="971"/>
      <c r="LPB48" s="971"/>
      <c r="LPC48" s="971"/>
      <c r="LPD48" s="971"/>
      <c r="LPE48" s="971"/>
      <c r="LPF48" s="971"/>
      <c r="LPG48" s="971"/>
      <c r="LPH48" s="971"/>
      <c r="LPI48" s="971"/>
      <c r="LPJ48" s="971"/>
      <c r="LPK48" s="971"/>
      <c r="LPL48" s="971"/>
      <c r="LPM48" s="971"/>
      <c r="LPN48" s="971"/>
      <c r="LPO48" s="971"/>
      <c r="LPP48" s="971"/>
      <c r="LPQ48" s="971"/>
      <c r="LPR48" s="971"/>
      <c r="LPS48" s="971"/>
      <c r="LPT48" s="971"/>
      <c r="LPU48" s="971"/>
      <c r="LPV48" s="971"/>
      <c r="LPW48" s="971"/>
      <c r="LPX48" s="971"/>
      <c r="LPY48" s="971"/>
      <c r="LPZ48" s="971"/>
      <c r="LQA48" s="971"/>
      <c r="LQB48" s="971"/>
      <c r="LQC48" s="971"/>
      <c r="LQD48" s="971"/>
      <c r="LQE48" s="971"/>
      <c r="LQF48" s="971"/>
      <c r="LQG48" s="971"/>
      <c r="LQH48" s="971"/>
      <c r="LQI48" s="971"/>
      <c r="LQJ48" s="971"/>
      <c r="LQK48" s="971"/>
      <c r="LQL48" s="971"/>
      <c r="LQM48" s="971"/>
      <c r="LQN48" s="971"/>
      <c r="LQO48" s="971"/>
      <c r="LQP48" s="971"/>
      <c r="LQQ48" s="971"/>
      <c r="LQR48" s="971"/>
      <c r="LQS48" s="971"/>
      <c r="LQT48" s="971"/>
      <c r="LQU48" s="971"/>
      <c r="LQV48" s="971"/>
      <c r="LQW48" s="971"/>
      <c r="LQX48" s="971"/>
      <c r="LQY48" s="971"/>
      <c r="LQZ48" s="971"/>
      <c r="LRA48" s="971"/>
      <c r="LRB48" s="971"/>
      <c r="LRC48" s="971"/>
      <c r="LRD48" s="971"/>
      <c r="LRE48" s="971"/>
      <c r="LRF48" s="971"/>
      <c r="LRG48" s="971"/>
      <c r="LRH48" s="971"/>
      <c r="LRI48" s="971"/>
      <c r="LRJ48" s="971"/>
      <c r="LRK48" s="971"/>
      <c r="LRL48" s="971"/>
      <c r="LRM48" s="971"/>
      <c r="LRN48" s="971"/>
      <c r="LRO48" s="971"/>
      <c r="LRP48" s="971"/>
      <c r="LRQ48" s="971"/>
      <c r="LRR48" s="971"/>
      <c r="LRS48" s="971"/>
      <c r="LRT48" s="971"/>
      <c r="LRU48" s="971"/>
      <c r="LRV48" s="971"/>
      <c r="LRW48" s="971"/>
      <c r="LRX48" s="971"/>
      <c r="LRY48" s="971"/>
      <c r="LRZ48" s="971"/>
      <c r="LSA48" s="971"/>
      <c r="LSB48" s="971"/>
      <c r="LSC48" s="971"/>
      <c r="LSD48" s="971"/>
      <c r="LSE48" s="971"/>
      <c r="LSF48" s="971"/>
      <c r="LSG48" s="971"/>
      <c r="LSH48" s="971"/>
      <c r="LSI48" s="971"/>
      <c r="LSJ48" s="971"/>
      <c r="LSK48" s="971"/>
      <c r="LSL48" s="971"/>
      <c r="LSM48" s="971"/>
      <c r="LSN48" s="971"/>
      <c r="LSO48" s="971"/>
      <c r="LSP48" s="971"/>
      <c r="LSQ48" s="971"/>
      <c r="LSR48" s="971"/>
      <c r="LSS48" s="971"/>
      <c r="LST48" s="971"/>
      <c r="LSU48" s="971"/>
      <c r="LSV48" s="971"/>
      <c r="LSW48" s="971"/>
      <c r="LSX48" s="971"/>
      <c r="LSY48" s="971"/>
      <c r="LSZ48" s="971"/>
      <c r="LTA48" s="971"/>
      <c r="LTB48" s="971"/>
      <c r="LTC48" s="971"/>
      <c r="LTD48" s="971"/>
      <c r="LTE48" s="971"/>
      <c r="LTF48" s="971"/>
      <c r="LTG48" s="971"/>
      <c r="LTH48" s="971"/>
      <c r="LTI48" s="971"/>
      <c r="LTJ48" s="971"/>
      <c r="LTK48" s="971"/>
      <c r="LTL48" s="971"/>
      <c r="LTM48" s="971"/>
      <c r="LTN48" s="971"/>
      <c r="LTO48" s="971"/>
      <c r="LTP48" s="971"/>
      <c r="LTQ48" s="971"/>
      <c r="LTR48" s="971"/>
      <c r="LTS48" s="971"/>
      <c r="LTT48" s="971"/>
      <c r="LTU48" s="971"/>
      <c r="LTV48" s="971"/>
      <c r="LTW48" s="971"/>
      <c r="LTX48" s="971"/>
      <c r="LTY48" s="971"/>
      <c r="LTZ48" s="971"/>
      <c r="LUA48" s="971"/>
      <c r="LUB48" s="971"/>
      <c r="LUC48" s="971"/>
      <c r="LUD48" s="971"/>
      <c r="LUE48" s="971"/>
      <c r="LUF48" s="971"/>
      <c r="LUG48" s="971"/>
      <c r="LUH48" s="971"/>
      <c r="LUI48" s="971"/>
      <c r="LUJ48" s="971"/>
      <c r="LUK48" s="971"/>
      <c r="LUL48" s="971"/>
      <c r="LUM48" s="971"/>
      <c r="LUN48" s="971"/>
      <c r="LUO48" s="971"/>
      <c r="LUP48" s="971"/>
      <c r="LUQ48" s="971"/>
      <c r="LUR48" s="971"/>
      <c r="LUS48" s="971"/>
      <c r="LUT48" s="971"/>
      <c r="LUU48" s="971"/>
      <c r="LUV48" s="971"/>
      <c r="LUW48" s="971"/>
      <c r="LUX48" s="971"/>
      <c r="LUY48" s="971"/>
      <c r="LUZ48" s="971"/>
      <c r="LVA48" s="971"/>
      <c r="LVB48" s="971"/>
      <c r="LVC48" s="971"/>
      <c r="LVD48" s="971"/>
      <c r="LVE48" s="971"/>
      <c r="LVF48" s="971"/>
      <c r="LVG48" s="971"/>
      <c r="LVH48" s="971"/>
      <c r="LVI48" s="971"/>
      <c r="LVJ48" s="971"/>
      <c r="LVK48" s="971"/>
      <c r="LVL48" s="971"/>
      <c r="LVM48" s="971"/>
      <c r="LVN48" s="971"/>
      <c r="LVO48" s="971"/>
      <c r="LVP48" s="971"/>
      <c r="LVQ48" s="971"/>
      <c r="LVR48" s="971"/>
      <c r="LVS48" s="971"/>
      <c r="LVT48" s="971"/>
      <c r="LVU48" s="971"/>
      <c r="LVV48" s="971"/>
      <c r="LVW48" s="971"/>
      <c r="LVX48" s="971"/>
      <c r="LVY48" s="971"/>
      <c r="LVZ48" s="971"/>
      <c r="LWA48" s="971"/>
      <c r="LWB48" s="971"/>
      <c r="LWC48" s="971"/>
      <c r="LWD48" s="971"/>
      <c r="LWE48" s="971"/>
      <c r="LWF48" s="971"/>
      <c r="LWG48" s="971"/>
      <c r="LWH48" s="971"/>
      <c r="LWI48" s="971"/>
      <c r="LWJ48" s="971"/>
      <c r="LWK48" s="971"/>
      <c r="LWL48" s="971"/>
      <c r="LWM48" s="971"/>
      <c r="LWN48" s="971"/>
      <c r="LWO48" s="971"/>
      <c r="LWP48" s="971"/>
      <c r="LWQ48" s="971"/>
      <c r="LWR48" s="971"/>
      <c r="LWS48" s="971"/>
      <c r="LWT48" s="971"/>
      <c r="LWU48" s="971"/>
      <c r="LWV48" s="971"/>
      <c r="LWW48" s="971"/>
      <c r="LWX48" s="971"/>
      <c r="LWY48" s="971"/>
      <c r="LWZ48" s="971"/>
      <c r="LXA48" s="971"/>
      <c r="LXB48" s="971"/>
      <c r="LXC48" s="971"/>
      <c r="LXD48" s="971"/>
      <c r="LXE48" s="971"/>
      <c r="LXF48" s="971"/>
      <c r="LXG48" s="971"/>
      <c r="LXH48" s="971"/>
      <c r="LXI48" s="971"/>
      <c r="LXJ48" s="971"/>
      <c r="LXK48" s="971"/>
      <c r="LXL48" s="971"/>
      <c r="LXM48" s="971"/>
      <c r="LXN48" s="971"/>
      <c r="LXO48" s="971"/>
      <c r="LXP48" s="971"/>
      <c r="LXQ48" s="971"/>
      <c r="LXR48" s="971"/>
      <c r="LXS48" s="971"/>
      <c r="LXT48" s="971"/>
      <c r="LXU48" s="971"/>
      <c r="LXV48" s="971"/>
      <c r="LXW48" s="971"/>
      <c r="LXX48" s="971"/>
      <c r="LXY48" s="971"/>
      <c r="LXZ48" s="971"/>
      <c r="LYA48" s="971"/>
      <c r="LYB48" s="971"/>
      <c r="LYC48" s="971"/>
      <c r="LYD48" s="971"/>
      <c r="LYE48" s="971"/>
      <c r="LYF48" s="971"/>
      <c r="LYG48" s="971"/>
      <c r="LYH48" s="971"/>
      <c r="LYI48" s="971"/>
      <c r="LYJ48" s="971"/>
      <c r="LYK48" s="971"/>
      <c r="LYL48" s="971"/>
      <c r="LYM48" s="971"/>
      <c r="LYN48" s="971"/>
      <c r="LYO48" s="971"/>
      <c r="LYP48" s="971"/>
      <c r="LYQ48" s="971"/>
      <c r="LYR48" s="971"/>
      <c r="LYS48" s="971"/>
      <c r="LYT48" s="971"/>
      <c r="LYU48" s="971"/>
      <c r="LYV48" s="971"/>
      <c r="LYW48" s="971"/>
      <c r="LYX48" s="971"/>
      <c r="LYY48" s="971"/>
      <c r="LYZ48" s="971"/>
      <c r="LZA48" s="971"/>
      <c r="LZB48" s="971"/>
      <c r="LZC48" s="971"/>
      <c r="LZD48" s="971"/>
      <c r="LZE48" s="971"/>
      <c r="LZF48" s="971"/>
      <c r="LZG48" s="971"/>
      <c r="LZH48" s="971"/>
      <c r="LZI48" s="971"/>
      <c r="LZJ48" s="971"/>
      <c r="LZK48" s="971"/>
      <c r="LZL48" s="971"/>
      <c r="LZM48" s="971"/>
      <c r="LZN48" s="971"/>
      <c r="LZO48" s="971"/>
      <c r="LZP48" s="971"/>
      <c r="LZQ48" s="971"/>
      <c r="LZR48" s="971"/>
      <c r="LZS48" s="971"/>
      <c r="LZT48" s="971"/>
      <c r="LZU48" s="971"/>
      <c r="LZV48" s="971"/>
      <c r="LZW48" s="971"/>
      <c r="LZX48" s="971"/>
      <c r="LZY48" s="971"/>
      <c r="LZZ48" s="971"/>
      <c r="MAA48" s="971"/>
      <c r="MAB48" s="971"/>
      <c r="MAC48" s="971"/>
      <c r="MAD48" s="971"/>
      <c r="MAE48" s="971"/>
      <c r="MAF48" s="971"/>
      <c r="MAG48" s="971"/>
      <c r="MAH48" s="971"/>
      <c r="MAI48" s="971"/>
      <c r="MAJ48" s="971"/>
      <c r="MAK48" s="971"/>
      <c r="MAL48" s="971"/>
      <c r="MAM48" s="971"/>
      <c r="MAN48" s="971"/>
      <c r="MAO48" s="971"/>
      <c r="MAP48" s="971"/>
      <c r="MAQ48" s="971"/>
      <c r="MAR48" s="971"/>
      <c r="MAS48" s="971"/>
      <c r="MAT48" s="971"/>
      <c r="MAU48" s="971"/>
      <c r="MAV48" s="971"/>
      <c r="MAW48" s="971"/>
      <c r="MAX48" s="971"/>
      <c r="MAY48" s="971"/>
      <c r="MAZ48" s="971"/>
      <c r="MBA48" s="971"/>
      <c r="MBB48" s="971"/>
      <c r="MBC48" s="971"/>
      <c r="MBD48" s="971"/>
      <c r="MBE48" s="971"/>
      <c r="MBF48" s="971"/>
      <c r="MBG48" s="971"/>
      <c r="MBH48" s="971"/>
      <c r="MBI48" s="971"/>
      <c r="MBJ48" s="971"/>
      <c r="MBK48" s="971"/>
      <c r="MBL48" s="971"/>
      <c r="MBM48" s="971"/>
      <c r="MBN48" s="971"/>
      <c r="MBO48" s="971"/>
      <c r="MBP48" s="971"/>
      <c r="MBQ48" s="971"/>
      <c r="MBR48" s="971"/>
      <c r="MBS48" s="971"/>
      <c r="MBT48" s="971"/>
      <c r="MBU48" s="971"/>
      <c r="MBV48" s="971"/>
      <c r="MBW48" s="971"/>
      <c r="MBX48" s="971"/>
      <c r="MBY48" s="971"/>
      <c r="MBZ48" s="971"/>
      <c r="MCA48" s="971"/>
      <c r="MCB48" s="971"/>
      <c r="MCC48" s="971"/>
      <c r="MCD48" s="971"/>
      <c r="MCE48" s="971"/>
      <c r="MCF48" s="971"/>
      <c r="MCG48" s="971"/>
      <c r="MCH48" s="971"/>
      <c r="MCI48" s="971"/>
      <c r="MCJ48" s="971"/>
      <c r="MCK48" s="971"/>
      <c r="MCL48" s="971"/>
      <c r="MCM48" s="971"/>
      <c r="MCN48" s="971"/>
      <c r="MCO48" s="971"/>
      <c r="MCP48" s="971"/>
      <c r="MCQ48" s="971"/>
      <c r="MCR48" s="971"/>
      <c r="MCS48" s="971"/>
      <c r="MCT48" s="971"/>
      <c r="MCU48" s="971"/>
      <c r="MCV48" s="971"/>
      <c r="MCW48" s="971"/>
      <c r="MCX48" s="971"/>
      <c r="MCY48" s="971"/>
      <c r="MCZ48" s="971"/>
      <c r="MDA48" s="971"/>
      <c r="MDB48" s="971"/>
      <c r="MDC48" s="971"/>
      <c r="MDD48" s="971"/>
      <c r="MDE48" s="971"/>
      <c r="MDF48" s="971"/>
      <c r="MDG48" s="971"/>
      <c r="MDH48" s="971"/>
      <c r="MDI48" s="971"/>
      <c r="MDJ48" s="971"/>
      <c r="MDK48" s="971"/>
      <c r="MDL48" s="971"/>
      <c r="MDM48" s="971"/>
      <c r="MDN48" s="971"/>
      <c r="MDO48" s="971"/>
      <c r="MDP48" s="971"/>
      <c r="MDQ48" s="971"/>
      <c r="MDR48" s="971"/>
      <c r="MDS48" s="971"/>
      <c r="MDT48" s="971"/>
      <c r="MDU48" s="971"/>
      <c r="MDV48" s="971"/>
      <c r="MDW48" s="971"/>
      <c r="MDX48" s="971"/>
      <c r="MDY48" s="971"/>
      <c r="MDZ48" s="971"/>
      <c r="MEA48" s="971"/>
      <c r="MEB48" s="971"/>
      <c r="MEC48" s="971"/>
      <c r="MED48" s="971"/>
      <c r="MEE48" s="971"/>
      <c r="MEF48" s="971"/>
      <c r="MEG48" s="971"/>
      <c r="MEH48" s="971"/>
      <c r="MEI48" s="971"/>
      <c r="MEJ48" s="971"/>
      <c r="MEK48" s="971"/>
      <c r="MEL48" s="971"/>
      <c r="MEM48" s="971"/>
      <c r="MEN48" s="971"/>
      <c r="MEO48" s="971"/>
      <c r="MEP48" s="971"/>
      <c r="MEQ48" s="971"/>
      <c r="MER48" s="971"/>
      <c r="MES48" s="971"/>
      <c r="MET48" s="971"/>
      <c r="MEU48" s="971"/>
      <c r="MEV48" s="971"/>
      <c r="MEW48" s="971"/>
      <c r="MEX48" s="971"/>
      <c r="MEY48" s="971"/>
      <c r="MEZ48" s="971"/>
      <c r="MFA48" s="971"/>
      <c r="MFB48" s="971"/>
      <c r="MFC48" s="971"/>
      <c r="MFD48" s="971"/>
      <c r="MFE48" s="971"/>
      <c r="MFF48" s="971"/>
      <c r="MFG48" s="971"/>
      <c r="MFH48" s="971"/>
      <c r="MFI48" s="971"/>
      <c r="MFJ48" s="971"/>
      <c r="MFK48" s="971"/>
      <c r="MFL48" s="971"/>
      <c r="MFM48" s="971"/>
      <c r="MFN48" s="971"/>
      <c r="MFO48" s="971"/>
      <c r="MFP48" s="971"/>
      <c r="MFQ48" s="971"/>
      <c r="MFR48" s="971"/>
      <c r="MFS48" s="971"/>
      <c r="MFT48" s="971"/>
      <c r="MFU48" s="971"/>
      <c r="MFV48" s="971"/>
      <c r="MFW48" s="971"/>
      <c r="MFX48" s="971"/>
      <c r="MFY48" s="971"/>
      <c r="MFZ48" s="971"/>
      <c r="MGA48" s="971"/>
      <c r="MGB48" s="971"/>
      <c r="MGC48" s="971"/>
      <c r="MGD48" s="971"/>
      <c r="MGE48" s="971"/>
      <c r="MGF48" s="971"/>
      <c r="MGG48" s="971"/>
      <c r="MGH48" s="971"/>
      <c r="MGI48" s="971"/>
      <c r="MGJ48" s="971"/>
      <c r="MGK48" s="971"/>
      <c r="MGL48" s="971"/>
      <c r="MGM48" s="971"/>
      <c r="MGN48" s="971"/>
      <c r="MGO48" s="971"/>
      <c r="MGP48" s="971"/>
      <c r="MGQ48" s="971"/>
      <c r="MGR48" s="971"/>
      <c r="MGS48" s="971"/>
      <c r="MGT48" s="971"/>
      <c r="MGU48" s="971"/>
      <c r="MGV48" s="971"/>
      <c r="MGW48" s="971"/>
      <c r="MGX48" s="971"/>
      <c r="MGY48" s="971"/>
      <c r="MGZ48" s="971"/>
      <c r="MHA48" s="971"/>
      <c r="MHB48" s="971"/>
      <c r="MHC48" s="971"/>
      <c r="MHD48" s="971"/>
      <c r="MHE48" s="971"/>
      <c r="MHF48" s="971"/>
      <c r="MHG48" s="971"/>
      <c r="MHH48" s="971"/>
      <c r="MHI48" s="971"/>
      <c r="MHJ48" s="971"/>
      <c r="MHK48" s="971"/>
      <c r="MHL48" s="971"/>
      <c r="MHM48" s="971"/>
      <c r="MHN48" s="971"/>
      <c r="MHO48" s="971"/>
      <c r="MHP48" s="971"/>
      <c r="MHQ48" s="971"/>
      <c r="MHR48" s="971"/>
      <c r="MHS48" s="971"/>
      <c r="MHT48" s="971"/>
      <c r="MHU48" s="971"/>
      <c r="MHV48" s="971"/>
      <c r="MHW48" s="971"/>
      <c r="MHX48" s="971"/>
      <c r="MHY48" s="971"/>
      <c r="MHZ48" s="971"/>
      <c r="MIA48" s="971"/>
      <c r="MIB48" s="971"/>
      <c r="MIC48" s="971"/>
      <c r="MID48" s="971"/>
      <c r="MIE48" s="971"/>
      <c r="MIF48" s="971"/>
      <c r="MIG48" s="971"/>
      <c r="MIH48" s="971"/>
      <c r="MII48" s="971"/>
      <c r="MIJ48" s="971"/>
      <c r="MIK48" s="971"/>
      <c r="MIL48" s="971"/>
      <c r="MIM48" s="971"/>
      <c r="MIN48" s="971"/>
      <c r="MIO48" s="971"/>
      <c r="MIP48" s="971"/>
      <c r="MIQ48" s="971"/>
      <c r="MIR48" s="971"/>
      <c r="MIS48" s="971"/>
      <c r="MIT48" s="971"/>
      <c r="MIU48" s="971"/>
      <c r="MIV48" s="971"/>
      <c r="MIW48" s="971"/>
      <c r="MIX48" s="971"/>
      <c r="MIY48" s="971"/>
      <c r="MIZ48" s="971"/>
      <c r="MJA48" s="971"/>
      <c r="MJB48" s="971"/>
      <c r="MJC48" s="971"/>
      <c r="MJD48" s="971"/>
      <c r="MJE48" s="971"/>
      <c r="MJF48" s="971"/>
      <c r="MJG48" s="971"/>
      <c r="MJH48" s="971"/>
      <c r="MJI48" s="971"/>
      <c r="MJJ48" s="971"/>
      <c r="MJK48" s="971"/>
      <c r="MJL48" s="971"/>
      <c r="MJM48" s="971"/>
      <c r="MJN48" s="971"/>
      <c r="MJO48" s="971"/>
      <c r="MJP48" s="971"/>
      <c r="MJQ48" s="971"/>
      <c r="MJR48" s="971"/>
      <c r="MJS48" s="971"/>
      <c r="MJT48" s="971"/>
      <c r="MJU48" s="971"/>
      <c r="MJV48" s="971"/>
      <c r="MJW48" s="971"/>
      <c r="MJX48" s="971"/>
      <c r="MJY48" s="971"/>
      <c r="MJZ48" s="971"/>
      <c r="MKA48" s="971"/>
      <c r="MKB48" s="971"/>
      <c r="MKC48" s="971"/>
      <c r="MKD48" s="971"/>
      <c r="MKE48" s="971"/>
      <c r="MKF48" s="971"/>
      <c r="MKG48" s="971"/>
      <c r="MKH48" s="971"/>
      <c r="MKI48" s="971"/>
      <c r="MKJ48" s="971"/>
      <c r="MKK48" s="971"/>
      <c r="MKL48" s="971"/>
      <c r="MKM48" s="971"/>
      <c r="MKN48" s="971"/>
      <c r="MKO48" s="971"/>
      <c r="MKP48" s="971"/>
      <c r="MKQ48" s="971"/>
      <c r="MKR48" s="971"/>
      <c r="MKS48" s="971"/>
      <c r="MKT48" s="971"/>
      <c r="MKU48" s="971"/>
      <c r="MKV48" s="971"/>
      <c r="MKW48" s="971"/>
      <c r="MKX48" s="971"/>
      <c r="MKY48" s="971"/>
      <c r="MKZ48" s="971"/>
      <c r="MLA48" s="971"/>
      <c r="MLB48" s="971"/>
      <c r="MLC48" s="971"/>
      <c r="MLD48" s="971"/>
      <c r="MLE48" s="971"/>
      <c r="MLF48" s="971"/>
      <c r="MLG48" s="971"/>
      <c r="MLH48" s="971"/>
      <c r="MLI48" s="971"/>
      <c r="MLJ48" s="971"/>
      <c r="MLK48" s="971"/>
      <c r="MLL48" s="971"/>
      <c r="MLM48" s="971"/>
      <c r="MLN48" s="971"/>
      <c r="MLO48" s="971"/>
      <c r="MLP48" s="971"/>
      <c r="MLQ48" s="971"/>
      <c r="MLR48" s="971"/>
      <c r="MLS48" s="971"/>
      <c r="MLT48" s="971"/>
      <c r="MLU48" s="971"/>
      <c r="MLV48" s="971"/>
      <c r="MLW48" s="971"/>
      <c r="MLX48" s="971"/>
      <c r="MLY48" s="971"/>
      <c r="MLZ48" s="971"/>
      <c r="MMA48" s="971"/>
      <c r="MMB48" s="971"/>
      <c r="MMC48" s="971"/>
      <c r="MMD48" s="971"/>
      <c r="MME48" s="971"/>
      <c r="MMF48" s="971"/>
      <c r="MMG48" s="971"/>
      <c r="MMH48" s="971"/>
      <c r="MMI48" s="971"/>
      <c r="MMJ48" s="971"/>
      <c r="MMK48" s="971"/>
      <c r="MML48" s="971"/>
      <c r="MMM48" s="971"/>
      <c r="MMN48" s="971"/>
      <c r="MMO48" s="971"/>
      <c r="MMP48" s="971"/>
      <c r="MMQ48" s="971"/>
      <c r="MMR48" s="971"/>
      <c r="MMS48" s="971"/>
      <c r="MMT48" s="971"/>
      <c r="MMU48" s="971"/>
      <c r="MMV48" s="971"/>
      <c r="MMW48" s="971"/>
      <c r="MMX48" s="971"/>
      <c r="MMY48" s="971"/>
      <c r="MMZ48" s="971"/>
      <c r="MNA48" s="971"/>
      <c r="MNB48" s="971"/>
      <c r="MNC48" s="971"/>
      <c r="MND48" s="971"/>
      <c r="MNE48" s="971"/>
      <c r="MNF48" s="971"/>
      <c r="MNG48" s="971"/>
      <c r="MNH48" s="971"/>
      <c r="MNI48" s="971"/>
      <c r="MNJ48" s="971"/>
      <c r="MNK48" s="971"/>
      <c r="MNL48" s="971"/>
      <c r="MNM48" s="971"/>
      <c r="MNN48" s="971"/>
      <c r="MNO48" s="971"/>
      <c r="MNP48" s="971"/>
      <c r="MNQ48" s="971"/>
      <c r="MNR48" s="971"/>
      <c r="MNS48" s="971"/>
      <c r="MNT48" s="971"/>
      <c r="MNU48" s="971"/>
      <c r="MNV48" s="971"/>
      <c r="MNW48" s="971"/>
      <c r="MNX48" s="971"/>
      <c r="MNY48" s="971"/>
      <c r="MNZ48" s="971"/>
      <c r="MOA48" s="971"/>
      <c r="MOB48" s="971"/>
      <c r="MOC48" s="971"/>
      <c r="MOD48" s="971"/>
      <c r="MOE48" s="971"/>
      <c r="MOF48" s="971"/>
      <c r="MOG48" s="971"/>
      <c r="MOH48" s="971"/>
      <c r="MOI48" s="971"/>
      <c r="MOJ48" s="971"/>
      <c r="MOK48" s="971"/>
      <c r="MOL48" s="971"/>
      <c r="MOM48" s="971"/>
      <c r="MON48" s="971"/>
      <c r="MOO48" s="971"/>
      <c r="MOP48" s="971"/>
      <c r="MOQ48" s="971"/>
      <c r="MOR48" s="971"/>
      <c r="MOS48" s="971"/>
      <c r="MOT48" s="971"/>
      <c r="MOU48" s="971"/>
      <c r="MOV48" s="971"/>
      <c r="MOW48" s="971"/>
      <c r="MOX48" s="971"/>
      <c r="MOY48" s="971"/>
      <c r="MOZ48" s="971"/>
      <c r="MPA48" s="971"/>
      <c r="MPB48" s="971"/>
      <c r="MPC48" s="971"/>
      <c r="MPD48" s="971"/>
      <c r="MPE48" s="971"/>
      <c r="MPF48" s="971"/>
      <c r="MPG48" s="971"/>
      <c r="MPH48" s="971"/>
      <c r="MPI48" s="971"/>
      <c r="MPJ48" s="971"/>
      <c r="MPK48" s="971"/>
      <c r="MPL48" s="971"/>
      <c r="MPM48" s="971"/>
      <c r="MPN48" s="971"/>
      <c r="MPO48" s="971"/>
      <c r="MPP48" s="971"/>
      <c r="MPQ48" s="971"/>
      <c r="MPR48" s="971"/>
      <c r="MPS48" s="971"/>
      <c r="MPT48" s="971"/>
      <c r="MPU48" s="971"/>
      <c r="MPV48" s="971"/>
      <c r="MPW48" s="971"/>
      <c r="MPX48" s="971"/>
      <c r="MPY48" s="971"/>
      <c r="MPZ48" s="971"/>
      <c r="MQA48" s="971"/>
      <c r="MQB48" s="971"/>
      <c r="MQC48" s="971"/>
      <c r="MQD48" s="971"/>
      <c r="MQE48" s="971"/>
      <c r="MQF48" s="971"/>
      <c r="MQG48" s="971"/>
      <c r="MQH48" s="971"/>
      <c r="MQI48" s="971"/>
      <c r="MQJ48" s="971"/>
      <c r="MQK48" s="971"/>
      <c r="MQL48" s="971"/>
      <c r="MQM48" s="971"/>
      <c r="MQN48" s="971"/>
      <c r="MQO48" s="971"/>
      <c r="MQP48" s="971"/>
      <c r="MQQ48" s="971"/>
      <c r="MQR48" s="971"/>
      <c r="MQS48" s="971"/>
      <c r="MQT48" s="971"/>
      <c r="MQU48" s="971"/>
      <c r="MQV48" s="971"/>
      <c r="MQW48" s="971"/>
      <c r="MQX48" s="971"/>
      <c r="MQY48" s="971"/>
      <c r="MQZ48" s="971"/>
      <c r="MRA48" s="971"/>
      <c r="MRB48" s="971"/>
      <c r="MRC48" s="971"/>
      <c r="MRD48" s="971"/>
      <c r="MRE48" s="971"/>
      <c r="MRF48" s="971"/>
      <c r="MRG48" s="971"/>
      <c r="MRH48" s="971"/>
      <c r="MRI48" s="971"/>
      <c r="MRJ48" s="971"/>
      <c r="MRK48" s="971"/>
      <c r="MRL48" s="971"/>
      <c r="MRM48" s="971"/>
      <c r="MRN48" s="971"/>
      <c r="MRO48" s="971"/>
      <c r="MRP48" s="971"/>
      <c r="MRQ48" s="971"/>
      <c r="MRR48" s="971"/>
      <c r="MRS48" s="971"/>
      <c r="MRT48" s="971"/>
      <c r="MRU48" s="971"/>
      <c r="MRV48" s="971"/>
      <c r="MRW48" s="971"/>
      <c r="MRX48" s="971"/>
      <c r="MRY48" s="971"/>
      <c r="MRZ48" s="971"/>
      <c r="MSA48" s="971"/>
      <c r="MSB48" s="971"/>
      <c r="MSC48" s="971"/>
      <c r="MSD48" s="971"/>
      <c r="MSE48" s="971"/>
      <c r="MSF48" s="971"/>
      <c r="MSG48" s="971"/>
      <c r="MSH48" s="971"/>
      <c r="MSI48" s="971"/>
      <c r="MSJ48" s="971"/>
      <c r="MSK48" s="971"/>
      <c r="MSL48" s="971"/>
      <c r="MSM48" s="971"/>
      <c r="MSN48" s="971"/>
      <c r="MSO48" s="971"/>
      <c r="MSP48" s="971"/>
      <c r="MSQ48" s="971"/>
      <c r="MSR48" s="971"/>
      <c r="MSS48" s="971"/>
      <c r="MST48" s="971"/>
      <c r="MSU48" s="971"/>
      <c r="MSV48" s="971"/>
      <c r="MSW48" s="971"/>
      <c r="MSX48" s="971"/>
      <c r="MSY48" s="971"/>
      <c r="MSZ48" s="971"/>
      <c r="MTA48" s="971"/>
      <c r="MTB48" s="971"/>
      <c r="MTC48" s="971"/>
      <c r="MTD48" s="971"/>
      <c r="MTE48" s="971"/>
      <c r="MTF48" s="971"/>
      <c r="MTG48" s="971"/>
      <c r="MTH48" s="971"/>
      <c r="MTI48" s="971"/>
      <c r="MTJ48" s="971"/>
      <c r="MTK48" s="971"/>
      <c r="MTL48" s="971"/>
      <c r="MTM48" s="971"/>
      <c r="MTN48" s="971"/>
      <c r="MTO48" s="971"/>
      <c r="MTP48" s="971"/>
      <c r="MTQ48" s="971"/>
      <c r="MTR48" s="971"/>
      <c r="MTS48" s="971"/>
      <c r="MTT48" s="971"/>
      <c r="MTU48" s="971"/>
      <c r="MTV48" s="971"/>
      <c r="MTW48" s="971"/>
      <c r="MTX48" s="971"/>
      <c r="MTY48" s="971"/>
      <c r="MTZ48" s="971"/>
      <c r="MUA48" s="971"/>
      <c r="MUB48" s="971"/>
      <c r="MUC48" s="971"/>
      <c r="MUD48" s="971"/>
      <c r="MUE48" s="971"/>
      <c r="MUF48" s="971"/>
      <c r="MUG48" s="971"/>
      <c r="MUH48" s="971"/>
      <c r="MUI48" s="971"/>
      <c r="MUJ48" s="971"/>
      <c r="MUK48" s="971"/>
      <c r="MUL48" s="971"/>
      <c r="MUM48" s="971"/>
      <c r="MUN48" s="971"/>
      <c r="MUO48" s="971"/>
      <c r="MUP48" s="971"/>
      <c r="MUQ48" s="971"/>
      <c r="MUR48" s="971"/>
      <c r="MUS48" s="971"/>
      <c r="MUT48" s="971"/>
      <c r="MUU48" s="971"/>
      <c r="MUV48" s="971"/>
      <c r="MUW48" s="971"/>
      <c r="MUX48" s="971"/>
      <c r="MUY48" s="971"/>
      <c r="MUZ48" s="971"/>
      <c r="MVA48" s="971"/>
      <c r="MVB48" s="971"/>
      <c r="MVC48" s="971"/>
      <c r="MVD48" s="971"/>
      <c r="MVE48" s="971"/>
      <c r="MVF48" s="971"/>
      <c r="MVG48" s="971"/>
      <c r="MVH48" s="971"/>
      <c r="MVI48" s="971"/>
      <c r="MVJ48" s="971"/>
      <c r="MVK48" s="971"/>
      <c r="MVL48" s="971"/>
      <c r="MVM48" s="971"/>
      <c r="MVN48" s="971"/>
      <c r="MVO48" s="971"/>
      <c r="MVP48" s="971"/>
      <c r="MVQ48" s="971"/>
      <c r="MVR48" s="971"/>
      <c r="MVS48" s="971"/>
      <c r="MVT48" s="971"/>
      <c r="MVU48" s="971"/>
      <c r="MVV48" s="971"/>
      <c r="MVW48" s="971"/>
      <c r="MVX48" s="971"/>
      <c r="MVY48" s="971"/>
      <c r="MVZ48" s="971"/>
      <c r="MWA48" s="971"/>
      <c r="MWB48" s="971"/>
      <c r="MWC48" s="971"/>
      <c r="MWD48" s="971"/>
      <c r="MWE48" s="971"/>
      <c r="MWF48" s="971"/>
      <c r="MWG48" s="971"/>
      <c r="MWH48" s="971"/>
      <c r="MWI48" s="971"/>
      <c r="MWJ48" s="971"/>
      <c r="MWK48" s="971"/>
      <c r="MWL48" s="971"/>
      <c r="MWM48" s="971"/>
      <c r="MWN48" s="971"/>
      <c r="MWO48" s="971"/>
      <c r="MWP48" s="971"/>
      <c r="MWQ48" s="971"/>
      <c r="MWR48" s="971"/>
      <c r="MWS48" s="971"/>
      <c r="MWT48" s="971"/>
      <c r="MWU48" s="971"/>
      <c r="MWV48" s="971"/>
      <c r="MWW48" s="971"/>
      <c r="MWX48" s="971"/>
      <c r="MWY48" s="971"/>
      <c r="MWZ48" s="971"/>
      <c r="MXA48" s="971"/>
      <c r="MXB48" s="971"/>
      <c r="MXC48" s="971"/>
      <c r="MXD48" s="971"/>
      <c r="MXE48" s="971"/>
      <c r="MXF48" s="971"/>
      <c r="MXG48" s="971"/>
      <c r="MXH48" s="971"/>
      <c r="MXI48" s="971"/>
      <c r="MXJ48" s="971"/>
      <c r="MXK48" s="971"/>
      <c r="MXL48" s="971"/>
      <c r="MXM48" s="971"/>
      <c r="MXN48" s="971"/>
      <c r="MXO48" s="971"/>
      <c r="MXP48" s="971"/>
      <c r="MXQ48" s="971"/>
      <c r="MXR48" s="971"/>
      <c r="MXS48" s="971"/>
      <c r="MXT48" s="971"/>
      <c r="MXU48" s="971"/>
      <c r="MXV48" s="971"/>
      <c r="MXW48" s="971"/>
      <c r="MXX48" s="971"/>
      <c r="MXY48" s="971"/>
      <c r="MXZ48" s="971"/>
      <c r="MYA48" s="971"/>
      <c r="MYB48" s="971"/>
      <c r="MYC48" s="971"/>
      <c r="MYD48" s="971"/>
      <c r="MYE48" s="971"/>
      <c r="MYF48" s="971"/>
      <c r="MYG48" s="971"/>
      <c r="MYH48" s="971"/>
      <c r="MYI48" s="971"/>
      <c r="MYJ48" s="971"/>
      <c r="MYK48" s="971"/>
      <c r="MYL48" s="971"/>
      <c r="MYM48" s="971"/>
      <c r="MYN48" s="971"/>
      <c r="MYO48" s="971"/>
      <c r="MYP48" s="971"/>
      <c r="MYQ48" s="971"/>
      <c r="MYR48" s="971"/>
      <c r="MYS48" s="971"/>
      <c r="MYT48" s="971"/>
      <c r="MYU48" s="971"/>
      <c r="MYV48" s="971"/>
      <c r="MYW48" s="971"/>
      <c r="MYX48" s="971"/>
      <c r="MYY48" s="971"/>
      <c r="MYZ48" s="971"/>
      <c r="MZA48" s="971"/>
      <c r="MZB48" s="971"/>
      <c r="MZC48" s="971"/>
      <c r="MZD48" s="971"/>
      <c r="MZE48" s="971"/>
      <c r="MZF48" s="971"/>
      <c r="MZG48" s="971"/>
      <c r="MZH48" s="971"/>
      <c r="MZI48" s="971"/>
      <c r="MZJ48" s="971"/>
      <c r="MZK48" s="971"/>
      <c r="MZL48" s="971"/>
      <c r="MZM48" s="971"/>
      <c r="MZN48" s="971"/>
      <c r="MZO48" s="971"/>
      <c r="MZP48" s="971"/>
      <c r="MZQ48" s="971"/>
      <c r="MZR48" s="971"/>
      <c r="MZS48" s="971"/>
      <c r="MZT48" s="971"/>
      <c r="MZU48" s="971"/>
      <c r="MZV48" s="971"/>
      <c r="MZW48" s="971"/>
      <c r="MZX48" s="971"/>
      <c r="MZY48" s="971"/>
      <c r="MZZ48" s="971"/>
      <c r="NAA48" s="971"/>
      <c r="NAB48" s="971"/>
      <c r="NAC48" s="971"/>
      <c r="NAD48" s="971"/>
      <c r="NAE48" s="971"/>
      <c r="NAF48" s="971"/>
      <c r="NAG48" s="971"/>
      <c r="NAH48" s="971"/>
      <c r="NAI48" s="971"/>
      <c r="NAJ48" s="971"/>
      <c r="NAK48" s="971"/>
      <c r="NAL48" s="971"/>
      <c r="NAM48" s="971"/>
      <c r="NAN48" s="971"/>
      <c r="NAO48" s="971"/>
      <c r="NAP48" s="971"/>
      <c r="NAQ48" s="971"/>
      <c r="NAR48" s="971"/>
      <c r="NAS48" s="971"/>
      <c r="NAT48" s="971"/>
      <c r="NAU48" s="971"/>
      <c r="NAV48" s="971"/>
      <c r="NAW48" s="971"/>
      <c r="NAX48" s="971"/>
      <c r="NAY48" s="971"/>
      <c r="NAZ48" s="971"/>
      <c r="NBA48" s="971"/>
      <c r="NBB48" s="971"/>
      <c r="NBC48" s="971"/>
      <c r="NBD48" s="971"/>
      <c r="NBE48" s="971"/>
      <c r="NBF48" s="971"/>
      <c r="NBG48" s="971"/>
      <c r="NBH48" s="971"/>
      <c r="NBI48" s="971"/>
      <c r="NBJ48" s="971"/>
      <c r="NBK48" s="971"/>
      <c r="NBL48" s="971"/>
      <c r="NBM48" s="971"/>
      <c r="NBN48" s="971"/>
      <c r="NBO48" s="971"/>
      <c r="NBP48" s="971"/>
      <c r="NBQ48" s="971"/>
      <c r="NBR48" s="971"/>
      <c r="NBS48" s="971"/>
      <c r="NBT48" s="971"/>
      <c r="NBU48" s="971"/>
      <c r="NBV48" s="971"/>
      <c r="NBW48" s="971"/>
      <c r="NBX48" s="971"/>
      <c r="NBY48" s="971"/>
      <c r="NBZ48" s="971"/>
      <c r="NCA48" s="971"/>
      <c r="NCB48" s="971"/>
      <c r="NCC48" s="971"/>
      <c r="NCD48" s="971"/>
      <c r="NCE48" s="971"/>
      <c r="NCF48" s="971"/>
      <c r="NCG48" s="971"/>
      <c r="NCH48" s="971"/>
      <c r="NCI48" s="971"/>
      <c r="NCJ48" s="971"/>
      <c r="NCK48" s="971"/>
      <c r="NCL48" s="971"/>
      <c r="NCM48" s="971"/>
      <c r="NCN48" s="971"/>
      <c r="NCO48" s="971"/>
      <c r="NCP48" s="971"/>
      <c r="NCQ48" s="971"/>
      <c r="NCR48" s="971"/>
      <c r="NCS48" s="971"/>
      <c r="NCT48" s="971"/>
      <c r="NCU48" s="971"/>
      <c r="NCV48" s="971"/>
      <c r="NCW48" s="971"/>
      <c r="NCX48" s="971"/>
      <c r="NCY48" s="971"/>
      <c r="NCZ48" s="971"/>
      <c r="NDA48" s="971"/>
      <c r="NDB48" s="971"/>
      <c r="NDC48" s="971"/>
      <c r="NDD48" s="971"/>
      <c r="NDE48" s="971"/>
      <c r="NDF48" s="971"/>
      <c r="NDG48" s="971"/>
      <c r="NDH48" s="971"/>
      <c r="NDI48" s="971"/>
      <c r="NDJ48" s="971"/>
      <c r="NDK48" s="971"/>
      <c r="NDL48" s="971"/>
      <c r="NDM48" s="971"/>
      <c r="NDN48" s="971"/>
      <c r="NDO48" s="971"/>
      <c r="NDP48" s="971"/>
      <c r="NDQ48" s="971"/>
      <c r="NDR48" s="971"/>
      <c r="NDS48" s="971"/>
      <c r="NDT48" s="971"/>
      <c r="NDU48" s="971"/>
      <c r="NDV48" s="971"/>
      <c r="NDW48" s="971"/>
      <c r="NDX48" s="971"/>
      <c r="NDY48" s="971"/>
      <c r="NDZ48" s="971"/>
      <c r="NEA48" s="971"/>
      <c r="NEB48" s="971"/>
      <c r="NEC48" s="971"/>
      <c r="NED48" s="971"/>
      <c r="NEE48" s="971"/>
      <c r="NEF48" s="971"/>
      <c r="NEG48" s="971"/>
      <c r="NEH48" s="971"/>
      <c r="NEI48" s="971"/>
      <c r="NEJ48" s="971"/>
      <c r="NEK48" s="971"/>
      <c r="NEL48" s="971"/>
      <c r="NEM48" s="971"/>
      <c r="NEN48" s="971"/>
      <c r="NEO48" s="971"/>
      <c r="NEP48" s="971"/>
      <c r="NEQ48" s="971"/>
      <c r="NER48" s="971"/>
      <c r="NES48" s="971"/>
      <c r="NET48" s="971"/>
      <c r="NEU48" s="971"/>
      <c r="NEV48" s="971"/>
      <c r="NEW48" s="971"/>
      <c r="NEX48" s="971"/>
      <c r="NEY48" s="971"/>
      <c r="NEZ48" s="971"/>
      <c r="NFA48" s="971"/>
      <c r="NFB48" s="971"/>
      <c r="NFC48" s="971"/>
      <c r="NFD48" s="971"/>
      <c r="NFE48" s="971"/>
      <c r="NFF48" s="971"/>
      <c r="NFG48" s="971"/>
      <c r="NFH48" s="971"/>
      <c r="NFI48" s="971"/>
      <c r="NFJ48" s="971"/>
      <c r="NFK48" s="971"/>
      <c r="NFL48" s="971"/>
      <c r="NFM48" s="971"/>
      <c r="NFN48" s="971"/>
      <c r="NFO48" s="971"/>
      <c r="NFP48" s="971"/>
      <c r="NFQ48" s="971"/>
      <c r="NFR48" s="971"/>
      <c r="NFS48" s="971"/>
      <c r="NFT48" s="971"/>
      <c r="NFU48" s="971"/>
      <c r="NFV48" s="971"/>
      <c r="NFW48" s="971"/>
      <c r="NFX48" s="971"/>
      <c r="NFY48" s="971"/>
      <c r="NFZ48" s="971"/>
      <c r="NGA48" s="971"/>
      <c r="NGB48" s="971"/>
      <c r="NGC48" s="971"/>
      <c r="NGD48" s="971"/>
      <c r="NGE48" s="971"/>
      <c r="NGF48" s="971"/>
      <c r="NGG48" s="971"/>
      <c r="NGH48" s="971"/>
      <c r="NGI48" s="971"/>
      <c r="NGJ48" s="971"/>
      <c r="NGK48" s="971"/>
      <c r="NGL48" s="971"/>
      <c r="NGM48" s="971"/>
      <c r="NGN48" s="971"/>
      <c r="NGO48" s="971"/>
      <c r="NGP48" s="971"/>
      <c r="NGQ48" s="971"/>
      <c r="NGR48" s="971"/>
      <c r="NGS48" s="971"/>
      <c r="NGT48" s="971"/>
      <c r="NGU48" s="971"/>
      <c r="NGV48" s="971"/>
      <c r="NGW48" s="971"/>
      <c r="NGX48" s="971"/>
      <c r="NGY48" s="971"/>
      <c r="NGZ48" s="971"/>
      <c r="NHA48" s="971"/>
      <c r="NHB48" s="971"/>
      <c r="NHC48" s="971"/>
      <c r="NHD48" s="971"/>
      <c r="NHE48" s="971"/>
      <c r="NHF48" s="971"/>
      <c r="NHG48" s="971"/>
      <c r="NHH48" s="971"/>
      <c r="NHI48" s="971"/>
      <c r="NHJ48" s="971"/>
      <c r="NHK48" s="971"/>
      <c r="NHL48" s="971"/>
      <c r="NHM48" s="971"/>
      <c r="NHN48" s="971"/>
      <c r="NHO48" s="971"/>
      <c r="NHP48" s="971"/>
      <c r="NHQ48" s="971"/>
      <c r="NHR48" s="971"/>
      <c r="NHS48" s="971"/>
      <c r="NHT48" s="971"/>
      <c r="NHU48" s="971"/>
      <c r="NHV48" s="971"/>
      <c r="NHW48" s="971"/>
      <c r="NHX48" s="971"/>
      <c r="NHY48" s="971"/>
      <c r="NHZ48" s="971"/>
      <c r="NIA48" s="971"/>
      <c r="NIB48" s="971"/>
      <c r="NIC48" s="971"/>
      <c r="NID48" s="971"/>
      <c r="NIE48" s="971"/>
      <c r="NIF48" s="971"/>
      <c r="NIG48" s="971"/>
      <c r="NIH48" s="971"/>
      <c r="NII48" s="971"/>
      <c r="NIJ48" s="971"/>
      <c r="NIK48" s="971"/>
      <c r="NIL48" s="971"/>
      <c r="NIM48" s="971"/>
      <c r="NIN48" s="971"/>
      <c r="NIO48" s="971"/>
      <c r="NIP48" s="971"/>
      <c r="NIQ48" s="971"/>
      <c r="NIR48" s="971"/>
      <c r="NIS48" s="971"/>
      <c r="NIT48" s="971"/>
      <c r="NIU48" s="971"/>
      <c r="NIV48" s="971"/>
      <c r="NIW48" s="971"/>
      <c r="NIX48" s="971"/>
      <c r="NIY48" s="971"/>
      <c r="NIZ48" s="971"/>
      <c r="NJA48" s="971"/>
      <c r="NJB48" s="971"/>
      <c r="NJC48" s="971"/>
      <c r="NJD48" s="971"/>
      <c r="NJE48" s="971"/>
      <c r="NJF48" s="971"/>
      <c r="NJG48" s="971"/>
      <c r="NJH48" s="971"/>
      <c r="NJI48" s="971"/>
      <c r="NJJ48" s="971"/>
      <c r="NJK48" s="971"/>
      <c r="NJL48" s="971"/>
      <c r="NJM48" s="971"/>
      <c r="NJN48" s="971"/>
      <c r="NJO48" s="971"/>
      <c r="NJP48" s="971"/>
      <c r="NJQ48" s="971"/>
      <c r="NJR48" s="971"/>
      <c r="NJS48" s="971"/>
      <c r="NJT48" s="971"/>
      <c r="NJU48" s="971"/>
      <c r="NJV48" s="971"/>
      <c r="NJW48" s="971"/>
      <c r="NJX48" s="971"/>
      <c r="NJY48" s="971"/>
      <c r="NJZ48" s="971"/>
      <c r="NKA48" s="971"/>
      <c r="NKB48" s="971"/>
      <c r="NKC48" s="971"/>
      <c r="NKD48" s="971"/>
      <c r="NKE48" s="971"/>
      <c r="NKF48" s="971"/>
      <c r="NKG48" s="971"/>
      <c r="NKH48" s="971"/>
      <c r="NKI48" s="971"/>
      <c r="NKJ48" s="971"/>
      <c r="NKK48" s="971"/>
      <c r="NKL48" s="971"/>
      <c r="NKM48" s="971"/>
      <c r="NKN48" s="971"/>
      <c r="NKO48" s="971"/>
      <c r="NKP48" s="971"/>
      <c r="NKQ48" s="971"/>
      <c r="NKR48" s="971"/>
      <c r="NKS48" s="971"/>
      <c r="NKT48" s="971"/>
      <c r="NKU48" s="971"/>
      <c r="NKV48" s="971"/>
      <c r="NKW48" s="971"/>
      <c r="NKX48" s="971"/>
      <c r="NKY48" s="971"/>
      <c r="NKZ48" s="971"/>
      <c r="NLA48" s="971"/>
      <c r="NLB48" s="971"/>
      <c r="NLC48" s="971"/>
      <c r="NLD48" s="971"/>
      <c r="NLE48" s="971"/>
      <c r="NLF48" s="971"/>
      <c r="NLG48" s="971"/>
      <c r="NLH48" s="971"/>
      <c r="NLI48" s="971"/>
      <c r="NLJ48" s="971"/>
      <c r="NLK48" s="971"/>
      <c r="NLL48" s="971"/>
      <c r="NLM48" s="971"/>
      <c r="NLN48" s="971"/>
      <c r="NLO48" s="971"/>
      <c r="NLP48" s="971"/>
      <c r="NLQ48" s="971"/>
      <c r="NLR48" s="971"/>
      <c r="NLS48" s="971"/>
      <c r="NLT48" s="971"/>
      <c r="NLU48" s="971"/>
      <c r="NLV48" s="971"/>
      <c r="NLW48" s="971"/>
      <c r="NLX48" s="971"/>
      <c r="NLY48" s="971"/>
      <c r="NLZ48" s="971"/>
      <c r="NMA48" s="971"/>
      <c r="NMB48" s="971"/>
      <c r="NMC48" s="971"/>
      <c r="NMD48" s="971"/>
      <c r="NME48" s="971"/>
      <c r="NMF48" s="971"/>
      <c r="NMG48" s="971"/>
      <c r="NMH48" s="971"/>
      <c r="NMI48" s="971"/>
      <c r="NMJ48" s="971"/>
      <c r="NMK48" s="971"/>
      <c r="NML48" s="971"/>
      <c r="NMM48" s="971"/>
      <c r="NMN48" s="971"/>
      <c r="NMO48" s="971"/>
      <c r="NMP48" s="971"/>
      <c r="NMQ48" s="971"/>
      <c r="NMR48" s="971"/>
      <c r="NMS48" s="971"/>
      <c r="NMT48" s="971"/>
      <c r="NMU48" s="971"/>
      <c r="NMV48" s="971"/>
      <c r="NMW48" s="971"/>
      <c r="NMX48" s="971"/>
      <c r="NMY48" s="971"/>
      <c r="NMZ48" s="971"/>
      <c r="NNA48" s="971"/>
      <c r="NNB48" s="971"/>
      <c r="NNC48" s="971"/>
      <c r="NND48" s="971"/>
      <c r="NNE48" s="971"/>
      <c r="NNF48" s="971"/>
      <c r="NNG48" s="971"/>
      <c r="NNH48" s="971"/>
      <c r="NNI48" s="971"/>
      <c r="NNJ48" s="971"/>
      <c r="NNK48" s="971"/>
      <c r="NNL48" s="971"/>
      <c r="NNM48" s="971"/>
      <c r="NNN48" s="971"/>
      <c r="NNO48" s="971"/>
      <c r="NNP48" s="971"/>
      <c r="NNQ48" s="971"/>
      <c r="NNR48" s="971"/>
      <c r="NNS48" s="971"/>
      <c r="NNT48" s="971"/>
      <c r="NNU48" s="971"/>
      <c r="NNV48" s="971"/>
      <c r="NNW48" s="971"/>
      <c r="NNX48" s="971"/>
      <c r="NNY48" s="971"/>
      <c r="NNZ48" s="971"/>
      <c r="NOA48" s="971"/>
      <c r="NOB48" s="971"/>
      <c r="NOC48" s="971"/>
      <c r="NOD48" s="971"/>
      <c r="NOE48" s="971"/>
      <c r="NOF48" s="971"/>
      <c r="NOG48" s="971"/>
      <c r="NOH48" s="971"/>
      <c r="NOI48" s="971"/>
      <c r="NOJ48" s="971"/>
      <c r="NOK48" s="971"/>
      <c r="NOL48" s="971"/>
      <c r="NOM48" s="971"/>
      <c r="NON48" s="971"/>
      <c r="NOO48" s="971"/>
      <c r="NOP48" s="971"/>
      <c r="NOQ48" s="971"/>
      <c r="NOR48" s="971"/>
      <c r="NOS48" s="971"/>
      <c r="NOT48" s="971"/>
      <c r="NOU48" s="971"/>
      <c r="NOV48" s="971"/>
      <c r="NOW48" s="971"/>
      <c r="NOX48" s="971"/>
      <c r="NOY48" s="971"/>
      <c r="NOZ48" s="971"/>
      <c r="NPA48" s="971"/>
      <c r="NPB48" s="971"/>
      <c r="NPC48" s="971"/>
      <c r="NPD48" s="971"/>
      <c r="NPE48" s="971"/>
      <c r="NPF48" s="971"/>
      <c r="NPG48" s="971"/>
      <c r="NPH48" s="971"/>
      <c r="NPI48" s="971"/>
      <c r="NPJ48" s="971"/>
      <c r="NPK48" s="971"/>
      <c r="NPL48" s="971"/>
      <c r="NPM48" s="971"/>
      <c r="NPN48" s="971"/>
      <c r="NPO48" s="971"/>
      <c r="NPP48" s="971"/>
      <c r="NPQ48" s="971"/>
      <c r="NPR48" s="971"/>
      <c r="NPS48" s="971"/>
      <c r="NPT48" s="971"/>
      <c r="NPU48" s="971"/>
      <c r="NPV48" s="971"/>
      <c r="NPW48" s="971"/>
      <c r="NPX48" s="971"/>
      <c r="NPY48" s="971"/>
      <c r="NPZ48" s="971"/>
      <c r="NQA48" s="971"/>
      <c r="NQB48" s="971"/>
      <c r="NQC48" s="971"/>
      <c r="NQD48" s="971"/>
      <c r="NQE48" s="971"/>
      <c r="NQF48" s="971"/>
      <c r="NQG48" s="971"/>
      <c r="NQH48" s="971"/>
      <c r="NQI48" s="971"/>
      <c r="NQJ48" s="971"/>
      <c r="NQK48" s="971"/>
      <c r="NQL48" s="971"/>
      <c r="NQM48" s="971"/>
      <c r="NQN48" s="971"/>
      <c r="NQO48" s="971"/>
      <c r="NQP48" s="971"/>
      <c r="NQQ48" s="971"/>
      <c r="NQR48" s="971"/>
      <c r="NQS48" s="971"/>
      <c r="NQT48" s="971"/>
      <c r="NQU48" s="971"/>
      <c r="NQV48" s="971"/>
      <c r="NQW48" s="971"/>
      <c r="NQX48" s="971"/>
      <c r="NQY48" s="971"/>
      <c r="NQZ48" s="971"/>
      <c r="NRA48" s="971"/>
      <c r="NRB48" s="971"/>
      <c r="NRC48" s="971"/>
      <c r="NRD48" s="971"/>
      <c r="NRE48" s="971"/>
      <c r="NRF48" s="971"/>
      <c r="NRG48" s="971"/>
      <c r="NRH48" s="971"/>
      <c r="NRI48" s="971"/>
      <c r="NRJ48" s="971"/>
      <c r="NRK48" s="971"/>
      <c r="NRL48" s="971"/>
      <c r="NRM48" s="971"/>
      <c r="NRN48" s="971"/>
      <c r="NRO48" s="971"/>
      <c r="NRP48" s="971"/>
      <c r="NRQ48" s="971"/>
      <c r="NRR48" s="971"/>
      <c r="NRS48" s="971"/>
      <c r="NRT48" s="971"/>
      <c r="NRU48" s="971"/>
      <c r="NRV48" s="971"/>
      <c r="NRW48" s="971"/>
      <c r="NRX48" s="971"/>
      <c r="NRY48" s="971"/>
      <c r="NRZ48" s="971"/>
      <c r="NSA48" s="971"/>
      <c r="NSB48" s="971"/>
      <c r="NSC48" s="971"/>
      <c r="NSD48" s="971"/>
      <c r="NSE48" s="971"/>
      <c r="NSF48" s="971"/>
      <c r="NSG48" s="971"/>
      <c r="NSH48" s="971"/>
      <c r="NSI48" s="971"/>
      <c r="NSJ48" s="971"/>
      <c r="NSK48" s="971"/>
      <c r="NSL48" s="971"/>
      <c r="NSM48" s="971"/>
      <c r="NSN48" s="971"/>
      <c r="NSO48" s="971"/>
      <c r="NSP48" s="971"/>
      <c r="NSQ48" s="971"/>
      <c r="NSR48" s="971"/>
      <c r="NSS48" s="971"/>
      <c r="NST48" s="971"/>
      <c r="NSU48" s="971"/>
      <c r="NSV48" s="971"/>
      <c r="NSW48" s="971"/>
      <c r="NSX48" s="971"/>
      <c r="NSY48" s="971"/>
      <c r="NSZ48" s="971"/>
      <c r="NTA48" s="971"/>
      <c r="NTB48" s="971"/>
      <c r="NTC48" s="971"/>
      <c r="NTD48" s="971"/>
      <c r="NTE48" s="971"/>
      <c r="NTF48" s="971"/>
      <c r="NTG48" s="971"/>
      <c r="NTH48" s="971"/>
      <c r="NTI48" s="971"/>
      <c r="NTJ48" s="971"/>
      <c r="NTK48" s="971"/>
      <c r="NTL48" s="971"/>
      <c r="NTM48" s="971"/>
      <c r="NTN48" s="971"/>
      <c r="NTO48" s="971"/>
      <c r="NTP48" s="971"/>
      <c r="NTQ48" s="971"/>
      <c r="NTR48" s="971"/>
      <c r="NTS48" s="971"/>
      <c r="NTT48" s="971"/>
      <c r="NTU48" s="971"/>
      <c r="NTV48" s="971"/>
      <c r="NTW48" s="971"/>
      <c r="NTX48" s="971"/>
      <c r="NTY48" s="971"/>
      <c r="NTZ48" s="971"/>
      <c r="NUA48" s="971"/>
      <c r="NUB48" s="971"/>
      <c r="NUC48" s="971"/>
      <c r="NUD48" s="971"/>
      <c r="NUE48" s="971"/>
      <c r="NUF48" s="971"/>
      <c r="NUG48" s="971"/>
      <c r="NUH48" s="971"/>
      <c r="NUI48" s="971"/>
      <c r="NUJ48" s="971"/>
      <c r="NUK48" s="971"/>
      <c r="NUL48" s="971"/>
      <c r="NUM48" s="971"/>
      <c r="NUN48" s="971"/>
      <c r="NUO48" s="971"/>
      <c r="NUP48" s="971"/>
      <c r="NUQ48" s="971"/>
      <c r="NUR48" s="971"/>
      <c r="NUS48" s="971"/>
      <c r="NUT48" s="971"/>
      <c r="NUU48" s="971"/>
      <c r="NUV48" s="971"/>
      <c r="NUW48" s="971"/>
      <c r="NUX48" s="971"/>
      <c r="NUY48" s="971"/>
      <c r="NUZ48" s="971"/>
      <c r="NVA48" s="971"/>
      <c r="NVB48" s="971"/>
      <c r="NVC48" s="971"/>
      <c r="NVD48" s="971"/>
      <c r="NVE48" s="971"/>
      <c r="NVF48" s="971"/>
      <c r="NVG48" s="971"/>
      <c r="NVH48" s="971"/>
      <c r="NVI48" s="971"/>
      <c r="NVJ48" s="971"/>
      <c r="NVK48" s="971"/>
      <c r="NVL48" s="971"/>
      <c r="NVM48" s="971"/>
      <c r="NVN48" s="971"/>
      <c r="NVO48" s="971"/>
      <c r="NVP48" s="971"/>
      <c r="NVQ48" s="971"/>
      <c r="NVR48" s="971"/>
      <c r="NVS48" s="971"/>
      <c r="NVT48" s="971"/>
      <c r="NVU48" s="971"/>
      <c r="NVV48" s="971"/>
      <c r="NVW48" s="971"/>
      <c r="NVX48" s="971"/>
      <c r="NVY48" s="971"/>
      <c r="NVZ48" s="971"/>
      <c r="NWA48" s="971"/>
      <c r="NWB48" s="971"/>
      <c r="NWC48" s="971"/>
      <c r="NWD48" s="971"/>
      <c r="NWE48" s="971"/>
      <c r="NWF48" s="971"/>
      <c r="NWG48" s="971"/>
      <c r="NWH48" s="971"/>
      <c r="NWI48" s="971"/>
      <c r="NWJ48" s="971"/>
      <c r="NWK48" s="971"/>
      <c r="NWL48" s="971"/>
      <c r="NWM48" s="971"/>
      <c r="NWN48" s="971"/>
      <c r="NWO48" s="971"/>
      <c r="NWP48" s="971"/>
      <c r="NWQ48" s="971"/>
      <c r="NWR48" s="971"/>
      <c r="NWS48" s="971"/>
      <c r="NWT48" s="971"/>
      <c r="NWU48" s="971"/>
      <c r="NWV48" s="971"/>
      <c r="NWW48" s="971"/>
      <c r="NWX48" s="971"/>
      <c r="NWY48" s="971"/>
      <c r="NWZ48" s="971"/>
      <c r="NXA48" s="971"/>
      <c r="NXB48" s="971"/>
      <c r="NXC48" s="971"/>
      <c r="NXD48" s="971"/>
      <c r="NXE48" s="971"/>
      <c r="NXF48" s="971"/>
      <c r="NXG48" s="971"/>
      <c r="NXH48" s="971"/>
      <c r="NXI48" s="971"/>
      <c r="NXJ48" s="971"/>
      <c r="NXK48" s="971"/>
      <c r="NXL48" s="971"/>
      <c r="NXM48" s="971"/>
      <c r="NXN48" s="971"/>
      <c r="NXO48" s="971"/>
      <c r="NXP48" s="971"/>
      <c r="NXQ48" s="971"/>
      <c r="NXR48" s="971"/>
      <c r="NXS48" s="971"/>
      <c r="NXT48" s="971"/>
      <c r="NXU48" s="971"/>
      <c r="NXV48" s="971"/>
      <c r="NXW48" s="971"/>
      <c r="NXX48" s="971"/>
      <c r="NXY48" s="971"/>
      <c r="NXZ48" s="971"/>
      <c r="NYA48" s="971"/>
      <c r="NYB48" s="971"/>
      <c r="NYC48" s="971"/>
      <c r="NYD48" s="971"/>
      <c r="NYE48" s="971"/>
      <c r="NYF48" s="971"/>
      <c r="NYG48" s="971"/>
      <c r="NYH48" s="971"/>
      <c r="NYI48" s="971"/>
      <c r="NYJ48" s="971"/>
      <c r="NYK48" s="971"/>
      <c r="NYL48" s="971"/>
      <c r="NYM48" s="971"/>
      <c r="NYN48" s="971"/>
      <c r="NYO48" s="971"/>
      <c r="NYP48" s="971"/>
      <c r="NYQ48" s="971"/>
      <c r="NYR48" s="971"/>
      <c r="NYS48" s="971"/>
      <c r="NYT48" s="971"/>
      <c r="NYU48" s="971"/>
      <c r="NYV48" s="971"/>
      <c r="NYW48" s="971"/>
      <c r="NYX48" s="971"/>
      <c r="NYY48" s="971"/>
      <c r="NYZ48" s="971"/>
      <c r="NZA48" s="971"/>
      <c r="NZB48" s="971"/>
      <c r="NZC48" s="971"/>
      <c r="NZD48" s="971"/>
      <c r="NZE48" s="971"/>
      <c r="NZF48" s="971"/>
      <c r="NZG48" s="971"/>
      <c r="NZH48" s="971"/>
      <c r="NZI48" s="971"/>
      <c r="NZJ48" s="971"/>
      <c r="NZK48" s="971"/>
      <c r="NZL48" s="971"/>
      <c r="NZM48" s="971"/>
      <c r="NZN48" s="971"/>
      <c r="NZO48" s="971"/>
      <c r="NZP48" s="971"/>
      <c r="NZQ48" s="971"/>
      <c r="NZR48" s="971"/>
      <c r="NZS48" s="971"/>
      <c r="NZT48" s="971"/>
      <c r="NZU48" s="971"/>
      <c r="NZV48" s="971"/>
      <c r="NZW48" s="971"/>
      <c r="NZX48" s="971"/>
      <c r="NZY48" s="971"/>
      <c r="NZZ48" s="971"/>
      <c r="OAA48" s="971"/>
      <c r="OAB48" s="971"/>
      <c r="OAC48" s="971"/>
      <c r="OAD48" s="971"/>
      <c r="OAE48" s="971"/>
      <c r="OAF48" s="971"/>
      <c r="OAG48" s="971"/>
      <c r="OAH48" s="971"/>
      <c r="OAI48" s="971"/>
      <c r="OAJ48" s="971"/>
      <c r="OAK48" s="971"/>
      <c r="OAL48" s="971"/>
      <c r="OAM48" s="971"/>
      <c r="OAN48" s="971"/>
      <c r="OAO48" s="971"/>
      <c r="OAP48" s="971"/>
      <c r="OAQ48" s="971"/>
      <c r="OAR48" s="971"/>
      <c r="OAS48" s="971"/>
      <c r="OAT48" s="971"/>
      <c r="OAU48" s="971"/>
      <c r="OAV48" s="971"/>
      <c r="OAW48" s="971"/>
      <c r="OAX48" s="971"/>
      <c r="OAY48" s="971"/>
      <c r="OAZ48" s="971"/>
      <c r="OBA48" s="971"/>
      <c r="OBB48" s="971"/>
      <c r="OBC48" s="971"/>
      <c r="OBD48" s="971"/>
      <c r="OBE48" s="971"/>
      <c r="OBF48" s="971"/>
      <c r="OBG48" s="971"/>
      <c r="OBH48" s="971"/>
      <c r="OBI48" s="971"/>
      <c r="OBJ48" s="971"/>
      <c r="OBK48" s="971"/>
      <c r="OBL48" s="971"/>
      <c r="OBM48" s="971"/>
      <c r="OBN48" s="971"/>
      <c r="OBO48" s="971"/>
      <c r="OBP48" s="971"/>
      <c r="OBQ48" s="971"/>
      <c r="OBR48" s="971"/>
      <c r="OBS48" s="971"/>
      <c r="OBT48" s="971"/>
      <c r="OBU48" s="971"/>
      <c r="OBV48" s="971"/>
      <c r="OBW48" s="971"/>
      <c r="OBX48" s="971"/>
      <c r="OBY48" s="971"/>
      <c r="OBZ48" s="971"/>
      <c r="OCA48" s="971"/>
      <c r="OCB48" s="971"/>
      <c r="OCC48" s="971"/>
      <c r="OCD48" s="971"/>
      <c r="OCE48" s="971"/>
      <c r="OCF48" s="971"/>
      <c r="OCG48" s="971"/>
      <c r="OCH48" s="971"/>
      <c r="OCI48" s="971"/>
      <c r="OCJ48" s="971"/>
      <c r="OCK48" s="971"/>
      <c r="OCL48" s="971"/>
      <c r="OCM48" s="971"/>
      <c r="OCN48" s="971"/>
      <c r="OCO48" s="971"/>
      <c r="OCP48" s="971"/>
      <c r="OCQ48" s="971"/>
      <c r="OCR48" s="971"/>
      <c r="OCS48" s="971"/>
      <c r="OCT48" s="971"/>
      <c r="OCU48" s="971"/>
      <c r="OCV48" s="971"/>
      <c r="OCW48" s="971"/>
      <c r="OCX48" s="971"/>
      <c r="OCY48" s="971"/>
      <c r="OCZ48" s="971"/>
      <c r="ODA48" s="971"/>
      <c r="ODB48" s="971"/>
      <c r="ODC48" s="971"/>
      <c r="ODD48" s="971"/>
      <c r="ODE48" s="971"/>
      <c r="ODF48" s="971"/>
      <c r="ODG48" s="971"/>
      <c r="ODH48" s="971"/>
      <c r="ODI48" s="971"/>
      <c r="ODJ48" s="971"/>
      <c r="ODK48" s="971"/>
      <c r="ODL48" s="971"/>
      <c r="ODM48" s="971"/>
      <c r="ODN48" s="971"/>
      <c r="ODO48" s="971"/>
      <c r="ODP48" s="971"/>
      <c r="ODQ48" s="971"/>
      <c r="ODR48" s="971"/>
      <c r="ODS48" s="971"/>
      <c r="ODT48" s="971"/>
      <c r="ODU48" s="971"/>
      <c r="ODV48" s="971"/>
      <c r="ODW48" s="971"/>
      <c r="ODX48" s="971"/>
      <c r="ODY48" s="971"/>
      <c r="ODZ48" s="971"/>
      <c r="OEA48" s="971"/>
      <c r="OEB48" s="971"/>
      <c r="OEC48" s="971"/>
      <c r="OED48" s="971"/>
      <c r="OEE48" s="971"/>
      <c r="OEF48" s="971"/>
      <c r="OEG48" s="971"/>
      <c r="OEH48" s="971"/>
      <c r="OEI48" s="971"/>
      <c r="OEJ48" s="971"/>
      <c r="OEK48" s="971"/>
      <c r="OEL48" s="971"/>
      <c r="OEM48" s="971"/>
      <c r="OEN48" s="971"/>
      <c r="OEO48" s="971"/>
      <c r="OEP48" s="971"/>
      <c r="OEQ48" s="971"/>
      <c r="OER48" s="971"/>
      <c r="OES48" s="971"/>
      <c r="OET48" s="971"/>
      <c r="OEU48" s="971"/>
      <c r="OEV48" s="971"/>
      <c r="OEW48" s="971"/>
      <c r="OEX48" s="971"/>
      <c r="OEY48" s="971"/>
      <c r="OEZ48" s="971"/>
      <c r="OFA48" s="971"/>
      <c r="OFB48" s="971"/>
      <c r="OFC48" s="971"/>
      <c r="OFD48" s="971"/>
      <c r="OFE48" s="971"/>
      <c r="OFF48" s="971"/>
      <c r="OFG48" s="971"/>
      <c r="OFH48" s="971"/>
      <c r="OFI48" s="971"/>
      <c r="OFJ48" s="971"/>
      <c r="OFK48" s="971"/>
      <c r="OFL48" s="971"/>
      <c r="OFM48" s="971"/>
      <c r="OFN48" s="971"/>
      <c r="OFO48" s="971"/>
      <c r="OFP48" s="971"/>
      <c r="OFQ48" s="971"/>
      <c r="OFR48" s="971"/>
      <c r="OFS48" s="971"/>
      <c r="OFT48" s="971"/>
      <c r="OFU48" s="971"/>
      <c r="OFV48" s="971"/>
      <c r="OFW48" s="971"/>
      <c r="OFX48" s="971"/>
      <c r="OFY48" s="971"/>
      <c r="OFZ48" s="971"/>
      <c r="OGA48" s="971"/>
      <c r="OGB48" s="971"/>
      <c r="OGC48" s="971"/>
      <c r="OGD48" s="971"/>
      <c r="OGE48" s="971"/>
      <c r="OGF48" s="971"/>
      <c r="OGG48" s="971"/>
      <c r="OGH48" s="971"/>
      <c r="OGI48" s="971"/>
      <c r="OGJ48" s="971"/>
      <c r="OGK48" s="971"/>
      <c r="OGL48" s="971"/>
      <c r="OGM48" s="971"/>
      <c r="OGN48" s="971"/>
      <c r="OGO48" s="971"/>
      <c r="OGP48" s="971"/>
      <c r="OGQ48" s="971"/>
      <c r="OGR48" s="971"/>
      <c r="OGS48" s="971"/>
      <c r="OGT48" s="971"/>
      <c r="OGU48" s="971"/>
      <c r="OGV48" s="971"/>
      <c r="OGW48" s="971"/>
      <c r="OGX48" s="971"/>
      <c r="OGY48" s="971"/>
      <c r="OGZ48" s="971"/>
      <c r="OHA48" s="971"/>
      <c r="OHB48" s="971"/>
      <c r="OHC48" s="971"/>
      <c r="OHD48" s="971"/>
      <c r="OHE48" s="971"/>
      <c r="OHF48" s="971"/>
      <c r="OHG48" s="971"/>
      <c r="OHH48" s="971"/>
      <c r="OHI48" s="971"/>
      <c r="OHJ48" s="971"/>
      <c r="OHK48" s="971"/>
      <c r="OHL48" s="971"/>
      <c r="OHM48" s="971"/>
      <c r="OHN48" s="971"/>
      <c r="OHO48" s="971"/>
      <c r="OHP48" s="971"/>
      <c r="OHQ48" s="971"/>
      <c r="OHR48" s="971"/>
      <c r="OHS48" s="971"/>
      <c r="OHT48" s="971"/>
      <c r="OHU48" s="971"/>
      <c r="OHV48" s="971"/>
      <c r="OHW48" s="971"/>
      <c r="OHX48" s="971"/>
      <c r="OHY48" s="971"/>
      <c r="OHZ48" s="971"/>
      <c r="OIA48" s="971"/>
      <c r="OIB48" s="971"/>
      <c r="OIC48" s="971"/>
      <c r="OID48" s="971"/>
      <c r="OIE48" s="971"/>
      <c r="OIF48" s="971"/>
      <c r="OIG48" s="971"/>
      <c r="OIH48" s="971"/>
      <c r="OII48" s="971"/>
      <c r="OIJ48" s="971"/>
      <c r="OIK48" s="971"/>
      <c r="OIL48" s="971"/>
      <c r="OIM48" s="971"/>
      <c r="OIN48" s="971"/>
      <c r="OIO48" s="971"/>
      <c r="OIP48" s="971"/>
      <c r="OIQ48" s="971"/>
      <c r="OIR48" s="971"/>
      <c r="OIS48" s="971"/>
      <c r="OIT48" s="971"/>
      <c r="OIU48" s="971"/>
      <c r="OIV48" s="971"/>
      <c r="OIW48" s="971"/>
      <c r="OIX48" s="971"/>
      <c r="OIY48" s="971"/>
      <c r="OIZ48" s="971"/>
      <c r="OJA48" s="971"/>
      <c r="OJB48" s="971"/>
      <c r="OJC48" s="971"/>
      <c r="OJD48" s="971"/>
      <c r="OJE48" s="971"/>
      <c r="OJF48" s="971"/>
      <c r="OJG48" s="971"/>
      <c r="OJH48" s="971"/>
      <c r="OJI48" s="971"/>
      <c r="OJJ48" s="971"/>
      <c r="OJK48" s="971"/>
      <c r="OJL48" s="971"/>
      <c r="OJM48" s="971"/>
      <c r="OJN48" s="971"/>
      <c r="OJO48" s="971"/>
      <c r="OJP48" s="971"/>
      <c r="OJQ48" s="971"/>
      <c r="OJR48" s="971"/>
      <c r="OJS48" s="971"/>
      <c r="OJT48" s="971"/>
      <c r="OJU48" s="971"/>
      <c r="OJV48" s="971"/>
      <c r="OJW48" s="971"/>
      <c r="OJX48" s="971"/>
      <c r="OJY48" s="971"/>
      <c r="OJZ48" s="971"/>
      <c r="OKA48" s="971"/>
      <c r="OKB48" s="971"/>
      <c r="OKC48" s="971"/>
      <c r="OKD48" s="971"/>
      <c r="OKE48" s="971"/>
      <c r="OKF48" s="971"/>
      <c r="OKG48" s="971"/>
      <c r="OKH48" s="971"/>
      <c r="OKI48" s="971"/>
      <c r="OKJ48" s="971"/>
      <c r="OKK48" s="971"/>
      <c r="OKL48" s="971"/>
      <c r="OKM48" s="971"/>
      <c r="OKN48" s="971"/>
      <c r="OKO48" s="971"/>
      <c r="OKP48" s="971"/>
      <c r="OKQ48" s="971"/>
      <c r="OKR48" s="971"/>
      <c r="OKS48" s="971"/>
      <c r="OKT48" s="971"/>
      <c r="OKU48" s="971"/>
      <c r="OKV48" s="971"/>
      <c r="OKW48" s="971"/>
      <c r="OKX48" s="971"/>
      <c r="OKY48" s="971"/>
      <c r="OKZ48" s="971"/>
      <c r="OLA48" s="971"/>
      <c r="OLB48" s="971"/>
      <c r="OLC48" s="971"/>
      <c r="OLD48" s="971"/>
      <c r="OLE48" s="971"/>
      <c r="OLF48" s="971"/>
      <c r="OLG48" s="971"/>
      <c r="OLH48" s="971"/>
      <c r="OLI48" s="971"/>
      <c r="OLJ48" s="971"/>
      <c r="OLK48" s="971"/>
      <c r="OLL48" s="971"/>
      <c r="OLM48" s="971"/>
      <c r="OLN48" s="971"/>
      <c r="OLO48" s="971"/>
      <c r="OLP48" s="971"/>
      <c r="OLQ48" s="971"/>
      <c r="OLR48" s="971"/>
      <c r="OLS48" s="971"/>
      <c r="OLT48" s="971"/>
      <c r="OLU48" s="971"/>
      <c r="OLV48" s="971"/>
      <c r="OLW48" s="971"/>
      <c r="OLX48" s="971"/>
      <c r="OLY48" s="971"/>
      <c r="OLZ48" s="971"/>
      <c r="OMA48" s="971"/>
      <c r="OMB48" s="971"/>
      <c r="OMC48" s="971"/>
      <c r="OMD48" s="971"/>
      <c r="OME48" s="971"/>
      <c r="OMF48" s="971"/>
      <c r="OMG48" s="971"/>
      <c r="OMH48" s="971"/>
      <c r="OMI48" s="971"/>
      <c r="OMJ48" s="971"/>
      <c r="OMK48" s="971"/>
      <c r="OML48" s="971"/>
      <c r="OMM48" s="971"/>
      <c r="OMN48" s="971"/>
      <c r="OMO48" s="971"/>
      <c r="OMP48" s="971"/>
      <c r="OMQ48" s="971"/>
      <c r="OMR48" s="971"/>
      <c r="OMS48" s="971"/>
      <c r="OMT48" s="971"/>
      <c r="OMU48" s="971"/>
      <c r="OMV48" s="971"/>
      <c r="OMW48" s="971"/>
      <c r="OMX48" s="971"/>
      <c r="OMY48" s="971"/>
      <c r="OMZ48" s="971"/>
      <c r="ONA48" s="971"/>
      <c r="ONB48" s="971"/>
      <c r="ONC48" s="971"/>
      <c r="OND48" s="971"/>
      <c r="ONE48" s="971"/>
      <c r="ONF48" s="971"/>
      <c r="ONG48" s="971"/>
      <c r="ONH48" s="971"/>
      <c r="ONI48" s="971"/>
      <c r="ONJ48" s="971"/>
      <c r="ONK48" s="971"/>
      <c r="ONL48" s="971"/>
      <c r="ONM48" s="971"/>
      <c r="ONN48" s="971"/>
      <c r="ONO48" s="971"/>
      <c r="ONP48" s="971"/>
      <c r="ONQ48" s="971"/>
      <c r="ONR48" s="971"/>
      <c r="ONS48" s="971"/>
      <c r="ONT48" s="971"/>
      <c r="ONU48" s="971"/>
      <c r="ONV48" s="971"/>
      <c r="ONW48" s="971"/>
      <c r="ONX48" s="971"/>
      <c r="ONY48" s="971"/>
      <c r="ONZ48" s="971"/>
      <c r="OOA48" s="971"/>
      <c r="OOB48" s="971"/>
      <c r="OOC48" s="971"/>
      <c r="OOD48" s="971"/>
      <c r="OOE48" s="971"/>
      <c r="OOF48" s="971"/>
      <c r="OOG48" s="971"/>
      <c r="OOH48" s="971"/>
      <c r="OOI48" s="971"/>
      <c r="OOJ48" s="971"/>
      <c r="OOK48" s="971"/>
      <c r="OOL48" s="971"/>
      <c r="OOM48" s="971"/>
      <c r="OON48" s="971"/>
      <c r="OOO48" s="971"/>
      <c r="OOP48" s="971"/>
      <c r="OOQ48" s="971"/>
      <c r="OOR48" s="971"/>
      <c r="OOS48" s="971"/>
      <c r="OOT48" s="971"/>
      <c r="OOU48" s="971"/>
      <c r="OOV48" s="971"/>
      <c r="OOW48" s="971"/>
      <c r="OOX48" s="971"/>
      <c r="OOY48" s="971"/>
      <c r="OOZ48" s="971"/>
      <c r="OPA48" s="971"/>
      <c r="OPB48" s="971"/>
      <c r="OPC48" s="971"/>
      <c r="OPD48" s="971"/>
      <c r="OPE48" s="971"/>
      <c r="OPF48" s="971"/>
      <c r="OPG48" s="971"/>
      <c r="OPH48" s="971"/>
      <c r="OPI48" s="971"/>
      <c r="OPJ48" s="971"/>
      <c r="OPK48" s="971"/>
      <c r="OPL48" s="971"/>
      <c r="OPM48" s="971"/>
      <c r="OPN48" s="971"/>
      <c r="OPO48" s="971"/>
      <c r="OPP48" s="971"/>
      <c r="OPQ48" s="971"/>
      <c r="OPR48" s="971"/>
      <c r="OPS48" s="971"/>
      <c r="OPT48" s="971"/>
      <c r="OPU48" s="971"/>
      <c r="OPV48" s="971"/>
      <c r="OPW48" s="971"/>
      <c r="OPX48" s="971"/>
      <c r="OPY48" s="971"/>
      <c r="OPZ48" s="971"/>
      <c r="OQA48" s="971"/>
      <c r="OQB48" s="971"/>
      <c r="OQC48" s="971"/>
      <c r="OQD48" s="971"/>
      <c r="OQE48" s="971"/>
      <c r="OQF48" s="971"/>
      <c r="OQG48" s="971"/>
      <c r="OQH48" s="971"/>
      <c r="OQI48" s="971"/>
      <c r="OQJ48" s="971"/>
      <c r="OQK48" s="971"/>
      <c r="OQL48" s="971"/>
      <c r="OQM48" s="971"/>
      <c r="OQN48" s="971"/>
      <c r="OQO48" s="971"/>
      <c r="OQP48" s="971"/>
      <c r="OQQ48" s="971"/>
      <c r="OQR48" s="971"/>
      <c r="OQS48" s="971"/>
      <c r="OQT48" s="971"/>
      <c r="OQU48" s="971"/>
      <c r="OQV48" s="971"/>
      <c r="OQW48" s="971"/>
      <c r="OQX48" s="971"/>
      <c r="OQY48" s="971"/>
      <c r="OQZ48" s="971"/>
      <c r="ORA48" s="971"/>
      <c r="ORB48" s="971"/>
      <c r="ORC48" s="971"/>
      <c r="ORD48" s="971"/>
      <c r="ORE48" s="971"/>
      <c r="ORF48" s="971"/>
      <c r="ORG48" s="971"/>
      <c r="ORH48" s="971"/>
      <c r="ORI48" s="971"/>
      <c r="ORJ48" s="971"/>
      <c r="ORK48" s="971"/>
      <c r="ORL48" s="971"/>
      <c r="ORM48" s="971"/>
      <c r="ORN48" s="971"/>
      <c r="ORO48" s="971"/>
      <c r="ORP48" s="971"/>
      <c r="ORQ48" s="971"/>
      <c r="ORR48" s="971"/>
      <c r="ORS48" s="971"/>
      <c r="ORT48" s="971"/>
      <c r="ORU48" s="971"/>
      <c r="ORV48" s="971"/>
      <c r="ORW48" s="971"/>
      <c r="ORX48" s="971"/>
      <c r="ORY48" s="971"/>
      <c r="ORZ48" s="971"/>
      <c r="OSA48" s="971"/>
      <c r="OSB48" s="971"/>
      <c r="OSC48" s="971"/>
      <c r="OSD48" s="971"/>
      <c r="OSE48" s="971"/>
      <c r="OSF48" s="971"/>
      <c r="OSG48" s="971"/>
      <c r="OSH48" s="971"/>
      <c r="OSI48" s="971"/>
      <c r="OSJ48" s="971"/>
      <c r="OSK48" s="971"/>
      <c r="OSL48" s="971"/>
      <c r="OSM48" s="971"/>
      <c r="OSN48" s="971"/>
      <c r="OSO48" s="971"/>
      <c r="OSP48" s="971"/>
      <c r="OSQ48" s="971"/>
      <c r="OSR48" s="971"/>
      <c r="OSS48" s="971"/>
      <c r="OST48" s="971"/>
      <c r="OSU48" s="971"/>
      <c r="OSV48" s="971"/>
      <c r="OSW48" s="971"/>
      <c r="OSX48" s="971"/>
      <c r="OSY48" s="971"/>
      <c r="OSZ48" s="971"/>
      <c r="OTA48" s="971"/>
      <c r="OTB48" s="971"/>
      <c r="OTC48" s="971"/>
      <c r="OTD48" s="971"/>
      <c r="OTE48" s="971"/>
      <c r="OTF48" s="971"/>
      <c r="OTG48" s="971"/>
      <c r="OTH48" s="971"/>
      <c r="OTI48" s="971"/>
      <c r="OTJ48" s="971"/>
      <c r="OTK48" s="971"/>
      <c r="OTL48" s="971"/>
      <c r="OTM48" s="971"/>
      <c r="OTN48" s="971"/>
      <c r="OTO48" s="971"/>
      <c r="OTP48" s="971"/>
      <c r="OTQ48" s="971"/>
      <c r="OTR48" s="971"/>
      <c r="OTS48" s="971"/>
      <c r="OTT48" s="971"/>
      <c r="OTU48" s="971"/>
      <c r="OTV48" s="971"/>
      <c r="OTW48" s="971"/>
      <c r="OTX48" s="971"/>
      <c r="OTY48" s="971"/>
      <c r="OTZ48" s="971"/>
      <c r="OUA48" s="971"/>
      <c r="OUB48" s="971"/>
      <c r="OUC48" s="971"/>
      <c r="OUD48" s="971"/>
      <c r="OUE48" s="971"/>
      <c r="OUF48" s="971"/>
      <c r="OUG48" s="971"/>
      <c r="OUH48" s="971"/>
      <c r="OUI48" s="971"/>
      <c r="OUJ48" s="971"/>
      <c r="OUK48" s="971"/>
      <c r="OUL48" s="971"/>
      <c r="OUM48" s="971"/>
      <c r="OUN48" s="971"/>
      <c r="OUO48" s="971"/>
      <c r="OUP48" s="971"/>
      <c r="OUQ48" s="971"/>
      <c r="OUR48" s="971"/>
      <c r="OUS48" s="971"/>
      <c r="OUT48" s="971"/>
      <c r="OUU48" s="971"/>
      <c r="OUV48" s="971"/>
      <c r="OUW48" s="971"/>
      <c r="OUX48" s="971"/>
      <c r="OUY48" s="971"/>
      <c r="OUZ48" s="971"/>
      <c r="OVA48" s="971"/>
      <c r="OVB48" s="971"/>
      <c r="OVC48" s="971"/>
      <c r="OVD48" s="971"/>
      <c r="OVE48" s="971"/>
      <c r="OVF48" s="971"/>
      <c r="OVG48" s="971"/>
      <c r="OVH48" s="971"/>
      <c r="OVI48" s="971"/>
      <c r="OVJ48" s="971"/>
      <c r="OVK48" s="971"/>
      <c r="OVL48" s="971"/>
      <c r="OVM48" s="971"/>
      <c r="OVN48" s="971"/>
      <c r="OVO48" s="971"/>
      <c r="OVP48" s="971"/>
      <c r="OVQ48" s="971"/>
      <c r="OVR48" s="971"/>
      <c r="OVS48" s="971"/>
      <c r="OVT48" s="971"/>
      <c r="OVU48" s="971"/>
      <c r="OVV48" s="971"/>
      <c r="OVW48" s="971"/>
      <c r="OVX48" s="971"/>
      <c r="OVY48" s="971"/>
      <c r="OVZ48" s="971"/>
      <c r="OWA48" s="971"/>
      <c r="OWB48" s="971"/>
      <c r="OWC48" s="971"/>
      <c r="OWD48" s="971"/>
      <c r="OWE48" s="971"/>
      <c r="OWF48" s="971"/>
      <c r="OWG48" s="971"/>
      <c r="OWH48" s="971"/>
      <c r="OWI48" s="971"/>
      <c r="OWJ48" s="971"/>
      <c r="OWK48" s="971"/>
      <c r="OWL48" s="971"/>
      <c r="OWM48" s="971"/>
      <c r="OWN48" s="971"/>
      <c r="OWO48" s="971"/>
      <c r="OWP48" s="971"/>
      <c r="OWQ48" s="971"/>
      <c r="OWR48" s="971"/>
      <c r="OWS48" s="971"/>
      <c r="OWT48" s="971"/>
      <c r="OWU48" s="971"/>
      <c r="OWV48" s="971"/>
      <c r="OWW48" s="971"/>
      <c r="OWX48" s="971"/>
      <c r="OWY48" s="971"/>
      <c r="OWZ48" s="971"/>
      <c r="OXA48" s="971"/>
      <c r="OXB48" s="971"/>
      <c r="OXC48" s="971"/>
      <c r="OXD48" s="971"/>
      <c r="OXE48" s="971"/>
      <c r="OXF48" s="971"/>
      <c r="OXG48" s="971"/>
      <c r="OXH48" s="971"/>
      <c r="OXI48" s="971"/>
      <c r="OXJ48" s="971"/>
      <c r="OXK48" s="971"/>
      <c r="OXL48" s="971"/>
      <c r="OXM48" s="971"/>
      <c r="OXN48" s="971"/>
      <c r="OXO48" s="971"/>
      <c r="OXP48" s="971"/>
      <c r="OXQ48" s="971"/>
      <c r="OXR48" s="971"/>
      <c r="OXS48" s="971"/>
      <c r="OXT48" s="971"/>
      <c r="OXU48" s="971"/>
      <c r="OXV48" s="971"/>
      <c r="OXW48" s="971"/>
      <c r="OXX48" s="971"/>
      <c r="OXY48" s="971"/>
      <c r="OXZ48" s="971"/>
      <c r="OYA48" s="971"/>
      <c r="OYB48" s="971"/>
      <c r="OYC48" s="971"/>
      <c r="OYD48" s="971"/>
      <c r="OYE48" s="971"/>
      <c r="OYF48" s="971"/>
      <c r="OYG48" s="971"/>
      <c r="OYH48" s="971"/>
      <c r="OYI48" s="971"/>
      <c r="OYJ48" s="971"/>
      <c r="OYK48" s="971"/>
      <c r="OYL48" s="971"/>
      <c r="OYM48" s="971"/>
      <c r="OYN48" s="971"/>
      <c r="OYO48" s="971"/>
      <c r="OYP48" s="971"/>
      <c r="OYQ48" s="971"/>
      <c r="OYR48" s="971"/>
      <c r="OYS48" s="971"/>
      <c r="OYT48" s="971"/>
      <c r="OYU48" s="971"/>
      <c r="OYV48" s="971"/>
      <c r="OYW48" s="971"/>
      <c r="OYX48" s="971"/>
      <c r="OYY48" s="971"/>
      <c r="OYZ48" s="971"/>
      <c r="OZA48" s="971"/>
      <c r="OZB48" s="971"/>
      <c r="OZC48" s="971"/>
      <c r="OZD48" s="971"/>
      <c r="OZE48" s="971"/>
      <c r="OZF48" s="971"/>
      <c r="OZG48" s="971"/>
      <c r="OZH48" s="971"/>
      <c r="OZI48" s="971"/>
      <c r="OZJ48" s="971"/>
      <c r="OZK48" s="971"/>
      <c r="OZL48" s="971"/>
      <c r="OZM48" s="971"/>
      <c r="OZN48" s="971"/>
      <c r="OZO48" s="971"/>
      <c r="OZP48" s="971"/>
      <c r="OZQ48" s="971"/>
      <c r="OZR48" s="971"/>
      <c r="OZS48" s="971"/>
      <c r="OZT48" s="971"/>
      <c r="OZU48" s="971"/>
      <c r="OZV48" s="971"/>
      <c r="OZW48" s="971"/>
      <c r="OZX48" s="971"/>
      <c r="OZY48" s="971"/>
      <c r="OZZ48" s="971"/>
      <c r="PAA48" s="971"/>
      <c r="PAB48" s="971"/>
      <c r="PAC48" s="971"/>
      <c r="PAD48" s="971"/>
      <c r="PAE48" s="971"/>
      <c r="PAF48" s="971"/>
      <c r="PAG48" s="971"/>
      <c r="PAH48" s="971"/>
      <c r="PAI48" s="971"/>
      <c r="PAJ48" s="971"/>
      <c r="PAK48" s="971"/>
      <c r="PAL48" s="971"/>
      <c r="PAM48" s="971"/>
      <c r="PAN48" s="971"/>
      <c r="PAO48" s="971"/>
      <c r="PAP48" s="971"/>
      <c r="PAQ48" s="971"/>
      <c r="PAR48" s="971"/>
      <c r="PAS48" s="971"/>
      <c r="PAT48" s="971"/>
      <c r="PAU48" s="971"/>
      <c r="PAV48" s="971"/>
      <c r="PAW48" s="971"/>
      <c r="PAX48" s="971"/>
      <c r="PAY48" s="971"/>
      <c r="PAZ48" s="971"/>
      <c r="PBA48" s="971"/>
      <c r="PBB48" s="971"/>
      <c r="PBC48" s="971"/>
      <c r="PBD48" s="971"/>
      <c r="PBE48" s="971"/>
      <c r="PBF48" s="971"/>
      <c r="PBG48" s="971"/>
      <c r="PBH48" s="971"/>
      <c r="PBI48" s="971"/>
      <c r="PBJ48" s="971"/>
      <c r="PBK48" s="971"/>
      <c r="PBL48" s="971"/>
      <c r="PBM48" s="971"/>
      <c r="PBN48" s="971"/>
      <c r="PBO48" s="971"/>
      <c r="PBP48" s="971"/>
      <c r="PBQ48" s="971"/>
      <c r="PBR48" s="971"/>
      <c r="PBS48" s="971"/>
      <c r="PBT48" s="971"/>
      <c r="PBU48" s="971"/>
      <c r="PBV48" s="971"/>
      <c r="PBW48" s="971"/>
      <c r="PBX48" s="971"/>
      <c r="PBY48" s="971"/>
      <c r="PBZ48" s="971"/>
      <c r="PCA48" s="971"/>
      <c r="PCB48" s="971"/>
      <c r="PCC48" s="971"/>
      <c r="PCD48" s="971"/>
      <c r="PCE48" s="971"/>
      <c r="PCF48" s="971"/>
      <c r="PCG48" s="971"/>
      <c r="PCH48" s="971"/>
      <c r="PCI48" s="971"/>
      <c r="PCJ48" s="971"/>
      <c r="PCK48" s="971"/>
      <c r="PCL48" s="971"/>
      <c r="PCM48" s="971"/>
      <c r="PCN48" s="971"/>
      <c r="PCO48" s="971"/>
      <c r="PCP48" s="971"/>
      <c r="PCQ48" s="971"/>
      <c r="PCR48" s="971"/>
      <c r="PCS48" s="971"/>
      <c r="PCT48" s="971"/>
      <c r="PCU48" s="971"/>
      <c r="PCV48" s="971"/>
      <c r="PCW48" s="971"/>
      <c r="PCX48" s="971"/>
      <c r="PCY48" s="971"/>
      <c r="PCZ48" s="971"/>
      <c r="PDA48" s="971"/>
      <c r="PDB48" s="971"/>
      <c r="PDC48" s="971"/>
      <c r="PDD48" s="971"/>
      <c r="PDE48" s="971"/>
      <c r="PDF48" s="971"/>
      <c r="PDG48" s="971"/>
      <c r="PDH48" s="971"/>
      <c r="PDI48" s="971"/>
      <c r="PDJ48" s="971"/>
      <c r="PDK48" s="971"/>
      <c r="PDL48" s="971"/>
      <c r="PDM48" s="971"/>
      <c r="PDN48" s="971"/>
      <c r="PDO48" s="971"/>
      <c r="PDP48" s="971"/>
      <c r="PDQ48" s="971"/>
      <c r="PDR48" s="971"/>
      <c r="PDS48" s="971"/>
      <c r="PDT48" s="971"/>
      <c r="PDU48" s="971"/>
      <c r="PDV48" s="971"/>
      <c r="PDW48" s="971"/>
      <c r="PDX48" s="971"/>
      <c r="PDY48" s="971"/>
      <c r="PDZ48" s="971"/>
      <c r="PEA48" s="971"/>
      <c r="PEB48" s="971"/>
      <c r="PEC48" s="971"/>
      <c r="PED48" s="971"/>
      <c r="PEE48" s="971"/>
      <c r="PEF48" s="971"/>
      <c r="PEG48" s="971"/>
      <c r="PEH48" s="971"/>
      <c r="PEI48" s="971"/>
      <c r="PEJ48" s="971"/>
      <c r="PEK48" s="971"/>
      <c r="PEL48" s="971"/>
      <c r="PEM48" s="971"/>
      <c r="PEN48" s="971"/>
      <c r="PEO48" s="971"/>
      <c r="PEP48" s="971"/>
      <c r="PEQ48" s="971"/>
      <c r="PER48" s="971"/>
      <c r="PES48" s="971"/>
      <c r="PET48" s="971"/>
      <c r="PEU48" s="971"/>
      <c r="PEV48" s="971"/>
      <c r="PEW48" s="971"/>
      <c r="PEX48" s="971"/>
      <c r="PEY48" s="971"/>
      <c r="PEZ48" s="971"/>
      <c r="PFA48" s="971"/>
      <c r="PFB48" s="971"/>
      <c r="PFC48" s="971"/>
      <c r="PFD48" s="971"/>
      <c r="PFE48" s="971"/>
      <c r="PFF48" s="971"/>
      <c r="PFG48" s="971"/>
      <c r="PFH48" s="971"/>
      <c r="PFI48" s="971"/>
      <c r="PFJ48" s="971"/>
      <c r="PFK48" s="971"/>
      <c r="PFL48" s="971"/>
      <c r="PFM48" s="971"/>
      <c r="PFN48" s="971"/>
      <c r="PFO48" s="971"/>
      <c r="PFP48" s="971"/>
      <c r="PFQ48" s="971"/>
      <c r="PFR48" s="971"/>
      <c r="PFS48" s="971"/>
      <c r="PFT48" s="971"/>
      <c r="PFU48" s="971"/>
      <c r="PFV48" s="971"/>
      <c r="PFW48" s="971"/>
      <c r="PFX48" s="971"/>
      <c r="PFY48" s="971"/>
      <c r="PFZ48" s="971"/>
      <c r="PGA48" s="971"/>
      <c r="PGB48" s="971"/>
      <c r="PGC48" s="971"/>
      <c r="PGD48" s="971"/>
      <c r="PGE48" s="971"/>
      <c r="PGF48" s="971"/>
      <c r="PGG48" s="971"/>
      <c r="PGH48" s="971"/>
      <c r="PGI48" s="971"/>
      <c r="PGJ48" s="971"/>
      <c r="PGK48" s="971"/>
      <c r="PGL48" s="971"/>
      <c r="PGM48" s="971"/>
      <c r="PGN48" s="971"/>
      <c r="PGO48" s="971"/>
      <c r="PGP48" s="971"/>
      <c r="PGQ48" s="971"/>
      <c r="PGR48" s="971"/>
      <c r="PGS48" s="971"/>
      <c r="PGT48" s="971"/>
      <c r="PGU48" s="971"/>
      <c r="PGV48" s="971"/>
      <c r="PGW48" s="971"/>
      <c r="PGX48" s="971"/>
      <c r="PGY48" s="971"/>
      <c r="PGZ48" s="971"/>
      <c r="PHA48" s="971"/>
      <c r="PHB48" s="971"/>
      <c r="PHC48" s="971"/>
      <c r="PHD48" s="971"/>
      <c r="PHE48" s="971"/>
      <c r="PHF48" s="971"/>
      <c r="PHG48" s="971"/>
      <c r="PHH48" s="971"/>
      <c r="PHI48" s="971"/>
      <c r="PHJ48" s="971"/>
      <c r="PHK48" s="971"/>
      <c r="PHL48" s="971"/>
      <c r="PHM48" s="971"/>
      <c r="PHN48" s="971"/>
      <c r="PHO48" s="971"/>
      <c r="PHP48" s="971"/>
      <c r="PHQ48" s="971"/>
      <c r="PHR48" s="971"/>
      <c r="PHS48" s="971"/>
      <c r="PHT48" s="971"/>
      <c r="PHU48" s="971"/>
      <c r="PHV48" s="971"/>
      <c r="PHW48" s="971"/>
      <c r="PHX48" s="971"/>
      <c r="PHY48" s="971"/>
      <c r="PHZ48" s="971"/>
      <c r="PIA48" s="971"/>
      <c r="PIB48" s="971"/>
      <c r="PIC48" s="971"/>
      <c r="PID48" s="971"/>
      <c r="PIE48" s="971"/>
      <c r="PIF48" s="971"/>
      <c r="PIG48" s="971"/>
      <c r="PIH48" s="971"/>
      <c r="PII48" s="971"/>
      <c r="PIJ48" s="971"/>
      <c r="PIK48" s="971"/>
      <c r="PIL48" s="971"/>
      <c r="PIM48" s="971"/>
      <c r="PIN48" s="971"/>
      <c r="PIO48" s="971"/>
      <c r="PIP48" s="971"/>
      <c r="PIQ48" s="971"/>
      <c r="PIR48" s="971"/>
      <c r="PIS48" s="971"/>
      <c r="PIT48" s="971"/>
      <c r="PIU48" s="971"/>
      <c r="PIV48" s="971"/>
      <c r="PIW48" s="971"/>
      <c r="PIX48" s="971"/>
      <c r="PIY48" s="971"/>
      <c r="PIZ48" s="971"/>
      <c r="PJA48" s="971"/>
      <c r="PJB48" s="971"/>
      <c r="PJC48" s="971"/>
      <c r="PJD48" s="971"/>
      <c r="PJE48" s="971"/>
      <c r="PJF48" s="971"/>
      <c r="PJG48" s="971"/>
      <c r="PJH48" s="971"/>
      <c r="PJI48" s="971"/>
      <c r="PJJ48" s="971"/>
      <c r="PJK48" s="971"/>
      <c r="PJL48" s="971"/>
      <c r="PJM48" s="971"/>
      <c r="PJN48" s="971"/>
      <c r="PJO48" s="971"/>
      <c r="PJP48" s="971"/>
      <c r="PJQ48" s="971"/>
      <c r="PJR48" s="971"/>
      <c r="PJS48" s="971"/>
      <c r="PJT48" s="971"/>
      <c r="PJU48" s="971"/>
      <c r="PJV48" s="971"/>
      <c r="PJW48" s="971"/>
      <c r="PJX48" s="971"/>
      <c r="PJY48" s="971"/>
      <c r="PJZ48" s="971"/>
      <c r="PKA48" s="971"/>
      <c r="PKB48" s="971"/>
      <c r="PKC48" s="971"/>
      <c r="PKD48" s="971"/>
      <c r="PKE48" s="971"/>
      <c r="PKF48" s="971"/>
      <c r="PKG48" s="971"/>
      <c r="PKH48" s="971"/>
      <c r="PKI48" s="971"/>
      <c r="PKJ48" s="971"/>
      <c r="PKK48" s="971"/>
      <c r="PKL48" s="971"/>
      <c r="PKM48" s="971"/>
      <c r="PKN48" s="971"/>
      <c r="PKO48" s="971"/>
      <c r="PKP48" s="971"/>
      <c r="PKQ48" s="971"/>
      <c r="PKR48" s="971"/>
      <c r="PKS48" s="971"/>
      <c r="PKT48" s="971"/>
      <c r="PKU48" s="971"/>
      <c r="PKV48" s="971"/>
      <c r="PKW48" s="971"/>
      <c r="PKX48" s="971"/>
      <c r="PKY48" s="971"/>
      <c r="PKZ48" s="971"/>
      <c r="PLA48" s="971"/>
      <c r="PLB48" s="971"/>
      <c r="PLC48" s="971"/>
      <c r="PLD48" s="971"/>
      <c r="PLE48" s="971"/>
      <c r="PLF48" s="971"/>
      <c r="PLG48" s="971"/>
      <c r="PLH48" s="971"/>
      <c r="PLI48" s="971"/>
      <c r="PLJ48" s="971"/>
      <c r="PLK48" s="971"/>
      <c r="PLL48" s="971"/>
      <c r="PLM48" s="971"/>
      <c r="PLN48" s="971"/>
      <c r="PLO48" s="971"/>
      <c r="PLP48" s="971"/>
      <c r="PLQ48" s="971"/>
      <c r="PLR48" s="971"/>
      <c r="PLS48" s="971"/>
      <c r="PLT48" s="971"/>
      <c r="PLU48" s="971"/>
      <c r="PLV48" s="971"/>
      <c r="PLW48" s="971"/>
      <c r="PLX48" s="971"/>
      <c r="PLY48" s="971"/>
      <c r="PLZ48" s="971"/>
      <c r="PMA48" s="971"/>
      <c r="PMB48" s="971"/>
      <c r="PMC48" s="971"/>
      <c r="PMD48" s="971"/>
      <c r="PME48" s="971"/>
      <c r="PMF48" s="971"/>
      <c r="PMG48" s="971"/>
      <c r="PMH48" s="971"/>
      <c r="PMI48" s="971"/>
      <c r="PMJ48" s="971"/>
      <c r="PMK48" s="971"/>
      <c r="PML48" s="971"/>
      <c r="PMM48" s="971"/>
      <c r="PMN48" s="971"/>
      <c r="PMO48" s="971"/>
      <c r="PMP48" s="971"/>
      <c r="PMQ48" s="971"/>
      <c r="PMR48" s="971"/>
      <c r="PMS48" s="971"/>
      <c r="PMT48" s="971"/>
      <c r="PMU48" s="971"/>
      <c r="PMV48" s="971"/>
      <c r="PMW48" s="971"/>
      <c r="PMX48" s="971"/>
      <c r="PMY48" s="971"/>
      <c r="PMZ48" s="971"/>
      <c r="PNA48" s="971"/>
      <c r="PNB48" s="971"/>
      <c r="PNC48" s="971"/>
      <c r="PND48" s="971"/>
      <c r="PNE48" s="971"/>
      <c r="PNF48" s="971"/>
      <c r="PNG48" s="971"/>
      <c r="PNH48" s="971"/>
      <c r="PNI48" s="971"/>
      <c r="PNJ48" s="971"/>
      <c r="PNK48" s="971"/>
      <c r="PNL48" s="971"/>
      <c r="PNM48" s="971"/>
      <c r="PNN48" s="971"/>
      <c r="PNO48" s="971"/>
      <c r="PNP48" s="971"/>
      <c r="PNQ48" s="971"/>
      <c r="PNR48" s="971"/>
      <c r="PNS48" s="971"/>
      <c r="PNT48" s="971"/>
      <c r="PNU48" s="971"/>
      <c r="PNV48" s="971"/>
      <c r="PNW48" s="971"/>
      <c r="PNX48" s="971"/>
      <c r="PNY48" s="971"/>
      <c r="PNZ48" s="971"/>
      <c r="POA48" s="971"/>
      <c r="POB48" s="971"/>
      <c r="POC48" s="971"/>
      <c r="POD48" s="971"/>
      <c r="POE48" s="971"/>
      <c r="POF48" s="971"/>
      <c r="POG48" s="971"/>
      <c r="POH48" s="971"/>
      <c r="POI48" s="971"/>
      <c r="POJ48" s="971"/>
      <c r="POK48" s="971"/>
      <c r="POL48" s="971"/>
      <c r="POM48" s="971"/>
      <c r="PON48" s="971"/>
      <c r="POO48" s="971"/>
      <c r="POP48" s="971"/>
      <c r="POQ48" s="971"/>
      <c r="POR48" s="971"/>
      <c r="POS48" s="971"/>
      <c r="POT48" s="971"/>
      <c r="POU48" s="971"/>
      <c r="POV48" s="971"/>
      <c r="POW48" s="971"/>
      <c r="POX48" s="971"/>
      <c r="POY48" s="971"/>
      <c r="POZ48" s="971"/>
      <c r="PPA48" s="971"/>
      <c r="PPB48" s="971"/>
      <c r="PPC48" s="971"/>
      <c r="PPD48" s="971"/>
      <c r="PPE48" s="971"/>
      <c r="PPF48" s="971"/>
      <c r="PPG48" s="971"/>
      <c r="PPH48" s="971"/>
      <c r="PPI48" s="971"/>
      <c r="PPJ48" s="971"/>
      <c r="PPK48" s="971"/>
      <c r="PPL48" s="971"/>
      <c r="PPM48" s="971"/>
      <c r="PPN48" s="971"/>
      <c r="PPO48" s="971"/>
      <c r="PPP48" s="971"/>
      <c r="PPQ48" s="971"/>
      <c r="PPR48" s="971"/>
      <c r="PPS48" s="971"/>
      <c r="PPT48" s="971"/>
      <c r="PPU48" s="971"/>
      <c r="PPV48" s="971"/>
      <c r="PPW48" s="971"/>
      <c r="PPX48" s="971"/>
      <c r="PPY48" s="971"/>
      <c r="PPZ48" s="971"/>
      <c r="PQA48" s="971"/>
      <c r="PQB48" s="971"/>
      <c r="PQC48" s="971"/>
      <c r="PQD48" s="971"/>
      <c r="PQE48" s="971"/>
      <c r="PQF48" s="971"/>
      <c r="PQG48" s="971"/>
      <c r="PQH48" s="971"/>
      <c r="PQI48" s="971"/>
      <c r="PQJ48" s="971"/>
      <c r="PQK48" s="971"/>
      <c r="PQL48" s="971"/>
      <c r="PQM48" s="971"/>
      <c r="PQN48" s="971"/>
      <c r="PQO48" s="971"/>
      <c r="PQP48" s="971"/>
      <c r="PQQ48" s="971"/>
      <c r="PQR48" s="971"/>
      <c r="PQS48" s="971"/>
      <c r="PQT48" s="971"/>
      <c r="PQU48" s="971"/>
      <c r="PQV48" s="971"/>
      <c r="PQW48" s="971"/>
      <c r="PQX48" s="971"/>
      <c r="PQY48" s="971"/>
      <c r="PQZ48" s="971"/>
      <c r="PRA48" s="971"/>
      <c r="PRB48" s="971"/>
      <c r="PRC48" s="971"/>
      <c r="PRD48" s="971"/>
      <c r="PRE48" s="971"/>
      <c r="PRF48" s="971"/>
      <c r="PRG48" s="971"/>
      <c r="PRH48" s="971"/>
      <c r="PRI48" s="971"/>
      <c r="PRJ48" s="971"/>
      <c r="PRK48" s="971"/>
      <c r="PRL48" s="971"/>
      <c r="PRM48" s="971"/>
      <c r="PRN48" s="971"/>
      <c r="PRO48" s="971"/>
      <c r="PRP48" s="971"/>
      <c r="PRQ48" s="971"/>
      <c r="PRR48" s="971"/>
      <c r="PRS48" s="971"/>
      <c r="PRT48" s="971"/>
      <c r="PRU48" s="971"/>
      <c r="PRV48" s="971"/>
      <c r="PRW48" s="971"/>
      <c r="PRX48" s="971"/>
      <c r="PRY48" s="971"/>
      <c r="PRZ48" s="971"/>
      <c r="PSA48" s="971"/>
      <c r="PSB48" s="971"/>
      <c r="PSC48" s="971"/>
      <c r="PSD48" s="971"/>
      <c r="PSE48" s="971"/>
      <c r="PSF48" s="971"/>
      <c r="PSG48" s="971"/>
      <c r="PSH48" s="971"/>
      <c r="PSI48" s="971"/>
      <c r="PSJ48" s="971"/>
      <c r="PSK48" s="971"/>
      <c r="PSL48" s="971"/>
      <c r="PSM48" s="971"/>
      <c r="PSN48" s="971"/>
      <c r="PSO48" s="971"/>
      <c r="PSP48" s="971"/>
      <c r="PSQ48" s="971"/>
      <c r="PSR48" s="971"/>
      <c r="PSS48" s="971"/>
      <c r="PST48" s="971"/>
      <c r="PSU48" s="971"/>
      <c r="PSV48" s="971"/>
      <c r="PSW48" s="971"/>
      <c r="PSX48" s="971"/>
      <c r="PSY48" s="971"/>
      <c r="PSZ48" s="971"/>
      <c r="PTA48" s="971"/>
      <c r="PTB48" s="971"/>
      <c r="PTC48" s="971"/>
      <c r="PTD48" s="971"/>
      <c r="PTE48" s="971"/>
      <c r="PTF48" s="971"/>
      <c r="PTG48" s="971"/>
      <c r="PTH48" s="971"/>
      <c r="PTI48" s="971"/>
      <c r="PTJ48" s="971"/>
      <c r="PTK48" s="971"/>
      <c r="PTL48" s="971"/>
      <c r="PTM48" s="971"/>
      <c r="PTN48" s="971"/>
      <c r="PTO48" s="971"/>
      <c r="PTP48" s="971"/>
      <c r="PTQ48" s="971"/>
      <c r="PTR48" s="971"/>
      <c r="PTS48" s="971"/>
      <c r="PTT48" s="971"/>
      <c r="PTU48" s="971"/>
      <c r="PTV48" s="971"/>
      <c r="PTW48" s="971"/>
      <c r="PTX48" s="971"/>
      <c r="PTY48" s="971"/>
      <c r="PTZ48" s="971"/>
      <c r="PUA48" s="971"/>
      <c r="PUB48" s="971"/>
      <c r="PUC48" s="971"/>
      <c r="PUD48" s="971"/>
      <c r="PUE48" s="971"/>
      <c r="PUF48" s="971"/>
      <c r="PUG48" s="971"/>
      <c r="PUH48" s="971"/>
      <c r="PUI48" s="971"/>
      <c r="PUJ48" s="971"/>
      <c r="PUK48" s="971"/>
      <c r="PUL48" s="971"/>
      <c r="PUM48" s="971"/>
      <c r="PUN48" s="971"/>
      <c r="PUO48" s="971"/>
      <c r="PUP48" s="971"/>
      <c r="PUQ48" s="971"/>
      <c r="PUR48" s="971"/>
      <c r="PUS48" s="971"/>
      <c r="PUT48" s="971"/>
      <c r="PUU48" s="971"/>
      <c r="PUV48" s="971"/>
      <c r="PUW48" s="971"/>
      <c r="PUX48" s="971"/>
      <c r="PUY48" s="971"/>
      <c r="PUZ48" s="971"/>
      <c r="PVA48" s="971"/>
      <c r="PVB48" s="971"/>
      <c r="PVC48" s="971"/>
      <c r="PVD48" s="971"/>
      <c r="PVE48" s="971"/>
      <c r="PVF48" s="971"/>
      <c r="PVG48" s="971"/>
      <c r="PVH48" s="971"/>
      <c r="PVI48" s="971"/>
      <c r="PVJ48" s="971"/>
      <c r="PVK48" s="971"/>
      <c r="PVL48" s="971"/>
      <c r="PVM48" s="971"/>
      <c r="PVN48" s="971"/>
      <c r="PVO48" s="971"/>
      <c r="PVP48" s="971"/>
      <c r="PVQ48" s="971"/>
      <c r="PVR48" s="971"/>
      <c r="PVS48" s="971"/>
      <c r="PVT48" s="971"/>
      <c r="PVU48" s="971"/>
      <c r="PVV48" s="971"/>
      <c r="PVW48" s="971"/>
      <c r="PVX48" s="971"/>
      <c r="PVY48" s="971"/>
      <c r="PVZ48" s="971"/>
      <c r="PWA48" s="971"/>
      <c r="PWB48" s="971"/>
      <c r="PWC48" s="971"/>
      <c r="PWD48" s="971"/>
      <c r="PWE48" s="971"/>
      <c r="PWF48" s="971"/>
      <c r="PWG48" s="971"/>
      <c r="PWH48" s="971"/>
      <c r="PWI48" s="971"/>
      <c r="PWJ48" s="971"/>
      <c r="PWK48" s="971"/>
      <c r="PWL48" s="971"/>
      <c r="PWM48" s="971"/>
      <c r="PWN48" s="971"/>
      <c r="PWO48" s="971"/>
      <c r="PWP48" s="971"/>
      <c r="PWQ48" s="971"/>
      <c r="PWR48" s="971"/>
      <c r="PWS48" s="971"/>
      <c r="PWT48" s="971"/>
      <c r="PWU48" s="971"/>
      <c r="PWV48" s="971"/>
      <c r="PWW48" s="971"/>
      <c r="PWX48" s="971"/>
      <c r="PWY48" s="971"/>
      <c r="PWZ48" s="971"/>
      <c r="PXA48" s="971"/>
      <c r="PXB48" s="971"/>
      <c r="PXC48" s="971"/>
      <c r="PXD48" s="971"/>
      <c r="PXE48" s="971"/>
      <c r="PXF48" s="971"/>
      <c r="PXG48" s="971"/>
      <c r="PXH48" s="971"/>
      <c r="PXI48" s="971"/>
      <c r="PXJ48" s="971"/>
      <c r="PXK48" s="971"/>
      <c r="PXL48" s="971"/>
      <c r="PXM48" s="971"/>
      <c r="PXN48" s="971"/>
      <c r="PXO48" s="971"/>
      <c r="PXP48" s="971"/>
      <c r="PXQ48" s="971"/>
      <c r="PXR48" s="971"/>
      <c r="PXS48" s="971"/>
      <c r="PXT48" s="971"/>
      <c r="PXU48" s="971"/>
      <c r="PXV48" s="971"/>
      <c r="PXW48" s="971"/>
      <c r="PXX48" s="971"/>
      <c r="PXY48" s="971"/>
      <c r="PXZ48" s="971"/>
      <c r="PYA48" s="971"/>
      <c r="PYB48" s="971"/>
      <c r="PYC48" s="971"/>
      <c r="PYD48" s="971"/>
      <c r="PYE48" s="971"/>
      <c r="PYF48" s="971"/>
      <c r="PYG48" s="971"/>
      <c r="PYH48" s="971"/>
      <c r="PYI48" s="971"/>
      <c r="PYJ48" s="971"/>
      <c r="PYK48" s="971"/>
      <c r="PYL48" s="971"/>
      <c r="PYM48" s="971"/>
      <c r="PYN48" s="971"/>
      <c r="PYO48" s="971"/>
      <c r="PYP48" s="971"/>
      <c r="PYQ48" s="971"/>
      <c r="PYR48" s="971"/>
      <c r="PYS48" s="971"/>
      <c r="PYT48" s="971"/>
      <c r="PYU48" s="971"/>
      <c r="PYV48" s="971"/>
      <c r="PYW48" s="971"/>
      <c r="PYX48" s="971"/>
      <c r="PYY48" s="971"/>
      <c r="PYZ48" s="971"/>
      <c r="PZA48" s="971"/>
      <c r="PZB48" s="971"/>
      <c r="PZC48" s="971"/>
      <c r="PZD48" s="971"/>
      <c r="PZE48" s="971"/>
      <c r="PZF48" s="971"/>
      <c r="PZG48" s="971"/>
      <c r="PZH48" s="971"/>
      <c r="PZI48" s="971"/>
      <c r="PZJ48" s="971"/>
      <c r="PZK48" s="971"/>
      <c r="PZL48" s="971"/>
      <c r="PZM48" s="971"/>
      <c r="PZN48" s="971"/>
      <c r="PZO48" s="971"/>
      <c r="PZP48" s="971"/>
      <c r="PZQ48" s="971"/>
      <c r="PZR48" s="971"/>
      <c r="PZS48" s="971"/>
      <c r="PZT48" s="971"/>
      <c r="PZU48" s="971"/>
      <c r="PZV48" s="971"/>
      <c r="PZW48" s="971"/>
      <c r="PZX48" s="971"/>
      <c r="PZY48" s="971"/>
      <c r="PZZ48" s="971"/>
      <c r="QAA48" s="971"/>
      <c r="QAB48" s="971"/>
      <c r="QAC48" s="971"/>
      <c r="QAD48" s="971"/>
      <c r="QAE48" s="971"/>
      <c r="QAF48" s="971"/>
      <c r="QAG48" s="971"/>
      <c r="QAH48" s="971"/>
      <c r="QAI48" s="971"/>
      <c r="QAJ48" s="971"/>
      <c r="QAK48" s="971"/>
      <c r="QAL48" s="971"/>
      <c r="QAM48" s="971"/>
      <c r="QAN48" s="971"/>
      <c r="QAO48" s="971"/>
      <c r="QAP48" s="971"/>
      <c r="QAQ48" s="971"/>
      <c r="QAR48" s="971"/>
      <c r="QAS48" s="971"/>
      <c r="QAT48" s="971"/>
      <c r="QAU48" s="971"/>
      <c r="QAV48" s="971"/>
      <c r="QAW48" s="971"/>
      <c r="QAX48" s="971"/>
      <c r="QAY48" s="971"/>
      <c r="QAZ48" s="971"/>
      <c r="QBA48" s="971"/>
      <c r="QBB48" s="971"/>
      <c r="QBC48" s="971"/>
      <c r="QBD48" s="971"/>
      <c r="QBE48" s="971"/>
      <c r="QBF48" s="971"/>
      <c r="QBG48" s="971"/>
      <c r="QBH48" s="971"/>
      <c r="QBI48" s="971"/>
      <c r="QBJ48" s="971"/>
      <c r="QBK48" s="971"/>
      <c r="QBL48" s="971"/>
      <c r="QBM48" s="971"/>
      <c r="QBN48" s="971"/>
      <c r="QBO48" s="971"/>
      <c r="QBP48" s="971"/>
      <c r="QBQ48" s="971"/>
      <c r="QBR48" s="971"/>
      <c r="QBS48" s="971"/>
      <c r="QBT48" s="971"/>
      <c r="QBU48" s="971"/>
      <c r="QBV48" s="971"/>
      <c r="QBW48" s="971"/>
      <c r="QBX48" s="971"/>
      <c r="QBY48" s="971"/>
      <c r="QBZ48" s="971"/>
      <c r="QCA48" s="971"/>
      <c r="QCB48" s="971"/>
      <c r="QCC48" s="971"/>
      <c r="QCD48" s="971"/>
      <c r="QCE48" s="971"/>
      <c r="QCF48" s="971"/>
      <c r="QCG48" s="971"/>
      <c r="QCH48" s="971"/>
      <c r="QCI48" s="971"/>
      <c r="QCJ48" s="971"/>
      <c r="QCK48" s="971"/>
      <c r="QCL48" s="971"/>
      <c r="QCM48" s="971"/>
      <c r="QCN48" s="971"/>
      <c r="QCO48" s="971"/>
      <c r="QCP48" s="971"/>
      <c r="QCQ48" s="971"/>
      <c r="QCR48" s="971"/>
      <c r="QCS48" s="971"/>
      <c r="QCT48" s="971"/>
      <c r="QCU48" s="971"/>
      <c r="QCV48" s="971"/>
      <c r="QCW48" s="971"/>
      <c r="QCX48" s="971"/>
      <c r="QCY48" s="971"/>
      <c r="QCZ48" s="971"/>
      <c r="QDA48" s="971"/>
      <c r="QDB48" s="971"/>
      <c r="QDC48" s="971"/>
      <c r="QDD48" s="971"/>
      <c r="QDE48" s="971"/>
      <c r="QDF48" s="971"/>
      <c r="QDG48" s="971"/>
      <c r="QDH48" s="971"/>
      <c r="QDI48" s="971"/>
      <c r="QDJ48" s="971"/>
      <c r="QDK48" s="971"/>
      <c r="QDL48" s="971"/>
      <c r="QDM48" s="971"/>
      <c r="QDN48" s="971"/>
      <c r="QDO48" s="971"/>
      <c r="QDP48" s="971"/>
      <c r="QDQ48" s="971"/>
      <c r="QDR48" s="971"/>
      <c r="QDS48" s="971"/>
      <c r="QDT48" s="971"/>
      <c r="QDU48" s="971"/>
      <c r="QDV48" s="971"/>
      <c r="QDW48" s="971"/>
      <c r="QDX48" s="971"/>
      <c r="QDY48" s="971"/>
      <c r="QDZ48" s="971"/>
      <c r="QEA48" s="971"/>
      <c r="QEB48" s="971"/>
      <c r="QEC48" s="971"/>
      <c r="QED48" s="971"/>
      <c r="QEE48" s="971"/>
      <c r="QEF48" s="971"/>
      <c r="QEG48" s="971"/>
      <c r="QEH48" s="971"/>
      <c r="QEI48" s="971"/>
      <c r="QEJ48" s="971"/>
      <c r="QEK48" s="971"/>
      <c r="QEL48" s="971"/>
      <c r="QEM48" s="971"/>
      <c r="QEN48" s="971"/>
      <c r="QEO48" s="971"/>
      <c r="QEP48" s="971"/>
      <c r="QEQ48" s="971"/>
      <c r="QER48" s="971"/>
      <c r="QES48" s="971"/>
      <c r="QET48" s="971"/>
      <c r="QEU48" s="971"/>
      <c r="QEV48" s="971"/>
      <c r="QEW48" s="971"/>
      <c r="QEX48" s="971"/>
      <c r="QEY48" s="971"/>
      <c r="QEZ48" s="971"/>
      <c r="QFA48" s="971"/>
      <c r="QFB48" s="971"/>
      <c r="QFC48" s="971"/>
      <c r="QFD48" s="971"/>
      <c r="QFE48" s="971"/>
      <c r="QFF48" s="971"/>
      <c r="QFG48" s="971"/>
      <c r="QFH48" s="971"/>
      <c r="QFI48" s="971"/>
      <c r="QFJ48" s="971"/>
      <c r="QFK48" s="971"/>
      <c r="QFL48" s="971"/>
      <c r="QFM48" s="971"/>
      <c r="QFN48" s="971"/>
      <c r="QFO48" s="971"/>
      <c r="QFP48" s="971"/>
      <c r="QFQ48" s="971"/>
      <c r="QFR48" s="971"/>
      <c r="QFS48" s="971"/>
      <c r="QFT48" s="971"/>
      <c r="QFU48" s="971"/>
      <c r="QFV48" s="971"/>
      <c r="QFW48" s="971"/>
      <c r="QFX48" s="971"/>
      <c r="QFY48" s="971"/>
      <c r="QFZ48" s="971"/>
      <c r="QGA48" s="971"/>
      <c r="QGB48" s="971"/>
      <c r="QGC48" s="971"/>
      <c r="QGD48" s="971"/>
      <c r="QGE48" s="971"/>
      <c r="QGF48" s="971"/>
      <c r="QGG48" s="971"/>
      <c r="QGH48" s="971"/>
      <c r="QGI48" s="971"/>
      <c r="QGJ48" s="971"/>
      <c r="QGK48" s="971"/>
      <c r="QGL48" s="971"/>
      <c r="QGM48" s="971"/>
      <c r="QGN48" s="971"/>
      <c r="QGO48" s="971"/>
      <c r="QGP48" s="971"/>
      <c r="QGQ48" s="971"/>
      <c r="QGR48" s="971"/>
      <c r="QGS48" s="971"/>
      <c r="QGT48" s="971"/>
      <c r="QGU48" s="971"/>
      <c r="QGV48" s="971"/>
      <c r="QGW48" s="971"/>
      <c r="QGX48" s="971"/>
      <c r="QGY48" s="971"/>
      <c r="QGZ48" s="971"/>
      <c r="QHA48" s="971"/>
      <c r="QHB48" s="971"/>
      <c r="QHC48" s="971"/>
      <c r="QHD48" s="971"/>
      <c r="QHE48" s="971"/>
      <c r="QHF48" s="971"/>
      <c r="QHG48" s="971"/>
      <c r="QHH48" s="971"/>
      <c r="QHI48" s="971"/>
      <c r="QHJ48" s="971"/>
      <c r="QHK48" s="971"/>
      <c r="QHL48" s="971"/>
      <c r="QHM48" s="971"/>
      <c r="QHN48" s="971"/>
      <c r="QHO48" s="971"/>
      <c r="QHP48" s="971"/>
      <c r="QHQ48" s="971"/>
      <c r="QHR48" s="971"/>
      <c r="QHS48" s="971"/>
      <c r="QHT48" s="971"/>
      <c r="QHU48" s="971"/>
      <c r="QHV48" s="971"/>
      <c r="QHW48" s="971"/>
      <c r="QHX48" s="971"/>
      <c r="QHY48" s="971"/>
      <c r="QHZ48" s="971"/>
      <c r="QIA48" s="971"/>
      <c r="QIB48" s="971"/>
      <c r="QIC48" s="971"/>
      <c r="QID48" s="971"/>
      <c r="QIE48" s="971"/>
      <c r="QIF48" s="971"/>
      <c r="QIG48" s="971"/>
      <c r="QIH48" s="971"/>
      <c r="QII48" s="971"/>
      <c r="QIJ48" s="971"/>
      <c r="QIK48" s="971"/>
      <c r="QIL48" s="971"/>
      <c r="QIM48" s="971"/>
      <c r="QIN48" s="971"/>
      <c r="QIO48" s="971"/>
      <c r="QIP48" s="971"/>
      <c r="QIQ48" s="971"/>
      <c r="QIR48" s="971"/>
      <c r="QIS48" s="971"/>
      <c r="QIT48" s="971"/>
      <c r="QIU48" s="971"/>
      <c r="QIV48" s="971"/>
      <c r="QIW48" s="971"/>
      <c r="QIX48" s="971"/>
      <c r="QIY48" s="971"/>
      <c r="QIZ48" s="971"/>
      <c r="QJA48" s="971"/>
      <c r="QJB48" s="971"/>
      <c r="QJC48" s="971"/>
      <c r="QJD48" s="971"/>
      <c r="QJE48" s="971"/>
      <c r="QJF48" s="971"/>
      <c r="QJG48" s="971"/>
      <c r="QJH48" s="971"/>
      <c r="QJI48" s="971"/>
      <c r="QJJ48" s="971"/>
      <c r="QJK48" s="971"/>
      <c r="QJL48" s="971"/>
      <c r="QJM48" s="971"/>
      <c r="QJN48" s="971"/>
      <c r="QJO48" s="971"/>
      <c r="QJP48" s="971"/>
      <c r="QJQ48" s="971"/>
      <c r="QJR48" s="971"/>
      <c r="QJS48" s="971"/>
      <c r="QJT48" s="971"/>
      <c r="QJU48" s="971"/>
      <c r="QJV48" s="971"/>
      <c r="QJW48" s="971"/>
      <c r="QJX48" s="971"/>
      <c r="QJY48" s="971"/>
      <c r="QJZ48" s="971"/>
      <c r="QKA48" s="971"/>
      <c r="QKB48" s="971"/>
      <c r="QKC48" s="971"/>
      <c r="QKD48" s="971"/>
      <c r="QKE48" s="971"/>
      <c r="QKF48" s="971"/>
      <c r="QKG48" s="971"/>
      <c r="QKH48" s="971"/>
      <c r="QKI48" s="971"/>
      <c r="QKJ48" s="971"/>
      <c r="QKK48" s="971"/>
      <c r="QKL48" s="971"/>
      <c r="QKM48" s="971"/>
      <c r="QKN48" s="971"/>
      <c r="QKO48" s="971"/>
      <c r="QKP48" s="971"/>
      <c r="QKQ48" s="971"/>
      <c r="QKR48" s="971"/>
      <c r="QKS48" s="971"/>
      <c r="QKT48" s="971"/>
      <c r="QKU48" s="971"/>
      <c r="QKV48" s="971"/>
      <c r="QKW48" s="971"/>
      <c r="QKX48" s="971"/>
      <c r="QKY48" s="971"/>
      <c r="QKZ48" s="971"/>
      <c r="QLA48" s="971"/>
      <c r="QLB48" s="971"/>
      <c r="QLC48" s="971"/>
      <c r="QLD48" s="971"/>
      <c r="QLE48" s="971"/>
      <c r="QLF48" s="971"/>
      <c r="QLG48" s="971"/>
      <c r="QLH48" s="971"/>
      <c r="QLI48" s="971"/>
      <c r="QLJ48" s="971"/>
      <c r="QLK48" s="971"/>
      <c r="QLL48" s="971"/>
      <c r="QLM48" s="971"/>
      <c r="QLN48" s="971"/>
      <c r="QLO48" s="971"/>
      <c r="QLP48" s="971"/>
      <c r="QLQ48" s="971"/>
      <c r="QLR48" s="971"/>
      <c r="QLS48" s="971"/>
      <c r="QLT48" s="971"/>
      <c r="QLU48" s="971"/>
      <c r="QLV48" s="971"/>
      <c r="QLW48" s="971"/>
      <c r="QLX48" s="971"/>
      <c r="QLY48" s="971"/>
      <c r="QLZ48" s="971"/>
      <c r="QMA48" s="971"/>
      <c r="QMB48" s="971"/>
      <c r="QMC48" s="971"/>
      <c r="QMD48" s="971"/>
      <c r="QME48" s="971"/>
      <c r="QMF48" s="971"/>
      <c r="QMG48" s="971"/>
      <c r="QMH48" s="971"/>
      <c r="QMI48" s="971"/>
      <c r="QMJ48" s="971"/>
      <c r="QMK48" s="971"/>
      <c r="QML48" s="971"/>
      <c r="QMM48" s="971"/>
      <c r="QMN48" s="971"/>
      <c r="QMO48" s="971"/>
      <c r="QMP48" s="971"/>
      <c r="QMQ48" s="971"/>
      <c r="QMR48" s="971"/>
      <c r="QMS48" s="971"/>
      <c r="QMT48" s="971"/>
      <c r="QMU48" s="971"/>
      <c r="QMV48" s="971"/>
      <c r="QMW48" s="971"/>
      <c r="QMX48" s="971"/>
      <c r="QMY48" s="971"/>
      <c r="QMZ48" s="971"/>
      <c r="QNA48" s="971"/>
      <c r="QNB48" s="971"/>
      <c r="QNC48" s="971"/>
      <c r="QND48" s="971"/>
      <c r="QNE48" s="971"/>
      <c r="QNF48" s="971"/>
      <c r="QNG48" s="971"/>
      <c r="QNH48" s="971"/>
      <c r="QNI48" s="971"/>
      <c r="QNJ48" s="971"/>
      <c r="QNK48" s="971"/>
      <c r="QNL48" s="971"/>
      <c r="QNM48" s="971"/>
      <c r="QNN48" s="971"/>
      <c r="QNO48" s="971"/>
      <c r="QNP48" s="971"/>
      <c r="QNQ48" s="971"/>
      <c r="QNR48" s="971"/>
      <c r="QNS48" s="971"/>
      <c r="QNT48" s="971"/>
      <c r="QNU48" s="971"/>
      <c r="QNV48" s="971"/>
      <c r="QNW48" s="971"/>
      <c r="QNX48" s="971"/>
      <c r="QNY48" s="971"/>
      <c r="QNZ48" s="971"/>
      <c r="QOA48" s="971"/>
      <c r="QOB48" s="971"/>
      <c r="QOC48" s="971"/>
      <c r="QOD48" s="971"/>
      <c r="QOE48" s="971"/>
      <c r="QOF48" s="971"/>
      <c r="QOG48" s="971"/>
      <c r="QOH48" s="971"/>
      <c r="QOI48" s="971"/>
      <c r="QOJ48" s="971"/>
      <c r="QOK48" s="971"/>
      <c r="QOL48" s="971"/>
      <c r="QOM48" s="971"/>
      <c r="QON48" s="971"/>
      <c r="QOO48" s="971"/>
      <c r="QOP48" s="971"/>
      <c r="QOQ48" s="971"/>
      <c r="QOR48" s="971"/>
      <c r="QOS48" s="971"/>
      <c r="QOT48" s="971"/>
      <c r="QOU48" s="971"/>
      <c r="QOV48" s="971"/>
      <c r="QOW48" s="971"/>
      <c r="QOX48" s="971"/>
      <c r="QOY48" s="971"/>
      <c r="QOZ48" s="971"/>
      <c r="QPA48" s="971"/>
      <c r="QPB48" s="971"/>
      <c r="QPC48" s="971"/>
      <c r="QPD48" s="971"/>
      <c r="QPE48" s="971"/>
      <c r="QPF48" s="971"/>
      <c r="QPG48" s="971"/>
      <c r="QPH48" s="971"/>
      <c r="QPI48" s="971"/>
      <c r="QPJ48" s="971"/>
      <c r="QPK48" s="971"/>
      <c r="QPL48" s="971"/>
      <c r="QPM48" s="971"/>
      <c r="QPN48" s="971"/>
      <c r="QPO48" s="971"/>
      <c r="QPP48" s="971"/>
      <c r="QPQ48" s="971"/>
      <c r="QPR48" s="971"/>
      <c r="QPS48" s="971"/>
      <c r="QPT48" s="971"/>
      <c r="QPU48" s="971"/>
      <c r="QPV48" s="971"/>
      <c r="QPW48" s="971"/>
      <c r="QPX48" s="971"/>
      <c r="QPY48" s="971"/>
      <c r="QPZ48" s="971"/>
      <c r="QQA48" s="971"/>
      <c r="QQB48" s="971"/>
      <c r="QQC48" s="971"/>
      <c r="QQD48" s="971"/>
      <c r="QQE48" s="971"/>
      <c r="QQF48" s="971"/>
      <c r="QQG48" s="971"/>
      <c r="QQH48" s="971"/>
      <c r="QQI48" s="971"/>
      <c r="QQJ48" s="971"/>
      <c r="QQK48" s="971"/>
      <c r="QQL48" s="971"/>
      <c r="QQM48" s="971"/>
      <c r="QQN48" s="971"/>
      <c r="QQO48" s="971"/>
      <c r="QQP48" s="971"/>
      <c r="QQQ48" s="971"/>
      <c r="QQR48" s="971"/>
      <c r="QQS48" s="971"/>
      <c r="QQT48" s="971"/>
      <c r="QQU48" s="971"/>
      <c r="QQV48" s="971"/>
      <c r="QQW48" s="971"/>
      <c r="QQX48" s="971"/>
      <c r="QQY48" s="971"/>
      <c r="QQZ48" s="971"/>
      <c r="QRA48" s="971"/>
      <c r="QRB48" s="971"/>
      <c r="QRC48" s="971"/>
      <c r="QRD48" s="971"/>
      <c r="QRE48" s="971"/>
      <c r="QRF48" s="971"/>
      <c r="QRG48" s="971"/>
      <c r="QRH48" s="971"/>
      <c r="QRI48" s="971"/>
      <c r="QRJ48" s="971"/>
      <c r="QRK48" s="971"/>
      <c r="QRL48" s="971"/>
      <c r="QRM48" s="971"/>
      <c r="QRN48" s="971"/>
      <c r="QRO48" s="971"/>
      <c r="QRP48" s="971"/>
      <c r="QRQ48" s="971"/>
      <c r="QRR48" s="971"/>
      <c r="QRS48" s="971"/>
      <c r="QRT48" s="971"/>
      <c r="QRU48" s="971"/>
      <c r="QRV48" s="971"/>
      <c r="QRW48" s="971"/>
      <c r="QRX48" s="971"/>
      <c r="QRY48" s="971"/>
      <c r="QRZ48" s="971"/>
      <c r="QSA48" s="971"/>
      <c r="QSB48" s="971"/>
      <c r="QSC48" s="971"/>
      <c r="QSD48" s="971"/>
      <c r="QSE48" s="971"/>
      <c r="QSF48" s="971"/>
      <c r="QSG48" s="971"/>
      <c r="QSH48" s="971"/>
      <c r="QSI48" s="971"/>
      <c r="QSJ48" s="971"/>
      <c r="QSK48" s="971"/>
      <c r="QSL48" s="971"/>
      <c r="QSM48" s="971"/>
      <c r="QSN48" s="971"/>
      <c r="QSO48" s="971"/>
      <c r="QSP48" s="971"/>
      <c r="QSQ48" s="971"/>
      <c r="QSR48" s="971"/>
      <c r="QSS48" s="971"/>
      <c r="QST48" s="971"/>
      <c r="QSU48" s="971"/>
      <c r="QSV48" s="971"/>
      <c r="QSW48" s="971"/>
      <c r="QSX48" s="971"/>
      <c r="QSY48" s="971"/>
      <c r="QSZ48" s="971"/>
      <c r="QTA48" s="971"/>
      <c r="QTB48" s="971"/>
      <c r="QTC48" s="971"/>
      <c r="QTD48" s="971"/>
      <c r="QTE48" s="971"/>
      <c r="QTF48" s="971"/>
      <c r="QTG48" s="971"/>
      <c r="QTH48" s="971"/>
      <c r="QTI48" s="971"/>
      <c r="QTJ48" s="971"/>
      <c r="QTK48" s="971"/>
      <c r="QTL48" s="971"/>
      <c r="QTM48" s="971"/>
      <c r="QTN48" s="971"/>
      <c r="QTO48" s="971"/>
      <c r="QTP48" s="971"/>
      <c r="QTQ48" s="971"/>
      <c r="QTR48" s="971"/>
      <c r="QTS48" s="971"/>
      <c r="QTT48" s="971"/>
      <c r="QTU48" s="971"/>
      <c r="QTV48" s="971"/>
      <c r="QTW48" s="971"/>
      <c r="QTX48" s="971"/>
      <c r="QTY48" s="971"/>
      <c r="QTZ48" s="971"/>
      <c r="QUA48" s="971"/>
      <c r="QUB48" s="971"/>
      <c r="QUC48" s="971"/>
      <c r="QUD48" s="971"/>
      <c r="QUE48" s="971"/>
      <c r="QUF48" s="971"/>
      <c r="QUG48" s="971"/>
      <c r="QUH48" s="971"/>
      <c r="QUI48" s="971"/>
      <c r="QUJ48" s="971"/>
      <c r="QUK48" s="971"/>
      <c r="QUL48" s="971"/>
      <c r="QUM48" s="971"/>
      <c r="QUN48" s="971"/>
      <c r="QUO48" s="971"/>
      <c r="QUP48" s="971"/>
      <c r="QUQ48" s="971"/>
      <c r="QUR48" s="971"/>
      <c r="QUS48" s="971"/>
      <c r="QUT48" s="971"/>
      <c r="QUU48" s="971"/>
      <c r="QUV48" s="971"/>
      <c r="QUW48" s="971"/>
      <c r="QUX48" s="971"/>
      <c r="QUY48" s="971"/>
      <c r="QUZ48" s="971"/>
      <c r="QVA48" s="971"/>
      <c r="QVB48" s="971"/>
      <c r="QVC48" s="971"/>
      <c r="QVD48" s="971"/>
      <c r="QVE48" s="971"/>
      <c r="QVF48" s="971"/>
      <c r="QVG48" s="971"/>
      <c r="QVH48" s="971"/>
      <c r="QVI48" s="971"/>
      <c r="QVJ48" s="971"/>
      <c r="QVK48" s="971"/>
      <c r="QVL48" s="971"/>
      <c r="QVM48" s="971"/>
      <c r="QVN48" s="971"/>
      <c r="QVO48" s="971"/>
      <c r="QVP48" s="971"/>
      <c r="QVQ48" s="971"/>
      <c r="QVR48" s="971"/>
      <c r="QVS48" s="971"/>
      <c r="QVT48" s="971"/>
      <c r="QVU48" s="971"/>
      <c r="QVV48" s="971"/>
      <c r="QVW48" s="971"/>
      <c r="QVX48" s="971"/>
      <c r="QVY48" s="971"/>
      <c r="QVZ48" s="971"/>
      <c r="QWA48" s="971"/>
      <c r="QWB48" s="971"/>
      <c r="QWC48" s="971"/>
      <c r="QWD48" s="971"/>
      <c r="QWE48" s="971"/>
      <c r="QWF48" s="971"/>
      <c r="QWG48" s="971"/>
      <c r="QWH48" s="971"/>
      <c r="QWI48" s="971"/>
      <c r="QWJ48" s="971"/>
      <c r="QWK48" s="971"/>
      <c r="QWL48" s="971"/>
      <c r="QWM48" s="971"/>
      <c r="QWN48" s="971"/>
      <c r="QWO48" s="971"/>
      <c r="QWP48" s="971"/>
      <c r="QWQ48" s="971"/>
      <c r="QWR48" s="971"/>
      <c r="QWS48" s="971"/>
      <c r="QWT48" s="971"/>
      <c r="QWU48" s="971"/>
      <c r="QWV48" s="971"/>
      <c r="QWW48" s="971"/>
      <c r="QWX48" s="971"/>
      <c r="QWY48" s="971"/>
      <c r="QWZ48" s="971"/>
      <c r="QXA48" s="971"/>
      <c r="QXB48" s="971"/>
      <c r="QXC48" s="971"/>
      <c r="QXD48" s="971"/>
      <c r="QXE48" s="971"/>
      <c r="QXF48" s="971"/>
      <c r="QXG48" s="971"/>
      <c r="QXH48" s="971"/>
      <c r="QXI48" s="971"/>
      <c r="QXJ48" s="971"/>
      <c r="QXK48" s="971"/>
      <c r="QXL48" s="971"/>
      <c r="QXM48" s="971"/>
      <c r="QXN48" s="971"/>
      <c r="QXO48" s="971"/>
      <c r="QXP48" s="971"/>
      <c r="QXQ48" s="971"/>
      <c r="QXR48" s="971"/>
      <c r="QXS48" s="971"/>
      <c r="QXT48" s="971"/>
      <c r="QXU48" s="971"/>
      <c r="QXV48" s="971"/>
      <c r="QXW48" s="971"/>
      <c r="QXX48" s="971"/>
      <c r="QXY48" s="971"/>
      <c r="QXZ48" s="971"/>
      <c r="QYA48" s="971"/>
      <c r="QYB48" s="971"/>
      <c r="QYC48" s="971"/>
      <c r="QYD48" s="971"/>
      <c r="QYE48" s="971"/>
      <c r="QYF48" s="971"/>
      <c r="QYG48" s="971"/>
      <c r="QYH48" s="971"/>
      <c r="QYI48" s="971"/>
      <c r="QYJ48" s="971"/>
      <c r="QYK48" s="971"/>
      <c r="QYL48" s="971"/>
      <c r="QYM48" s="971"/>
      <c r="QYN48" s="971"/>
      <c r="QYO48" s="971"/>
      <c r="QYP48" s="971"/>
      <c r="QYQ48" s="971"/>
      <c r="QYR48" s="971"/>
      <c r="QYS48" s="971"/>
      <c r="QYT48" s="971"/>
      <c r="QYU48" s="971"/>
      <c r="QYV48" s="971"/>
      <c r="QYW48" s="971"/>
      <c r="QYX48" s="971"/>
      <c r="QYY48" s="971"/>
      <c r="QYZ48" s="971"/>
      <c r="QZA48" s="971"/>
      <c r="QZB48" s="971"/>
      <c r="QZC48" s="971"/>
      <c r="QZD48" s="971"/>
      <c r="QZE48" s="971"/>
      <c r="QZF48" s="971"/>
      <c r="QZG48" s="971"/>
      <c r="QZH48" s="971"/>
      <c r="QZI48" s="971"/>
      <c r="QZJ48" s="971"/>
      <c r="QZK48" s="971"/>
      <c r="QZL48" s="971"/>
      <c r="QZM48" s="971"/>
      <c r="QZN48" s="971"/>
      <c r="QZO48" s="971"/>
      <c r="QZP48" s="971"/>
      <c r="QZQ48" s="971"/>
      <c r="QZR48" s="971"/>
      <c r="QZS48" s="971"/>
      <c r="QZT48" s="971"/>
      <c r="QZU48" s="971"/>
      <c r="QZV48" s="971"/>
      <c r="QZW48" s="971"/>
      <c r="QZX48" s="971"/>
      <c r="QZY48" s="971"/>
      <c r="QZZ48" s="971"/>
      <c r="RAA48" s="971"/>
      <c r="RAB48" s="971"/>
      <c r="RAC48" s="971"/>
      <c r="RAD48" s="971"/>
      <c r="RAE48" s="971"/>
      <c r="RAF48" s="971"/>
      <c r="RAG48" s="971"/>
      <c r="RAH48" s="971"/>
      <c r="RAI48" s="971"/>
      <c r="RAJ48" s="971"/>
      <c r="RAK48" s="971"/>
      <c r="RAL48" s="971"/>
      <c r="RAM48" s="971"/>
      <c r="RAN48" s="971"/>
      <c r="RAO48" s="971"/>
      <c r="RAP48" s="971"/>
      <c r="RAQ48" s="971"/>
      <c r="RAR48" s="971"/>
      <c r="RAS48" s="971"/>
      <c r="RAT48" s="971"/>
      <c r="RAU48" s="971"/>
      <c r="RAV48" s="971"/>
      <c r="RAW48" s="971"/>
      <c r="RAX48" s="971"/>
      <c r="RAY48" s="971"/>
      <c r="RAZ48" s="971"/>
      <c r="RBA48" s="971"/>
      <c r="RBB48" s="971"/>
      <c r="RBC48" s="971"/>
      <c r="RBD48" s="971"/>
      <c r="RBE48" s="971"/>
      <c r="RBF48" s="971"/>
      <c r="RBG48" s="971"/>
      <c r="RBH48" s="971"/>
      <c r="RBI48" s="971"/>
      <c r="RBJ48" s="971"/>
      <c r="RBK48" s="971"/>
      <c r="RBL48" s="971"/>
      <c r="RBM48" s="971"/>
      <c r="RBN48" s="971"/>
      <c r="RBO48" s="971"/>
      <c r="RBP48" s="971"/>
      <c r="RBQ48" s="971"/>
      <c r="RBR48" s="971"/>
      <c r="RBS48" s="971"/>
      <c r="RBT48" s="971"/>
      <c r="RBU48" s="971"/>
      <c r="RBV48" s="971"/>
      <c r="RBW48" s="971"/>
      <c r="RBX48" s="971"/>
      <c r="RBY48" s="971"/>
      <c r="RBZ48" s="971"/>
      <c r="RCA48" s="971"/>
      <c r="RCB48" s="971"/>
      <c r="RCC48" s="971"/>
      <c r="RCD48" s="971"/>
      <c r="RCE48" s="971"/>
      <c r="RCF48" s="971"/>
      <c r="RCG48" s="971"/>
      <c r="RCH48" s="971"/>
      <c r="RCI48" s="971"/>
      <c r="RCJ48" s="971"/>
      <c r="RCK48" s="971"/>
      <c r="RCL48" s="971"/>
      <c r="RCM48" s="971"/>
      <c r="RCN48" s="971"/>
      <c r="RCO48" s="971"/>
      <c r="RCP48" s="971"/>
      <c r="RCQ48" s="971"/>
      <c r="RCR48" s="971"/>
      <c r="RCS48" s="971"/>
      <c r="RCT48" s="971"/>
      <c r="RCU48" s="971"/>
      <c r="RCV48" s="971"/>
      <c r="RCW48" s="971"/>
      <c r="RCX48" s="971"/>
      <c r="RCY48" s="971"/>
      <c r="RCZ48" s="971"/>
      <c r="RDA48" s="971"/>
      <c r="RDB48" s="971"/>
      <c r="RDC48" s="971"/>
      <c r="RDD48" s="971"/>
      <c r="RDE48" s="971"/>
      <c r="RDF48" s="971"/>
      <c r="RDG48" s="971"/>
      <c r="RDH48" s="971"/>
      <c r="RDI48" s="971"/>
      <c r="RDJ48" s="971"/>
      <c r="RDK48" s="971"/>
      <c r="RDL48" s="971"/>
      <c r="RDM48" s="971"/>
      <c r="RDN48" s="971"/>
      <c r="RDO48" s="971"/>
      <c r="RDP48" s="971"/>
      <c r="RDQ48" s="971"/>
      <c r="RDR48" s="971"/>
      <c r="RDS48" s="971"/>
      <c r="RDT48" s="971"/>
      <c r="RDU48" s="971"/>
      <c r="RDV48" s="971"/>
      <c r="RDW48" s="971"/>
      <c r="RDX48" s="971"/>
      <c r="RDY48" s="971"/>
      <c r="RDZ48" s="971"/>
      <c r="REA48" s="971"/>
      <c r="REB48" s="971"/>
      <c r="REC48" s="971"/>
      <c r="RED48" s="971"/>
      <c r="REE48" s="971"/>
      <c r="REF48" s="971"/>
      <c r="REG48" s="971"/>
      <c r="REH48" s="971"/>
      <c r="REI48" s="971"/>
      <c r="REJ48" s="971"/>
      <c r="REK48" s="971"/>
      <c r="REL48" s="971"/>
      <c r="REM48" s="971"/>
      <c r="REN48" s="971"/>
      <c r="REO48" s="971"/>
      <c r="REP48" s="971"/>
      <c r="REQ48" s="971"/>
      <c r="RER48" s="971"/>
      <c r="RES48" s="971"/>
      <c r="RET48" s="971"/>
      <c r="REU48" s="971"/>
      <c r="REV48" s="971"/>
      <c r="REW48" s="971"/>
      <c r="REX48" s="971"/>
      <c r="REY48" s="971"/>
      <c r="REZ48" s="971"/>
      <c r="RFA48" s="971"/>
      <c r="RFB48" s="971"/>
      <c r="RFC48" s="971"/>
      <c r="RFD48" s="971"/>
      <c r="RFE48" s="971"/>
      <c r="RFF48" s="971"/>
      <c r="RFG48" s="971"/>
      <c r="RFH48" s="971"/>
      <c r="RFI48" s="971"/>
      <c r="RFJ48" s="971"/>
      <c r="RFK48" s="971"/>
      <c r="RFL48" s="971"/>
      <c r="RFM48" s="971"/>
      <c r="RFN48" s="971"/>
      <c r="RFO48" s="971"/>
      <c r="RFP48" s="971"/>
      <c r="RFQ48" s="971"/>
      <c r="RFR48" s="971"/>
      <c r="RFS48" s="971"/>
      <c r="RFT48" s="971"/>
      <c r="RFU48" s="971"/>
      <c r="RFV48" s="971"/>
      <c r="RFW48" s="971"/>
      <c r="RFX48" s="971"/>
      <c r="RFY48" s="971"/>
      <c r="RFZ48" s="971"/>
      <c r="RGA48" s="971"/>
      <c r="RGB48" s="971"/>
      <c r="RGC48" s="971"/>
      <c r="RGD48" s="971"/>
      <c r="RGE48" s="971"/>
      <c r="RGF48" s="971"/>
      <c r="RGG48" s="971"/>
      <c r="RGH48" s="971"/>
      <c r="RGI48" s="971"/>
      <c r="RGJ48" s="971"/>
      <c r="RGK48" s="971"/>
      <c r="RGL48" s="971"/>
      <c r="RGM48" s="971"/>
      <c r="RGN48" s="971"/>
      <c r="RGO48" s="971"/>
      <c r="RGP48" s="971"/>
      <c r="RGQ48" s="971"/>
      <c r="RGR48" s="971"/>
      <c r="RGS48" s="971"/>
      <c r="RGT48" s="971"/>
      <c r="RGU48" s="971"/>
      <c r="RGV48" s="971"/>
      <c r="RGW48" s="971"/>
      <c r="RGX48" s="971"/>
      <c r="RGY48" s="971"/>
      <c r="RGZ48" s="971"/>
      <c r="RHA48" s="971"/>
      <c r="RHB48" s="971"/>
      <c r="RHC48" s="971"/>
      <c r="RHD48" s="971"/>
      <c r="RHE48" s="971"/>
      <c r="RHF48" s="971"/>
      <c r="RHG48" s="971"/>
      <c r="RHH48" s="971"/>
      <c r="RHI48" s="971"/>
      <c r="RHJ48" s="971"/>
      <c r="RHK48" s="971"/>
      <c r="RHL48" s="971"/>
      <c r="RHM48" s="971"/>
      <c r="RHN48" s="971"/>
      <c r="RHO48" s="971"/>
      <c r="RHP48" s="971"/>
      <c r="RHQ48" s="971"/>
      <c r="RHR48" s="971"/>
      <c r="RHS48" s="971"/>
      <c r="RHT48" s="971"/>
      <c r="RHU48" s="971"/>
      <c r="RHV48" s="971"/>
      <c r="RHW48" s="971"/>
      <c r="RHX48" s="971"/>
      <c r="RHY48" s="971"/>
      <c r="RHZ48" s="971"/>
      <c r="RIA48" s="971"/>
      <c r="RIB48" s="971"/>
      <c r="RIC48" s="971"/>
      <c r="RID48" s="971"/>
      <c r="RIE48" s="971"/>
      <c r="RIF48" s="971"/>
      <c r="RIG48" s="971"/>
      <c r="RIH48" s="971"/>
      <c r="RII48" s="971"/>
      <c r="RIJ48" s="971"/>
      <c r="RIK48" s="971"/>
      <c r="RIL48" s="971"/>
      <c r="RIM48" s="971"/>
      <c r="RIN48" s="971"/>
      <c r="RIO48" s="971"/>
      <c r="RIP48" s="971"/>
      <c r="RIQ48" s="971"/>
      <c r="RIR48" s="971"/>
      <c r="RIS48" s="971"/>
      <c r="RIT48" s="971"/>
      <c r="RIU48" s="971"/>
      <c r="RIV48" s="971"/>
      <c r="RIW48" s="971"/>
      <c r="RIX48" s="971"/>
      <c r="RIY48" s="971"/>
      <c r="RIZ48" s="971"/>
      <c r="RJA48" s="971"/>
      <c r="RJB48" s="971"/>
      <c r="RJC48" s="971"/>
      <c r="RJD48" s="971"/>
      <c r="RJE48" s="971"/>
      <c r="RJF48" s="971"/>
      <c r="RJG48" s="971"/>
      <c r="RJH48" s="971"/>
      <c r="RJI48" s="971"/>
      <c r="RJJ48" s="971"/>
      <c r="RJK48" s="971"/>
      <c r="RJL48" s="971"/>
      <c r="RJM48" s="971"/>
      <c r="RJN48" s="971"/>
      <c r="RJO48" s="971"/>
      <c r="RJP48" s="971"/>
      <c r="RJQ48" s="971"/>
      <c r="RJR48" s="971"/>
      <c r="RJS48" s="971"/>
      <c r="RJT48" s="971"/>
      <c r="RJU48" s="971"/>
      <c r="RJV48" s="971"/>
      <c r="RJW48" s="971"/>
      <c r="RJX48" s="971"/>
      <c r="RJY48" s="971"/>
      <c r="RJZ48" s="971"/>
      <c r="RKA48" s="971"/>
      <c r="RKB48" s="971"/>
      <c r="RKC48" s="971"/>
      <c r="RKD48" s="971"/>
      <c r="RKE48" s="971"/>
      <c r="RKF48" s="971"/>
      <c r="RKG48" s="971"/>
      <c r="RKH48" s="971"/>
      <c r="RKI48" s="971"/>
      <c r="RKJ48" s="971"/>
      <c r="RKK48" s="971"/>
      <c r="RKL48" s="971"/>
      <c r="RKM48" s="971"/>
      <c r="RKN48" s="971"/>
      <c r="RKO48" s="971"/>
      <c r="RKP48" s="971"/>
      <c r="RKQ48" s="971"/>
      <c r="RKR48" s="971"/>
      <c r="RKS48" s="971"/>
      <c r="RKT48" s="971"/>
      <c r="RKU48" s="971"/>
      <c r="RKV48" s="971"/>
      <c r="RKW48" s="971"/>
      <c r="RKX48" s="971"/>
      <c r="RKY48" s="971"/>
      <c r="RKZ48" s="971"/>
      <c r="RLA48" s="971"/>
      <c r="RLB48" s="971"/>
      <c r="RLC48" s="971"/>
      <c r="RLD48" s="971"/>
      <c r="RLE48" s="971"/>
      <c r="RLF48" s="971"/>
      <c r="RLG48" s="971"/>
      <c r="RLH48" s="971"/>
      <c r="RLI48" s="971"/>
      <c r="RLJ48" s="971"/>
      <c r="RLK48" s="971"/>
      <c r="RLL48" s="971"/>
      <c r="RLM48" s="971"/>
      <c r="RLN48" s="971"/>
      <c r="RLO48" s="971"/>
      <c r="RLP48" s="971"/>
      <c r="RLQ48" s="971"/>
      <c r="RLR48" s="971"/>
      <c r="RLS48" s="971"/>
      <c r="RLT48" s="971"/>
      <c r="RLU48" s="971"/>
      <c r="RLV48" s="971"/>
      <c r="RLW48" s="971"/>
      <c r="RLX48" s="971"/>
      <c r="RLY48" s="971"/>
      <c r="RLZ48" s="971"/>
      <c r="RMA48" s="971"/>
      <c r="RMB48" s="971"/>
      <c r="RMC48" s="971"/>
      <c r="RMD48" s="971"/>
      <c r="RME48" s="971"/>
      <c r="RMF48" s="971"/>
      <c r="RMG48" s="971"/>
      <c r="RMH48" s="971"/>
      <c r="RMI48" s="971"/>
      <c r="RMJ48" s="971"/>
      <c r="RMK48" s="971"/>
      <c r="RML48" s="971"/>
      <c r="RMM48" s="971"/>
      <c r="RMN48" s="971"/>
      <c r="RMO48" s="971"/>
      <c r="RMP48" s="971"/>
      <c r="RMQ48" s="971"/>
      <c r="RMR48" s="971"/>
      <c r="RMS48" s="971"/>
      <c r="RMT48" s="971"/>
      <c r="RMU48" s="971"/>
      <c r="RMV48" s="971"/>
      <c r="RMW48" s="971"/>
      <c r="RMX48" s="971"/>
      <c r="RMY48" s="971"/>
      <c r="RMZ48" s="971"/>
      <c r="RNA48" s="971"/>
      <c r="RNB48" s="971"/>
      <c r="RNC48" s="971"/>
      <c r="RND48" s="971"/>
      <c r="RNE48" s="971"/>
      <c r="RNF48" s="971"/>
      <c r="RNG48" s="971"/>
      <c r="RNH48" s="971"/>
      <c r="RNI48" s="971"/>
      <c r="RNJ48" s="971"/>
      <c r="RNK48" s="971"/>
      <c r="RNL48" s="971"/>
      <c r="RNM48" s="971"/>
      <c r="RNN48" s="971"/>
      <c r="RNO48" s="971"/>
      <c r="RNP48" s="971"/>
      <c r="RNQ48" s="971"/>
      <c r="RNR48" s="971"/>
      <c r="RNS48" s="971"/>
      <c r="RNT48" s="971"/>
      <c r="RNU48" s="971"/>
      <c r="RNV48" s="971"/>
      <c r="RNW48" s="971"/>
      <c r="RNX48" s="971"/>
      <c r="RNY48" s="971"/>
      <c r="RNZ48" s="971"/>
      <c r="ROA48" s="971"/>
      <c r="ROB48" s="971"/>
      <c r="ROC48" s="971"/>
      <c r="ROD48" s="971"/>
      <c r="ROE48" s="971"/>
      <c r="ROF48" s="971"/>
      <c r="ROG48" s="971"/>
      <c r="ROH48" s="971"/>
      <c r="ROI48" s="971"/>
      <c r="ROJ48" s="971"/>
      <c r="ROK48" s="971"/>
      <c r="ROL48" s="971"/>
      <c r="ROM48" s="971"/>
      <c r="RON48" s="971"/>
      <c r="ROO48" s="971"/>
      <c r="ROP48" s="971"/>
      <c r="ROQ48" s="971"/>
      <c r="ROR48" s="971"/>
      <c r="ROS48" s="971"/>
      <c r="ROT48" s="971"/>
      <c r="ROU48" s="971"/>
      <c r="ROV48" s="971"/>
      <c r="ROW48" s="971"/>
      <c r="ROX48" s="971"/>
      <c r="ROY48" s="971"/>
      <c r="ROZ48" s="971"/>
      <c r="RPA48" s="971"/>
      <c r="RPB48" s="971"/>
      <c r="RPC48" s="971"/>
      <c r="RPD48" s="971"/>
      <c r="RPE48" s="971"/>
      <c r="RPF48" s="971"/>
      <c r="RPG48" s="971"/>
      <c r="RPH48" s="971"/>
      <c r="RPI48" s="971"/>
      <c r="RPJ48" s="971"/>
      <c r="RPK48" s="971"/>
      <c r="RPL48" s="971"/>
      <c r="RPM48" s="971"/>
      <c r="RPN48" s="971"/>
      <c r="RPO48" s="971"/>
      <c r="RPP48" s="971"/>
      <c r="RPQ48" s="971"/>
      <c r="RPR48" s="971"/>
      <c r="RPS48" s="971"/>
      <c r="RPT48" s="971"/>
      <c r="RPU48" s="971"/>
      <c r="RPV48" s="971"/>
      <c r="RPW48" s="971"/>
      <c r="RPX48" s="971"/>
      <c r="RPY48" s="971"/>
      <c r="RPZ48" s="971"/>
      <c r="RQA48" s="971"/>
      <c r="RQB48" s="971"/>
      <c r="RQC48" s="971"/>
      <c r="RQD48" s="971"/>
      <c r="RQE48" s="971"/>
      <c r="RQF48" s="971"/>
      <c r="RQG48" s="971"/>
      <c r="RQH48" s="971"/>
      <c r="RQI48" s="971"/>
      <c r="RQJ48" s="971"/>
      <c r="RQK48" s="971"/>
      <c r="RQL48" s="971"/>
      <c r="RQM48" s="971"/>
      <c r="RQN48" s="971"/>
      <c r="RQO48" s="971"/>
      <c r="RQP48" s="971"/>
      <c r="RQQ48" s="971"/>
      <c r="RQR48" s="971"/>
      <c r="RQS48" s="971"/>
      <c r="RQT48" s="971"/>
      <c r="RQU48" s="971"/>
      <c r="RQV48" s="971"/>
      <c r="RQW48" s="971"/>
      <c r="RQX48" s="971"/>
      <c r="RQY48" s="971"/>
      <c r="RQZ48" s="971"/>
      <c r="RRA48" s="971"/>
      <c r="RRB48" s="971"/>
      <c r="RRC48" s="971"/>
      <c r="RRD48" s="971"/>
      <c r="RRE48" s="971"/>
      <c r="RRF48" s="971"/>
      <c r="RRG48" s="971"/>
      <c r="RRH48" s="971"/>
      <c r="RRI48" s="971"/>
      <c r="RRJ48" s="971"/>
      <c r="RRK48" s="971"/>
      <c r="RRL48" s="971"/>
      <c r="RRM48" s="971"/>
      <c r="RRN48" s="971"/>
      <c r="RRO48" s="971"/>
      <c r="RRP48" s="971"/>
      <c r="RRQ48" s="971"/>
      <c r="RRR48" s="971"/>
      <c r="RRS48" s="971"/>
      <c r="RRT48" s="971"/>
      <c r="RRU48" s="971"/>
      <c r="RRV48" s="971"/>
      <c r="RRW48" s="971"/>
      <c r="RRX48" s="971"/>
      <c r="RRY48" s="971"/>
      <c r="RRZ48" s="971"/>
      <c r="RSA48" s="971"/>
      <c r="RSB48" s="971"/>
      <c r="RSC48" s="971"/>
      <c r="RSD48" s="971"/>
      <c r="RSE48" s="971"/>
      <c r="RSF48" s="971"/>
      <c r="RSG48" s="971"/>
      <c r="RSH48" s="971"/>
      <c r="RSI48" s="971"/>
      <c r="RSJ48" s="971"/>
      <c r="RSK48" s="971"/>
      <c r="RSL48" s="971"/>
      <c r="RSM48" s="971"/>
      <c r="RSN48" s="971"/>
      <c r="RSO48" s="971"/>
      <c r="RSP48" s="971"/>
      <c r="RSQ48" s="971"/>
      <c r="RSR48" s="971"/>
      <c r="RSS48" s="971"/>
      <c r="RST48" s="971"/>
      <c r="RSU48" s="971"/>
      <c r="RSV48" s="971"/>
      <c r="RSW48" s="971"/>
      <c r="RSX48" s="971"/>
      <c r="RSY48" s="971"/>
      <c r="RSZ48" s="971"/>
      <c r="RTA48" s="971"/>
      <c r="RTB48" s="971"/>
      <c r="RTC48" s="971"/>
      <c r="RTD48" s="971"/>
      <c r="RTE48" s="971"/>
      <c r="RTF48" s="971"/>
      <c r="RTG48" s="971"/>
      <c r="RTH48" s="971"/>
      <c r="RTI48" s="971"/>
      <c r="RTJ48" s="971"/>
      <c r="RTK48" s="971"/>
      <c r="RTL48" s="971"/>
      <c r="RTM48" s="971"/>
      <c r="RTN48" s="971"/>
      <c r="RTO48" s="971"/>
      <c r="RTP48" s="971"/>
      <c r="RTQ48" s="971"/>
      <c r="RTR48" s="971"/>
      <c r="RTS48" s="971"/>
      <c r="RTT48" s="971"/>
      <c r="RTU48" s="971"/>
      <c r="RTV48" s="971"/>
      <c r="RTW48" s="971"/>
      <c r="RTX48" s="971"/>
      <c r="RTY48" s="971"/>
      <c r="RTZ48" s="971"/>
      <c r="RUA48" s="971"/>
      <c r="RUB48" s="971"/>
      <c r="RUC48" s="971"/>
      <c r="RUD48" s="971"/>
      <c r="RUE48" s="971"/>
      <c r="RUF48" s="971"/>
      <c r="RUG48" s="971"/>
      <c r="RUH48" s="971"/>
      <c r="RUI48" s="971"/>
      <c r="RUJ48" s="971"/>
      <c r="RUK48" s="971"/>
      <c r="RUL48" s="971"/>
      <c r="RUM48" s="971"/>
      <c r="RUN48" s="971"/>
      <c r="RUO48" s="971"/>
      <c r="RUP48" s="971"/>
      <c r="RUQ48" s="971"/>
      <c r="RUR48" s="971"/>
      <c r="RUS48" s="971"/>
      <c r="RUT48" s="971"/>
      <c r="RUU48" s="971"/>
      <c r="RUV48" s="971"/>
      <c r="RUW48" s="971"/>
      <c r="RUX48" s="971"/>
      <c r="RUY48" s="971"/>
      <c r="RUZ48" s="971"/>
      <c r="RVA48" s="971"/>
      <c r="RVB48" s="971"/>
      <c r="RVC48" s="971"/>
      <c r="RVD48" s="971"/>
      <c r="RVE48" s="971"/>
      <c r="RVF48" s="971"/>
      <c r="RVG48" s="971"/>
      <c r="RVH48" s="971"/>
      <c r="RVI48" s="971"/>
      <c r="RVJ48" s="971"/>
      <c r="RVK48" s="971"/>
      <c r="RVL48" s="971"/>
      <c r="RVM48" s="971"/>
      <c r="RVN48" s="971"/>
      <c r="RVO48" s="971"/>
      <c r="RVP48" s="971"/>
      <c r="RVQ48" s="971"/>
      <c r="RVR48" s="971"/>
      <c r="RVS48" s="971"/>
      <c r="RVT48" s="971"/>
      <c r="RVU48" s="971"/>
      <c r="RVV48" s="971"/>
      <c r="RVW48" s="971"/>
      <c r="RVX48" s="971"/>
      <c r="RVY48" s="971"/>
      <c r="RVZ48" s="971"/>
      <c r="RWA48" s="971"/>
      <c r="RWB48" s="971"/>
      <c r="RWC48" s="971"/>
      <c r="RWD48" s="971"/>
      <c r="RWE48" s="971"/>
      <c r="RWF48" s="971"/>
      <c r="RWG48" s="971"/>
      <c r="RWH48" s="971"/>
      <c r="RWI48" s="971"/>
      <c r="RWJ48" s="971"/>
      <c r="RWK48" s="971"/>
      <c r="RWL48" s="971"/>
      <c r="RWM48" s="971"/>
      <c r="RWN48" s="971"/>
      <c r="RWO48" s="971"/>
      <c r="RWP48" s="971"/>
      <c r="RWQ48" s="971"/>
      <c r="RWR48" s="971"/>
      <c r="RWS48" s="971"/>
      <c r="RWT48" s="971"/>
      <c r="RWU48" s="971"/>
      <c r="RWV48" s="971"/>
      <c r="RWW48" s="971"/>
      <c r="RWX48" s="971"/>
      <c r="RWY48" s="971"/>
      <c r="RWZ48" s="971"/>
      <c r="RXA48" s="971"/>
      <c r="RXB48" s="971"/>
      <c r="RXC48" s="971"/>
      <c r="RXD48" s="971"/>
      <c r="RXE48" s="971"/>
      <c r="RXF48" s="971"/>
      <c r="RXG48" s="971"/>
      <c r="RXH48" s="971"/>
      <c r="RXI48" s="971"/>
      <c r="RXJ48" s="971"/>
      <c r="RXK48" s="971"/>
      <c r="RXL48" s="971"/>
      <c r="RXM48" s="971"/>
      <c r="RXN48" s="971"/>
      <c r="RXO48" s="971"/>
      <c r="RXP48" s="971"/>
      <c r="RXQ48" s="971"/>
      <c r="RXR48" s="971"/>
      <c r="RXS48" s="971"/>
      <c r="RXT48" s="971"/>
      <c r="RXU48" s="971"/>
      <c r="RXV48" s="971"/>
      <c r="RXW48" s="971"/>
      <c r="RXX48" s="971"/>
      <c r="RXY48" s="971"/>
      <c r="RXZ48" s="971"/>
      <c r="RYA48" s="971"/>
      <c r="RYB48" s="971"/>
      <c r="RYC48" s="971"/>
      <c r="RYD48" s="971"/>
      <c r="RYE48" s="971"/>
      <c r="RYF48" s="971"/>
      <c r="RYG48" s="971"/>
      <c r="RYH48" s="971"/>
      <c r="RYI48" s="971"/>
      <c r="RYJ48" s="971"/>
      <c r="RYK48" s="971"/>
      <c r="RYL48" s="971"/>
      <c r="RYM48" s="971"/>
      <c r="RYN48" s="971"/>
      <c r="RYO48" s="971"/>
      <c r="RYP48" s="971"/>
      <c r="RYQ48" s="971"/>
      <c r="RYR48" s="971"/>
      <c r="RYS48" s="971"/>
      <c r="RYT48" s="971"/>
      <c r="RYU48" s="971"/>
      <c r="RYV48" s="971"/>
      <c r="RYW48" s="971"/>
      <c r="RYX48" s="971"/>
      <c r="RYY48" s="971"/>
      <c r="RYZ48" s="971"/>
      <c r="RZA48" s="971"/>
      <c r="RZB48" s="971"/>
      <c r="RZC48" s="971"/>
      <c r="RZD48" s="971"/>
      <c r="RZE48" s="971"/>
      <c r="RZF48" s="971"/>
      <c r="RZG48" s="971"/>
      <c r="RZH48" s="971"/>
      <c r="RZI48" s="971"/>
      <c r="RZJ48" s="971"/>
      <c r="RZK48" s="971"/>
      <c r="RZL48" s="971"/>
      <c r="RZM48" s="971"/>
      <c r="RZN48" s="971"/>
      <c r="RZO48" s="971"/>
      <c r="RZP48" s="971"/>
      <c r="RZQ48" s="971"/>
      <c r="RZR48" s="971"/>
      <c r="RZS48" s="971"/>
      <c r="RZT48" s="971"/>
      <c r="RZU48" s="971"/>
      <c r="RZV48" s="971"/>
      <c r="RZW48" s="971"/>
      <c r="RZX48" s="971"/>
      <c r="RZY48" s="971"/>
      <c r="RZZ48" s="971"/>
      <c r="SAA48" s="971"/>
      <c r="SAB48" s="971"/>
      <c r="SAC48" s="971"/>
      <c r="SAD48" s="971"/>
      <c r="SAE48" s="971"/>
      <c r="SAF48" s="971"/>
      <c r="SAG48" s="971"/>
      <c r="SAH48" s="971"/>
      <c r="SAI48" s="971"/>
      <c r="SAJ48" s="971"/>
      <c r="SAK48" s="971"/>
      <c r="SAL48" s="971"/>
      <c r="SAM48" s="971"/>
      <c r="SAN48" s="971"/>
      <c r="SAO48" s="971"/>
      <c r="SAP48" s="971"/>
      <c r="SAQ48" s="971"/>
      <c r="SAR48" s="971"/>
      <c r="SAS48" s="971"/>
      <c r="SAT48" s="971"/>
      <c r="SAU48" s="971"/>
      <c r="SAV48" s="971"/>
      <c r="SAW48" s="971"/>
      <c r="SAX48" s="971"/>
      <c r="SAY48" s="971"/>
      <c r="SAZ48" s="971"/>
      <c r="SBA48" s="971"/>
      <c r="SBB48" s="971"/>
      <c r="SBC48" s="971"/>
      <c r="SBD48" s="971"/>
      <c r="SBE48" s="971"/>
      <c r="SBF48" s="971"/>
      <c r="SBG48" s="971"/>
      <c r="SBH48" s="971"/>
      <c r="SBI48" s="971"/>
      <c r="SBJ48" s="971"/>
      <c r="SBK48" s="971"/>
      <c r="SBL48" s="971"/>
      <c r="SBM48" s="971"/>
      <c r="SBN48" s="971"/>
      <c r="SBO48" s="971"/>
      <c r="SBP48" s="971"/>
      <c r="SBQ48" s="971"/>
      <c r="SBR48" s="971"/>
      <c r="SBS48" s="971"/>
      <c r="SBT48" s="971"/>
      <c r="SBU48" s="971"/>
      <c r="SBV48" s="971"/>
      <c r="SBW48" s="971"/>
      <c r="SBX48" s="971"/>
      <c r="SBY48" s="971"/>
      <c r="SBZ48" s="971"/>
      <c r="SCA48" s="971"/>
      <c r="SCB48" s="971"/>
      <c r="SCC48" s="971"/>
      <c r="SCD48" s="971"/>
      <c r="SCE48" s="971"/>
      <c r="SCF48" s="971"/>
      <c r="SCG48" s="971"/>
      <c r="SCH48" s="971"/>
      <c r="SCI48" s="971"/>
      <c r="SCJ48" s="971"/>
      <c r="SCK48" s="971"/>
      <c r="SCL48" s="971"/>
      <c r="SCM48" s="971"/>
      <c r="SCN48" s="971"/>
      <c r="SCO48" s="971"/>
      <c r="SCP48" s="971"/>
      <c r="SCQ48" s="971"/>
      <c r="SCR48" s="971"/>
      <c r="SCS48" s="971"/>
      <c r="SCT48" s="971"/>
      <c r="SCU48" s="971"/>
      <c r="SCV48" s="971"/>
      <c r="SCW48" s="971"/>
      <c r="SCX48" s="971"/>
      <c r="SCY48" s="971"/>
      <c r="SCZ48" s="971"/>
      <c r="SDA48" s="971"/>
      <c r="SDB48" s="971"/>
      <c r="SDC48" s="971"/>
      <c r="SDD48" s="971"/>
      <c r="SDE48" s="971"/>
      <c r="SDF48" s="971"/>
      <c r="SDG48" s="971"/>
      <c r="SDH48" s="971"/>
      <c r="SDI48" s="971"/>
      <c r="SDJ48" s="971"/>
      <c r="SDK48" s="971"/>
      <c r="SDL48" s="971"/>
      <c r="SDM48" s="971"/>
      <c r="SDN48" s="971"/>
      <c r="SDO48" s="971"/>
      <c r="SDP48" s="971"/>
      <c r="SDQ48" s="971"/>
      <c r="SDR48" s="971"/>
      <c r="SDS48" s="971"/>
      <c r="SDT48" s="971"/>
      <c r="SDU48" s="971"/>
      <c r="SDV48" s="971"/>
      <c r="SDW48" s="971"/>
      <c r="SDX48" s="971"/>
      <c r="SDY48" s="971"/>
      <c r="SDZ48" s="971"/>
      <c r="SEA48" s="971"/>
      <c r="SEB48" s="971"/>
      <c r="SEC48" s="971"/>
      <c r="SED48" s="971"/>
      <c r="SEE48" s="971"/>
      <c r="SEF48" s="971"/>
      <c r="SEG48" s="971"/>
      <c r="SEH48" s="971"/>
      <c r="SEI48" s="971"/>
      <c r="SEJ48" s="971"/>
      <c r="SEK48" s="971"/>
      <c r="SEL48" s="971"/>
      <c r="SEM48" s="971"/>
      <c r="SEN48" s="971"/>
      <c r="SEO48" s="971"/>
      <c r="SEP48" s="971"/>
      <c r="SEQ48" s="971"/>
      <c r="SER48" s="971"/>
      <c r="SES48" s="971"/>
      <c r="SET48" s="971"/>
      <c r="SEU48" s="971"/>
      <c r="SEV48" s="971"/>
      <c r="SEW48" s="971"/>
      <c r="SEX48" s="971"/>
      <c r="SEY48" s="971"/>
      <c r="SEZ48" s="971"/>
      <c r="SFA48" s="971"/>
      <c r="SFB48" s="971"/>
      <c r="SFC48" s="971"/>
      <c r="SFD48" s="971"/>
      <c r="SFE48" s="971"/>
      <c r="SFF48" s="971"/>
      <c r="SFG48" s="971"/>
      <c r="SFH48" s="971"/>
      <c r="SFI48" s="971"/>
      <c r="SFJ48" s="971"/>
      <c r="SFK48" s="971"/>
      <c r="SFL48" s="971"/>
      <c r="SFM48" s="971"/>
      <c r="SFN48" s="971"/>
      <c r="SFO48" s="971"/>
      <c r="SFP48" s="971"/>
      <c r="SFQ48" s="971"/>
      <c r="SFR48" s="971"/>
      <c r="SFS48" s="971"/>
      <c r="SFT48" s="971"/>
      <c r="SFU48" s="971"/>
      <c r="SFV48" s="971"/>
      <c r="SFW48" s="971"/>
      <c r="SFX48" s="971"/>
      <c r="SFY48" s="971"/>
      <c r="SFZ48" s="971"/>
      <c r="SGA48" s="971"/>
      <c r="SGB48" s="971"/>
      <c r="SGC48" s="971"/>
      <c r="SGD48" s="971"/>
      <c r="SGE48" s="971"/>
      <c r="SGF48" s="971"/>
      <c r="SGG48" s="971"/>
      <c r="SGH48" s="971"/>
      <c r="SGI48" s="971"/>
      <c r="SGJ48" s="971"/>
      <c r="SGK48" s="971"/>
      <c r="SGL48" s="971"/>
      <c r="SGM48" s="971"/>
      <c r="SGN48" s="971"/>
      <c r="SGO48" s="971"/>
      <c r="SGP48" s="971"/>
      <c r="SGQ48" s="971"/>
      <c r="SGR48" s="971"/>
      <c r="SGS48" s="971"/>
      <c r="SGT48" s="971"/>
      <c r="SGU48" s="971"/>
      <c r="SGV48" s="971"/>
      <c r="SGW48" s="971"/>
      <c r="SGX48" s="971"/>
      <c r="SGY48" s="971"/>
      <c r="SGZ48" s="971"/>
      <c r="SHA48" s="971"/>
      <c r="SHB48" s="971"/>
      <c r="SHC48" s="971"/>
      <c r="SHD48" s="971"/>
      <c r="SHE48" s="971"/>
      <c r="SHF48" s="971"/>
      <c r="SHG48" s="971"/>
      <c r="SHH48" s="971"/>
      <c r="SHI48" s="971"/>
      <c r="SHJ48" s="971"/>
      <c r="SHK48" s="971"/>
      <c r="SHL48" s="971"/>
      <c r="SHM48" s="971"/>
      <c r="SHN48" s="971"/>
      <c r="SHO48" s="971"/>
      <c r="SHP48" s="971"/>
      <c r="SHQ48" s="971"/>
      <c r="SHR48" s="971"/>
      <c r="SHS48" s="971"/>
      <c r="SHT48" s="971"/>
      <c r="SHU48" s="971"/>
      <c r="SHV48" s="971"/>
      <c r="SHW48" s="971"/>
      <c r="SHX48" s="971"/>
      <c r="SHY48" s="971"/>
      <c r="SHZ48" s="971"/>
      <c r="SIA48" s="971"/>
      <c r="SIB48" s="971"/>
      <c r="SIC48" s="971"/>
      <c r="SID48" s="971"/>
      <c r="SIE48" s="971"/>
      <c r="SIF48" s="971"/>
      <c r="SIG48" s="971"/>
      <c r="SIH48" s="971"/>
      <c r="SII48" s="971"/>
      <c r="SIJ48" s="971"/>
      <c r="SIK48" s="971"/>
      <c r="SIL48" s="971"/>
      <c r="SIM48" s="971"/>
      <c r="SIN48" s="971"/>
      <c r="SIO48" s="971"/>
      <c r="SIP48" s="971"/>
      <c r="SIQ48" s="971"/>
      <c r="SIR48" s="971"/>
      <c r="SIS48" s="971"/>
      <c r="SIT48" s="971"/>
      <c r="SIU48" s="971"/>
      <c r="SIV48" s="971"/>
      <c r="SIW48" s="971"/>
      <c r="SIX48" s="971"/>
      <c r="SIY48" s="971"/>
      <c r="SIZ48" s="971"/>
      <c r="SJA48" s="971"/>
      <c r="SJB48" s="971"/>
      <c r="SJC48" s="971"/>
      <c r="SJD48" s="971"/>
      <c r="SJE48" s="971"/>
      <c r="SJF48" s="971"/>
      <c r="SJG48" s="971"/>
      <c r="SJH48" s="971"/>
      <c r="SJI48" s="971"/>
      <c r="SJJ48" s="971"/>
      <c r="SJK48" s="971"/>
      <c r="SJL48" s="971"/>
      <c r="SJM48" s="971"/>
      <c r="SJN48" s="971"/>
      <c r="SJO48" s="971"/>
      <c r="SJP48" s="971"/>
      <c r="SJQ48" s="971"/>
      <c r="SJR48" s="971"/>
      <c r="SJS48" s="971"/>
      <c r="SJT48" s="971"/>
      <c r="SJU48" s="971"/>
      <c r="SJV48" s="971"/>
      <c r="SJW48" s="971"/>
      <c r="SJX48" s="971"/>
      <c r="SJY48" s="971"/>
      <c r="SJZ48" s="971"/>
      <c r="SKA48" s="971"/>
      <c r="SKB48" s="971"/>
      <c r="SKC48" s="971"/>
      <c r="SKD48" s="971"/>
      <c r="SKE48" s="971"/>
      <c r="SKF48" s="971"/>
      <c r="SKG48" s="971"/>
      <c r="SKH48" s="971"/>
      <c r="SKI48" s="971"/>
      <c r="SKJ48" s="971"/>
      <c r="SKK48" s="971"/>
      <c r="SKL48" s="971"/>
      <c r="SKM48" s="971"/>
      <c r="SKN48" s="971"/>
      <c r="SKO48" s="971"/>
      <c r="SKP48" s="971"/>
      <c r="SKQ48" s="971"/>
      <c r="SKR48" s="971"/>
      <c r="SKS48" s="971"/>
      <c r="SKT48" s="971"/>
      <c r="SKU48" s="971"/>
      <c r="SKV48" s="971"/>
      <c r="SKW48" s="971"/>
      <c r="SKX48" s="971"/>
      <c r="SKY48" s="971"/>
      <c r="SKZ48" s="971"/>
      <c r="SLA48" s="971"/>
      <c r="SLB48" s="971"/>
      <c r="SLC48" s="971"/>
      <c r="SLD48" s="971"/>
      <c r="SLE48" s="971"/>
      <c r="SLF48" s="971"/>
      <c r="SLG48" s="971"/>
      <c r="SLH48" s="971"/>
      <c r="SLI48" s="971"/>
      <c r="SLJ48" s="971"/>
      <c r="SLK48" s="971"/>
      <c r="SLL48" s="971"/>
      <c r="SLM48" s="971"/>
      <c r="SLN48" s="971"/>
      <c r="SLO48" s="971"/>
      <c r="SLP48" s="971"/>
      <c r="SLQ48" s="971"/>
      <c r="SLR48" s="971"/>
      <c r="SLS48" s="971"/>
      <c r="SLT48" s="971"/>
      <c r="SLU48" s="971"/>
      <c r="SLV48" s="971"/>
      <c r="SLW48" s="971"/>
      <c r="SLX48" s="971"/>
      <c r="SLY48" s="971"/>
      <c r="SLZ48" s="971"/>
      <c r="SMA48" s="971"/>
      <c r="SMB48" s="971"/>
      <c r="SMC48" s="971"/>
      <c r="SMD48" s="971"/>
      <c r="SME48" s="971"/>
      <c r="SMF48" s="971"/>
      <c r="SMG48" s="971"/>
      <c r="SMH48" s="971"/>
      <c r="SMI48" s="971"/>
      <c r="SMJ48" s="971"/>
      <c r="SMK48" s="971"/>
      <c r="SML48" s="971"/>
      <c r="SMM48" s="971"/>
      <c r="SMN48" s="971"/>
      <c r="SMO48" s="971"/>
      <c r="SMP48" s="971"/>
      <c r="SMQ48" s="971"/>
      <c r="SMR48" s="971"/>
      <c r="SMS48" s="971"/>
      <c r="SMT48" s="971"/>
      <c r="SMU48" s="971"/>
      <c r="SMV48" s="971"/>
      <c r="SMW48" s="971"/>
      <c r="SMX48" s="971"/>
      <c r="SMY48" s="971"/>
      <c r="SMZ48" s="971"/>
      <c r="SNA48" s="971"/>
      <c r="SNB48" s="971"/>
      <c r="SNC48" s="971"/>
      <c r="SND48" s="971"/>
      <c r="SNE48" s="971"/>
      <c r="SNF48" s="971"/>
      <c r="SNG48" s="971"/>
      <c r="SNH48" s="971"/>
      <c r="SNI48" s="971"/>
      <c r="SNJ48" s="971"/>
      <c r="SNK48" s="971"/>
      <c r="SNL48" s="971"/>
      <c r="SNM48" s="971"/>
      <c r="SNN48" s="971"/>
      <c r="SNO48" s="971"/>
      <c r="SNP48" s="971"/>
      <c r="SNQ48" s="971"/>
      <c r="SNR48" s="971"/>
      <c r="SNS48" s="971"/>
      <c r="SNT48" s="971"/>
      <c r="SNU48" s="971"/>
      <c r="SNV48" s="971"/>
      <c r="SNW48" s="971"/>
      <c r="SNX48" s="971"/>
      <c r="SNY48" s="971"/>
      <c r="SNZ48" s="971"/>
      <c r="SOA48" s="971"/>
      <c r="SOB48" s="971"/>
      <c r="SOC48" s="971"/>
      <c r="SOD48" s="971"/>
      <c r="SOE48" s="971"/>
      <c r="SOF48" s="971"/>
      <c r="SOG48" s="971"/>
      <c r="SOH48" s="971"/>
      <c r="SOI48" s="971"/>
      <c r="SOJ48" s="971"/>
      <c r="SOK48" s="971"/>
      <c r="SOL48" s="971"/>
      <c r="SOM48" s="971"/>
      <c r="SON48" s="971"/>
      <c r="SOO48" s="971"/>
      <c r="SOP48" s="971"/>
      <c r="SOQ48" s="971"/>
      <c r="SOR48" s="971"/>
      <c r="SOS48" s="971"/>
      <c r="SOT48" s="971"/>
      <c r="SOU48" s="971"/>
      <c r="SOV48" s="971"/>
      <c r="SOW48" s="971"/>
      <c r="SOX48" s="971"/>
      <c r="SOY48" s="971"/>
      <c r="SOZ48" s="971"/>
      <c r="SPA48" s="971"/>
      <c r="SPB48" s="971"/>
      <c r="SPC48" s="971"/>
      <c r="SPD48" s="971"/>
      <c r="SPE48" s="971"/>
      <c r="SPF48" s="971"/>
      <c r="SPG48" s="971"/>
      <c r="SPH48" s="971"/>
      <c r="SPI48" s="971"/>
      <c r="SPJ48" s="971"/>
      <c r="SPK48" s="971"/>
      <c r="SPL48" s="971"/>
      <c r="SPM48" s="971"/>
      <c r="SPN48" s="971"/>
      <c r="SPO48" s="971"/>
      <c r="SPP48" s="971"/>
      <c r="SPQ48" s="971"/>
      <c r="SPR48" s="971"/>
      <c r="SPS48" s="971"/>
      <c r="SPT48" s="971"/>
      <c r="SPU48" s="971"/>
      <c r="SPV48" s="971"/>
      <c r="SPW48" s="971"/>
      <c r="SPX48" s="971"/>
      <c r="SPY48" s="971"/>
      <c r="SPZ48" s="971"/>
      <c r="SQA48" s="971"/>
      <c r="SQB48" s="971"/>
      <c r="SQC48" s="971"/>
      <c r="SQD48" s="971"/>
      <c r="SQE48" s="971"/>
      <c r="SQF48" s="971"/>
      <c r="SQG48" s="971"/>
      <c r="SQH48" s="971"/>
      <c r="SQI48" s="971"/>
      <c r="SQJ48" s="971"/>
      <c r="SQK48" s="971"/>
      <c r="SQL48" s="971"/>
      <c r="SQM48" s="971"/>
      <c r="SQN48" s="971"/>
      <c r="SQO48" s="971"/>
      <c r="SQP48" s="971"/>
      <c r="SQQ48" s="971"/>
      <c r="SQR48" s="971"/>
      <c r="SQS48" s="971"/>
      <c r="SQT48" s="971"/>
      <c r="SQU48" s="971"/>
      <c r="SQV48" s="971"/>
      <c r="SQW48" s="971"/>
      <c r="SQX48" s="971"/>
      <c r="SQY48" s="971"/>
      <c r="SQZ48" s="971"/>
      <c r="SRA48" s="971"/>
      <c r="SRB48" s="971"/>
      <c r="SRC48" s="971"/>
      <c r="SRD48" s="971"/>
      <c r="SRE48" s="971"/>
      <c r="SRF48" s="971"/>
      <c r="SRG48" s="971"/>
      <c r="SRH48" s="971"/>
      <c r="SRI48" s="971"/>
      <c r="SRJ48" s="971"/>
      <c r="SRK48" s="971"/>
      <c r="SRL48" s="971"/>
      <c r="SRM48" s="971"/>
      <c r="SRN48" s="971"/>
      <c r="SRO48" s="971"/>
      <c r="SRP48" s="971"/>
      <c r="SRQ48" s="971"/>
      <c r="SRR48" s="971"/>
      <c r="SRS48" s="971"/>
      <c r="SRT48" s="971"/>
      <c r="SRU48" s="971"/>
      <c r="SRV48" s="971"/>
      <c r="SRW48" s="971"/>
      <c r="SRX48" s="971"/>
      <c r="SRY48" s="971"/>
      <c r="SRZ48" s="971"/>
      <c r="SSA48" s="971"/>
      <c r="SSB48" s="971"/>
      <c r="SSC48" s="971"/>
      <c r="SSD48" s="971"/>
      <c r="SSE48" s="971"/>
      <c r="SSF48" s="971"/>
      <c r="SSG48" s="971"/>
      <c r="SSH48" s="971"/>
      <c r="SSI48" s="971"/>
      <c r="SSJ48" s="971"/>
      <c r="SSK48" s="971"/>
      <c r="SSL48" s="971"/>
      <c r="SSM48" s="971"/>
      <c r="SSN48" s="971"/>
      <c r="SSO48" s="971"/>
      <c r="SSP48" s="971"/>
      <c r="SSQ48" s="971"/>
      <c r="SSR48" s="971"/>
      <c r="SSS48" s="971"/>
      <c r="SST48" s="971"/>
      <c r="SSU48" s="971"/>
      <c r="SSV48" s="971"/>
      <c r="SSW48" s="971"/>
      <c r="SSX48" s="971"/>
      <c r="SSY48" s="971"/>
      <c r="SSZ48" s="971"/>
      <c r="STA48" s="971"/>
      <c r="STB48" s="971"/>
      <c r="STC48" s="971"/>
      <c r="STD48" s="971"/>
      <c r="STE48" s="971"/>
      <c r="STF48" s="971"/>
      <c r="STG48" s="971"/>
      <c r="STH48" s="971"/>
      <c r="STI48" s="971"/>
      <c r="STJ48" s="971"/>
      <c r="STK48" s="971"/>
      <c r="STL48" s="971"/>
      <c r="STM48" s="971"/>
      <c r="STN48" s="971"/>
      <c r="STO48" s="971"/>
      <c r="STP48" s="971"/>
      <c r="STQ48" s="971"/>
      <c r="STR48" s="971"/>
      <c r="STS48" s="971"/>
      <c r="STT48" s="971"/>
      <c r="STU48" s="971"/>
      <c r="STV48" s="971"/>
      <c r="STW48" s="971"/>
      <c r="STX48" s="971"/>
      <c r="STY48" s="971"/>
      <c r="STZ48" s="971"/>
      <c r="SUA48" s="971"/>
      <c r="SUB48" s="971"/>
      <c r="SUC48" s="971"/>
      <c r="SUD48" s="971"/>
      <c r="SUE48" s="971"/>
      <c r="SUF48" s="971"/>
      <c r="SUG48" s="971"/>
      <c r="SUH48" s="971"/>
      <c r="SUI48" s="971"/>
      <c r="SUJ48" s="971"/>
      <c r="SUK48" s="971"/>
      <c r="SUL48" s="971"/>
      <c r="SUM48" s="971"/>
      <c r="SUN48" s="971"/>
      <c r="SUO48" s="971"/>
      <c r="SUP48" s="971"/>
      <c r="SUQ48" s="971"/>
      <c r="SUR48" s="971"/>
      <c r="SUS48" s="971"/>
      <c r="SUT48" s="971"/>
      <c r="SUU48" s="971"/>
      <c r="SUV48" s="971"/>
      <c r="SUW48" s="971"/>
      <c r="SUX48" s="971"/>
      <c r="SUY48" s="971"/>
      <c r="SUZ48" s="971"/>
      <c r="SVA48" s="971"/>
      <c r="SVB48" s="971"/>
      <c r="SVC48" s="971"/>
      <c r="SVD48" s="971"/>
      <c r="SVE48" s="971"/>
      <c r="SVF48" s="971"/>
      <c r="SVG48" s="971"/>
      <c r="SVH48" s="971"/>
      <c r="SVI48" s="971"/>
      <c r="SVJ48" s="971"/>
      <c r="SVK48" s="971"/>
      <c r="SVL48" s="971"/>
      <c r="SVM48" s="971"/>
      <c r="SVN48" s="971"/>
      <c r="SVO48" s="971"/>
      <c r="SVP48" s="971"/>
      <c r="SVQ48" s="971"/>
      <c r="SVR48" s="971"/>
      <c r="SVS48" s="971"/>
      <c r="SVT48" s="971"/>
      <c r="SVU48" s="971"/>
      <c r="SVV48" s="971"/>
      <c r="SVW48" s="971"/>
      <c r="SVX48" s="971"/>
      <c r="SVY48" s="971"/>
      <c r="SVZ48" s="971"/>
      <c r="SWA48" s="971"/>
      <c r="SWB48" s="971"/>
      <c r="SWC48" s="971"/>
      <c r="SWD48" s="971"/>
      <c r="SWE48" s="971"/>
      <c r="SWF48" s="971"/>
      <c r="SWG48" s="971"/>
      <c r="SWH48" s="971"/>
      <c r="SWI48" s="971"/>
      <c r="SWJ48" s="971"/>
      <c r="SWK48" s="971"/>
      <c r="SWL48" s="971"/>
      <c r="SWM48" s="971"/>
      <c r="SWN48" s="971"/>
      <c r="SWO48" s="971"/>
      <c r="SWP48" s="971"/>
      <c r="SWQ48" s="971"/>
      <c r="SWR48" s="971"/>
      <c r="SWS48" s="971"/>
      <c r="SWT48" s="971"/>
      <c r="SWU48" s="971"/>
      <c r="SWV48" s="971"/>
      <c r="SWW48" s="971"/>
      <c r="SWX48" s="971"/>
      <c r="SWY48" s="971"/>
      <c r="SWZ48" s="971"/>
      <c r="SXA48" s="971"/>
      <c r="SXB48" s="971"/>
      <c r="SXC48" s="971"/>
      <c r="SXD48" s="971"/>
      <c r="SXE48" s="971"/>
      <c r="SXF48" s="971"/>
      <c r="SXG48" s="971"/>
      <c r="SXH48" s="971"/>
      <c r="SXI48" s="971"/>
      <c r="SXJ48" s="971"/>
      <c r="SXK48" s="971"/>
      <c r="SXL48" s="971"/>
      <c r="SXM48" s="971"/>
      <c r="SXN48" s="971"/>
      <c r="SXO48" s="971"/>
      <c r="SXP48" s="971"/>
      <c r="SXQ48" s="971"/>
      <c r="SXR48" s="971"/>
      <c r="SXS48" s="971"/>
      <c r="SXT48" s="971"/>
      <c r="SXU48" s="971"/>
      <c r="SXV48" s="971"/>
      <c r="SXW48" s="971"/>
      <c r="SXX48" s="971"/>
      <c r="SXY48" s="971"/>
      <c r="SXZ48" s="971"/>
      <c r="SYA48" s="971"/>
      <c r="SYB48" s="971"/>
      <c r="SYC48" s="971"/>
      <c r="SYD48" s="971"/>
      <c r="SYE48" s="971"/>
      <c r="SYF48" s="971"/>
      <c r="SYG48" s="971"/>
      <c r="SYH48" s="971"/>
      <c r="SYI48" s="971"/>
      <c r="SYJ48" s="971"/>
      <c r="SYK48" s="971"/>
      <c r="SYL48" s="971"/>
      <c r="SYM48" s="971"/>
      <c r="SYN48" s="971"/>
      <c r="SYO48" s="971"/>
      <c r="SYP48" s="971"/>
      <c r="SYQ48" s="971"/>
      <c r="SYR48" s="971"/>
      <c r="SYS48" s="971"/>
      <c r="SYT48" s="971"/>
      <c r="SYU48" s="971"/>
      <c r="SYV48" s="971"/>
      <c r="SYW48" s="971"/>
      <c r="SYX48" s="971"/>
      <c r="SYY48" s="971"/>
      <c r="SYZ48" s="971"/>
      <c r="SZA48" s="971"/>
      <c r="SZB48" s="971"/>
      <c r="SZC48" s="971"/>
      <c r="SZD48" s="971"/>
      <c r="SZE48" s="971"/>
      <c r="SZF48" s="971"/>
      <c r="SZG48" s="971"/>
      <c r="SZH48" s="971"/>
      <c r="SZI48" s="971"/>
      <c r="SZJ48" s="971"/>
      <c r="SZK48" s="971"/>
      <c r="SZL48" s="971"/>
      <c r="SZM48" s="971"/>
      <c r="SZN48" s="971"/>
      <c r="SZO48" s="971"/>
      <c r="SZP48" s="971"/>
      <c r="SZQ48" s="971"/>
      <c r="SZR48" s="971"/>
      <c r="SZS48" s="971"/>
      <c r="SZT48" s="971"/>
      <c r="SZU48" s="971"/>
      <c r="SZV48" s="971"/>
      <c r="SZW48" s="971"/>
      <c r="SZX48" s="971"/>
      <c r="SZY48" s="971"/>
      <c r="SZZ48" s="971"/>
      <c r="TAA48" s="971"/>
      <c r="TAB48" s="971"/>
      <c r="TAC48" s="971"/>
      <c r="TAD48" s="971"/>
      <c r="TAE48" s="971"/>
      <c r="TAF48" s="971"/>
      <c r="TAG48" s="971"/>
      <c r="TAH48" s="971"/>
      <c r="TAI48" s="971"/>
      <c r="TAJ48" s="971"/>
      <c r="TAK48" s="971"/>
      <c r="TAL48" s="971"/>
      <c r="TAM48" s="971"/>
      <c r="TAN48" s="971"/>
      <c r="TAO48" s="971"/>
      <c r="TAP48" s="971"/>
      <c r="TAQ48" s="971"/>
      <c r="TAR48" s="971"/>
      <c r="TAS48" s="971"/>
      <c r="TAT48" s="971"/>
      <c r="TAU48" s="971"/>
      <c r="TAV48" s="971"/>
      <c r="TAW48" s="971"/>
      <c r="TAX48" s="971"/>
      <c r="TAY48" s="971"/>
      <c r="TAZ48" s="971"/>
      <c r="TBA48" s="971"/>
      <c r="TBB48" s="971"/>
      <c r="TBC48" s="971"/>
      <c r="TBD48" s="971"/>
      <c r="TBE48" s="971"/>
      <c r="TBF48" s="971"/>
      <c r="TBG48" s="971"/>
      <c r="TBH48" s="971"/>
      <c r="TBI48" s="971"/>
      <c r="TBJ48" s="971"/>
      <c r="TBK48" s="971"/>
      <c r="TBL48" s="971"/>
      <c r="TBM48" s="971"/>
      <c r="TBN48" s="971"/>
      <c r="TBO48" s="971"/>
      <c r="TBP48" s="971"/>
      <c r="TBQ48" s="971"/>
      <c r="TBR48" s="971"/>
      <c r="TBS48" s="971"/>
      <c r="TBT48" s="971"/>
      <c r="TBU48" s="971"/>
      <c r="TBV48" s="971"/>
      <c r="TBW48" s="971"/>
      <c r="TBX48" s="971"/>
      <c r="TBY48" s="971"/>
      <c r="TBZ48" s="971"/>
      <c r="TCA48" s="971"/>
      <c r="TCB48" s="971"/>
      <c r="TCC48" s="971"/>
      <c r="TCD48" s="971"/>
      <c r="TCE48" s="971"/>
      <c r="TCF48" s="971"/>
      <c r="TCG48" s="971"/>
      <c r="TCH48" s="971"/>
      <c r="TCI48" s="971"/>
      <c r="TCJ48" s="971"/>
      <c r="TCK48" s="971"/>
      <c r="TCL48" s="971"/>
      <c r="TCM48" s="971"/>
      <c r="TCN48" s="971"/>
      <c r="TCO48" s="971"/>
      <c r="TCP48" s="971"/>
      <c r="TCQ48" s="971"/>
      <c r="TCR48" s="971"/>
      <c r="TCS48" s="971"/>
      <c r="TCT48" s="971"/>
      <c r="TCU48" s="971"/>
      <c r="TCV48" s="971"/>
      <c r="TCW48" s="971"/>
      <c r="TCX48" s="971"/>
      <c r="TCY48" s="971"/>
      <c r="TCZ48" s="971"/>
      <c r="TDA48" s="971"/>
      <c r="TDB48" s="971"/>
      <c r="TDC48" s="971"/>
      <c r="TDD48" s="971"/>
      <c r="TDE48" s="971"/>
      <c r="TDF48" s="971"/>
      <c r="TDG48" s="971"/>
      <c r="TDH48" s="971"/>
      <c r="TDI48" s="971"/>
      <c r="TDJ48" s="971"/>
      <c r="TDK48" s="971"/>
      <c r="TDL48" s="971"/>
      <c r="TDM48" s="971"/>
      <c r="TDN48" s="971"/>
      <c r="TDO48" s="971"/>
      <c r="TDP48" s="971"/>
      <c r="TDQ48" s="971"/>
      <c r="TDR48" s="971"/>
      <c r="TDS48" s="971"/>
      <c r="TDT48" s="971"/>
      <c r="TDU48" s="971"/>
      <c r="TDV48" s="971"/>
      <c r="TDW48" s="971"/>
      <c r="TDX48" s="971"/>
      <c r="TDY48" s="971"/>
      <c r="TDZ48" s="971"/>
      <c r="TEA48" s="971"/>
      <c r="TEB48" s="971"/>
      <c r="TEC48" s="971"/>
      <c r="TED48" s="971"/>
      <c r="TEE48" s="971"/>
      <c r="TEF48" s="971"/>
      <c r="TEG48" s="971"/>
      <c r="TEH48" s="971"/>
      <c r="TEI48" s="971"/>
      <c r="TEJ48" s="971"/>
      <c r="TEK48" s="971"/>
      <c r="TEL48" s="971"/>
      <c r="TEM48" s="971"/>
      <c r="TEN48" s="971"/>
      <c r="TEO48" s="971"/>
      <c r="TEP48" s="971"/>
      <c r="TEQ48" s="971"/>
      <c r="TER48" s="971"/>
      <c r="TES48" s="971"/>
      <c r="TET48" s="971"/>
      <c r="TEU48" s="971"/>
      <c r="TEV48" s="971"/>
      <c r="TEW48" s="971"/>
      <c r="TEX48" s="971"/>
      <c r="TEY48" s="971"/>
      <c r="TEZ48" s="971"/>
      <c r="TFA48" s="971"/>
      <c r="TFB48" s="971"/>
      <c r="TFC48" s="971"/>
      <c r="TFD48" s="971"/>
      <c r="TFE48" s="971"/>
      <c r="TFF48" s="971"/>
      <c r="TFG48" s="971"/>
      <c r="TFH48" s="971"/>
      <c r="TFI48" s="971"/>
      <c r="TFJ48" s="971"/>
      <c r="TFK48" s="971"/>
      <c r="TFL48" s="971"/>
      <c r="TFM48" s="971"/>
      <c r="TFN48" s="971"/>
      <c r="TFO48" s="971"/>
      <c r="TFP48" s="971"/>
      <c r="TFQ48" s="971"/>
      <c r="TFR48" s="971"/>
      <c r="TFS48" s="971"/>
      <c r="TFT48" s="971"/>
      <c r="TFU48" s="971"/>
      <c r="TFV48" s="971"/>
      <c r="TFW48" s="971"/>
      <c r="TFX48" s="971"/>
      <c r="TFY48" s="971"/>
      <c r="TFZ48" s="971"/>
      <c r="TGA48" s="971"/>
      <c r="TGB48" s="971"/>
      <c r="TGC48" s="971"/>
      <c r="TGD48" s="971"/>
      <c r="TGE48" s="971"/>
      <c r="TGF48" s="971"/>
      <c r="TGG48" s="971"/>
      <c r="TGH48" s="971"/>
      <c r="TGI48" s="971"/>
      <c r="TGJ48" s="971"/>
      <c r="TGK48" s="971"/>
      <c r="TGL48" s="971"/>
      <c r="TGM48" s="971"/>
      <c r="TGN48" s="971"/>
      <c r="TGO48" s="971"/>
      <c r="TGP48" s="971"/>
      <c r="TGQ48" s="971"/>
      <c r="TGR48" s="971"/>
      <c r="TGS48" s="971"/>
      <c r="TGT48" s="971"/>
      <c r="TGU48" s="971"/>
      <c r="TGV48" s="971"/>
      <c r="TGW48" s="971"/>
      <c r="TGX48" s="971"/>
      <c r="TGY48" s="971"/>
      <c r="TGZ48" s="971"/>
      <c r="THA48" s="971"/>
      <c r="THB48" s="971"/>
      <c r="THC48" s="971"/>
      <c r="THD48" s="971"/>
      <c r="THE48" s="971"/>
      <c r="THF48" s="971"/>
      <c r="THG48" s="971"/>
      <c r="THH48" s="971"/>
      <c r="THI48" s="971"/>
      <c r="THJ48" s="971"/>
      <c r="THK48" s="971"/>
      <c r="THL48" s="971"/>
      <c r="THM48" s="971"/>
      <c r="THN48" s="971"/>
      <c r="THO48" s="971"/>
      <c r="THP48" s="971"/>
      <c r="THQ48" s="971"/>
      <c r="THR48" s="971"/>
      <c r="THS48" s="971"/>
      <c r="THT48" s="971"/>
      <c r="THU48" s="971"/>
      <c r="THV48" s="971"/>
      <c r="THW48" s="971"/>
      <c r="THX48" s="971"/>
      <c r="THY48" s="971"/>
      <c r="THZ48" s="971"/>
      <c r="TIA48" s="971"/>
      <c r="TIB48" s="971"/>
      <c r="TIC48" s="971"/>
      <c r="TID48" s="971"/>
      <c r="TIE48" s="971"/>
      <c r="TIF48" s="971"/>
      <c r="TIG48" s="971"/>
      <c r="TIH48" s="971"/>
      <c r="TII48" s="971"/>
      <c r="TIJ48" s="971"/>
      <c r="TIK48" s="971"/>
      <c r="TIL48" s="971"/>
      <c r="TIM48" s="971"/>
      <c r="TIN48" s="971"/>
      <c r="TIO48" s="971"/>
      <c r="TIP48" s="971"/>
      <c r="TIQ48" s="971"/>
      <c r="TIR48" s="971"/>
      <c r="TIS48" s="971"/>
      <c r="TIT48" s="971"/>
      <c r="TIU48" s="971"/>
      <c r="TIV48" s="971"/>
      <c r="TIW48" s="971"/>
      <c r="TIX48" s="971"/>
      <c r="TIY48" s="971"/>
      <c r="TIZ48" s="971"/>
      <c r="TJA48" s="971"/>
      <c r="TJB48" s="971"/>
      <c r="TJC48" s="971"/>
      <c r="TJD48" s="971"/>
      <c r="TJE48" s="971"/>
      <c r="TJF48" s="971"/>
      <c r="TJG48" s="971"/>
      <c r="TJH48" s="971"/>
      <c r="TJI48" s="971"/>
      <c r="TJJ48" s="971"/>
      <c r="TJK48" s="971"/>
      <c r="TJL48" s="971"/>
      <c r="TJM48" s="971"/>
      <c r="TJN48" s="971"/>
      <c r="TJO48" s="971"/>
      <c r="TJP48" s="971"/>
      <c r="TJQ48" s="971"/>
      <c r="TJR48" s="971"/>
      <c r="TJS48" s="971"/>
      <c r="TJT48" s="971"/>
      <c r="TJU48" s="971"/>
      <c r="TJV48" s="971"/>
      <c r="TJW48" s="971"/>
      <c r="TJX48" s="971"/>
      <c r="TJY48" s="971"/>
      <c r="TJZ48" s="971"/>
      <c r="TKA48" s="971"/>
      <c r="TKB48" s="971"/>
      <c r="TKC48" s="971"/>
      <c r="TKD48" s="971"/>
      <c r="TKE48" s="971"/>
      <c r="TKF48" s="971"/>
      <c r="TKG48" s="971"/>
      <c r="TKH48" s="971"/>
      <c r="TKI48" s="971"/>
      <c r="TKJ48" s="971"/>
      <c r="TKK48" s="971"/>
      <c r="TKL48" s="971"/>
      <c r="TKM48" s="971"/>
      <c r="TKN48" s="971"/>
      <c r="TKO48" s="971"/>
      <c r="TKP48" s="971"/>
      <c r="TKQ48" s="971"/>
      <c r="TKR48" s="971"/>
      <c r="TKS48" s="971"/>
      <c r="TKT48" s="971"/>
      <c r="TKU48" s="971"/>
      <c r="TKV48" s="971"/>
      <c r="TKW48" s="971"/>
      <c r="TKX48" s="971"/>
      <c r="TKY48" s="971"/>
      <c r="TKZ48" s="971"/>
      <c r="TLA48" s="971"/>
      <c r="TLB48" s="971"/>
      <c r="TLC48" s="971"/>
      <c r="TLD48" s="971"/>
      <c r="TLE48" s="971"/>
      <c r="TLF48" s="971"/>
      <c r="TLG48" s="971"/>
      <c r="TLH48" s="971"/>
      <c r="TLI48" s="971"/>
      <c r="TLJ48" s="971"/>
      <c r="TLK48" s="971"/>
      <c r="TLL48" s="971"/>
      <c r="TLM48" s="971"/>
      <c r="TLN48" s="971"/>
      <c r="TLO48" s="971"/>
      <c r="TLP48" s="971"/>
      <c r="TLQ48" s="971"/>
      <c r="TLR48" s="971"/>
      <c r="TLS48" s="971"/>
      <c r="TLT48" s="971"/>
      <c r="TLU48" s="971"/>
      <c r="TLV48" s="971"/>
      <c r="TLW48" s="971"/>
      <c r="TLX48" s="971"/>
      <c r="TLY48" s="971"/>
      <c r="TLZ48" s="971"/>
      <c r="TMA48" s="971"/>
      <c r="TMB48" s="971"/>
      <c r="TMC48" s="971"/>
      <c r="TMD48" s="971"/>
      <c r="TME48" s="971"/>
      <c r="TMF48" s="971"/>
      <c r="TMG48" s="971"/>
      <c r="TMH48" s="971"/>
      <c r="TMI48" s="971"/>
      <c r="TMJ48" s="971"/>
      <c r="TMK48" s="971"/>
      <c r="TML48" s="971"/>
      <c r="TMM48" s="971"/>
      <c r="TMN48" s="971"/>
      <c r="TMO48" s="971"/>
      <c r="TMP48" s="971"/>
      <c r="TMQ48" s="971"/>
      <c r="TMR48" s="971"/>
      <c r="TMS48" s="971"/>
      <c r="TMT48" s="971"/>
      <c r="TMU48" s="971"/>
      <c r="TMV48" s="971"/>
      <c r="TMW48" s="971"/>
      <c r="TMX48" s="971"/>
      <c r="TMY48" s="971"/>
      <c r="TMZ48" s="971"/>
      <c r="TNA48" s="971"/>
      <c r="TNB48" s="971"/>
      <c r="TNC48" s="971"/>
      <c r="TND48" s="971"/>
      <c r="TNE48" s="971"/>
      <c r="TNF48" s="971"/>
      <c r="TNG48" s="971"/>
      <c r="TNH48" s="971"/>
      <c r="TNI48" s="971"/>
      <c r="TNJ48" s="971"/>
      <c r="TNK48" s="971"/>
      <c r="TNL48" s="971"/>
      <c r="TNM48" s="971"/>
      <c r="TNN48" s="971"/>
      <c r="TNO48" s="971"/>
      <c r="TNP48" s="971"/>
      <c r="TNQ48" s="971"/>
      <c r="TNR48" s="971"/>
      <c r="TNS48" s="971"/>
      <c r="TNT48" s="971"/>
      <c r="TNU48" s="971"/>
      <c r="TNV48" s="971"/>
      <c r="TNW48" s="971"/>
      <c r="TNX48" s="971"/>
      <c r="TNY48" s="971"/>
      <c r="TNZ48" s="971"/>
      <c r="TOA48" s="971"/>
      <c r="TOB48" s="971"/>
      <c r="TOC48" s="971"/>
      <c r="TOD48" s="971"/>
      <c r="TOE48" s="971"/>
      <c r="TOF48" s="971"/>
      <c r="TOG48" s="971"/>
      <c r="TOH48" s="971"/>
      <c r="TOI48" s="971"/>
      <c r="TOJ48" s="971"/>
      <c r="TOK48" s="971"/>
      <c r="TOL48" s="971"/>
      <c r="TOM48" s="971"/>
      <c r="TON48" s="971"/>
      <c r="TOO48" s="971"/>
      <c r="TOP48" s="971"/>
      <c r="TOQ48" s="971"/>
      <c r="TOR48" s="971"/>
      <c r="TOS48" s="971"/>
      <c r="TOT48" s="971"/>
      <c r="TOU48" s="971"/>
      <c r="TOV48" s="971"/>
      <c r="TOW48" s="971"/>
      <c r="TOX48" s="971"/>
      <c r="TOY48" s="971"/>
      <c r="TOZ48" s="971"/>
      <c r="TPA48" s="971"/>
      <c r="TPB48" s="971"/>
      <c r="TPC48" s="971"/>
      <c r="TPD48" s="971"/>
      <c r="TPE48" s="971"/>
      <c r="TPF48" s="971"/>
      <c r="TPG48" s="971"/>
      <c r="TPH48" s="971"/>
      <c r="TPI48" s="971"/>
      <c r="TPJ48" s="971"/>
      <c r="TPK48" s="971"/>
      <c r="TPL48" s="971"/>
      <c r="TPM48" s="971"/>
      <c r="TPN48" s="971"/>
      <c r="TPO48" s="971"/>
      <c r="TPP48" s="971"/>
      <c r="TPQ48" s="971"/>
      <c r="TPR48" s="971"/>
      <c r="TPS48" s="971"/>
      <c r="TPT48" s="971"/>
      <c r="TPU48" s="971"/>
      <c r="TPV48" s="971"/>
      <c r="TPW48" s="971"/>
      <c r="TPX48" s="971"/>
      <c r="TPY48" s="971"/>
      <c r="TPZ48" s="971"/>
      <c r="TQA48" s="971"/>
      <c r="TQB48" s="971"/>
      <c r="TQC48" s="971"/>
      <c r="TQD48" s="971"/>
      <c r="TQE48" s="971"/>
      <c r="TQF48" s="971"/>
      <c r="TQG48" s="971"/>
      <c r="TQH48" s="971"/>
      <c r="TQI48" s="971"/>
      <c r="TQJ48" s="971"/>
      <c r="TQK48" s="971"/>
      <c r="TQL48" s="971"/>
      <c r="TQM48" s="971"/>
      <c r="TQN48" s="971"/>
      <c r="TQO48" s="971"/>
      <c r="TQP48" s="971"/>
      <c r="TQQ48" s="971"/>
      <c r="TQR48" s="971"/>
      <c r="TQS48" s="971"/>
      <c r="TQT48" s="971"/>
      <c r="TQU48" s="971"/>
      <c r="TQV48" s="971"/>
      <c r="TQW48" s="971"/>
      <c r="TQX48" s="971"/>
      <c r="TQY48" s="971"/>
      <c r="TQZ48" s="971"/>
      <c r="TRA48" s="971"/>
      <c r="TRB48" s="971"/>
      <c r="TRC48" s="971"/>
      <c r="TRD48" s="971"/>
      <c r="TRE48" s="971"/>
      <c r="TRF48" s="971"/>
      <c r="TRG48" s="971"/>
      <c r="TRH48" s="971"/>
      <c r="TRI48" s="971"/>
      <c r="TRJ48" s="971"/>
      <c r="TRK48" s="971"/>
      <c r="TRL48" s="971"/>
      <c r="TRM48" s="971"/>
      <c r="TRN48" s="971"/>
      <c r="TRO48" s="971"/>
      <c r="TRP48" s="971"/>
      <c r="TRQ48" s="971"/>
      <c r="TRR48" s="971"/>
      <c r="TRS48" s="971"/>
      <c r="TRT48" s="971"/>
      <c r="TRU48" s="971"/>
      <c r="TRV48" s="971"/>
      <c r="TRW48" s="971"/>
      <c r="TRX48" s="971"/>
      <c r="TRY48" s="971"/>
      <c r="TRZ48" s="971"/>
      <c r="TSA48" s="971"/>
      <c r="TSB48" s="971"/>
      <c r="TSC48" s="971"/>
      <c r="TSD48" s="971"/>
      <c r="TSE48" s="971"/>
      <c r="TSF48" s="971"/>
      <c r="TSG48" s="971"/>
      <c r="TSH48" s="971"/>
      <c r="TSI48" s="971"/>
      <c r="TSJ48" s="971"/>
      <c r="TSK48" s="971"/>
      <c r="TSL48" s="971"/>
      <c r="TSM48" s="971"/>
      <c r="TSN48" s="971"/>
      <c r="TSO48" s="971"/>
      <c r="TSP48" s="971"/>
      <c r="TSQ48" s="971"/>
      <c r="TSR48" s="971"/>
      <c r="TSS48" s="971"/>
      <c r="TST48" s="971"/>
      <c r="TSU48" s="971"/>
      <c r="TSV48" s="971"/>
      <c r="TSW48" s="971"/>
      <c r="TSX48" s="971"/>
      <c r="TSY48" s="971"/>
      <c r="TSZ48" s="971"/>
      <c r="TTA48" s="971"/>
      <c r="TTB48" s="971"/>
      <c r="TTC48" s="971"/>
      <c r="TTD48" s="971"/>
      <c r="TTE48" s="971"/>
      <c r="TTF48" s="971"/>
      <c r="TTG48" s="971"/>
      <c r="TTH48" s="971"/>
      <c r="TTI48" s="971"/>
      <c r="TTJ48" s="971"/>
      <c r="TTK48" s="971"/>
      <c r="TTL48" s="971"/>
      <c r="TTM48" s="971"/>
      <c r="TTN48" s="971"/>
      <c r="TTO48" s="971"/>
      <c r="TTP48" s="971"/>
      <c r="TTQ48" s="971"/>
      <c r="TTR48" s="971"/>
      <c r="TTS48" s="971"/>
      <c r="TTT48" s="971"/>
      <c r="TTU48" s="971"/>
      <c r="TTV48" s="971"/>
      <c r="TTW48" s="971"/>
      <c r="TTX48" s="971"/>
      <c r="TTY48" s="971"/>
      <c r="TTZ48" s="971"/>
      <c r="TUA48" s="971"/>
      <c r="TUB48" s="971"/>
      <c r="TUC48" s="971"/>
      <c r="TUD48" s="971"/>
      <c r="TUE48" s="971"/>
      <c r="TUF48" s="971"/>
      <c r="TUG48" s="971"/>
      <c r="TUH48" s="971"/>
      <c r="TUI48" s="971"/>
      <c r="TUJ48" s="971"/>
      <c r="TUK48" s="971"/>
      <c r="TUL48" s="971"/>
      <c r="TUM48" s="971"/>
      <c r="TUN48" s="971"/>
      <c r="TUO48" s="971"/>
      <c r="TUP48" s="971"/>
      <c r="TUQ48" s="971"/>
      <c r="TUR48" s="971"/>
      <c r="TUS48" s="971"/>
      <c r="TUT48" s="971"/>
      <c r="TUU48" s="971"/>
      <c r="TUV48" s="971"/>
      <c r="TUW48" s="971"/>
      <c r="TUX48" s="971"/>
      <c r="TUY48" s="971"/>
      <c r="TUZ48" s="971"/>
      <c r="TVA48" s="971"/>
      <c r="TVB48" s="971"/>
      <c r="TVC48" s="971"/>
      <c r="TVD48" s="971"/>
      <c r="TVE48" s="971"/>
      <c r="TVF48" s="971"/>
      <c r="TVG48" s="971"/>
      <c r="TVH48" s="971"/>
      <c r="TVI48" s="971"/>
      <c r="TVJ48" s="971"/>
      <c r="TVK48" s="971"/>
      <c r="TVL48" s="971"/>
      <c r="TVM48" s="971"/>
      <c r="TVN48" s="971"/>
      <c r="TVO48" s="971"/>
      <c r="TVP48" s="971"/>
      <c r="TVQ48" s="971"/>
      <c r="TVR48" s="971"/>
      <c r="TVS48" s="971"/>
      <c r="TVT48" s="971"/>
      <c r="TVU48" s="971"/>
      <c r="TVV48" s="971"/>
      <c r="TVW48" s="971"/>
      <c r="TVX48" s="971"/>
      <c r="TVY48" s="971"/>
      <c r="TVZ48" s="971"/>
      <c r="TWA48" s="971"/>
      <c r="TWB48" s="971"/>
      <c r="TWC48" s="971"/>
      <c r="TWD48" s="971"/>
      <c r="TWE48" s="971"/>
      <c r="TWF48" s="971"/>
      <c r="TWG48" s="971"/>
      <c r="TWH48" s="971"/>
      <c r="TWI48" s="971"/>
      <c r="TWJ48" s="971"/>
      <c r="TWK48" s="971"/>
      <c r="TWL48" s="971"/>
      <c r="TWM48" s="971"/>
      <c r="TWN48" s="971"/>
      <c r="TWO48" s="971"/>
      <c r="TWP48" s="971"/>
      <c r="TWQ48" s="971"/>
      <c r="TWR48" s="971"/>
      <c r="TWS48" s="971"/>
      <c r="TWT48" s="971"/>
      <c r="TWU48" s="971"/>
      <c r="TWV48" s="971"/>
      <c r="TWW48" s="971"/>
      <c r="TWX48" s="971"/>
      <c r="TWY48" s="971"/>
      <c r="TWZ48" s="971"/>
      <c r="TXA48" s="971"/>
      <c r="TXB48" s="971"/>
      <c r="TXC48" s="971"/>
      <c r="TXD48" s="971"/>
      <c r="TXE48" s="971"/>
      <c r="TXF48" s="971"/>
      <c r="TXG48" s="971"/>
      <c r="TXH48" s="971"/>
      <c r="TXI48" s="971"/>
      <c r="TXJ48" s="971"/>
      <c r="TXK48" s="971"/>
      <c r="TXL48" s="971"/>
      <c r="TXM48" s="971"/>
      <c r="TXN48" s="971"/>
      <c r="TXO48" s="971"/>
      <c r="TXP48" s="971"/>
      <c r="TXQ48" s="971"/>
      <c r="TXR48" s="971"/>
      <c r="TXS48" s="971"/>
      <c r="TXT48" s="971"/>
      <c r="TXU48" s="971"/>
      <c r="TXV48" s="971"/>
      <c r="TXW48" s="971"/>
      <c r="TXX48" s="971"/>
      <c r="TXY48" s="971"/>
      <c r="TXZ48" s="971"/>
      <c r="TYA48" s="971"/>
      <c r="TYB48" s="971"/>
      <c r="TYC48" s="971"/>
      <c r="TYD48" s="971"/>
      <c r="TYE48" s="971"/>
      <c r="TYF48" s="971"/>
      <c r="TYG48" s="971"/>
      <c r="TYH48" s="971"/>
      <c r="TYI48" s="971"/>
      <c r="TYJ48" s="971"/>
      <c r="TYK48" s="971"/>
      <c r="TYL48" s="971"/>
      <c r="TYM48" s="971"/>
      <c r="TYN48" s="971"/>
      <c r="TYO48" s="971"/>
      <c r="TYP48" s="971"/>
      <c r="TYQ48" s="971"/>
      <c r="TYR48" s="971"/>
      <c r="TYS48" s="971"/>
      <c r="TYT48" s="971"/>
      <c r="TYU48" s="971"/>
      <c r="TYV48" s="971"/>
      <c r="TYW48" s="971"/>
      <c r="TYX48" s="971"/>
      <c r="TYY48" s="971"/>
      <c r="TYZ48" s="971"/>
      <c r="TZA48" s="971"/>
      <c r="TZB48" s="971"/>
      <c r="TZC48" s="971"/>
      <c r="TZD48" s="971"/>
      <c r="TZE48" s="971"/>
      <c r="TZF48" s="971"/>
      <c r="TZG48" s="971"/>
      <c r="TZH48" s="971"/>
      <c r="TZI48" s="971"/>
      <c r="TZJ48" s="971"/>
      <c r="TZK48" s="971"/>
      <c r="TZL48" s="971"/>
      <c r="TZM48" s="971"/>
      <c r="TZN48" s="971"/>
      <c r="TZO48" s="971"/>
      <c r="TZP48" s="971"/>
      <c r="TZQ48" s="971"/>
      <c r="TZR48" s="971"/>
      <c r="TZS48" s="971"/>
      <c r="TZT48" s="971"/>
      <c r="TZU48" s="971"/>
      <c r="TZV48" s="971"/>
      <c r="TZW48" s="971"/>
      <c r="TZX48" s="971"/>
      <c r="TZY48" s="971"/>
      <c r="TZZ48" s="971"/>
      <c r="UAA48" s="971"/>
      <c r="UAB48" s="971"/>
      <c r="UAC48" s="971"/>
      <c r="UAD48" s="971"/>
      <c r="UAE48" s="971"/>
      <c r="UAF48" s="971"/>
      <c r="UAG48" s="971"/>
      <c r="UAH48" s="971"/>
      <c r="UAI48" s="971"/>
      <c r="UAJ48" s="971"/>
      <c r="UAK48" s="971"/>
      <c r="UAL48" s="971"/>
      <c r="UAM48" s="971"/>
      <c r="UAN48" s="971"/>
      <c r="UAO48" s="971"/>
      <c r="UAP48" s="971"/>
      <c r="UAQ48" s="971"/>
      <c r="UAR48" s="971"/>
      <c r="UAS48" s="971"/>
      <c r="UAT48" s="971"/>
      <c r="UAU48" s="971"/>
      <c r="UAV48" s="971"/>
      <c r="UAW48" s="971"/>
      <c r="UAX48" s="971"/>
      <c r="UAY48" s="971"/>
      <c r="UAZ48" s="971"/>
      <c r="UBA48" s="971"/>
      <c r="UBB48" s="971"/>
      <c r="UBC48" s="971"/>
      <c r="UBD48" s="971"/>
      <c r="UBE48" s="971"/>
      <c r="UBF48" s="971"/>
      <c r="UBG48" s="971"/>
      <c r="UBH48" s="971"/>
      <c r="UBI48" s="971"/>
      <c r="UBJ48" s="971"/>
      <c r="UBK48" s="971"/>
      <c r="UBL48" s="971"/>
      <c r="UBM48" s="971"/>
      <c r="UBN48" s="971"/>
      <c r="UBO48" s="971"/>
      <c r="UBP48" s="971"/>
      <c r="UBQ48" s="971"/>
      <c r="UBR48" s="971"/>
      <c r="UBS48" s="971"/>
      <c r="UBT48" s="971"/>
      <c r="UBU48" s="971"/>
      <c r="UBV48" s="971"/>
      <c r="UBW48" s="971"/>
      <c r="UBX48" s="971"/>
      <c r="UBY48" s="971"/>
      <c r="UBZ48" s="971"/>
      <c r="UCA48" s="971"/>
      <c r="UCB48" s="971"/>
      <c r="UCC48" s="971"/>
      <c r="UCD48" s="971"/>
      <c r="UCE48" s="971"/>
      <c r="UCF48" s="971"/>
      <c r="UCG48" s="971"/>
      <c r="UCH48" s="971"/>
      <c r="UCI48" s="971"/>
      <c r="UCJ48" s="971"/>
      <c r="UCK48" s="971"/>
      <c r="UCL48" s="971"/>
      <c r="UCM48" s="971"/>
      <c r="UCN48" s="971"/>
      <c r="UCO48" s="971"/>
      <c r="UCP48" s="971"/>
      <c r="UCQ48" s="971"/>
      <c r="UCR48" s="971"/>
      <c r="UCS48" s="971"/>
      <c r="UCT48" s="971"/>
      <c r="UCU48" s="971"/>
      <c r="UCV48" s="971"/>
      <c r="UCW48" s="971"/>
      <c r="UCX48" s="971"/>
      <c r="UCY48" s="971"/>
      <c r="UCZ48" s="971"/>
      <c r="UDA48" s="971"/>
      <c r="UDB48" s="971"/>
      <c r="UDC48" s="971"/>
      <c r="UDD48" s="971"/>
      <c r="UDE48" s="971"/>
      <c r="UDF48" s="971"/>
      <c r="UDG48" s="971"/>
      <c r="UDH48" s="971"/>
      <c r="UDI48" s="971"/>
      <c r="UDJ48" s="971"/>
      <c r="UDK48" s="971"/>
      <c r="UDL48" s="971"/>
      <c r="UDM48" s="971"/>
      <c r="UDN48" s="971"/>
      <c r="UDO48" s="971"/>
      <c r="UDP48" s="971"/>
      <c r="UDQ48" s="971"/>
      <c r="UDR48" s="971"/>
      <c r="UDS48" s="971"/>
      <c r="UDT48" s="971"/>
      <c r="UDU48" s="971"/>
      <c r="UDV48" s="971"/>
      <c r="UDW48" s="971"/>
      <c r="UDX48" s="971"/>
      <c r="UDY48" s="971"/>
      <c r="UDZ48" s="971"/>
      <c r="UEA48" s="971"/>
      <c r="UEB48" s="971"/>
      <c r="UEC48" s="971"/>
      <c r="UED48" s="971"/>
      <c r="UEE48" s="971"/>
      <c r="UEF48" s="971"/>
      <c r="UEG48" s="971"/>
      <c r="UEH48" s="971"/>
      <c r="UEI48" s="971"/>
      <c r="UEJ48" s="971"/>
      <c r="UEK48" s="971"/>
      <c r="UEL48" s="971"/>
      <c r="UEM48" s="971"/>
      <c r="UEN48" s="971"/>
      <c r="UEO48" s="971"/>
      <c r="UEP48" s="971"/>
      <c r="UEQ48" s="971"/>
      <c r="UER48" s="971"/>
      <c r="UES48" s="971"/>
      <c r="UET48" s="971"/>
      <c r="UEU48" s="971"/>
      <c r="UEV48" s="971"/>
      <c r="UEW48" s="971"/>
      <c r="UEX48" s="971"/>
      <c r="UEY48" s="971"/>
      <c r="UEZ48" s="971"/>
      <c r="UFA48" s="971"/>
      <c r="UFB48" s="971"/>
      <c r="UFC48" s="971"/>
      <c r="UFD48" s="971"/>
      <c r="UFE48" s="971"/>
      <c r="UFF48" s="971"/>
      <c r="UFG48" s="971"/>
      <c r="UFH48" s="971"/>
      <c r="UFI48" s="971"/>
      <c r="UFJ48" s="971"/>
      <c r="UFK48" s="971"/>
      <c r="UFL48" s="971"/>
      <c r="UFM48" s="971"/>
      <c r="UFN48" s="971"/>
      <c r="UFO48" s="971"/>
      <c r="UFP48" s="971"/>
      <c r="UFQ48" s="971"/>
      <c r="UFR48" s="971"/>
      <c r="UFS48" s="971"/>
      <c r="UFT48" s="971"/>
      <c r="UFU48" s="971"/>
      <c r="UFV48" s="971"/>
      <c r="UFW48" s="971"/>
      <c r="UFX48" s="971"/>
      <c r="UFY48" s="971"/>
      <c r="UFZ48" s="971"/>
      <c r="UGA48" s="971"/>
      <c r="UGB48" s="971"/>
      <c r="UGC48" s="971"/>
      <c r="UGD48" s="971"/>
      <c r="UGE48" s="971"/>
      <c r="UGF48" s="971"/>
      <c r="UGG48" s="971"/>
      <c r="UGH48" s="971"/>
      <c r="UGI48" s="971"/>
      <c r="UGJ48" s="971"/>
      <c r="UGK48" s="971"/>
      <c r="UGL48" s="971"/>
      <c r="UGM48" s="971"/>
      <c r="UGN48" s="971"/>
      <c r="UGO48" s="971"/>
      <c r="UGP48" s="971"/>
      <c r="UGQ48" s="971"/>
      <c r="UGR48" s="971"/>
      <c r="UGS48" s="971"/>
      <c r="UGT48" s="971"/>
      <c r="UGU48" s="971"/>
      <c r="UGV48" s="971"/>
      <c r="UGW48" s="971"/>
      <c r="UGX48" s="971"/>
      <c r="UGY48" s="971"/>
      <c r="UGZ48" s="971"/>
      <c r="UHA48" s="971"/>
      <c r="UHB48" s="971"/>
      <c r="UHC48" s="971"/>
      <c r="UHD48" s="971"/>
      <c r="UHE48" s="971"/>
      <c r="UHF48" s="971"/>
      <c r="UHG48" s="971"/>
      <c r="UHH48" s="971"/>
      <c r="UHI48" s="971"/>
      <c r="UHJ48" s="971"/>
      <c r="UHK48" s="971"/>
      <c r="UHL48" s="971"/>
      <c r="UHM48" s="971"/>
      <c r="UHN48" s="971"/>
      <c r="UHO48" s="971"/>
      <c r="UHP48" s="971"/>
      <c r="UHQ48" s="971"/>
      <c r="UHR48" s="971"/>
      <c r="UHS48" s="971"/>
      <c r="UHT48" s="971"/>
      <c r="UHU48" s="971"/>
      <c r="UHV48" s="971"/>
      <c r="UHW48" s="971"/>
      <c r="UHX48" s="971"/>
      <c r="UHY48" s="971"/>
      <c r="UHZ48" s="971"/>
      <c r="UIA48" s="971"/>
      <c r="UIB48" s="971"/>
      <c r="UIC48" s="971"/>
      <c r="UID48" s="971"/>
      <c r="UIE48" s="971"/>
      <c r="UIF48" s="971"/>
      <c r="UIG48" s="971"/>
      <c r="UIH48" s="971"/>
      <c r="UII48" s="971"/>
      <c r="UIJ48" s="971"/>
      <c r="UIK48" s="971"/>
      <c r="UIL48" s="971"/>
      <c r="UIM48" s="971"/>
      <c r="UIN48" s="971"/>
      <c r="UIO48" s="971"/>
      <c r="UIP48" s="971"/>
      <c r="UIQ48" s="971"/>
      <c r="UIR48" s="971"/>
      <c r="UIS48" s="971"/>
      <c r="UIT48" s="971"/>
      <c r="UIU48" s="971"/>
      <c r="UIV48" s="971"/>
      <c r="UIW48" s="971"/>
      <c r="UIX48" s="971"/>
      <c r="UIY48" s="971"/>
      <c r="UIZ48" s="971"/>
      <c r="UJA48" s="971"/>
      <c r="UJB48" s="971"/>
      <c r="UJC48" s="971"/>
      <c r="UJD48" s="971"/>
      <c r="UJE48" s="971"/>
      <c r="UJF48" s="971"/>
      <c r="UJG48" s="971"/>
      <c r="UJH48" s="971"/>
      <c r="UJI48" s="971"/>
      <c r="UJJ48" s="971"/>
      <c r="UJK48" s="971"/>
      <c r="UJL48" s="971"/>
      <c r="UJM48" s="971"/>
      <c r="UJN48" s="971"/>
      <c r="UJO48" s="971"/>
      <c r="UJP48" s="971"/>
      <c r="UJQ48" s="971"/>
      <c r="UJR48" s="971"/>
      <c r="UJS48" s="971"/>
      <c r="UJT48" s="971"/>
      <c r="UJU48" s="971"/>
      <c r="UJV48" s="971"/>
      <c r="UJW48" s="971"/>
      <c r="UJX48" s="971"/>
      <c r="UJY48" s="971"/>
      <c r="UJZ48" s="971"/>
      <c r="UKA48" s="971"/>
      <c r="UKB48" s="971"/>
      <c r="UKC48" s="971"/>
      <c r="UKD48" s="971"/>
      <c r="UKE48" s="971"/>
      <c r="UKF48" s="971"/>
      <c r="UKG48" s="971"/>
      <c r="UKH48" s="971"/>
      <c r="UKI48" s="971"/>
      <c r="UKJ48" s="971"/>
      <c r="UKK48" s="971"/>
      <c r="UKL48" s="971"/>
      <c r="UKM48" s="971"/>
      <c r="UKN48" s="971"/>
      <c r="UKO48" s="971"/>
      <c r="UKP48" s="971"/>
      <c r="UKQ48" s="971"/>
      <c r="UKR48" s="971"/>
      <c r="UKS48" s="971"/>
      <c r="UKT48" s="971"/>
      <c r="UKU48" s="971"/>
      <c r="UKV48" s="971"/>
      <c r="UKW48" s="971"/>
      <c r="UKX48" s="971"/>
      <c r="UKY48" s="971"/>
      <c r="UKZ48" s="971"/>
      <c r="ULA48" s="971"/>
      <c r="ULB48" s="971"/>
      <c r="ULC48" s="971"/>
      <c r="ULD48" s="971"/>
      <c r="ULE48" s="971"/>
      <c r="ULF48" s="971"/>
      <c r="ULG48" s="971"/>
      <c r="ULH48" s="971"/>
      <c r="ULI48" s="971"/>
      <c r="ULJ48" s="971"/>
      <c r="ULK48" s="971"/>
      <c r="ULL48" s="971"/>
      <c r="ULM48" s="971"/>
      <c r="ULN48" s="971"/>
      <c r="ULO48" s="971"/>
      <c r="ULP48" s="971"/>
      <c r="ULQ48" s="971"/>
      <c r="ULR48" s="971"/>
      <c r="ULS48" s="971"/>
      <c r="ULT48" s="971"/>
      <c r="ULU48" s="971"/>
      <c r="ULV48" s="971"/>
      <c r="ULW48" s="971"/>
      <c r="ULX48" s="971"/>
      <c r="ULY48" s="971"/>
      <c r="ULZ48" s="971"/>
      <c r="UMA48" s="971"/>
      <c r="UMB48" s="971"/>
      <c r="UMC48" s="971"/>
      <c r="UMD48" s="971"/>
      <c r="UME48" s="971"/>
      <c r="UMF48" s="971"/>
      <c r="UMG48" s="971"/>
      <c r="UMH48" s="971"/>
      <c r="UMI48" s="971"/>
      <c r="UMJ48" s="971"/>
      <c r="UMK48" s="971"/>
      <c r="UML48" s="971"/>
      <c r="UMM48" s="971"/>
      <c r="UMN48" s="971"/>
      <c r="UMO48" s="971"/>
      <c r="UMP48" s="971"/>
      <c r="UMQ48" s="971"/>
      <c r="UMR48" s="971"/>
      <c r="UMS48" s="971"/>
      <c r="UMT48" s="971"/>
      <c r="UMU48" s="971"/>
      <c r="UMV48" s="971"/>
      <c r="UMW48" s="971"/>
      <c r="UMX48" s="971"/>
      <c r="UMY48" s="971"/>
      <c r="UMZ48" s="971"/>
      <c r="UNA48" s="971"/>
      <c r="UNB48" s="971"/>
      <c r="UNC48" s="971"/>
      <c r="UND48" s="971"/>
      <c r="UNE48" s="971"/>
      <c r="UNF48" s="971"/>
      <c r="UNG48" s="971"/>
      <c r="UNH48" s="971"/>
      <c r="UNI48" s="971"/>
      <c r="UNJ48" s="971"/>
      <c r="UNK48" s="971"/>
      <c r="UNL48" s="971"/>
      <c r="UNM48" s="971"/>
      <c r="UNN48" s="971"/>
      <c r="UNO48" s="971"/>
      <c r="UNP48" s="971"/>
      <c r="UNQ48" s="971"/>
      <c r="UNR48" s="971"/>
      <c r="UNS48" s="971"/>
      <c r="UNT48" s="971"/>
      <c r="UNU48" s="971"/>
      <c r="UNV48" s="971"/>
      <c r="UNW48" s="971"/>
      <c r="UNX48" s="971"/>
      <c r="UNY48" s="971"/>
      <c r="UNZ48" s="971"/>
      <c r="UOA48" s="971"/>
      <c r="UOB48" s="971"/>
      <c r="UOC48" s="971"/>
      <c r="UOD48" s="971"/>
      <c r="UOE48" s="971"/>
      <c r="UOF48" s="971"/>
      <c r="UOG48" s="971"/>
      <c r="UOH48" s="971"/>
      <c r="UOI48" s="971"/>
      <c r="UOJ48" s="971"/>
      <c r="UOK48" s="971"/>
      <c r="UOL48" s="971"/>
      <c r="UOM48" s="971"/>
      <c r="UON48" s="971"/>
      <c r="UOO48" s="971"/>
      <c r="UOP48" s="971"/>
      <c r="UOQ48" s="971"/>
      <c r="UOR48" s="971"/>
      <c r="UOS48" s="971"/>
      <c r="UOT48" s="971"/>
      <c r="UOU48" s="971"/>
      <c r="UOV48" s="971"/>
      <c r="UOW48" s="971"/>
      <c r="UOX48" s="971"/>
      <c r="UOY48" s="971"/>
      <c r="UOZ48" s="971"/>
      <c r="UPA48" s="971"/>
      <c r="UPB48" s="971"/>
      <c r="UPC48" s="971"/>
      <c r="UPD48" s="971"/>
      <c r="UPE48" s="971"/>
      <c r="UPF48" s="971"/>
      <c r="UPG48" s="971"/>
      <c r="UPH48" s="971"/>
      <c r="UPI48" s="971"/>
      <c r="UPJ48" s="971"/>
      <c r="UPK48" s="971"/>
      <c r="UPL48" s="971"/>
      <c r="UPM48" s="971"/>
      <c r="UPN48" s="971"/>
      <c r="UPO48" s="971"/>
      <c r="UPP48" s="971"/>
      <c r="UPQ48" s="971"/>
      <c r="UPR48" s="971"/>
      <c r="UPS48" s="971"/>
      <c r="UPT48" s="971"/>
      <c r="UPU48" s="971"/>
      <c r="UPV48" s="971"/>
      <c r="UPW48" s="971"/>
      <c r="UPX48" s="971"/>
      <c r="UPY48" s="971"/>
      <c r="UPZ48" s="971"/>
      <c r="UQA48" s="971"/>
      <c r="UQB48" s="971"/>
      <c r="UQC48" s="971"/>
      <c r="UQD48" s="971"/>
      <c r="UQE48" s="971"/>
      <c r="UQF48" s="971"/>
      <c r="UQG48" s="971"/>
      <c r="UQH48" s="971"/>
      <c r="UQI48" s="971"/>
      <c r="UQJ48" s="971"/>
      <c r="UQK48" s="971"/>
      <c r="UQL48" s="971"/>
      <c r="UQM48" s="971"/>
      <c r="UQN48" s="971"/>
      <c r="UQO48" s="971"/>
      <c r="UQP48" s="971"/>
      <c r="UQQ48" s="971"/>
      <c r="UQR48" s="971"/>
      <c r="UQS48" s="971"/>
      <c r="UQT48" s="971"/>
      <c r="UQU48" s="971"/>
      <c r="UQV48" s="971"/>
      <c r="UQW48" s="971"/>
      <c r="UQX48" s="971"/>
      <c r="UQY48" s="971"/>
      <c r="UQZ48" s="971"/>
      <c r="URA48" s="971"/>
      <c r="URB48" s="971"/>
      <c r="URC48" s="971"/>
      <c r="URD48" s="971"/>
      <c r="URE48" s="971"/>
      <c r="URF48" s="971"/>
      <c r="URG48" s="971"/>
      <c r="URH48" s="971"/>
      <c r="URI48" s="971"/>
      <c r="URJ48" s="971"/>
      <c r="URK48" s="971"/>
      <c r="URL48" s="971"/>
      <c r="URM48" s="971"/>
      <c r="URN48" s="971"/>
      <c r="URO48" s="971"/>
      <c r="URP48" s="971"/>
      <c r="URQ48" s="971"/>
      <c r="URR48" s="971"/>
      <c r="URS48" s="971"/>
      <c r="URT48" s="971"/>
      <c r="URU48" s="971"/>
      <c r="URV48" s="971"/>
      <c r="URW48" s="971"/>
      <c r="URX48" s="971"/>
      <c r="URY48" s="971"/>
      <c r="URZ48" s="971"/>
      <c r="USA48" s="971"/>
      <c r="USB48" s="971"/>
      <c r="USC48" s="971"/>
      <c r="USD48" s="971"/>
      <c r="USE48" s="971"/>
      <c r="USF48" s="971"/>
      <c r="USG48" s="971"/>
      <c r="USH48" s="971"/>
      <c r="USI48" s="971"/>
      <c r="USJ48" s="971"/>
      <c r="USK48" s="971"/>
      <c r="USL48" s="971"/>
      <c r="USM48" s="971"/>
      <c r="USN48" s="971"/>
      <c r="USO48" s="971"/>
      <c r="USP48" s="971"/>
      <c r="USQ48" s="971"/>
      <c r="USR48" s="971"/>
      <c r="USS48" s="971"/>
      <c r="UST48" s="971"/>
      <c r="USU48" s="971"/>
      <c r="USV48" s="971"/>
      <c r="USW48" s="971"/>
      <c r="USX48" s="971"/>
      <c r="USY48" s="971"/>
      <c r="USZ48" s="971"/>
      <c r="UTA48" s="971"/>
      <c r="UTB48" s="971"/>
      <c r="UTC48" s="971"/>
      <c r="UTD48" s="971"/>
      <c r="UTE48" s="971"/>
      <c r="UTF48" s="971"/>
      <c r="UTG48" s="971"/>
      <c r="UTH48" s="971"/>
      <c r="UTI48" s="971"/>
      <c r="UTJ48" s="971"/>
      <c r="UTK48" s="971"/>
      <c r="UTL48" s="971"/>
      <c r="UTM48" s="971"/>
      <c r="UTN48" s="971"/>
      <c r="UTO48" s="971"/>
      <c r="UTP48" s="971"/>
      <c r="UTQ48" s="971"/>
      <c r="UTR48" s="971"/>
      <c r="UTS48" s="971"/>
      <c r="UTT48" s="971"/>
      <c r="UTU48" s="971"/>
      <c r="UTV48" s="971"/>
      <c r="UTW48" s="971"/>
      <c r="UTX48" s="971"/>
      <c r="UTY48" s="971"/>
      <c r="UTZ48" s="971"/>
      <c r="UUA48" s="971"/>
      <c r="UUB48" s="971"/>
      <c r="UUC48" s="971"/>
      <c r="UUD48" s="971"/>
      <c r="UUE48" s="971"/>
      <c r="UUF48" s="971"/>
      <c r="UUG48" s="971"/>
      <c r="UUH48" s="971"/>
      <c r="UUI48" s="971"/>
      <c r="UUJ48" s="971"/>
      <c r="UUK48" s="971"/>
      <c r="UUL48" s="971"/>
      <c r="UUM48" s="971"/>
      <c r="UUN48" s="971"/>
      <c r="UUO48" s="971"/>
      <c r="UUP48" s="971"/>
      <c r="UUQ48" s="971"/>
      <c r="UUR48" s="971"/>
      <c r="UUS48" s="971"/>
      <c r="UUT48" s="971"/>
      <c r="UUU48" s="971"/>
      <c r="UUV48" s="971"/>
      <c r="UUW48" s="971"/>
      <c r="UUX48" s="971"/>
      <c r="UUY48" s="971"/>
      <c r="UUZ48" s="971"/>
      <c r="UVA48" s="971"/>
      <c r="UVB48" s="971"/>
      <c r="UVC48" s="971"/>
      <c r="UVD48" s="971"/>
      <c r="UVE48" s="971"/>
      <c r="UVF48" s="971"/>
      <c r="UVG48" s="971"/>
      <c r="UVH48" s="971"/>
      <c r="UVI48" s="971"/>
      <c r="UVJ48" s="971"/>
      <c r="UVK48" s="971"/>
      <c r="UVL48" s="971"/>
      <c r="UVM48" s="971"/>
      <c r="UVN48" s="971"/>
      <c r="UVO48" s="971"/>
      <c r="UVP48" s="971"/>
      <c r="UVQ48" s="971"/>
      <c r="UVR48" s="971"/>
      <c r="UVS48" s="971"/>
      <c r="UVT48" s="971"/>
      <c r="UVU48" s="971"/>
      <c r="UVV48" s="971"/>
      <c r="UVW48" s="971"/>
      <c r="UVX48" s="971"/>
      <c r="UVY48" s="971"/>
      <c r="UVZ48" s="971"/>
      <c r="UWA48" s="971"/>
      <c r="UWB48" s="971"/>
      <c r="UWC48" s="971"/>
      <c r="UWD48" s="971"/>
      <c r="UWE48" s="971"/>
      <c r="UWF48" s="971"/>
      <c r="UWG48" s="971"/>
      <c r="UWH48" s="971"/>
      <c r="UWI48" s="971"/>
      <c r="UWJ48" s="971"/>
      <c r="UWK48" s="971"/>
      <c r="UWL48" s="971"/>
      <c r="UWM48" s="971"/>
      <c r="UWN48" s="971"/>
      <c r="UWO48" s="971"/>
      <c r="UWP48" s="971"/>
      <c r="UWQ48" s="971"/>
      <c r="UWR48" s="971"/>
      <c r="UWS48" s="971"/>
      <c r="UWT48" s="971"/>
      <c r="UWU48" s="971"/>
      <c r="UWV48" s="971"/>
      <c r="UWW48" s="971"/>
      <c r="UWX48" s="971"/>
      <c r="UWY48" s="971"/>
      <c r="UWZ48" s="971"/>
      <c r="UXA48" s="971"/>
      <c r="UXB48" s="971"/>
      <c r="UXC48" s="971"/>
      <c r="UXD48" s="971"/>
      <c r="UXE48" s="971"/>
      <c r="UXF48" s="971"/>
      <c r="UXG48" s="971"/>
      <c r="UXH48" s="971"/>
      <c r="UXI48" s="971"/>
      <c r="UXJ48" s="971"/>
      <c r="UXK48" s="971"/>
      <c r="UXL48" s="971"/>
      <c r="UXM48" s="971"/>
      <c r="UXN48" s="971"/>
      <c r="UXO48" s="971"/>
      <c r="UXP48" s="971"/>
      <c r="UXQ48" s="971"/>
      <c r="UXR48" s="971"/>
      <c r="UXS48" s="971"/>
      <c r="UXT48" s="971"/>
      <c r="UXU48" s="971"/>
      <c r="UXV48" s="971"/>
      <c r="UXW48" s="971"/>
      <c r="UXX48" s="971"/>
      <c r="UXY48" s="971"/>
      <c r="UXZ48" s="971"/>
      <c r="UYA48" s="971"/>
      <c r="UYB48" s="971"/>
      <c r="UYC48" s="971"/>
      <c r="UYD48" s="971"/>
      <c r="UYE48" s="971"/>
      <c r="UYF48" s="971"/>
      <c r="UYG48" s="971"/>
      <c r="UYH48" s="971"/>
      <c r="UYI48" s="971"/>
      <c r="UYJ48" s="971"/>
      <c r="UYK48" s="971"/>
      <c r="UYL48" s="971"/>
      <c r="UYM48" s="971"/>
      <c r="UYN48" s="971"/>
      <c r="UYO48" s="971"/>
      <c r="UYP48" s="971"/>
      <c r="UYQ48" s="971"/>
      <c r="UYR48" s="971"/>
      <c r="UYS48" s="971"/>
      <c r="UYT48" s="971"/>
      <c r="UYU48" s="971"/>
      <c r="UYV48" s="971"/>
      <c r="UYW48" s="971"/>
      <c r="UYX48" s="971"/>
      <c r="UYY48" s="971"/>
      <c r="UYZ48" s="971"/>
      <c r="UZA48" s="971"/>
      <c r="UZB48" s="971"/>
      <c r="UZC48" s="971"/>
      <c r="UZD48" s="971"/>
      <c r="UZE48" s="971"/>
      <c r="UZF48" s="971"/>
      <c r="UZG48" s="971"/>
      <c r="UZH48" s="971"/>
      <c r="UZI48" s="971"/>
      <c r="UZJ48" s="971"/>
      <c r="UZK48" s="971"/>
      <c r="UZL48" s="971"/>
      <c r="UZM48" s="971"/>
      <c r="UZN48" s="971"/>
      <c r="UZO48" s="971"/>
      <c r="UZP48" s="971"/>
      <c r="UZQ48" s="971"/>
      <c r="UZR48" s="971"/>
      <c r="UZS48" s="971"/>
      <c r="UZT48" s="971"/>
      <c r="UZU48" s="971"/>
      <c r="UZV48" s="971"/>
      <c r="UZW48" s="971"/>
      <c r="UZX48" s="971"/>
      <c r="UZY48" s="971"/>
      <c r="UZZ48" s="971"/>
      <c r="VAA48" s="971"/>
      <c r="VAB48" s="971"/>
      <c r="VAC48" s="971"/>
      <c r="VAD48" s="971"/>
      <c r="VAE48" s="971"/>
      <c r="VAF48" s="971"/>
      <c r="VAG48" s="971"/>
      <c r="VAH48" s="971"/>
      <c r="VAI48" s="971"/>
      <c r="VAJ48" s="971"/>
      <c r="VAK48" s="971"/>
      <c r="VAL48" s="971"/>
      <c r="VAM48" s="971"/>
      <c r="VAN48" s="971"/>
      <c r="VAO48" s="971"/>
      <c r="VAP48" s="971"/>
      <c r="VAQ48" s="971"/>
      <c r="VAR48" s="971"/>
      <c r="VAS48" s="971"/>
      <c r="VAT48" s="971"/>
      <c r="VAU48" s="971"/>
      <c r="VAV48" s="971"/>
      <c r="VAW48" s="971"/>
      <c r="VAX48" s="971"/>
      <c r="VAY48" s="971"/>
      <c r="VAZ48" s="971"/>
      <c r="VBA48" s="971"/>
      <c r="VBB48" s="971"/>
      <c r="VBC48" s="971"/>
      <c r="VBD48" s="971"/>
      <c r="VBE48" s="971"/>
      <c r="VBF48" s="971"/>
      <c r="VBG48" s="971"/>
      <c r="VBH48" s="971"/>
      <c r="VBI48" s="971"/>
      <c r="VBJ48" s="971"/>
      <c r="VBK48" s="971"/>
      <c r="VBL48" s="971"/>
      <c r="VBM48" s="971"/>
      <c r="VBN48" s="971"/>
      <c r="VBO48" s="971"/>
      <c r="VBP48" s="971"/>
      <c r="VBQ48" s="971"/>
      <c r="VBR48" s="971"/>
      <c r="VBS48" s="971"/>
      <c r="VBT48" s="971"/>
      <c r="VBU48" s="971"/>
      <c r="VBV48" s="971"/>
      <c r="VBW48" s="971"/>
      <c r="VBX48" s="971"/>
      <c r="VBY48" s="971"/>
      <c r="VBZ48" s="971"/>
      <c r="VCA48" s="971"/>
      <c r="VCB48" s="971"/>
      <c r="VCC48" s="971"/>
      <c r="VCD48" s="971"/>
      <c r="VCE48" s="971"/>
      <c r="VCF48" s="971"/>
      <c r="VCG48" s="971"/>
      <c r="VCH48" s="971"/>
      <c r="VCI48" s="971"/>
      <c r="VCJ48" s="971"/>
      <c r="VCK48" s="971"/>
      <c r="VCL48" s="971"/>
      <c r="VCM48" s="971"/>
      <c r="VCN48" s="971"/>
      <c r="VCO48" s="971"/>
      <c r="VCP48" s="971"/>
      <c r="VCQ48" s="971"/>
      <c r="VCR48" s="971"/>
      <c r="VCS48" s="971"/>
      <c r="VCT48" s="971"/>
      <c r="VCU48" s="971"/>
      <c r="VCV48" s="971"/>
      <c r="VCW48" s="971"/>
      <c r="VCX48" s="971"/>
      <c r="VCY48" s="971"/>
      <c r="VCZ48" s="971"/>
      <c r="VDA48" s="971"/>
      <c r="VDB48" s="971"/>
      <c r="VDC48" s="971"/>
      <c r="VDD48" s="971"/>
      <c r="VDE48" s="971"/>
      <c r="VDF48" s="971"/>
      <c r="VDG48" s="971"/>
      <c r="VDH48" s="971"/>
      <c r="VDI48" s="971"/>
      <c r="VDJ48" s="971"/>
      <c r="VDK48" s="971"/>
      <c r="VDL48" s="971"/>
      <c r="VDM48" s="971"/>
      <c r="VDN48" s="971"/>
      <c r="VDO48" s="971"/>
      <c r="VDP48" s="971"/>
      <c r="VDQ48" s="971"/>
      <c r="VDR48" s="971"/>
      <c r="VDS48" s="971"/>
      <c r="VDT48" s="971"/>
      <c r="VDU48" s="971"/>
      <c r="VDV48" s="971"/>
      <c r="VDW48" s="971"/>
      <c r="VDX48" s="971"/>
      <c r="VDY48" s="971"/>
      <c r="VDZ48" s="971"/>
      <c r="VEA48" s="971"/>
      <c r="VEB48" s="971"/>
      <c r="VEC48" s="971"/>
      <c r="VED48" s="971"/>
      <c r="VEE48" s="971"/>
      <c r="VEF48" s="971"/>
      <c r="VEG48" s="971"/>
      <c r="VEH48" s="971"/>
      <c r="VEI48" s="971"/>
      <c r="VEJ48" s="971"/>
      <c r="VEK48" s="971"/>
      <c r="VEL48" s="971"/>
      <c r="VEM48" s="971"/>
      <c r="VEN48" s="971"/>
      <c r="VEO48" s="971"/>
      <c r="VEP48" s="971"/>
      <c r="VEQ48" s="971"/>
      <c r="VER48" s="971"/>
      <c r="VES48" s="971"/>
      <c r="VET48" s="971"/>
      <c r="VEU48" s="971"/>
      <c r="VEV48" s="971"/>
      <c r="VEW48" s="971"/>
      <c r="VEX48" s="971"/>
      <c r="VEY48" s="971"/>
      <c r="VEZ48" s="971"/>
      <c r="VFA48" s="971"/>
      <c r="VFB48" s="971"/>
      <c r="VFC48" s="971"/>
      <c r="VFD48" s="971"/>
      <c r="VFE48" s="971"/>
      <c r="VFF48" s="971"/>
      <c r="VFG48" s="971"/>
      <c r="VFH48" s="971"/>
      <c r="VFI48" s="971"/>
      <c r="VFJ48" s="971"/>
      <c r="VFK48" s="971"/>
      <c r="VFL48" s="971"/>
      <c r="VFM48" s="971"/>
      <c r="VFN48" s="971"/>
      <c r="VFO48" s="971"/>
      <c r="VFP48" s="971"/>
      <c r="VFQ48" s="971"/>
      <c r="VFR48" s="971"/>
      <c r="VFS48" s="971"/>
      <c r="VFT48" s="971"/>
      <c r="VFU48" s="971"/>
      <c r="VFV48" s="971"/>
      <c r="VFW48" s="971"/>
      <c r="VFX48" s="971"/>
      <c r="VFY48" s="971"/>
      <c r="VFZ48" s="971"/>
      <c r="VGA48" s="971"/>
      <c r="VGB48" s="971"/>
      <c r="VGC48" s="971"/>
      <c r="VGD48" s="971"/>
      <c r="VGE48" s="971"/>
      <c r="VGF48" s="971"/>
      <c r="VGG48" s="971"/>
      <c r="VGH48" s="971"/>
      <c r="VGI48" s="971"/>
      <c r="VGJ48" s="971"/>
      <c r="VGK48" s="971"/>
      <c r="VGL48" s="971"/>
      <c r="VGM48" s="971"/>
      <c r="VGN48" s="971"/>
      <c r="VGO48" s="971"/>
      <c r="VGP48" s="971"/>
      <c r="VGQ48" s="971"/>
      <c r="VGR48" s="971"/>
      <c r="VGS48" s="971"/>
      <c r="VGT48" s="971"/>
      <c r="VGU48" s="971"/>
      <c r="VGV48" s="971"/>
      <c r="VGW48" s="971"/>
      <c r="VGX48" s="971"/>
      <c r="VGY48" s="971"/>
      <c r="VGZ48" s="971"/>
      <c r="VHA48" s="971"/>
      <c r="VHB48" s="971"/>
      <c r="VHC48" s="971"/>
      <c r="VHD48" s="971"/>
      <c r="VHE48" s="971"/>
      <c r="VHF48" s="971"/>
      <c r="VHG48" s="971"/>
      <c r="VHH48" s="971"/>
      <c r="VHI48" s="971"/>
      <c r="VHJ48" s="971"/>
      <c r="VHK48" s="971"/>
      <c r="VHL48" s="971"/>
      <c r="VHM48" s="971"/>
      <c r="VHN48" s="971"/>
      <c r="VHO48" s="971"/>
      <c r="VHP48" s="971"/>
      <c r="VHQ48" s="971"/>
      <c r="VHR48" s="971"/>
      <c r="VHS48" s="971"/>
      <c r="VHT48" s="971"/>
      <c r="VHU48" s="971"/>
      <c r="VHV48" s="971"/>
      <c r="VHW48" s="971"/>
      <c r="VHX48" s="971"/>
      <c r="VHY48" s="971"/>
      <c r="VHZ48" s="971"/>
      <c r="VIA48" s="971"/>
      <c r="VIB48" s="971"/>
      <c r="VIC48" s="971"/>
      <c r="VID48" s="971"/>
      <c r="VIE48" s="971"/>
      <c r="VIF48" s="971"/>
      <c r="VIG48" s="971"/>
      <c r="VIH48" s="971"/>
      <c r="VII48" s="971"/>
      <c r="VIJ48" s="971"/>
      <c r="VIK48" s="971"/>
      <c r="VIL48" s="971"/>
      <c r="VIM48" s="971"/>
      <c r="VIN48" s="971"/>
      <c r="VIO48" s="971"/>
      <c r="VIP48" s="971"/>
      <c r="VIQ48" s="971"/>
      <c r="VIR48" s="971"/>
      <c r="VIS48" s="971"/>
      <c r="VIT48" s="971"/>
      <c r="VIU48" s="971"/>
      <c r="VIV48" s="971"/>
      <c r="VIW48" s="971"/>
      <c r="VIX48" s="971"/>
      <c r="VIY48" s="971"/>
      <c r="VIZ48" s="971"/>
      <c r="VJA48" s="971"/>
      <c r="VJB48" s="971"/>
      <c r="VJC48" s="971"/>
      <c r="VJD48" s="971"/>
      <c r="VJE48" s="971"/>
      <c r="VJF48" s="971"/>
      <c r="VJG48" s="971"/>
      <c r="VJH48" s="971"/>
      <c r="VJI48" s="971"/>
      <c r="VJJ48" s="971"/>
      <c r="VJK48" s="971"/>
      <c r="VJL48" s="971"/>
      <c r="VJM48" s="971"/>
      <c r="VJN48" s="971"/>
      <c r="VJO48" s="971"/>
      <c r="VJP48" s="971"/>
      <c r="VJQ48" s="971"/>
      <c r="VJR48" s="971"/>
      <c r="VJS48" s="971"/>
      <c r="VJT48" s="971"/>
      <c r="VJU48" s="971"/>
      <c r="VJV48" s="971"/>
      <c r="VJW48" s="971"/>
      <c r="VJX48" s="971"/>
      <c r="VJY48" s="971"/>
      <c r="VJZ48" s="971"/>
      <c r="VKA48" s="971"/>
      <c r="VKB48" s="971"/>
      <c r="VKC48" s="971"/>
      <c r="VKD48" s="971"/>
      <c r="VKE48" s="971"/>
      <c r="VKF48" s="971"/>
      <c r="VKG48" s="971"/>
      <c r="VKH48" s="971"/>
      <c r="VKI48" s="971"/>
      <c r="VKJ48" s="971"/>
      <c r="VKK48" s="971"/>
      <c r="VKL48" s="971"/>
      <c r="VKM48" s="971"/>
      <c r="VKN48" s="971"/>
      <c r="VKO48" s="971"/>
      <c r="VKP48" s="971"/>
      <c r="VKQ48" s="971"/>
      <c r="VKR48" s="971"/>
      <c r="VKS48" s="971"/>
      <c r="VKT48" s="971"/>
      <c r="VKU48" s="971"/>
      <c r="VKV48" s="971"/>
      <c r="VKW48" s="971"/>
      <c r="VKX48" s="971"/>
      <c r="VKY48" s="971"/>
      <c r="VKZ48" s="971"/>
      <c r="VLA48" s="971"/>
      <c r="VLB48" s="971"/>
      <c r="VLC48" s="971"/>
      <c r="VLD48" s="971"/>
      <c r="VLE48" s="971"/>
      <c r="VLF48" s="971"/>
      <c r="VLG48" s="971"/>
      <c r="VLH48" s="971"/>
      <c r="VLI48" s="971"/>
      <c r="VLJ48" s="971"/>
      <c r="VLK48" s="971"/>
      <c r="VLL48" s="971"/>
      <c r="VLM48" s="971"/>
      <c r="VLN48" s="971"/>
      <c r="VLO48" s="971"/>
      <c r="VLP48" s="971"/>
      <c r="VLQ48" s="971"/>
      <c r="VLR48" s="971"/>
      <c r="VLS48" s="971"/>
      <c r="VLT48" s="971"/>
      <c r="VLU48" s="971"/>
      <c r="VLV48" s="971"/>
      <c r="VLW48" s="971"/>
      <c r="VLX48" s="971"/>
      <c r="VLY48" s="971"/>
      <c r="VLZ48" s="971"/>
      <c r="VMA48" s="971"/>
      <c r="VMB48" s="971"/>
      <c r="VMC48" s="971"/>
      <c r="VMD48" s="971"/>
      <c r="VME48" s="971"/>
      <c r="VMF48" s="971"/>
      <c r="VMG48" s="971"/>
      <c r="VMH48" s="971"/>
      <c r="VMI48" s="971"/>
      <c r="VMJ48" s="971"/>
      <c r="VMK48" s="971"/>
      <c r="VML48" s="971"/>
      <c r="VMM48" s="971"/>
      <c r="VMN48" s="971"/>
      <c r="VMO48" s="971"/>
      <c r="VMP48" s="971"/>
      <c r="VMQ48" s="971"/>
      <c r="VMR48" s="971"/>
      <c r="VMS48" s="971"/>
      <c r="VMT48" s="971"/>
      <c r="VMU48" s="971"/>
      <c r="VMV48" s="971"/>
      <c r="VMW48" s="971"/>
      <c r="VMX48" s="971"/>
      <c r="VMY48" s="971"/>
      <c r="VMZ48" s="971"/>
      <c r="VNA48" s="971"/>
      <c r="VNB48" s="971"/>
      <c r="VNC48" s="971"/>
      <c r="VND48" s="971"/>
      <c r="VNE48" s="971"/>
      <c r="VNF48" s="971"/>
      <c r="VNG48" s="971"/>
      <c r="VNH48" s="971"/>
      <c r="VNI48" s="971"/>
      <c r="VNJ48" s="971"/>
      <c r="VNK48" s="971"/>
      <c r="VNL48" s="971"/>
      <c r="VNM48" s="971"/>
      <c r="VNN48" s="971"/>
      <c r="VNO48" s="971"/>
      <c r="VNP48" s="971"/>
      <c r="VNQ48" s="971"/>
      <c r="VNR48" s="971"/>
      <c r="VNS48" s="971"/>
      <c r="VNT48" s="971"/>
      <c r="VNU48" s="971"/>
      <c r="VNV48" s="971"/>
      <c r="VNW48" s="971"/>
      <c r="VNX48" s="971"/>
      <c r="VNY48" s="971"/>
      <c r="VNZ48" s="971"/>
      <c r="VOA48" s="971"/>
      <c r="VOB48" s="971"/>
      <c r="VOC48" s="971"/>
      <c r="VOD48" s="971"/>
      <c r="VOE48" s="971"/>
      <c r="VOF48" s="971"/>
      <c r="VOG48" s="971"/>
      <c r="VOH48" s="971"/>
      <c r="VOI48" s="971"/>
      <c r="VOJ48" s="971"/>
      <c r="VOK48" s="971"/>
      <c r="VOL48" s="971"/>
      <c r="VOM48" s="971"/>
      <c r="VON48" s="971"/>
      <c r="VOO48" s="971"/>
      <c r="VOP48" s="971"/>
      <c r="VOQ48" s="971"/>
      <c r="VOR48" s="971"/>
      <c r="VOS48" s="971"/>
      <c r="VOT48" s="971"/>
      <c r="VOU48" s="971"/>
      <c r="VOV48" s="971"/>
      <c r="VOW48" s="971"/>
      <c r="VOX48" s="971"/>
      <c r="VOY48" s="971"/>
      <c r="VOZ48" s="971"/>
      <c r="VPA48" s="971"/>
      <c r="VPB48" s="971"/>
      <c r="VPC48" s="971"/>
      <c r="VPD48" s="971"/>
      <c r="VPE48" s="971"/>
      <c r="VPF48" s="971"/>
      <c r="VPG48" s="971"/>
      <c r="VPH48" s="971"/>
      <c r="VPI48" s="971"/>
      <c r="VPJ48" s="971"/>
      <c r="VPK48" s="971"/>
      <c r="VPL48" s="971"/>
      <c r="VPM48" s="971"/>
      <c r="VPN48" s="971"/>
      <c r="VPO48" s="971"/>
      <c r="VPP48" s="971"/>
      <c r="VPQ48" s="971"/>
      <c r="VPR48" s="971"/>
      <c r="VPS48" s="971"/>
      <c r="VPT48" s="971"/>
      <c r="VPU48" s="971"/>
      <c r="VPV48" s="971"/>
      <c r="VPW48" s="971"/>
      <c r="VPX48" s="971"/>
      <c r="VPY48" s="971"/>
      <c r="VPZ48" s="971"/>
      <c r="VQA48" s="971"/>
      <c r="VQB48" s="971"/>
      <c r="VQC48" s="971"/>
      <c r="VQD48" s="971"/>
      <c r="VQE48" s="971"/>
      <c r="VQF48" s="971"/>
      <c r="VQG48" s="971"/>
      <c r="VQH48" s="971"/>
      <c r="VQI48" s="971"/>
      <c r="VQJ48" s="971"/>
      <c r="VQK48" s="971"/>
      <c r="VQL48" s="971"/>
      <c r="VQM48" s="971"/>
      <c r="VQN48" s="971"/>
      <c r="VQO48" s="971"/>
      <c r="VQP48" s="971"/>
      <c r="VQQ48" s="971"/>
      <c r="VQR48" s="971"/>
      <c r="VQS48" s="971"/>
      <c r="VQT48" s="971"/>
      <c r="VQU48" s="971"/>
      <c r="VQV48" s="971"/>
      <c r="VQW48" s="971"/>
      <c r="VQX48" s="971"/>
      <c r="VQY48" s="971"/>
      <c r="VQZ48" s="971"/>
      <c r="VRA48" s="971"/>
      <c r="VRB48" s="971"/>
      <c r="VRC48" s="971"/>
      <c r="VRD48" s="971"/>
      <c r="VRE48" s="971"/>
      <c r="VRF48" s="971"/>
      <c r="VRG48" s="971"/>
      <c r="VRH48" s="971"/>
      <c r="VRI48" s="971"/>
      <c r="VRJ48" s="971"/>
      <c r="VRK48" s="971"/>
      <c r="VRL48" s="971"/>
      <c r="VRM48" s="971"/>
      <c r="VRN48" s="971"/>
      <c r="VRO48" s="971"/>
      <c r="VRP48" s="971"/>
      <c r="VRQ48" s="971"/>
      <c r="VRR48" s="971"/>
      <c r="VRS48" s="971"/>
      <c r="VRT48" s="971"/>
      <c r="VRU48" s="971"/>
      <c r="VRV48" s="971"/>
      <c r="VRW48" s="971"/>
      <c r="VRX48" s="971"/>
      <c r="VRY48" s="971"/>
      <c r="VRZ48" s="971"/>
      <c r="VSA48" s="971"/>
      <c r="VSB48" s="971"/>
      <c r="VSC48" s="971"/>
      <c r="VSD48" s="971"/>
      <c r="VSE48" s="971"/>
      <c r="VSF48" s="971"/>
      <c r="VSG48" s="971"/>
      <c r="VSH48" s="971"/>
      <c r="VSI48" s="971"/>
      <c r="VSJ48" s="971"/>
      <c r="VSK48" s="971"/>
      <c r="VSL48" s="971"/>
      <c r="VSM48" s="971"/>
      <c r="VSN48" s="971"/>
      <c r="VSO48" s="971"/>
      <c r="VSP48" s="971"/>
      <c r="VSQ48" s="971"/>
      <c r="VSR48" s="971"/>
      <c r="VSS48" s="971"/>
      <c r="VST48" s="971"/>
      <c r="VSU48" s="971"/>
      <c r="VSV48" s="971"/>
      <c r="VSW48" s="971"/>
      <c r="VSX48" s="971"/>
      <c r="VSY48" s="971"/>
      <c r="VSZ48" s="971"/>
      <c r="VTA48" s="971"/>
      <c r="VTB48" s="971"/>
      <c r="VTC48" s="971"/>
      <c r="VTD48" s="971"/>
      <c r="VTE48" s="971"/>
      <c r="VTF48" s="971"/>
      <c r="VTG48" s="971"/>
      <c r="VTH48" s="971"/>
      <c r="VTI48" s="971"/>
      <c r="VTJ48" s="971"/>
      <c r="VTK48" s="971"/>
      <c r="VTL48" s="971"/>
      <c r="VTM48" s="971"/>
      <c r="VTN48" s="971"/>
      <c r="VTO48" s="971"/>
      <c r="VTP48" s="971"/>
      <c r="VTQ48" s="971"/>
      <c r="VTR48" s="971"/>
      <c r="VTS48" s="971"/>
      <c r="VTT48" s="971"/>
      <c r="VTU48" s="971"/>
      <c r="VTV48" s="971"/>
      <c r="VTW48" s="971"/>
      <c r="VTX48" s="971"/>
      <c r="VTY48" s="971"/>
      <c r="VTZ48" s="971"/>
      <c r="VUA48" s="971"/>
      <c r="VUB48" s="971"/>
      <c r="VUC48" s="971"/>
      <c r="VUD48" s="971"/>
      <c r="VUE48" s="971"/>
      <c r="VUF48" s="971"/>
      <c r="VUG48" s="971"/>
      <c r="VUH48" s="971"/>
      <c r="VUI48" s="971"/>
      <c r="VUJ48" s="971"/>
      <c r="VUK48" s="971"/>
      <c r="VUL48" s="971"/>
      <c r="VUM48" s="971"/>
      <c r="VUN48" s="971"/>
      <c r="VUO48" s="971"/>
      <c r="VUP48" s="971"/>
      <c r="VUQ48" s="971"/>
      <c r="VUR48" s="971"/>
      <c r="VUS48" s="971"/>
      <c r="VUT48" s="971"/>
      <c r="VUU48" s="971"/>
      <c r="VUV48" s="971"/>
      <c r="VUW48" s="971"/>
      <c r="VUX48" s="971"/>
      <c r="VUY48" s="971"/>
      <c r="VUZ48" s="971"/>
      <c r="VVA48" s="971"/>
      <c r="VVB48" s="971"/>
      <c r="VVC48" s="971"/>
      <c r="VVD48" s="971"/>
      <c r="VVE48" s="971"/>
      <c r="VVF48" s="971"/>
      <c r="VVG48" s="971"/>
      <c r="VVH48" s="971"/>
      <c r="VVI48" s="971"/>
      <c r="VVJ48" s="971"/>
      <c r="VVK48" s="971"/>
      <c r="VVL48" s="971"/>
      <c r="VVM48" s="971"/>
      <c r="VVN48" s="971"/>
      <c r="VVO48" s="971"/>
      <c r="VVP48" s="971"/>
      <c r="VVQ48" s="971"/>
      <c r="VVR48" s="971"/>
      <c r="VVS48" s="971"/>
      <c r="VVT48" s="971"/>
      <c r="VVU48" s="971"/>
      <c r="VVV48" s="971"/>
      <c r="VVW48" s="971"/>
      <c r="VVX48" s="971"/>
      <c r="VVY48" s="971"/>
      <c r="VVZ48" s="971"/>
      <c r="VWA48" s="971"/>
      <c r="VWB48" s="971"/>
      <c r="VWC48" s="971"/>
      <c r="VWD48" s="971"/>
      <c r="VWE48" s="971"/>
      <c r="VWF48" s="971"/>
      <c r="VWG48" s="971"/>
      <c r="VWH48" s="971"/>
      <c r="VWI48" s="971"/>
      <c r="VWJ48" s="971"/>
      <c r="VWK48" s="971"/>
      <c r="VWL48" s="971"/>
      <c r="VWM48" s="971"/>
      <c r="VWN48" s="971"/>
      <c r="VWO48" s="971"/>
      <c r="VWP48" s="971"/>
      <c r="VWQ48" s="971"/>
      <c r="VWR48" s="971"/>
      <c r="VWS48" s="971"/>
      <c r="VWT48" s="971"/>
      <c r="VWU48" s="971"/>
      <c r="VWV48" s="971"/>
      <c r="VWW48" s="971"/>
      <c r="VWX48" s="971"/>
      <c r="VWY48" s="971"/>
      <c r="VWZ48" s="971"/>
      <c r="VXA48" s="971"/>
      <c r="VXB48" s="971"/>
      <c r="VXC48" s="971"/>
      <c r="VXD48" s="971"/>
      <c r="VXE48" s="971"/>
      <c r="VXF48" s="971"/>
      <c r="VXG48" s="971"/>
      <c r="VXH48" s="971"/>
      <c r="VXI48" s="971"/>
      <c r="VXJ48" s="971"/>
      <c r="VXK48" s="971"/>
      <c r="VXL48" s="971"/>
      <c r="VXM48" s="971"/>
      <c r="VXN48" s="971"/>
      <c r="VXO48" s="971"/>
      <c r="VXP48" s="971"/>
      <c r="VXQ48" s="971"/>
      <c r="VXR48" s="971"/>
      <c r="VXS48" s="971"/>
      <c r="VXT48" s="971"/>
      <c r="VXU48" s="971"/>
      <c r="VXV48" s="971"/>
      <c r="VXW48" s="971"/>
      <c r="VXX48" s="971"/>
      <c r="VXY48" s="971"/>
      <c r="VXZ48" s="971"/>
      <c r="VYA48" s="971"/>
      <c r="VYB48" s="971"/>
      <c r="VYC48" s="971"/>
      <c r="VYD48" s="971"/>
      <c r="VYE48" s="971"/>
      <c r="VYF48" s="971"/>
      <c r="VYG48" s="971"/>
      <c r="VYH48" s="971"/>
      <c r="VYI48" s="971"/>
      <c r="VYJ48" s="971"/>
      <c r="VYK48" s="971"/>
      <c r="VYL48" s="971"/>
      <c r="VYM48" s="971"/>
      <c r="VYN48" s="971"/>
      <c r="VYO48" s="971"/>
      <c r="VYP48" s="971"/>
      <c r="VYQ48" s="971"/>
      <c r="VYR48" s="971"/>
      <c r="VYS48" s="971"/>
      <c r="VYT48" s="971"/>
      <c r="VYU48" s="971"/>
      <c r="VYV48" s="971"/>
      <c r="VYW48" s="971"/>
      <c r="VYX48" s="971"/>
      <c r="VYY48" s="971"/>
      <c r="VYZ48" s="971"/>
      <c r="VZA48" s="971"/>
      <c r="VZB48" s="971"/>
      <c r="VZC48" s="971"/>
      <c r="VZD48" s="971"/>
      <c r="VZE48" s="971"/>
      <c r="VZF48" s="971"/>
      <c r="VZG48" s="971"/>
      <c r="VZH48" s="971"/>
      <c r="VZI48" s="971"/>
      <c r="VZJ48" s="971"/>
      <c r="VZK48" s="971"/>
      <c r="VZL48" s="971"/>
      <c r="VZM48" s="971"/>
      <c r="VZN48" s="971"/>
      <c r="VZO48" s="971"/>
      <c r="VZP48" s="971"/>
      <c r="VZQ48" s="971"/>
      <c r="VZR48" s="971"/>
      <c r="VZS48" s="971"/>
      <c r="VZT48" s="971"/>
      <c r="VZU48" s="971"/>
      <c r="VZV48" s="971"/>
      <c r="VZW48" s="971"/>
      <c r="VZX48" s="971"/>
      <c r="VZY48" s="971"/>
      <c r="VZZ48" s="971"/>
      <c r="WAA48" s="971"/>
      <c r="WAB48" s="971"/>
      <c r="WAC48" s="971"/>
      <c r="WAD48" s="971"/>
      <c r="WAE48" s="971"/>
      <c r="WAF48" s="971"/>
      <c r="WAG48" s="971"/>
      <c r="WAH48" s="971"/>
      <c r="WAI48" s="971"/>
      <c r="WAJ48" s="971"/>
      <c r="WAK48" s="971"/>
      <c r="WAL48" s="971"/>
      <c r="WAM48" s="971"/>
      <c r="WAN48" s="971"/>
      <c r="WAO48" s="971"/>
      <c r="WAP48" s="971"/>
      <c r="WAQ48" s="971"/>
      <c r="WAR48" s="971"/>
      <c r="WAS48" s="971"/>
      <c r="WAT48" s="971"/>
      <c r="WAU48" s="971"/>
      <c r="WAV48" s="971"/>
      <c r="WAW48" s="971"/>
      <c r="WAX48" s="971"/>
      <c r="WAY48" s="971"/>
      <c r="WAZ48" s="971"/>
      <c r="WBA48" s="971"/>
      <c r="WBB48" s="971"/>
      <c r="WBC48" s="971"/>
      <c r="WBD48" s="971"/>
      <c r="WBE48" s="971"/>
      <c r="WBF48" s="971"/>
      <c r="WBG48" s="971"/>
      <c r="WBH48" s="971"/>
      <c r="WBI48" s="971"/>
      <c r="WBJ48" s="971"/>
      <c r="WBK48" s="971"/>
      <c r="WBL48" s="971"/>
      <c r="WBM48" s="971"/>
      <c r="WBN48" s="971"/>
      <c r="WBO48" s="971"/>
      <c r="WBP48" s="971"/>
      <c r="WBQ48" s="971"/>
      <c r="WBR48" s="971"/>
      <c r="WBS48" s="971"/>
      <c r="WBT48" s="971"/>
      <c r="WBU48" s="971"/>
      <c r="WBV48" s="971"/>
      <c r="WBW48" s="971"/>
      <c r="WBX48" s="971"/>
      <c r="WBY48" s="971"/>
      <c r="WBZ48" s="971"/>
      <c r="WCA48" s="971"/>
      <c r="WCB48" s="971"/>
      <c r="WCC48" s="971"/>
      <c r="WCD48" s="971"/>
      <c r="WCE48" s="971"/>
      <c r="WCF48" s="971"/>
      <c r="WCG48" s="971"/>
      <c r="WCH48" s="971"/>
      <c r="WCI48" s="971"/>
      <c r="WCJ48" s="971"/>
      <c r="WCK48" s="971"/>
      <c r="WCL48" s="971"/>
      <c r="WCM48" s="971"/>
      <c r="WCN48" s="971"/>
      <c r="WCO48" s="971"/>
      <c r="WCP48" s="971"/>
      <c r="WCQ48" s="971"/>
      <c r="WCR48" s="971"/>
      <c r="WCS48" s="971"/>
      <c r="WCT48" s="971"/>
      <c r="WCU48" s="971"/>
      <c r="WCV48" s="971"/>
      <c r="WCW48" s="971"/>
      <c r="WCX48" s="971"/>
      <c r="WCY48" s="971"/>
      <c r="WCZ48" s="971"/>
      <c r="WDA48" s="971"/>
      <c r="WDB48" s="971"/>
      <c r="WDC48" s="971"/>
      <c r="WDD48" s="971"/>
      <c r="WDE48" s="971"/>
      <c r="WDF48" s="971"/>
      <c r="WDG48" s="971"/>
      <c r="WDH48" s="971"/>
      <c r="WDI48" s="971"/>
      <c r="WDJ48" s="971"/>
      <c r="WDK48" s="971"/>
      <c r="WDL48" s="971"/>
      <c r="WDM48" s="971"/>
      <c r="WDN48" s="971"/>
      <c r="WDO48" s="971"/>
      <c r="WDP48" s="971"/>
      <c r="WDQ48" s="971"/>
      <c r="WDR48" s="971"/>
      <c r="WDS48" s="971"/>
      <c r="WDT48" s="971"/>
      <c r="WDU48" s="971"/>
      <c r="WDV48" s="971"/>
      <c r="WDW48" s="971"/>
      <c r="WDX48" s="971"/>
      <c r="WDY48" s="971"/>
      <c r="WDZ48" s="971"/>
      <c r="WEA48" s="971"/>
      <c r="WEB48" s="971"/>
      <c r="WEC48" s="971"/>
      <c r="WED48" s="971"/>
      <c r="WEE48" s="971"/>
      <c r="WEF48" s="971"/>
      <c r="WEG48" s="971"/>
      <c r="WEH48" s="971"/>
      <c r="WEI48" s="971"/>
      <c r="WEJ48" s="971"/>
      <c r="WEK48" s="971"/>
      <c r="WEL48" s="971"/>
      <c r="WEM48" s="971"/>
      <c r="WEN48" s="971"/>
      <c r="WEO48" s="971"/>
      <c r="WEP48" s="971"/>
      <c r="WEQ48" s="971"/>
      <c r="WER48" s="971"/>
      <c r="WES48" s="971"/>
      <c r="WET48" s="971"/>
      <c r="WEU48" s="971"/>
      <c r="WEV48" s="971"/>
      <c r="WEW48" s="971"/>
      <c r="WEX48" s="971"/>
      <c r="WEY48" s="971"/>
      <c r="WEZ48" s="971"/>
      <c r="WFA48" s="971"/>
      <c r="WFB48" s="971"/>
      <c r="WFC48" s="971"/>
      <c r="WFD48" s="971"/>
      <c r="WFE48" s="971"/>
      <c r="WFF48" s="971"/>
      <c r="WFG48" s="971"/>
      <c r="WFH48" s="971"/>
      <c r="WFI48" s="971"/>
      <c r="WFJ48" s="971"/>
      <c r="WFK48" s="971"/>
      <c r="WFL48" s="971"/>
      <c r="WFM48" s="971"/>
      <c r="WFN48" s="971"/>
      <c r="WFO48" s="971"/>
      <c r="WFP48" s="971"/>
      <c r="WFQ48" s="971"/>
      <c r="WFR48" s="971"/>
      <c r="WFS48" s="971"/>
      <c r="WFT48" s="971"/>
      <c r="WFU48" s="971"/>
      <c r="WFV48" s="971"/>
      <c r="WFW48" s="971"/>
      <c r="WFX48" s="971"/>
      <c r="WFY48" s="971"/>
      <c r="WFZ48" s="971"/>
      <c r="WGA48" s="971"/>
      <c r="WGB48" s="971"/>
      <c r="WGC48" s="971"/>
      <c r="WGD48" s="971"/>
      <c r="WGE48" s="971"/>
      <c r="WGF48" s="971"/>
      <c r="WGG48" s="971"/>
      <c r="WGH48" s="971"/>
      <c r="WGI48" s="971"/>
      <c r="WGJ48" s="971"/>
      <c r="WGK48" s="971"/>
      <c r="WGL48" s="971"/>
      <c r="WGM48" s="971"/>
      <c r="WGN48" s="971"/>
      <c r="WGO48" s="971"/>
      <c r="WGP48" s="971"/>
      <c r="WGQ48" s="971"/>
      <c r="WGR48" s="971"/>
      <c r="WGS48" s="971"/>
      <c r="WGT48" s="971"/>
      <c r="WGU48" s="971"/>
      <c r="WGV48" s="971"/>
      <c r="WGW48" s="971"/>
      <c r="WGX48" s="971"/>
      <c r="WGY48" s="971"/>
      <c r="WGZ48" s="971"/>
      <c r="WHA48" s="971"/>
      <c r="WHB48" s="971"/>
      <c r="WHC48" s="971"/>
      <c r="WHD48" s="971"/>
      <c r="WHE48" s="971"/>
      <c r="WHF48" s="971"/>
      <c r="WHG48" s="971"/>
      <c r="WHH48" s="971"/>
      <c r="WHI48" s="971"/>
      <c r="WHJ48" s="971"/>
      <c r="WHK48" s="971"/>
      <c r="WHL48" s="971"/>
      <c r="WHM48" s="971"/>
      <c r="WHN48" s="971"/>
      <c r="WHO48" s="971"/>
      <c r="WHP48" s="971"/>
      <c r="WHQ48" s="971"/>
      <c r="WHR48" s="971"/>
      <c r="WHS48" s="971"/>
      <c r="WHT48" s="971"/>
      <c r="WHU48" s="971"/>
      <c r="WHV48" s="971"/>
      <c r="WHW48" s="971"/>
      <c r="WHX48" s="971"/>
      <c r="WHY48" s="971"/>
      <c r="WHZ48" s="971"/>
      <c r="WIA48" s="971"/>
      <c r="WIB48" s="971"/>
      <c r="WIC48" s="971"/>
      <c r="WID48" s="971"/>
      <c r="WIE48" s="971"/>
      <c r="WIF48" s="971"/>
      <c r="WIG48" s="971"/>
      <c r="WIH48" s="971"/>
      <c r="WII48" s="971"/>
      <c r="WIJ48" s="971"/>
      <c r="WIK48" s="971"/>
      <c r="WIL48" s="971"/>
      <c r="WIM48" s="971"/>
      <c r="WIN48" s="971"/>
      <c r="WIO48" s="971"/>
      <c r="WIP48" s="971"/>
      <c r="WIQ48" s="971"/>
      <c r="WIR48" s="971"/>
      <c r="WIS48" s="971"/>
      <c r="WIT48" s="971"/>
      <c r="WIU48" s="971"/>
      <c r="WIV48" s="971"/>
      <c r="WIW48" s="971"/>
      <c r="WIX48" s="971"/>
      <c r="WIY48" s="971"/>
      <c r="WIZ48" s="971"/>
      <c r="WJA48" s="971"/>
      <c r="WJB48" s="971"/>
      <c r="WJC48" s="971"/>
      <c r="WJD48" s="971"/>
      <c r="WJE48" s="971"/>
      <c r="WJF48" s="971"/>
      <c r="WJG48" s="971"/>
      <c r="WJH48" s="971"/>
      <c r="WJI48" s="971"/>
      <c r="WJJ48" s="971"/>
      <c r="WJK48" s="971"/>
      <c r="WJL48" s="971"/>
      <c r="WJM48" s="971"/>
      <c r="WJN48" s="971"/>
      <c r="WJO48" s="971"/>
      <c r="WJP48" s="971"/>
      <c r="WJQ48" s="971"/>
      <c r="WJR48" s="971"/>
      <c r="WJS48" s="971"/>
      <c r="WJT48" s="971"/>
      <c r="WJU48" s="971"/>
      <c r="WJV48" s="971"/>
      <c r="WJW48" s="971"/>
      <c r="WJX48" s="971"/>
      <c r="WJY48" s="971"/>
      <c r="WJZ48" s="971"/>
      <c r="WKA48" s="971"/>
      <c r="WKB48" s="971"/>
      <c r="WKC48" s="971"/>
      <c r="WKD48" s="971"/>
      <c r="WKE48" s="971"/>
      <c r="WKF48" s="971"/>
      <c r="WKG48" s="971"/>
      <c r="WKH48" s="971"/>
      <c r="WKI48" s="971"/>
      <c r="WKJ48" s="971"/>
      <c r="WKK48" s="971"/>
      <c r="WKL48" s="971"/>
      <c r="WKM48" s="971"/>
      <c r="WKN48" s="971"/>
      <c r="WKO48" s="971"/>
      <c r="WKP48" s="971"/>
      <c r="WKQ48" s="971"/>
      <c r="WKR48" s="971"/>
      <c r="WKS48" s="971"/>
      <c r="WKT48" s="971"/>
      <c r="WKU48" s="971"/>
      <c r="WKV48" s="971"/>
      <c r="WKW48" s="971"/>
      <c r="WKX48" s="971"/>
      <c r="WKY48" s="971"/>
      <c r="WKZ48" s="971"/>
      <c r="WLA48" s="971"/>
      <c r="WLB48" s="971"/>
      <c r="WLC48" s="971"/>
      <c r="WLD48" s="971"/>
      <c r="WLE48" s="971"/>
      <c r="WLF48" s="971"/>
      <c r="WLG48" s="971"/>
      <c r="WLH48" s="971"/>
      <c r="WLI48" s="971"/>
      <c r="WLJ48" s="971"/>
      <c r="WLK48" s="971"/>
      <c r="WLL48" s="971"/>
      <c r="WLM48" s="971"/>
      <c r="WLN48" s="971"/>
      <c r="WLO48" s="971"/>
      <c r="WLP48" s="971"/>
      <c r="WLQ48" s="971"/>
      <c r="WLR48" s="971"/>
      <c r="WLS48" s="971"/>
      <c r="WLT48" s="971"/>
      <c r="WLU48" s="971"/>
      <c r="WLV48" s="971"/>
      <c r="WLW48" s="971"/>
      <c r="WLX48" s="971"/>
      <c r="WLY48" s="971"/>
      <c r="WLZ48" s="971"/>
      <c r="WMA48" s="971"/>
      <c r="WMB48" s="971"/>
      <c r="WMC48" s="971"/>
      <c r="WMD48" s="971"/>
      <c r="WME48" s="971"/>
      <c r="WMF48" s="971"/>
      <c r="WMG48" s="971"/>
      <c r="WMH48" s="971"/>
      <c r="WMI48" s="971"/>
      <c r="WMJ48" s="971"/>
      <c r="WMK48" s="971"/>
      <c r="WML48" s="971"/>
      <c r="WMM48" s="971"/>
      <c r="WMN48" s="971"/>
      <c r="WMO48" s="971"/>
      <c r="WMP48" s="971"/>
      <c r="WMQ48" s="971"/>
      <c r="WMR48" s="971"/>
      <c r="WMS48" s="971"/>
      <c r="WMT48" s="971"/>
      <c r="WMU48" s="971"/>
      <c r="WMV48" s="971"/>
      <c r="WMW48" s="971"/>
      <c r="WMX48" s="971"/>
      <c r="WMY48" s="971"/>
      <c r="WMZ48" s="971"/>
      <c r="WNA48" s="971"/>
      <c r="WNB48" s="971"/>
      <c r="WNC48" s="971"/>
      <c r="WND48" s="971"/>
      <c r="WNE48" s="971"/>
      <c r="WNF48" s="971"/>
      <c r="WNG48" s="971"/>
      <c r="WNH48" s="971"/>
      <c r="WNI48" s="971"/>
      <c r="WNJ48" s="971"/>
      <c r="WNK48" s="971"/>
      <c r="WNL48" s="971"/>
      <c r="WNM48" s="971"/>
      <c r="WNN48" s="971"/>
      <c r="WNO48" s="971"/>
      <c r="WNP48" s="971"/>
      <c r="WNQ48" s="971"/>
      <c r="WNR48" s="971"/>
      <c r="WNS48" s="971"/>
      <c r="WNT48" s="971"/>
      <c r="WNU48" s="971"/>
      <c r="WNV48" s="971"/>
      <c r="WNW48" s="971"/>
      <c r="WNX48" s="971"/>
      <c r="WNY48" s="971"/>
      <c r="WNZ48" s="971"/>
      <c r="WOA48" s="971"/>
      <c r="WOB48" s="971"/>
      <c r="WOC48" s="971"/>
      <c r="WOD48" s="971"/>
      <c r="WOE48" s="971"/>
      <c r="WOF48" s="971"/>
      <c r="WOG48" s="971"/>
      <c r="WOH48" s="971"/>
      <c r="WOI48" s="971"/>
      <c r="WOJ48" s="971"/>
      <c r="WOK48" s="971"/>
      <c r="WOL48" s="971"/>
      <c r="WOM48" s="971"/>
      <c r="WON48" s="971"/>
      <c r="WOO48" s="971"/>
      <c r="WOP48" s="971"/>
      <c r="WOQ48" s="971"/>
      <c r="WOR48" s="971"/>
      <c r="WOS48" s="971"/>
      <c r="WOT48" s="971"/>
      <c r="WOU48" s="971"/>
      <c r="WOV48" s="971"/>
      <c r="WOW48" s="971"/>
      <c r="WOX48" s="971"/>
      <c r="WOY48" s="971"/>
      <c r="WOZ48" s="971"/>
      <c r="WPA48" s="971"/>
      <c r="WPB48" s="971"/>
      <c r="WPC48" s="971"/>
      <c r="WPD48" s="971"/>
      <c r="WPE48" s="971"/>
      <c r="WPF48" s="971"/>
      <c r="WPG48" s="971"/>
      <c r="WPH48" s="971"/>
      <c r="WPI48" s="971"/>
      <c r="WPJ48" s="971"/>
      <c r="WPK48" s="971"/>
      <c r="WPL48" s="971"/>
      <c r="WPM48" s="971"/>
      <c r="WPN48" s="971"/>
      <c r="WPO48" s="971"/>
      <c r="WPP48" s="971"/>
      <c r="WPQ48" s="971"/>
      <c r="WPR48" s="971"/>
      <c r="WPS48" s="971"/>
      <c r="WPT48" s="971"/>
      <c r="WPU48" s="971"/>
      <c r="WPV48" s="971"/>
      <c r="WPW48" s="971"/>
      <c r="WPX48" s="971"/>
      <c r="WPY48" s="971"/>
      <c r="WPZ48" s="971"/>
      <c r="WQA48" s="971"/>
      <c r="WQB48" s="971"/>
      <c r="WQC48" s="971"/>
      <c r="WQD48" s="971"/>
      <c r="WQE48" s="971"/>
      <c r="WQF48" s="971"/>
      <c r="WQG48" s="971"/>
      <c r="WQH48" s="971"/>
      <c r="WQI48" s="971"/>
      <c r="WQJ48" s="971"/>
      <c r="WQK48" s="971"/>
      <c r="WQL48" s="971"/>
      <c r="WQM48" s="971"/>
      <c r="WQN48" s="971"/>
      <c r="WQO48" s="971"/>
      <c r="WQP48" s="971"/>
      <c r="WQQ48" s="971"/>
      <c r="WQR48" s="971"/>
      <c r="WQS48" s="971"/>
      <c r="WQT48" s="971"/>
      <c r="WQU48" s="971"/>
      <c r="WQV48" s="971"/>
      <c r="WQW48" s="971"/>
      <c r="WQX48" s="971"/>
      <c r="WQY48" s="971"/>
      <c r="WQZ48" s="971"/>
      <c r="WRA48" s="971"/>
      <c r="WRB48" s="971"/>
      <c r="WRC48" s="971"/>
      <c r="WRD48" s="971"/>
      <c r="WRE48" s="971"/>
      <c r="WRF48" s="971"/>
      <c r="WRG48" s="971"/>
      <c r="WRH48" s="971"/>
      <c r="WRI48" s="971"/>
      <c r="WRJ48" s="971"/>
      <c r="WRK48" s="971"/>
      <c r="WRL48" s="971"/>
      <c r="WRM48" s="971"/>
      <c r="WRN48" s="971"/>
      <c r="WRO48" s="971"/>
      <c r="WRP48" s="971"/>
      <c r="WRQ48" s="971"/>
      <c r="WRR48" s="971"/>
      <c r="WRS48" s="971"/>
      <c r="WRT48" s="971"/>
      <c r="WRU48" s="971"/>
      <c r="WRV48" s="971"/>
      <c r="WRW48" s="971"/>
      <c r="WRX48" s="971"/>
      <c r="WRY48" s="971"/>
      <c r="WRZ48" s="971"/>
      <c r="WSA48" s="971"/>
      <c r="WSB48" s="971"/>
      <c r="WSC48" s="971"/>
      <c r="WSD48" s="971"/>
      <c r="WSE48" s="971"/>
      <c r="WSF48" s="971"/>
      <c r="WSG48" s="971"/>
      <c r="WSH48" s="971"/>
      <c r="WSI48" s="971"/>
      <c r="WSJ48" s="971"/>
      <c r="WSK48" s="971"/>
      <c r="WSL48" s="971"/>
      <c r="WSM48" s="971"/>
      <c r="WSN48" s="971"/>
      <c r="WSO48" s="971"/>
      <c r="WSP48" s="971"/>
      <c r="WSQ48" s="971"/>
      <c r="WSR48" s="971"/>
      <c r="WSS48" s="971"/>
      <c r="WST48" s="971"/>
      <c r="WSU48" s="971"/>
      <c r="WSV48" s="971"/>
      <c r="WSW48" s="971"/>
      <c r="WSX48" s="971"/>
      <c r="WSY48" s="971"/>
      <c r="WSZ48" s="971"/>
      <c r="WTA48" s="971"/>
      <c r="WTB48" s="971"/>
      <c r="WTC48" s="971"/>
      <c r="WTD48" s="971"/>
      <c r="WTE48" s="971"/>
      <c r="WTF48" s="971"/>
      <c r="WTG48" s="971"/>
      <c r="WTH48" s="971"/>
      <c r="WTI48" s="971"/>
      <c r="WTJ48" s="971"/>
      <c r="WTK48" s="971"/>
      <c r="WTL48" s="971"/>
      <c r="WTM48" s="971"/>
      <c r="WTN48" s="971"/>
      <c r="WTO48" s="971"/>
      <c r="WTP48" s="971"/>
      <c r="WTQ48" s="971"/>
      <c r="WTR48" s="971"/>
      <c r="WTS48" s="971"/>
      <c r="WTT48" s="971"/>
      <c r="WTU48" s="971"/>
      <c r="WTV48" s="971"/>
      <c r="WTW48" s="971"/>
      <c r="WTX48" s="971"/>
      <c r="WTY48" s="971"/>
      <c r="WTZ48" s="971"/>
      <c r="WUA48" s="971"/>
      <c r="WUB48" s="971"/>
      <c r="WUC48" s="971"/>
      <c r="WUD48" s="971"/>
      <c r="WUE48" s="971"/>
      <c r="WUF48" s="971"/>
      <c r="WUG48" s="971"/>
      <c r="WUH48" s="971"/>
      <c r="WUI48" s="971"/>
      <c r="WUJ48" s="971"/>
      <c r="WUK48" s="971"/>
      <c r="WUL48" s="971"/>
      <c r="WUM48" s="971"/>
      <c r="WUN48" s="971"/>
      <c r="WUO48" s="971"/>
      <c r="WUP48" s="971"/>
      <c r="WUQ48" s="971"/>
      <c r="WUR48" s="971"/>
      <c r="WUS48" s="971"/>
      <c r="WUT48" s="971"/>
      <c r="WUU48" s="971"/>
      <c r="WUV48" s="971"/>
      <c r="WUW48" s="971"/>
      <c r="WUX48" s="971"/>
      <c r="WUY48" s="971"/>
      <c r="WUZ48" s="971"/>
      <c r="WVA48" s="971"/>
      <c r="WVB48" s="971"/>
      <c r="WVC48" s="971"/>
      <c r="WVD48" s="971"/>
      <c r="WVE48" s="971"/>
      <c r="WVF48" s="971"/>
      <c r="WVG48" s="971"/>
      <c r="WVH48" s="971"/>
      <c r="WVI48" s="971"/>
      <c r="WVJ48" s="971"/>
      <c r="WVK48" s="971"/>
      <c r="WVL48" s="971"/>
      <c r="WVM48" s="971"/>
      <c r="WVN48" s="971"/>
      <c r="WVO48" s="971"/>
      <c r="WVP48" s="971"/>
      <c r="WVQ48" s="971"/>
      <c r="WVR48" s="971"/>
      <c r="WVS48" s="971"/>
      <c r="WVT48" s="971"/>
      <c r="WVU48" s="971"/>
      <c r="WVV48" s="971"/>
      <c r="WVW48" s="971"/>
      <c r="WVX48" s="971"/>
      <c r="WVY48" s="971"/>
      <c r="WVZ48" s="971"/>
      <c r="WWA48" s="971"/>
      <c r="WWB48" s="971"/>
      <c r="WWC48" s="971"/>
      <c r="WWD48" s="971"/>
      <c r="WWE48" s="971"/>
      <c r="WWF48" s="971"/>
      <c r="WWG48" s="971"/>
      <c r="WWH48" s="971"/>
      <c r="WWI48" s="971"/>
      <c r="WWJ48" s="971"/>
      <c r="WWK48" s="971"/>
      <c r="WWL48" s="971"/>
      <c r="WWM48" s="971"/>
      <c r="WWN48" s="971"/>
      <c r="WWO48" s="971"/>
      <c r="WWP48" s="971"/>
      <c r="WWQ48" s="971"/>
      <c r="WWR48" s="971"/>
      <c r="WWS48" s="971"/>
      <c r="WWT48" s="971"/>
      <c r="WWU48" s="971"/>
      <c r="WWV48" s="971"/>
      <c r="WWW48" s="971"/>
      <c r="WWX48" s="971"/>
      <c r="WWY48" s="971"/>
      <c r="WWZ48" s="971"/>
      <c r="WXA48" s="971"/>
      <c r="WXB48" s="971"/>
      <c r="WXC48" s="971"/>
      <c r="WXD48" s="971"/>
      <c r="WXE48" s="971"/>
      <c r="WXF48" s="971"/>
      <c r="WXG48" s="971"/>
      <c r="WXH48" s="971"/>
      <c r="WXI48" s="971"/>
      <c r="WXJ48" s="971"/>
      <c r="WXK48" s="971"/>
      <c r="WXL48" s="971"/>
      <c r="WXM48" s="971"/>
      <c r="WXN48" s="971"/>
      <c r="WXO48" s="971"/>
      <c r="WXP48" s="971"/>
      <c r="WXQ48" s="971"/>
      <c r="WXR48" s="971"/>
      <c r="WXS48" s="971"/>
      <c r="WXT48" s="971"/>
      <c r="WXU48" s="971"/>
      <c r="WXV48" s="971"/>
      <c r="WXW48" s="971"/>
      <c r="WXX48" s="971"/>
      <c r="WXY48" s="971"/>
      <c r="WXZ48" s="971"/>
      <c r="WYA48" s="971"/>
      <c r="WYB48" s="971"/>
      <c r="WYC48" s="971"/>
      <c r="WYD48" s="971"/>
      <c r="WYE48" s="971"/>
      <c r="WYF48" s="971"/>
      <c r="WYG48" s="971"/>
      <c r="WYH48" s="971"/>
      <c r="WYI48" s="971"/>
      <c r="WYJ48" s="971"/>
      <c r="WYK48" s="971"/>
      <c r="WYL48" s="971"/>
      <c r="WYM48" s="971"/>
      <c r="WYN48" s="971"/>
      <c r="WYO48" s="971"/>
      <c r="WYP48" s="971"/>
      <c r="WYQ48" s="971"/>
      <c r="WYR48" s="971"/>
      <c r="WYS48" s="971"/>
      <c r="WYT48" s="971"/>
      <c r="WYU48" s="971"/>
      <c r="WYV48" s="971"/>
      <c r="WYW48" s="971"/>
      <c r="WYX48" s="971"/>
      <c r="WYY48" s="971"/>
      <c r="WYZ48" s="971"/>
      <c r="WZA48" s="971"/>
      <c r="WZB48" s="971"/>
      <c r="WZC48" s="971"/>
      <c r="WZD48" s="971"/>
      <c r="WZE48" s="971"/>
      <c r="WZF48" s="971"/>
      <c r="WZG48" s="971"/>
      <c r="WZH48" s="971"/>
      <c r="WZI48" s="971"/>
      <c r="WZJ48" s="971"/>
      <c r="WZK48" s="971"/>
      <c r="WZL48" s="971"/>
      <c r="WZM48" s="971"/>
      <c r="WZN48" s="971"/>
      <c r="WZO48" s="971"/>
      <c r="WZP48" s="971"/>
      <c r="WZQ48" s="971"/>
      <c r="WZR48" s="971"/>
      <c r="WZS48" s="971"/>
      <c r="WZT48" s="971"/>
      <c r="WZU48" s="971"/>
      <c r="WZV48" s="971"/>
      <c r="WZW48" s="971"/>
      <c r="WZX48" s="971"/>
      <c r="WZY48" s="971"/>
      <c r="WZZ48" s="971"/>
      <c r="XAA48" s="971"/>
      <c r="XAB48" s="971"/>
      <c r="XAC48" s="971"/>
      <c r="XAD48" s="971"/>
      <c r="XAE48" s="971"/>
      <c r="XAF48" s="971"/>
      <c r="XAG48" s="971"/>
      <c r="XAH48" s="971"/>
      <c r="XAI48" s="971"/>
      <c r="XAJ48" s="971"/>
      <c r="XAK48" s="971"/>
      <c r="XAL48" s="971"/>
      <c r="XAM48" s="971"/>
      <c r="XAN48" s="971"/>
      <c r="XAO48" s="971"/>
      <c r="XAP48" s="971"/>
      <c r="XAQ48" s="971"/>
      <c r="XAR48" s="971"/>
      <c r="XAS48" s="971"/>
      <c r="XAT48" s="971"/>
      <c r="XAU48" s="971"/>
      <c r="XAV48" s="971"/>
      <c r="XAW48" s="971"/>
      <c r="XAX48" s="971"/>
      <c r="XAY48" s="971"/>
      <c r="XAZ48" s="971"/>
      <c r="XBA48" s="971"/>
      <c r="XBB48" s="971"/>
      <c r="XBC48" s="971"/>
      <c r="XBD48" s="971"/>
      <c r="XBE48" s="971"/>
      <c r="XBF48" s="971"/>
      <c r="XBG48" s="971"/>
      <c r="XBH48" s="971"/>
      <c r="XBI48" s="971"/>
      <c r="XBJ48" s="971"/>
      <c r="XBK48" s="971"/>
      <c r="XBL48" s="971"/>
      <c r="XBM48" s="971"/>
      <c r="XBN48" s="971"/>
      <c r="XBO48" s="971"/>
      <c r="XBP48" s="971"/>
      <c r="XBQ48" s="971"/>
      <c r="XBR48" s="971"/>
      <c r="XBS48" s="971"/>
      <c r="XBT48" s="971"/>
      <c r="XBU48" s="971"/>
      <c r="XBV48" s="971"/>
      <c r="XBW48" s="971"/>
      <c r="XBX48" s="971"/>
      <c r="XBY48" s="971"/>
      <c r="XBZ48" s="971"/>
      <c r="XCA48" s="971"/>
      <c r="XCB48" s="971"/>
      <c r="XCC48" s="971"/>
      <c r="XCD48" s="971"/>
      <c r="XCE48" s="971"/>
      <c r="XCF48" s="971"/>
      <c r="XCG48" s="971"/>
      <c r="XCH48" s="971"/>
      <c r="XCI48" s="971"/>
      <c r="XCJ48" s="971"/>
      <c r="XCK48" s="971"/>
      <c r="XCL48" s="971"/>
      <c r="XCM48" s="971"/>
      <c r="XCN48" s="971"/>
      <c r="XCO48" s="971"/>
      <c r="XCP48" s="971"/>
      <c r="XCQ48" s="971"/>
      <c r="XCR48" s="971"/>
      <c r="XCS48" s="971"/>
      <c r="XCT48" s="971"/>
      <c r="XCU48" s="971"/>
      <c r="XCV48" s="971"/>
      <c r="XCW48" s="971"/>
      <c r="XCX48" s="971"/>
      <c r="XCY48" s="971"/>
      <c r="XCZ48" s="971"/>
      <c r="XDA48" s="971"/>
      <c r="XDB48" s="971"/>
      <c r="XDC48" s="971"/>
      <c r="XDD48" s="971"/>
      <c r="XDE48" s="971"/>
      <c r="XDF48" s="971"/>
      <c r="XDG48" s="971"/>
      <c r="XDH48" s="971"/>
      <c r="XDI48" s="971"/>
      <c r="XDJ48" s="971"/>
      <c r="XDK48" s="971"/>
      <c r="XDL48" s="971"/>
      <c r="XDM48" s="971"/>
      <c r="XDN48" s="971"/>
      <c r="XDO48" s="971"/>
      <c r="XDP48" s="971"/>
      <c r="XDQ48" s="971"/>
      <c r="XDR48" s="971"/>
      <c r="XDS48" s="971"/>
      <c r="XDT48" s="971"/>
      <c r="XDU48" s="971"/>
      <c r="XDV48" s="971"/>
      <c r="XDW48" s="971"/>
      <c r="XDX48" s="971"/>
      <c r="XDY48" s="971"/>
      <c r="XDZ48" s="971"/>
      <c r="XEA48" s="971"/>
      <c r="XEB48" s="971"/>
      <c r="XEC48" s="971"/>
    </row>
    <row r="49" spans="1:16357" ht="57.75" customHeight="1">
      <c r="A49" s="97" t="s">
        <v>102</v>
      </c>
      <c r="B49" s="102" t="s">
        <v>103</v>
      </c>
      <c r="C49" s="98"/>
      <c r="D49" s="98"/>
      <c r="E49" s="98"/>
      <c r="F49" s="98"/>
      <c r="G49" s="98"/>
      <c r="H49" s="98"/>
      <c r="I49" s="99"/>
      <c r="J49" s="98"/>
      <c r="K49" s="98"/>
      <c r="L49" s="98"/>
      <c r="M49" s="98"/>
      <c r="N49" s="98"/>
      <c r="O49" s="97"/>
      <c r="P49" s="97"/>
      <c r="Q49" s="97"/>
      <c r="R49" s="97"/>
      <c r="S49" s="971"/>
      <c r="T49" s="971"/>
      <c r="U49" s="971"/>
      <c r="V49" s="971"/>
      <c r="W49" s="971"/>
      <c r="X49" s="971"/>
      <c r="Y49" s="971"/>
      <c r="Z49" s="971"/>
      <c r="AA49" s="971"/>
      <c r="AB49" s="971"/>
      <c r="AC49" s="971"/>
      <c r="AD49" s="971"/>
      <c r="AE49" s="971"/>
      <c r="AF49" s="971"/>
      <c r="AG49" s="971"/>
      <c r="AH49" s="6"/>
      <c r="AI49" s="38"/>
      <c r="AJ49" s="6"/>
      <c r="AK49" s="89"/>
      <c r="AL49" s="5"/>
      <c r="AM49" s="168"/>
      <c r="AN49" s="168"/>
      <c r="AO49" s="168"/>
      <c r="AP49" s="168"/>
      <c r="AQ49" s="168"/>
      <c r="AR49" s="168"/>
      <c r="AS49" s="168"/>
      <c r="AT49" s="168"/>
      <c r="AU49" s="168"/>
      <c r="AV49" s="168"/>
      <c r="AW49" s="168"/>
      <c r="AX49" s="971"/>
      <c r="AY49" s="971"/>
      <c r="AZ49" s="971"/>
      <c r="BA49" s="971"/>
      <c r="BB49" s="971"/>
      <c r="BC49" s="971"/>
      <c r="BD49" s="971"/>
      <c r="BE49" s="971"/>
      <c r="BF49" s="971"/>
      <c r="BG49" s="971"/>
      <c r="BH49" s="971"/>
      <c r="BI49" s="971"/>
      <c r="BJ49" s="971"/>
      <c r="BK49" s="971"/>
      <c r="BL49" s="971"/>
      <c r="BM49" s="971"/>
      <c r="BN49" s="971"/>
      <c r="BO49" s="971"/>
      <c r="BP49" s="971"/>
      <c r="BQ49" s="971"/>
      <c r="BR49" s="971"/>
      <c r="BS49" s="971"/>
      <c r="BT49" s="971"/>
      <c r="BU49" s="971"/>
      <c r="BV49" s="168"/>
      <c r="BW49" s="168"/>
      <c r="BX49" s="168"/>
      <c r="BY49" s="971"/>
      <c r="BZ49" s="971"/>
      <c r="CA49" s="971"/>
      <c r="CB49" s="971"/>
      <c r="CC49" s="971"/>
      <c r="CD49" s="971"/>
      <c r="CE49" s="971"/>
      <c r="CF49" s="971"/>
      <c r="CG49" s="971"/>
      <c r="CH49" s="971"/>
      <c r="CI49" s="971"/>
      <c r="CJ49" s="971"/>
      <c r="CK49" s="971"/>
      <c r="CL49" s="971"/>
      <c r="CM49" s="971"/>
      <c r="CN49" s="971"/>
      <c r="CO49" s="971"/>
      <c r="CP49" s="971"/>
      <c r="CQ49" s="971"/>
      <c r="CR49" s="971"/>
      <c r="CS49" s="971"/>
      <c r="CT49" s="971"/>
      <c r="CU49" s="971"/>
      <c r="CV49" s="971"/>
      <c r="CW49" s="971"/>
      <c r="CX49" s="971"/>
      <c r="CY49" s="971"/>
      <c r="CZ49" s="971"/>
      <c r="DA49" s="971"/>
      <c r="DB49" s="971"/>
      <c r="DC49" s="971"/>
      <c r="DD49" s="971"/>
      <c r="DE49" s="971"/>
      <c r="DF49" s="971"/>
      <c r="DG49" s="971"/>
      <c r="DH49" s="971"/>
      <c r="DI49" s="971"/>
      <c r="DJ49" s="971"/>
      <c r="DK49" s="971"/>
      <c r="DL49" s="971"/>
      <c r="DM49" s="971"/>
      <c r="DN49" s="971"/>
      <c r="DO49" s="971"/>
      <c r="DP49" s="971"/>
      <c r="DQ49" s="971"/>
      <c r="DR49" s="971"/>
      <c r="DS49" s="971"/>
      <c r="DT49" s="971"/>
      <c r="DU49" s="971"/>
      <c r="DV49" s="971"/>
      <c r="DW49" s="971"/>
      <c r="DX49" s="971"/>
      <c r="DY49" s="971"/>
      <c r="DZ49" s="971"/>
      <c r="EA49" s="971"/>
      <c r="EB49" s="971"/>
      <c r="EC49" s="971"/>
      <c r="ED49" s="971"/>
      <c r="EE49" s="971"/>
      <c r="EF49" s="971"/>
      <c r="EG49" s="971"/>
      <c r="EH49" s="971"/>
      <c r="EI49" s="971"/>
      <c r="EJ49" s="971"/>
      <c r="EK49" s="971"/>
      <c r="EL49" s="971"/>
      <c r="EM49" s="971"/>
      <c r="EN49" s="971"/>
      <c r="EO49" s="971"/>
      <c r="EP49" s="971"/>
      <c r="EQ49" s="971"/>
      <c r="ER49" s="971"/>
      <c r="ES49" s="971"/>
      <c r="ET49" s="971"/>
      <c r="EU49" s="971"/>
      <c r="EV49" s="971"/>
      <c r="EW49" s="971"/>
      <c r="EX49" s="971"/>
      <c r="EY49" s="971"/>
      <c r="EZ49" s="971"/>
      <c r="FA49" s="971"/>
      <c r="FB49" s="971"/>
      <c r="FC49" s="971"/>
      <c r="FD49" s="971"/>
      <c r="FE49" s="971"/>
      <c r="FF49" s="971"/>
      <c r="FG49" s="971"/>
      <c r="FH49" s="971"/>
      <c r="FI49" s="971"/>
      <c r="FJ49" s="971"/>
      <c r="FK49" s="971"/>
      <c r="FL49" s="971"/>
      <c r="FM49" s="971"/>
      <c r="FN49" s="971"/>
      <c r="FO49" s="971"/>
      <c r="FP49" s="971"/>
      <c r="FQ49" s="971"/>
      <c r="FR49" s="971"/>
      <c r="FS49" s="971"/>
      <c r="FT49" s="971"/>
      <c r="FU49" s="971"/>
      <c r="FV49" s="971"/>
      <c r="FW49" s="971"/>
      <c r="FX49" s="971"/>
      <c r="FY49" s="971"/>
      <c r="FZ49" s="971"/>
      <c r="GA49" s="971"/>
      <c r="GB49" s="971"/>
      <c r="GC49" s="971"/>
      <c r="GD49" s="971"/>
      <c r="GE49" s="971"/>
      <c r="GF49" s="971"/>
      <c r="GG49" s="971"/>
      <c r="GH49" s="971"/>
      <c r="GI49" s="971"/>
      <c r="GJ49" s="971"/>
      <c r="GK49" s="971"/>
      <c r="GL49" s="971"/>
      <c r="GM49" s="971"/>
      <c r="GN49" s="971"/>
      <c r="GO49" s="971"/>
      <c r="GP49" s="971"/>
      <c r="GQ49" s="971"/>
      <c r="GR49" s="971"/>
      <c r="GS49" s="971"/>
      <c r="GT49" s="971"/>
      <c r="GU49" s="971"/>
      <c r="GV49" s="971"/>
      <c r="GW49" s="971"/>
      <c r="GX49" s="971"/>
      <c r="GY49" s="971"/>
      <c r="GZ49" s="971"/>
      <c r="HA49" s="971"/>
      <c r="HB49" s="971"/>
      <c r="HC49" s="971"/>
      <c r="HD49" s="971"/>
      <c r="HE49" s="971"/>
      <c r="HF49" s="971"/>
      <c r="HG49" s="971"/>
      <c r="HH49" s="971"/>
      <c r="HI49" s="971"/>
      <c r="HJ49" s="971"/>
      <c r="HK49" s="971"/>
      <c r="HL49" s="971"/>
      <c r="HM49" s="971"/>
      <c r="HN49" s="971"/>
      <c r="HO49" s="971"/>
      <c r="HP49" s="971"/>
      <c r="HQ49" s="971"/>
      <c r="HR49" s="971"/>
      <c r="HS49" s="971"/>
      <c r="HT49" s="971"/>
      <c r="HU49" s="971"/>
      <c r="HV49" s="971"/>
      <c r="HW49" s="971"/>
      <c r="HX49" s="971"/>
      <c r="HY49" s="971"/>
      <c r="HZ49" s="971"/>
      <c r="IA49" s="971"/>
      <c r="IB49" s="971"/>
      <c r="IC49" s="971"/>
      <c r="ID49" s="971"/>
      <c r="IE49" s="971"/>
      <c r="IF49" s="971"/>
      <c r="IG49" s="971"/>
      <c r="IH49" s="971"/>
      <c r="II49" s="971"/>
      <c r="IJ49" s="971"/>
      <c r="IK49" s="971"/>
      <c r="IL49" s="971"/>
      <c r="IM49" s="971"/>
      <c r="IN49" s="971"/>
      <c r="IO49" s="971"/>
      <c r="IP49" s="971"/>
      <c r="IQ49" s="971"/>
      <c r="IR49" s="971"/>
      <c r="IS49" s="971"/>
      <c r="IT49" s="971"/>
      <c r="IU49" s="971"/>
      <c r="IV49" s="971"/>
      <c r="IW49" s="971"/>
      <c r="IX49" s="971"/>
      <c r="IY49" s="971"/>
      <c r="IZ49" s="971"/>
      <c r="JA49" s="971"/>
      <c r="JB49" s="971"/>
      <c r="JC49" s="971"/>
      <c r="JD49" s="971"/>
      <c r="JE49" s="971"/>
      <c r="JF49" s="971"/>
      <c r="JG49" s="971"/>
      <c r="JH49" s="971"/>
      <c r="JI49" s="971"/>
      <c r="JJ49" s="971"/>
      <c r="JK49" s="971"/>
      <c r="JL49" s="971"/>
      <c r="JM49" s="971"/>
      <c r="JN49" s="971"/>
      <c r="JO49" s="971"/>
      <c r="JP49" s="971"/>
      <c r="JQ49" s="971"/>
      <c r="JR49" s="971"/>
      <c r="JS49" s="971"/>
      <c r="JT49" s="971"/>
      <c r="JU49" s="971"/>
      <c r="JV49" s="971"/>
      <c r="JW49" s="971"/>
      <c r="JX49" s="971"/>
      <c r="JY49" s="971"/>
      <c r="JZ49" s="971"/>
      <c r="KA49" s="971"/>
      <c r="KB49" s="971"/>
      <c r="KC49" s="971"/>
      <c r="KD49" s="971"/>
      <c r="KE49" s="971"/>
      <c r="KF49" s="971"/>
      <c r="KG49" s="971"/>
      <c r="KH49" s="971"/>
      <c r="KI49" s="971"/>
      <c r="KJ49" s="971"/>
      <c r="KK49" s="971"/>
      <c r="KL49" s="971"/>
      <c r="KM49" s="971"/>
      <c r="KN49" s="971"/>
      <c r="KO49" s="971"/>
      <c r="KP49" s="971"/>
      <c r="KQ49" s="971"/>
      <c r="KR49" s="971"/>
      <c r="KS49" s="971"/>
      <c r="KT49" s="971"/>
      <c r="KU49" s="971"/>
      <c r="KV49" s="971"/>
      <c r="KW49" s="971"/>
      <c r="KX49" s="971"/>
      <c r="KY49" s="971"/>
      <c r="KZ49" s="971"/>
      <c r="LA49" s="971"/>
      <c r="LB49" s="971"/>
      <c r="LC49" s="971"/>
      <c r="LD49" s="971"/>
      <c r="LE49" s="971"/>
      <c r="LF49" s="971"/>
      <c r="LG49" s="971"/>
      <c r="LH49" s="971"/>
      <c r="LI49" s="971"/>
      <c r="LJ49" s="971"/>
      <c r="LK49" s="971"/>
      <c r="LL49" s="971"/>
      <c r="LM49" s="971"/>
      <c r="LN49" s="971"/>
      <c r="LO49" s="971"/>
      <c r="LP49" s="971"/>
      <c r="LQ49" s="971"/>
      <c r="LR49" s="971"/>
      <c r="LS49" s="971"/>
      <c r="LT49" s="971"/>
      <c r="LU49" s="971"/>
      <c r="LV49" s="971"/>
      <c r="LW49" s="971"/>
      <c r="LX49" s="971"/>
      <c r="LY49" s="971"/>
      <c r="LZ49" s="971"/>
      <c r="MA49" s="971"/>
      <c r="MB49" s="971"/>
      <c r="MC49" s="971"/>
      <c r="MD49" s="971"/>
      <c r="ME49" s="971"/>
      <c r="MF49" s="971"/>
      <c r="MG49" s="971"/>
      <c r="MH49" s="971"/>
      <c r="MI49" s="971"/>
      <c r="MJ49" s="971"/>
      <c r="MK49" s="971"/>
      <c r="ML49" s="971"/>
      <c r="MM49" s="971"/>
      <c r="MN49" s="971"/>
      <c r="MO49" s="971"/>
      <c r="MP49" s="971"/>
      <c r="MQ49" s="971"/>
      <c r="MR49" s="971"/>
      <c r="MS49" s="971"/>
      <c r="MT49" s="971"/>
      <c r="MU49" s="971"/>
      <c r="MV49" s="971"/>
      <c r="MW49" s="971"/>
      <c r="MX49" s="971"/>
      <c r="MY49" s="971"/>
      <c r="MZ49" s="971"/>
      <c r="NA49" s="971"/>
      <c r="NB49" s="971"/>
      <c r="NC49" s="971"/>
      <c r="ND49" s="971"/>
      <c r="NE49" s="971"/>
      <c r="NF49" s="971"/>
      <c r="NG49" s="971"/>
      <c r="NH49" s="971"/>
      <c r="NI49" s="971"/>
      <c r="NJ49" s="971"/>
      <c r="NK49" s="971"/>
      <c r="NL49" s="971"/>
      <c r="NM49" s="971"/>
      <c r="NN49" s="971"/>
      <c r="NO49" s="971"/>
      <c r="NP49" s="971"/>
      <c r="NQ49" s="971"/>
      <c r="NR49" s="971"/>
      <c r="NS49" s="971"/>
      <c r="NT49" s="971"/>
      <c r="NU49" s="971"/>
      <c r="NV49" s="971"/>
      <c r="NW49" s="971"/>
      <c r="NX49" s="971"/>
      <c r="NY49" s="971"/>
      <c r="NZ49" s="971"/>
      <c r="OA49" s="971"/>
      <c r="OB49" s="971"/>
      <c r="OC49" s="971"/>
      <c r="OD49" s="971"/>
      <c r="OE49" s="971"/>
      <c r="OF49" s="971"/>
      <c r="OG49" s="971"/>
      <c r="OH49" s="971"/>
      <c r="OI49" s="971"/>
      <c r="OJ49" s="971"/>
      <c r="OK49" s="971"/>
      <c r="OL49" s="971"/>
      <c r="OM49" s="971"/>
      <c r="ON49" s="971"/>
      <c r="OO49" s="971"/>
      <c r="OP49" s="971"/>
      <c r="OQ49" s="971"/>
      <c r="OR49" s="971"/>
      <c r="OS49" s="971"/>
      <c r="OT49" s="971"/>
      <c r="OU49" s="971"/>
      <c r="OV49" s="971"/>
      <c r="OW49" s="971"/>
      <c r="OX49" s="971"/>
      <c r="OY49" s="971"/>
      <c r="OZ49" s="971"/>
      <c r="PA49" s="971"/>
      <c r="PB49" s="971"/>
      <c r="PC49" s="971"/>
      <c r="PD49" s="971"/>
      <c r="PE49" s="971"/>
      <c r="PF49" s="971"/>
      <c r="PG49" s="971"/>
      <c r="PH49" s="971"/>
      <c r="PI49" s="971"/>
      <c r="PJ49" s="971"/>
      <c r="PK49" s="971"/>
      <c r="PL49" s="971"/>
      <c r="PM49" s="971"/>
      <c r="PN49" s="971"/>
      <c r="PO49" s="971"/>
      <c r="PP49" s="971"/>
      <c r="PQ49" s="971"/>
      <c r="PR49" s="971"/>
      <c r="PS49" s="971"/>
      <c r="PT49" s="971"/>
      <c r="PU49" s="971"/>
      <c r="PV49" s="971"/>
      <c r="PW49" s="971"/>
      <c r="PX49" s="971"/>
      <c r="PY49" s="971"/>
      <c r="PZ49" s="971"/>
      <c r="QA49" s="971"/>
      <c r="QB49" s="971"/>
      <c r="QC49" s="971"/>
      <c r="QD49" s="971"/>
      <c r="QE49" s="971"/>
      <c r="QF49" s="971"/>
      <c r="QG49" s="971"/>
      <c r="QH49" s="971"/>
      <c r="QI49" s="971"/>
      <c r="QJ49" s="971"/>
      <c r="QK49" s="971"/>
      <c r="QL49" s="971"/>
      <c r="QM49" s="971"/>
      <c r="QN49" s="971"/>
      <c r="QO49" s="971"/>
      <c r="QP49" s="971"/>
      <c r="QQ49" s="971"/>
      <c r="QR49" s="971"/>
      <c r="QS49" s="971"/>
      <c r="QT49" s="971"/>
      <c r="QU49" s="971"/>
      <c r="QV49" s="971"/>
      <c r="QW49" s="971"/>
      <c r="QX49" s="971"/>
      <c r="QY49" s="971"/>
      <c r="QZ49" s="971"/>
      <c r="RA49" s="971"/>
      <c r="RB49" s="971"/>
      <c r="RC49" s="971"/>
      <c r="RD49" s="971"/>
      <c r="RE49" s="971"/>
      <c r="RF49" s="971"/>
      <c r="RG49" s="971"/>
      <c r="RH49" s="971"/>
      <c r="RI49" s="971"/>
      <c r="RJ49" s="971"/>
      <c r="RK49" s="971"/>
      <c r="RL49" s="971"/>
      <c r="RM49" s="971"/>
      <c r="RN49" s="971"/>
      <c r="RO49" s="971"/>
      <c r="RP49" s="971"/>
      <c r="RQ49" s="971"/>
      <c r="RR49" s="971"/>
      <c r="RS49" s="971"/>
      <c r="RT49" s="971"/>
      <c r="RU49" s="971"/>
      <c r="RV49" s="971"/>
      <c r="RW49" s="971"/>
      <c r="RX49" s="971"/>
      <c r="RY49" s="971"/>
      <c r="RZ49" s="971"/>
      <c r="SA49" s="971"/>
      <c r="SB49" s="971"/>
      <c r="SC49" s="971"/>
      <c r="SD49" s="971"/>
      <c r="SE49" s="971"/>
      <c r="SF49" s="971"/>
      <c r="SG49" s="971"/>
      <c r="SH49" s="971"/>
      <c r="SI49" s="971"/>
      <c r="SJ49" s="971"/>
      <c r="SK49" s="971"/>
      <c r="SL49" s="971"/>
      <c r="SM49" s="971"/>
      <c r="SN49" s="971"/>
      <c r="SO49" s="971"/>
      <c r="SP49" s="971"/>
      <c r="SQ49" s="971"/>
      <c r="SR49" s="971"/>
      <c r="SS49" s="971"/>
      <c r="ST49" s="971"/>
      <c r="SU49" s="971"/>
      <c r="SV49" s="971"/>
      <c r="SW49" s="971"/>
      <c r="SX49" s="971"/>
      <c r="SY49" s="971"/>
      <c r="SZ49" s="971"/>
      <c r="TA49" s="971"/>
      <c r="TB49" s="971"/>
      <c r="TC49" s="971"/>
      <c r="TD49" s="971"/>
      <c r="TE49" s="971"/>
      <c r="TF49" s="971"/>
      <c r="TG49" s="971"/>
      <c r="TH49" s="971"/>
      <c r="TI49" s="971"/>
      <c r="TJ49" s="971"/>
      <c r="TK49" s="971"/>
      <c r="TL49" s="971"/>
      <c r="TM49" s="971"/>
      <c r="TN49" s="971"/>
      <c r="TO49" s="971"/>
      <c r="TP49" s="971"/>
      <c r="TQ49" s="971"/>
      <c r="TR49" s="971"/>
      <c r="TS49" s="971"/>
      <c r="TT49" s="971"/>
      <c r="TU49" s="971"/>
      <c r="TV49" s="971"/>
      <c r="TW49" s="971"/>
      <c r="TX49" s="971"/>
      <c r="TY49" s="971"/>
      <c r="TZ49" s="971"/>
      <c r="UA49" s="971"/>
      <c r="UB49" s="971"/>
      <c r="UC49" s="971"/>
      <c r="UD49" s="971"/>
      <c r="UE49" s="971"/>
      <c r="UF49" s="971"/>
      <c r="UG49" s="971"/>
      <c r="UH49" s="971"/>
      <c r="UI49" s="971"/>
      <c r="UJ49" s="971"/>
      <c r="UK49" s="971"/>
      <c r="UL49" s="971"/>
      <c r="UM49" s="971"/>
      <c r="UN49" s="971"/>
      <c r="UO49" s="971"/>
      <c r="UP49" s="971"/>
      <c r="UQ49" s="971"/>
      <c r="UR49" s="971"/>
      <c r="US49" s="971"/>
      <c r="UT49" s="971"/>
      <c r="UU49" s="971"/>
      <c r="UV49" s="971"/>
      <c r="UW49" s="971"/>
      <c r="UX49" s="971"/>
      <c r="UY49" s="971"/>
      <c r="UZ49" s="971"/>
      <c r="VA49" s="971"/>
      <c r="VB49" s="971"/>
      <c r="VC49" s="971"/>
      <c r="VD49" s="971"/>
      <c r="VE49" s="971"/>
      <c r="VF49" s="971"/>
      <c r="VG49" s="971"/>
      <c r="VH49" s="971"/>
      <c r="VI49" s="971"/>
      <c r="VJ49" s="971"/>
      <c r="VK49" s="971"/>
      <c r="VL49" s="971"/>
      <c r="VM49" s="971"/>
      <c r="VN49" s="971"/>
      <c r="VO49" s="971"/>
      <c r="VP49" s="971"/>
      <c r="VQ49" s="971"/>
      <c r="VR49" s="971"/>
      <c r="VS49" s="971"/>
      <c r="VT49" s="971"/>
      <c r="VU49" s="971"/>
      <c r="VV49" s="971"/>
      <c r="VW49" s="971"/>
      <c r="VX49" s="971"/>
      <c r="VY49" s="971"/>
      <c r="VZ49" s="971"/>
      <c r="WA49" s="971"/>
      <c r="WB49" s="971"/>
      <c r="WC49" s="971"/>
      <c r="WD49" s="971"/>
      <c r="WE49" s="971"/>
      <c r="WF49" s="971"/>
      <c r="WG49" s="971"/>
      <c r="WH49" s="971"/>
      <c r="WI49" s="971"/>
      <c r="WJ49" s="971"/>
      <c r="WK49" s="971"/>
      <c r="WL49" s="971"/>
      <c r="WM49" s="971"/>
      <c r="WN49" s="971"/>
      <c r="WO49" s="971"/>
      <c r="WP49" s="971"/>
      <c r="WQ49" s="971"/>
      <c r="WR49" s="971"/>
      <c r="WS49" s="971"/>
      <c r="WT49" s="971"/>
      <c r="WU49" s="971"/>
      <c r="WV49" s="971"/>
      <c r="WW49" s="971"/>
      <c r="WX49" s="971"/>
      <c r="WY49" s="971"/>
      <c r="WZ49" s="971"/>
      <c r="XA49" s="971"/>
      <c r="XB49" s="971"/>
      <c r="XC49" s="971"/>
      <c r="XD49" s="971"/>
      <c r="XE49" s="971"/>
      <c r="XF49" s="971"/>
      <c r="XG49" s="971"/>
      <c r="XH49" s="971"/>
      <c r="XI49" s="971"/>
      <c r="XJ49" s="971"/>
      <c r="XK49" s="971"/>
      <c r="XL49" s="971"/>
      <c r="XM49" s="971"/>
      <c r="XN49" s="971"/>
      <c r="XO49" s="971"/>
      <c r="XP49" s="971"/>
      <c r="XQ49" s="971"/>
      <c r="XR49" s="971"/>
      <c r="XS49" s="971"/>
      <c r="XT49" s="971"/>
      <c r="XU49" s="971"/>
      <c r="XV49" s="971"/>
      <c r="XW49" s="971"/>
      <c r="XX49" s="971"/>
      <c r="XY49" s="971"/>
      <c r="XZ49" s="971"/>
      <c r="YA49" s="971"/>
      <c r="YB49" s="971"/>
      <c r="YC49" s="971"/>
      <c r="YD49" s="971"/>
      <c r="YE49" s="971"/>
      <c r="YF49" s="971"/>
      <c r="YG49" s="971"/>
      <c r="YH49" s="971"/>
      <c r="YI49" s="971"/>
      <c r="YJ49" s="971"/>
      <c r="YK49" s="971"/>
      <c r="YL49" s="971"/>
      <c r="YM49" s="971"/>
      <c r="YN49" s="971"/>
      <c r="YO49" s="971"/>
      <c r="YP49" s="971"/>
      <c r="YQ49" s="971"/>
      <c r="YR49" s="971"/>
      <c r="YS49" s="971"/>
      <c r="YT49" s="971"/>
      <c r="YU49" s="971"/>
      <c r="YV49" s="971"/>
      <c r="YW49" s="971"/>
      <c r="YX49" s="971"/>
      <c r="YY49" s="971"/>
      <c r="YZ49" s="971"/>
      <c r="ZA49" s="971"/>
      <c r="ZB49" s="971"/>
      <c r="ZC49" s="971"/>
      <c r="ZD49" s="971"/>
      <c r="ZE49" s="971"/>
      <c r="ZF49" s="971"/>
      <c r="ZG49" s="971"/>
      <c r="ZH49" s="971"/>
      <c r="ZI49" s="971"/>
      <c r="ZJ49" s="971"/>
      <c r="ZK49" s="971"/>
      <c r="ZL49" s="971"/>
      <c r="ZM49" s="971"/>
      <c r="ZN49" s="971"/>
      <c r="ZO49" s="971"/>
      <c r="ZP49" s="971"/>
      <c r="ZQ49" s="971"/>
      <c r="ZR49" s="971"/>
      <c r="ZS49" s="971"/>
      <c r="ZT49" s="971"/>
      <c r="ZU49" s="971"/>
      <c r="ZV49" s="971"/>
      <c r="ZW49" s="971"/>
      <c r="ZX49" s="971"/>
      <c r="ZY49" s="971"/>
      <c r="ZZ49" s="971"/>
      <c r="AAA49" s="971"/>
      <c r="AAB49" s="971"/>
      <c r="AAC49" s="971"/>
      <c r="AAD49" s="971"/>
      <c r="AAE49" s="971"/>
      <c r="AAF49" s="971"/>
      <c r="AAG49" s="971"/>
      <c r="AAH49" s="971"/>
      <c r="AAI49" s="971"/>
      <c r="AAJ49" s="971"/>
      <c r="AAK49" s="971"/>
      <c r="AAL49" s="971"/>
      <c r="AAM49" s="971"/>
      <c r="AAN49" s="971"/>
      <c r="AAO49" s="971"/>
      <c r="AAP49" s="971"/>
      <c r="AAQ49" s="971"/>
      <c r="AAR49" s="971"/>
      <c r="AAS49" s="971"/>
      <c r="AAT49" s="971"/>
      <c r="AAU49" s="971"/>
      <c r="AAV49" s="971"/>
      <c r="AAW49" s="971"/>
      <c r="AAX49" s="971"/>
      <c r="AAY49" s="971"/>
      <c r="AAZ49" s="971"/>
      <c r="ABA49" s="971"/>
      <c r="ABB49" s="971"/>
      <c r="ABC49" s="971"/>
      <c r="ABD49" s="971"/>
      <c r="ABE49" s="971"/>
      <c r="ABF49" s="971"/>
      <c r="ABG49" s="971"/>
      <c r="ABH49" s="971"/>
      <c r="ABI49" s="971"/>
      <c r="ABJ49" s="971"/>
      <c r="ABK49" s="971"/>
      <c r="ABL49" s="971"/>
      <c r="ABM49" s="971"/>
      <c r="ABN49" s="971"/>
      <c r="ABO49" s="971"/>
      <c r="ABP49" s="971"/>
      <c r="ABQ49" s="971"/>
      <c r="ABR49" s="971"/>
      <c r="ABS49" s="971"/>
      <c r="ABT49" s="971"/>
      <c r="ABU49" s="971"/>
      <c r="ABV49" s="971"/>
      <c r="ABW49" s="971"/>
      <c r="ABX49" s="971"/>
      <c r="ABY49" s="971"/>
      <c r="ABZ49" s="971"/>
      <c r="ACA49" s="971"/>
      <c r="ACB49" s="971"/>
      <c r="ACC49" s="971"/>
      <c r="ACD49" s="971"/>
      <c r="ACE49" s="971"/>
      <c r="ACF49" s="971"/>
      <c r="ACG49" s="971"/>
      <c r="ACH49" s="971"/>
      <c r="ACI49" s="971"/>
      <c r="ACJ49" s="971"/>
      <c r="ACK49" s="971"/>
      <c r="ACL49" s="971"/>
      <c r="ACM49" s="971"/>
      <c r="ACN49" s="971"/>
      <c r="ACO49" s="971"/>
      <c r="ACP49" s="971"/>
      <c r="ACQ49" s="971"/>
      <c r="ACR49" s="971"/>
      <c r="ACS49" s="971"/>
      <c r="ACT49" s="971"/>
      <c r="ACU49" s="971"/>
      <c r="ACV49" s="971"/>
      <c r="ACW49" s="971"/>
      <c r="ACX49" s="971"/>
      <c r="ACY49" s="971"/>
      <c r="ACZ49" s="971"/>
      <c r="ADA49" s="971"/>
      <c r="ADB49" s="971"/>
      <c r="ADC49" s="971"/>
      <c r="ADD49" s="971"/>
      <c r="ADE49" s="971"/>
      <c r="ADF49" s="971"/>
      <c r="ADG49" s="971"/>
      <c r="ADH49" s="971"/>
      <c r="ADI49" s="971"/>
      <c r="ADJ49" s="971"/>
      <c r="ADK49" s="971"/>
      <c r="ADL49" s="971"/>
      <c r="ADM49" s="971"/>
      <c r="ADN49" s="971"/>
      <c r="ADO49" s="971"/>
      <c r="ADP49" s="971"/>
      <c r="ADQ49" s="971"/>
      <c r="ADR49" s="971"/>
      <c r="ADS49" s="971"/>
      <c r="ADT49" s="971"/>
      <c r="ADU49" s="971"/>
      <c r="ADV49" s="971"/>
      <c r="ADW49" s="971"/>
      <c r="ADX49" s="971"/>
      <c r="ADY49" s="971"/>
      <c r="ADZ49" s="971"/>
      <c r="AEA49" s="971"/>
      <c r="AEB49" s="971"/>
      <c r="AEC49" s="971"/>
      <c r="AED49" s="971"/>
      <c r="AEE49" s="971"/>
      <c r="AEF49" s="971"/>
      <c r="AEG49" s="971"/>
      <c r="AEH49" s="971"/>
      <c r="AEI49" s="971"/>
      <c r="AEJ49" s="971"/>
      <c r="AEK49" s="971"/>
      <c r="AEL49" s="971"/>
      <c r="AEM49" s="971"/>
      <c r="AEN49" s="971"/>
      <c r="AEO49" s="971"/>
      <c r="AEP49" s="971"/>
      <c r="AEQ49" s="971"/>
      <c r="AER49" s="971"/>
      <c r="AES49" s="971"/>
      <c r="AET49" s="971"/>
      <c r="AEU49" s="971"/>
      <c r="AEV49" s="971"/>
      <c r="AEW49" s="971"/>
      <c r="AEX49" s="971"/>
      <c r="AEY49" s="971"/>
      <c r="AEZ49" s="971"/>
      <c r="AFA49" s="971"/>
      <c r="AFB49" s="971"/>
      <c r="AFC49" s="971"/>
      <c r="AFD49" s="971"/>
      <c r="AFE49" s="971"/>
      <c r="AFF49" s="971"/>
      <c r="AFG49" s="971"/>
      <c r="AFH49" s="971"/>
      <c r="AFI49" s="971"/>
      <c r="AFJ49" s="971"/>
      <c r="AFK49" s="971"/>
      <c r="AFL49" s="971"/>
      <c r="AFM49" s="971"/>
      <c r="AFN49" s="971"/>
      <c r="AFO49" s="971"/>
      <c r="AFP49" s="971"/>
      <c r="AFQ49" s="971"/>
      <c r="AFR49" s="971"/>
      <c r="AFS49" s="971"/>
      <c r="AFT49" s="971"/>
      <c r="AFU49" s="971"/>
      <c r="AFV49" s="971"/>
      <c r="AFW49" s="971"/>
      <c r="AFX49" s="971"/>
      <c r="AFY49" s="971"/>
      <c r="AFZ49" s="971"/>
      <c r="AGA49" s="971"/>
      <c r="AGB49" s="971"/>
      <c r="AGC49" s="971"/>
      <c r="AGD49" s="971"/>
      <c r="AGE49" s="971"/>
      <c r="AGF49" s="971"/>
      <c r="AGG49" s="971"/>
      <c r="AGH49" s="971"/>
      <c r="AGI49" s="971"/>
      <c r="AGJ49" s="971"/>
      <c r="AGK49" s="971"/>
      <c r="AGL49" s="971"/>
      <c r="AGM49" s="971"/>
      <c r="AGN49" s="971"/>
      <c r="AGO49" s="971"/>
      <c r="AGP49" s="971"/>
      <c r="AGQ49" s="971"/>
      <c r="AGR49" s="971"/>
      <c r="AGS49" s="971"/>
      <c r="AGT49" s="971"/>
      <c r="AGU49" s="971"/>
      <c r="AGV49" s="971"/>
      <c r="AGW49" s="971"/>
      <c r="AGX49" s="971"/>
      <c r="AGY49" s="971"/>
      <c r="AGZ49" s="971"/>
      <c r="AHA49" s="971"/>
      <c r="AHB49" s="971"/>
      <c r="AHC49" s="971"/>
      <c r="AHD49" s="971"/>
      <c r="AHE49" s="971"/>
      <c r="AHF49" s="971"/>
      <c r="AHG49" s="971"/>
      <c r="AHH49" s="971"/>
      <c r="AHI49" s="971"/>
      <c r="AHJ49" s="971"/>
      <c r="AHK49" s="971"/>
      <c r="AHL49" s="971"/>
      <c r="AHM49" s="971"/>
      <c r="AHN49" s="971"/>
      <c r="AHO49" s="971"/>
      <c r="AHP49" s="971"/>
      <c r="AHQ49" s="971"/>
      <c r="AHR49" s="971"/>
      <c r="AHS49" s="971"/>
      <c r="AHT49" s="971"/>
      <c r="AHU49" s="971"/>
      <c r="AHV49" s="971"/>
      <c r="AHW49" s="971"/>
      <c r="AHX49" s="971"/>
      <c r="AHY49" s="971"/>
      <c r="AHZ49" s="971"/>
      <c r="AIA49" s="971"/>
      <c r="AIB49" s="971"/>
      <c r="AIC49" s="971"/>
      <c r="AID49" s="971"/>
      <c r="AIE49" s="971"/>
      <c r="AIF49" s="971"/>
      <c r="AIG49" s="971"/>
      <c r="AIH49" s="971"/>
      <c r="AII49" s="971"/>
      <c r="AIJ49" s="971"/>
      <c r="AIK49" s="971"/>
      <c r="AIL49" s="971"/>
      <c r="AIM49" s="971"/>
      <c r="AIN49" s="971"/>
      <c r="AIO49" s="971"/>
      <c r="AIP49" s="971"/>
      <c r="AIQ49" s="971"/>
      <c r="AIR49" s="971"/>
      <c r="AIS49" s="971"/>
      <c r="AIT49" s="971"/>
      <c r="AIU49" s="971"/>
      <c r="AIV49" s="971"/>
      <c r="AIW49" s="971"/>
      <c r="AIX49" s="971"/>
      <c r="AIY49" s="971"/>
      <c r="AIZ49" s="971"/>
      <c r="AJA49" s="971"/>
      <c r="AJB49" s="971"/>
      <c r="AJC49" s="971"/>
      <c r="AJD49" s="971"/>
      <c r="AJE49" s="971"/>
      <c r="AJF49" s="971"/>
      <c r="AJG49" s="971"/>
      <c r="AJH49" s="971"/>
      <c r="AJI49" s="971"/>
      <c r="AJJ49" s="971"/>
      <c r="AJK49" s="971"/>
      <c r="AJL49" s="971"/>
      <c r="AJM49" s="971"/>
      <c r="AJN49" s="971"/>
      <c r="AJO49" s="971"/>
      <c r="AJP49" s="971"/>
      <c r="AJQ49" s="971"/>
      <c r="AJR49" s="971"/>
      <c r="AJS49" s="971"/>
      <c r="AJT49" s="971"/>
      <c r="AJU49" s="971"/>
      <c r="AJV49" s="971"/>
      <c r="AJW49" s="971"/>
      <c r="AJX49" s="971"/>
      <c r="AJY49" s="971"/>
      <c r="AJZ49" s="971"/>
      <c r="AKA49" s="971"/>
      <c r="AKB49" s="971"/>
      <c r="AKC49" s="971"/>
      <c r="AKD49" s="971"/>
      <c r="AKE49" s="971"/>
      <c r="AKF49" s="971"/>
      <c r="AKG49" s="971"/>
      <c r="AKH49" s="971"/>
      <c r="AKI49" s="971"/>
      <c r="AKJ49" s="971"/>
      <c r="AKK49" s="971"/>
      <c r="AKL49" s="971"/>
      <c r="AKM49" s="971"/>
      <c r="AKN49" s="971"/>
      <c r="AKO49" s="971"/>
      <c r="AKP49" s="971"/>
      <c r="AKQ49" s="971"/>
      <c r="AKR49" s="971"/>
      <c r="AKS49" s="971"/>
      <c r="AKT49" s="971"/>
      <c r="AKU49" s="971"/>
      <c r="AKV49" s="971"/>
      <c r="AKW49" s="971"/>
      <c r="AKX49" s="971"/>
      <c r="AKY49" s="971"/>
      <c r="AKZ49" s="971"/>
      <c r="ALA49" s="971"/>
      <c r="ALB49" s="971"/>
      <c r="ALC49" s="971"/>
      <c r="ALD49" s="971"/>
      <c r="ALE49" s="971"/>
      <c r="ALF49" s="971"/>
      <c r="ALG49" s="971"/>
      <c r="ALH49" s="971"/>
      <c r="ALI49" s="971"/>
      <c r="ALJ49" s="971"/>
      <c r="ALK49" s="971"/>
      <c r="ALL49" s="971"/>
      <c r="ALM49" s="971"/>
      <c r="ALN49" s="971"/>
      <c r="ALO49" s="971"/>
      <c r="ALP49" s="971"/>
      <c r="ALQ49" s="971"/>
      <c r="ALR49" s="971"/>
      <c r="ALS49" s="971"/>
      <c r="ALT49" s="971"/>
      <c r="ALU49" s="971"/>
      <c r="ALV49" s="971"/>
      <c r="ALW49" s="971"/>
      <c r="ALX49" s="971"/>
      <c r="ALY49" s="971"/>
      <c r="ALZ49" s="971"/>
      <c r="AMA49" s="971"/>
      <c r="AMB49" s="971"/>
      <c r="AMC49" s="971"/>
      <c r="AMD49" s="971"/>
      <c r="AME49" s="971"/>
      <c r="AMF49" s="971"/>
      <c r="AMG49" s="971"/>
      <c r="AMH49" s="971"/>
      <c r="AMI49" s="971"/>
      <c r="AMJ49" s="971"/>
      <c r="AMK49" s="971"/>
      <c r="AML49" s="971"/>
      <c r="AMM49" s="971"/>
      <c r="AMN49" s="971"/>
      <c r="AMO49" s="971"/>
      <c r="AMP49" s="971"/>
      <c r="AMQ49" s="971"/>
      <c r="AMR49" s="971"/>
      <c r="AMS49" s="971"/>
      <c r="AMT49" s="971"/>
      <c r="AMU49" s="971"/>
      <c r="AMV49" s="971"/>
      <c r="AMW49" s="971"/>
      <c r="AMX49" s="971"/>
      <c r="AMY49" s="971"/>
      <c r="AMZ49" s="971"/>
      <c r="ANA49" s="971"/>
      <c r="ANB49" s="971"/>
      <c r="ANC49" s="971"/>
      <c r="AND49" s="971"/>
      <c r="ANE49" s="971"/>
      <c r="ANF49" s="971"/>
      <c r="ANG49" s="971"/>
      <c r="ANH49" s="971"/>
      <c r="ANI49" s="971"/>
      <c r="ANJ49" s="971"/>
      <c r="ANK49" s="971"/>
      <c r="ANL49" s="971"/>
      <c r="ANM49" s="971"/>
      <c r="ANN49" s="971"/>
      <c r="ANO49" s="971"/>
      <c r="ANP49" s="971"/>
      <c r="ANQ49" s="971"/>
      <c r="ANR49" s="971"/>
      <c r="ANS49" s="971"/>
      <c r="ANT49" s="971"/>
      <c r="ANU49" s="971"/>
      <c r="ANV49" s="971"/>
      <c r="ANW49" s="971"/>
      <c r="ANX49" s="971"/>
      <c r="ANY49" s="971"/>
      <c r="ANZ49" s="971"/>
      <c r="AOA49" s="971"/>
      <c r="AOB49" s="971"/>
      <c r="AOC49" s="971"/>
      <c r="AOD49" s="971"/>
      <c r="AOE49" s="971"/>
      <c r="AOF49" s="971"/>
      <c r="AOG49" s="971"/>
      <c r="AOH49" s="971"/>
      <c r="AOI49" s="971"/>
      <c r="AOJ49" s="971"/>
      <c r="AOK49" s="971"/>
      <c r="AOL49" s="971"/>
      <c r="AOM49" s="971"/>
      <c r="AON49" s="971"/>
      <c r="AOO49" s="971"/>
      <c r="AOP49" s="971"/>
      <c r="AOQ49" s="971"/>
      <c r="AOR49" s="971"/>
      <c r="AOS49" s="971"/>
      <c r="AOT49" s="971"/>
      <c r="AOU49" s="971"/>
      <c r="AOV49" s="971"/>
      <c r="AOW49" s="971"/>
      <c r="AOX49" s="971"/>
      <c r="AOY49" s="971"/>
      <c r="AOZ49" s="971"/>
      <c r="APA49" s="971"/>
      <c r="APB49" s="971"/>
      <c r="APC49" s="971"/>
      <c r="APD49" s="971"/>
      <c r="APE49" s="971"/>
      <c r="APF49" s="971"/>
      <c r="APG49" s="971"/>
      <c r="APH49" s="971"/>
      <c r="API49" s="971"/>
      <c r="APJ49" s="971"/>
      <c r="APK49" s="971"/>
      <c r="APL49" s="971"/>
      <c r="APM49" s="971"/>
      <c r="APN49" s="971"/>
      <c r="APO49" s="971"/>
      <c r="APP49" s="971"/>
      <c r="APQ49" s="971"/>
      <c r="APR49" s="971"/>
      <c r="APS49" s="971"/>
      <c r="APT49" s="971"/>
      <c r="APU49" s="971"/>
      <c r="APV49" s="971"/>
      <c r="APW49" s="971"/>
      <c r="APX49" s="971"/>
      <c r="APY49" s="971"/>
      <c r="APZ49" s="971"/>
      <c r="AQA49" s="971"/>
      <c r="AQB49" s="971"/>
      <c r="AQC49" s="971"/>
      <c r="AQD49" s="971"/>
      <c r="AQE49" s="971"/>
      <c r="AQF49" s="971"/>
      <c r="AQG49" s="971"/>
      <c r="AQH49" s="971"/>
      <c r="AQI49" s="971"/>
      <c r="AQJ49" s="971"/>
      <c r="AQK49" s="971"/>
      <c r="AQL49" s="971"/>
      <c r="AQM49" s="971"/>
      <c r="AQN49" s="971"/>
      <c r="AQO49" s="971"/>
      <c r="AQP49" s="971"/>
      <c r="AQQ49" s="971"/>
      <c r="AQR49" s="971"/>
      <c r="AQS49" s="971"/>
      <c r="AQT49" s="971"/>
      <c r="AQU49" s="971"/>
      <c r="AQV49" s="971"/>
      <c r="AQW49" s="971"/>
      <c r="AQX49" s="971"/>
      <c r="AQY49" s="971"/>
      <c r="AQZ49" s="971"/>
      <c r="ARA49" s="971"/>
      <c r="ARB49" s="971"/>
      <c r="ARC49" s="971"/>
      <c r="ARD49" s="971"/>
      <c r="ARE49" s="971"/>
      <c r="ARF49" s="971"/>
      <c r="ARG49" s="971"/>
      <c r="ARH49" s="971"/>
      <c r="ARI49" s="971"/>
      <c r="ARJ49" s="971"/>
      <c r="ARK49" s="971"/>
      <c r="ARL49" s="971"/>
      <c r="ARM49" s="971"/>
      <c r="ARN49" s="971"/>
      <c r="ARO49" s="971"/>
      <c r="ARP49" s="971"/>
      <c r="ARQ49" s="971"/>
      <c r="ARR49" s="971"/>
      <c r="ARS49" s="971"/>
      <c r="ART49" s="971"/>
      <c r="ARU49" s="971"/>
      <c r="ARV49" s="971"/>
      <c r="ARW49" s="971"/>
      <c r="ARX49" s="971"/>
      <c r="ARY49" s="971"/>
      <c r="ARZ49" s="971"/>
      <c r="ASA49" s="971"/>
      <c r="ASB49" s="971"/>
      <c r="ASC49" s="971"/>
      <c r="ASD49" s="971"/>
      <c r="ASE49" s="971"/>
      <c r="ASF49" s="971"/>
      <c r="ASG49" s="971"/>
      <c r="ASH49" s="971"/>
      <c r="ASI49" s="971"/>
      <c r="ASJ49" s="971"/>
      <c r="ASK49" s="971"/>
      <c r="ASL49" s="971"/>
      <c r="ASM49" s="971"/>
      <c r="ASN49" s="971"/>
      <c r="ASO49" s="971"/>
      <c r="ASP49" s="971"/>
      <c r="ASQ49" s="971"/>
      <c r="ASR49" s="971"/>
      <c r="ASS49" s="971"/>
      <c r="AST49" s="971"/>
      <c r="ASU49" s="971"/>
      <c r="ASV49" s="971"/>
      <c r="ASW49" s="971"/>
      <c r="ASX49" s="971"/>
      <c r="ASY49" s="971"/>
      <c r="ASZ49" s="971"/>
      <c r="ATA49" s="971"/>
      <c r="ATB49" s="971"/>
      <c r="ATC49" s="971"/>
      <c r="ATD49" s="971"/>
      <c r="ATE49" s="971"/>
      <c r="ATF49" s="971"/>
      <c r="ATG49" s="971"/>
      <c r="ATH49" s="971"/>
      <c r="ATI49" s="971"/>
      <c r="ATJ49" s="971"/>
      <c r="ATK49" s="971"/>
      <c r="ATL49" s="971"/>
      <c r="ATM49" s="971"/>
      <c r="ATN49" s="971"/>
      <c r="ATO49" s="971"/>
      <c r="ATP49" s="971"/>
      <c r="ATQ49" s="971"/>
      <c r="ATR49" s="971"/>
      <c r="ATS49" s="971"/>
      <c r="ATT49" s="971"/>
      <c r="ATU49" s="971"/>
      <c r="ATV49" s="971"/>
      <c r="ATW49" s="971"/>
      <c r="ATX49" s="971"/>
      <c r="ATY49" s="971"/>
      <c r="ATZ49" s="971"/>
      <c r="AUA49" s="971"/>
      <c r="AUB49" s="971"/>
      <c r="AUC49" s="971"/>
      <c r="AUD49" s="971"/>
      <c r="AUE49" s="971"/>
      <c r="AUF49" s="971"/>
      <c r="AUG49" s="971"/>
      <c r="AUH49" s="971"/>
      <c r="AUI49" s="971"/>
      <c r="AUJ49" s="971"/>
      <c r="AUK49" s="971"/>
      <c r="AUL49" s="971"/>
      <c r="AUM49" s="971"/>
      <c r="AUN49" s="971"/>
      <c r="AUO49" s="971"/>
      <c r="AUP49" s="971"/>
      <c r="AUQ49" s="971"/>
      <c r="AUR49" s="971"/>
      <c r="AUS49" s="971"/>
      <c r="AUT49" s="971"/>
      <c r="AUU49" s="971"/>
      <c r="AUV49" s="971"/>
      <c r="AUW49" s="971"/>
      <c r="AUX49" s="971"/>
      <c r="AUY49" s="971"/>
      <c r="AUZ49" s="971"/>
      <c r="AVA49" s="971"/>
      <c r="AVB49" s="971"/>
      <c r="AVC49" s="971"/>
      <c r="AVD49" s="971"/>
      <c r="AVE49" s="971"/>
      <c r="AVF49" s="971"/>
      <c r="AVG49" s="971"/>
      <c r="AVH49" s="971"/>
      <c r="AVI49" s="971"/>
      <c r="AVJ49" s="971"/>
      <c r="AVK49" s="971"/>
      <c r="AVL49" s="971"/>
      <c r="AVM49" s="971"/>
      <c r="AVN49" s="971"/>
      <c r="AVO49" s="971"/>
      <c r="AVP49" s="971"/>
      <c r="AVQ49" s="971"/>
      <c r="AVR49" s="971"/>
      <c r="AVS49" s="971"/>
      <c r="AVT49" s="971"/>
      <c r="AVU49" s="971"/>
      <c r="AVV49" s="971"/>
      <c r="AVW49" s="971"/>
      <c r="AVX49" s="971"/>
      <c r="AVY49" s="971"/>
      <c r="AVZ49" s="971"/>
      <c r="AWA49" s="971"/>
      <c r="AWB49" s="971"/>
      <c r="AWC49" s="971"/>
      <c r="AWD49" s="971"/>
      <c r="AWE49" s="971"/>
      <c r="AWF49" s="971"/>
      <c r="AWG49" s="971"/>
      <c r="AWH49" s="971"/>
      <c r="AWI49" s="971"/>
      <c r="AWJ49" s="971"/>
      <c r="AWK49" s="971"/>
      <c r="AWL49" s="971"/>
      <c r="AWM49" s="971"/>
      <c r="AWN49" s="971"/>
      <c r="AWO49" s="971"/>
      <c r="AWP49" s="971"/>
      <c r="AWQ49" s="971"/>
      <c r="AWR49" s="971"/>
      <c r="AWS49" s="971"/>
      <c r="AWT49" s="971"/>
      <c r="AWU49" s="971"/>
      <c r="AWV49" s="971"/>
      <c r="AWW49" s="971"/>
      <c r="AWX49" s="971"/>
      <c r="AWY49" s="971"/>
      <c r="AWZ49" s="971"/>
      <c r="AXA49" s="971"/>
      <c r="AXB49" s="971"/>
      <c r="AXC49" s="971"/>
      <c r="AXD49" s="971"/>
      <c r="AXE49" s="971"/>
      <c r="AXF49" s="971"/>
      <c r="AXG49" s="971"/>
      <c r="AXH49" s="971"/>
      <c r="AXI49" s="971"/>
      <c r="AXJ49" s="971"/>
      <c r="AXK49" s="971"/>
      <c r="AXL49" s="971"/>
      <c r="AXM49" s="971"/>
      <c r="AXN49" s="971"/>
      <c r="AXO49" s="971"/>
      <c r="AXP49" s="971"/>
      <c r="AXQ49" s="971"/>
      <c r="AXR49" s="971"/>
      <c r="AXS49" s="971"/>
      <c r="AXT49" s="971"/>
      <c r="AXU49" s="971"/>
      <c r="AXV49" s="971"/>
      <c r="AXW49" s="971"/>
      <c r="AXX49" s="971"/>
      <c r="AXY49" s="971"/>
      <c r="AXZ49" s="971"/>
      <c r="AYA49" s="971"/>
      <c r="AYB49" s="971"/>
      <c r="AYC49" s="971"/>
      <c r="AYD49" s="971"/>
      <c r="AYE49" s="971"/>
      <c r="AYF49" s="971"/>
      <c r="AYG49" s="971"/>
      <c r="AYH49" s="971"/>
      <c r="AYI49" s="971"/>
      <c r="AYJ49" s="971"/>
      <c r="AYK49" s="971"/>
      <c r="AYL49" s="971"/>
      <c r="AYM49" s="971"/>
      <c r="AYN49" s="971"/>
      <c r="AYO49" s="971"/>
      <c r="AYP49" s="971"/>
      <c r="AYQ49" s="971"/>
      <c r="AYR49" s="971"/>
      <c r="AYS49" s="971"/>
      <c r="AYT49" s="971"/>
      <c r="AYU49" s="971"/>
      <c r="AYV49" s="971"/>
      <c r="AYW49" s="971"/>
      <c r="AYX49" s="971"/>
      <c r="AYY49" s="971"/>
      <c r="AYZ49" s="971"/>
      <c r="AZA49" s="971"/>
      <c r="AZB49" s="971"/>
      <c r="AZC49" s="971"/>
      <c r="AZD49" s="971"/>
      <c r="AZE49" s="971"/>
      <c r="AZF49" s="971"/>
      <c r="AZG49" s="971"/>
      <c r="AZH49" s="971"/>
      <c r="AZI49" s="971"/>
      <c r="AZJ49" s="971"/>
      <c r="AZK49" s="971"/>
      <c r="AZL49" s="971"/>
      <c r="AZM49" s="971"/>
      <c r="AZN49" s="971"/>
      <c r="AZO49" s="971"/>
      <c r="AZP49" s="971"/>
      <c r="AZQ49" s="971"/>
      <c r="AZR49" s="971"/>
      <c r="AZS49" s="971"/>
      <c r="AZT49" s="971"/>
      <c r="AZU49" s="971"/>
      <c r="AZV49" s="971"/>
      <c r="AZW49" s="971"/>
      <c r="AZX49" s="971"/>
      <c r="AZY49" s="971"/>
      <c r="AZZ49" s="971"/>
      <c r="BAA49" s="971"/>
      <c r="BAB49" s="971"/>
      <c r="BAC49" s="971"/>
      <c r="BAD49" s="971"/>
      <c r="BAE49" s="971"/>
      <c r="BAF49" s="971"/>
      <c r="BAG49" s="971"/>
      <c r="BAH49" s="971"/>
      <c r="BAI49" s="971"/>
      <c r="BAJ49" s="971"/>
      <c r="BAK49" s="971"/>
      <c r="BAL49" s="971"/>
      <c r="BAM49" s="971"/>
      <c r="BAN49" s="971"/>
      <c r="BAO49" s="971"/>
      <c r="BAP49" s="971"/>
      <c r="BAQ49" s="971"/>
      <c r="BAR49" s="971"/>
      <c r="BAS49" s="971"/>
      <c r="BAT49" s="971"/>
      <c r="BAU49" s="971"/>
      <c r="BAV49" s="971"/>
      <c r="BAW49" s="971"/>
      <c r="BAX49" s="971"/>
      <c r="BAY49" s="971"/>
      <c r="BAZ49" s="971"/>
      <c r="BBA49" s="971"/>
      <c r="BBB49" s="971"/>
      <c r="BBC49" s="971"/>
      <c r="BBD49" s="971"/>
      <c r="BBE49" s="971"/>
      <c r="BBF49" s="971"/>
      <c r="BBG49" s="971"/>
      <c r="BBH49" s="971"/>
      <c r="BBI49" s="971"/>
      <c r="BBJ49" s="971"/>
      <c r="BBK49" s="971"/>
      <c r="BBL49" s="971"/>
      <c r="BBM49" s="971"/>
      <c r="BBN49" s="971"/>
      <c r="BBO49" s="971"/>
      <c r="BBP49" s="971"/>
      <c r="BBQ49" s="971"/>
      <c r="BBR49" s="971"/>
      <c r="BBS49" s="971"/>
      <c r="BBT49" s="971"/>
      <c r="BBU49" s="971"/>
      <c r="BBV49" s="971"/>
      <c r="BBW49" s="971"/>
      <c r="BBX49" s="971"/>
      <c r="BBY49" s="971"/>
      <c r="BBZ49" s="971"/>
      <c r="BCA49" s="971"/>
      <c r="BCB49" s="971"/>
      <c r="BCC49" s="971"/>
      <c r="BCD49" s="971"/>
      <c r="BCE49" s="971"/>
      <c r="BCF49" s="971"/>
      <c r="BCG49" s="971"/>
      <c r="BCH49" s="971"/>
      <c r="BCI49" s="971"/>
      <c r="BCJ49" s="971"/>
      <c r="BCK49" s="971"/>
      <c r="BCL49" s="971"/>
      <c r="BCM49" s="971"/>
      <c r="BCN49" s="971"/>
      <c r="BCO49" s="971"/>
      <c r="BCP49" s="971"/>
      <c r="BCQ49" s="971"/>
      <c r="BCR49" s="971"/>
      <c r="BCS49" s="971"/>
      <c r="BCT49" s="971"/>
      <c r="BCU49" s="971"/>
      <c r="BCV49" s="971"/>
      <c r="BCW49" s="971"/>
      <c r="BCX49" s="971"/>
      <c r="BCY49" s="971"/>
      <c r="BCZ49" s="971"/>
      <c r="BDA49" s="971"/>
      <c r="BDB49" s="971"/>
      <c r="BDC49" s="971"/>
      <c r="BDD49" s="971"/>
      <c r="BDE49" s="971"/>
      <c r="BDF49" s="971"/>
      <c r="BDG49" s="971"/>
      <c r="BDH49" s="971"/>
      <c r="BDI49" s="971"/>
      <c r="BDJ49" s="971"/>
      <c r="BDK49" s="971"/>
      <c r="BDL49" s="971"/>
      <c r="BDM49" s="971"/>
      <c r="BDN49" s="971"/>
      <c r="BDO49" s="971"/>
      <c r="BDP49" s="971"/>
      <c r="BDQ49" s="971"/>
      <c r="BDR49" s="971"/>
      <c r="BDS49" s="971"/>
      <c r="BDT49" s="971"/>
      <c r="BDU49" s="971"/>
      <c r="BDV49" s="971"/>
      <c r="BDW49" s="971"/>
      <c r="BDX49" s="971"/>
      <c r="BDY49" s="971"/>
      <c r="BDZ49" s="971"/>
      <c r="BEA49" s="971"/>
      <c r="BEB49" s="971"/>
      <c r="BEC49" s="971"/>
      <c r="BED49" s="971"/>
      <c r="BEE49" s="971"/>
      <c r="BEF49" s="971"/>
      <c r="BEG49" s="971"/>
      <c r="BEH49" s="971"/>
      <c r="BEI49" s="971"/>
      <c r="BEJ49" s="971"/>
      <c r="BEK49" s="971"/>
      <c r="BEL49" s="971"/>
      <c r="BEM49" s="971"/>
      <c r="BEN49" s="971"/>
      <c r="BEO49" s="971"/>
      <c r="BEP49" s="971"/>
      <c r="BEQ49" s="971"/>
      <c r="BER49" s="971"/>
      <c r="BES49" s="971"/>
      <c r="BET49" s="971"/>
      <c r="BEU49" s="971"/>
      <c r="BEV49" s="971"/>
      <c r="BEW49" s="971"/>
      <c r="BEX49" s="971"/>
      <c r="BEY49" s="971"/>
      <c r="BEZ49" s="971"/>
      <c r="BFA49" s="971"/>
      <c r="BFB49" s="971"/>
      <c r="BFC49" s="971"/>
      <c r="BFD49" s="971"/>
      <c r="BFE49" s="971"/>
      <c r="BFF49" s="971"/>
      <c r="BFG49" s="971"/>
      <c r="BFH49" s="971"/>
      <c r="BFI49" s="971"/>
      <c r="BFJ49" s="971"/>
      <c r="BFK49" s="971"/>
      <c r="BFL49" s="971"/>
      <c r="BFM49" s="971"/>
      <c r="BFN49" s="971"/>
      <c r="BFO49" s="971"/>
      <c r="BFP49" s="971"/>
      <c r="BFQ49" s="971"/>
      <c r="BFR49" s="971"/>
      <c r="BFS49" s="971"/>
      <c r="BFT49" s="971"/>
      <c r="BFU49" s="971"/>
      <c r="BFV49" s="971"/>
      <c r="BFW49" s="971"/>
      <c r="BFX49" s="971"/>
      <c r="BFY49" s="971"/>
      <c r="BFZ49" s="971"/>
      <c r="BGA49" s="971"/>
      <c r="BGB49" s="971"/>
      <c r="BGC49" s="971"/>
      <c r="BGD49" s="971"/>
      <c r="BGE49" s="971"/>
      <c r="BGF49" s="971"/>
      <c r="BGG49" s="971"/>
      <c r="BGH49" s="971"/>
      <c r="BGI49" s="971"/>
      <c r="BGJ49" s="971"/>
      <c r="BGK49" s="971"/>
      <c r="BGL49" s="971"/>
      <c r="BGM49" s="971"/>
      <c r="BGN49" s="971"/>
      <c r="BGO49" s="971"/>
      <c r="BGP49" s="971"/>
      <c r="BGQ49" s="971"/>
      <c r="BGR49" s="971"/>
      <c r="BGS49" s="971"/>
      <c r="BGT49" s="971"/>
      <c r="BGU49" s="971"/>
      <c r="BGV49" s="971"/>
      <c r="BGW49" s="971"/>
      <c r="BGX49" s="971"/>
      <c r="BGY49" s="971"/>
      <c r="BGZ49" s="971"/>
      <c r="BHA49" s="971"/>
      <c r="BHB49" s="971"/>
      <c r="BHC49" s="971"/>
      <c r="BHD49" s="971"/>
      <c r="BHE49" s="971"/>
      <c r="BHF49" s="971"/>
      <c r="BHG49" s="971"/>
      <c r="BHH49" s="971"/>
      <c r="BHI49" s="971"/>
      <c r="BHJ49" s="971"/>
      <c r="BHK49" s="971"/>
      <c r="BHL49" s="971"/>
      <c r="BHM49" s="971"/>
      <c r="BHN49" s="971"/>
      <c r="BHO49" s="971"/>
      <c r="BHP49" s="971"/>
      <c r="BHQ49" s="971"/>
      <c r="BHR49" s="971"/>
      <c r="BHS49" s="971"/>
      <c r="BHT49" s="971"/>
      <c r="BHU49" s="971"/>
      <c r="BHV49" s="971"/>
      <c r="BHW49" s="971"/>
      <c r="BHX49" s="971"/>
      <c r="BHY49" s="971"/>
      <c r="BHZ49" s="971"/>
      <c r="BIA49" s="971"/>
      <c r="BIB49" s="971"/>
      <c r="BIC49" s="971"/>
      <c r="BID49" s="971"/>
      <c r="BIE49" s="971"/>
      <c r="BIF49" s="971"/>
      <c r="BIG49" s="971"/>
      <c r="BIH49" s="971"/>
      <c r="BII49" s="971"/>
      <c r="BIJ49" s="971"/>
      <c r="BIK49" s="971"/>
      <c r="BIL49" s="971"/>
      <c r="BIM49" s="971"/>
      <c r="BIN49" s="971"/>
      <c r="BIO49" s="971"/>
      <c r="BIP49" s="971"/>
      <c r="BIQ49" s="971"/>
      <c r="BIR49" s="971"/>
      <c r="BIS49" s="971"/>
      <c r="BIT49" s="971"/>
      <c r="BIU49" s="971"/>
      <c r="BIV49" s="971"/>
      <c r="BIW49" s="971"/>
      <c r="BIX49" s="971"/>
      <c r="BIY49" s="971"/>
      <c r="BIZ49" s="971"/>
      <c r="BJA49" s="971"/>
      <c r="BJB49" s="971"/>
      <c r="BJC49" s="971"/>
      <c r="BJD49" s="971"/>
      <c r="BJE49" s="971"/>
      <c r="BJF49" s="971"/>
      <c r="BJG49" s="971"/>
      <c r="BJH49" s="971"/>
      <c r="BJI49" s="971"/>
      <c r="BJJ49" s="971"/>
      <c r="BJK49" s="971"/>
      <c r="BJL49" s="971"/>
      <c r="BJM49" s="971"/>
      <c r="BJN49" s="971"/>
      <c r="BJO49" s="971"/>
      <c r="BJP49" s="971"/>
      <c r="BJQ49" s="971"/>
      <c r="BJR49" s="971"/>
      <c r="BJS49" s="971"/>
      <c r="BJT49" s="971"/>
      <c r="BJU49" s="971"/>
      <c r="BJV49" s="971"/>
      <c r="BJW49" s="971"/>
      <c r="BJX49" s="971"/>
      <c r="BJY49" s="971"/>
      <c r="BJZ49" s="971"/>
      <c r="BKA49" s="971"/>
      <c r="BKB49" s="971"/>
      <c r="BKC49" s="971"/>
      <c r="BKD49" s="971"/>
      <c r="BKE49" s="971"/>
      <c r="BKF49" s="971"/>
      <c r="BKG49" s="971"/>
      <c r="BKH49" s="971"/>
      <c r="BKI49" s="971"/>
      <c r="BKJ49" s="971"/>
      <c r="BKK49" s="971"/>
      <c r="BKL49" s="971"/>
      <c r="BKM49" s="971"/>
      <c r="BKN49" s="971"/>
      <c r="BKO49" s="971"/>
      <c r="BKP49" s="971"/>
      <c r="BKQ49" s="971"/>
      <c r="BKR49" s="971"/>
      <c r="BKS49" s="971"/>
      <c r="BKT49" s="971"/>
      <c r="BKU49" s="971"/>
      <c r="BKV49" s="971"/>
      <c r="BKW49" s="971"/>
      <c r="BKX49" s="971"/>
      <c r="BKY49" s="971"/>
      <c r="BKZ49" s="971"/>
      <c r="BLA49" s="971"/>
      <c r="BLB49" s="971"/>
      <c r="BLC49" s="971"/>
      <c r="BLD49" s="971"/>
      <c r="BLE49" s="971"/>
      <c r="BLF49" s="971"/>
      <c r="BLG49" s="971"/>
      <c r="BLH49" s="971"/>
      <c r="BLI49" s="971"/>
      <c r="BLJ49" s="971"/>
      <c r="BLK49" s="971"/>
      <c r="BLL49" s="971"/>
      <c r="BLM49" s="971"/>
      <c r="BLN49" s="971"/>
      <c r="BLO49" s="971"/>
      <c r="BLP49" s="971"/>
      <c r="BLQ49" s="971"/>
      <c r="BLR49" s="971"/>
      <c r="BLS49" s="971"/>
      <c r="BLT49" s="971"/>
      <c r="BLU49" s="971"/>
      <c r="BLV49" s="971"/>
      <c r="BLW49" s="971"/>
      <c r="BLX49" s="971"/>
      <c r="BLY49" s="971"/>
      <c r="BLZ49" s="971"/>
      <c r="BMA49" s="971"/>
      <c r="BMB49" s="971"/>
      <c r="BMC49" s="971"/>
      <c r="BMD49" s="971"/>
      <c r="BME49" s="971"/>
      <c r="BMF49" s="971"/>
      <c r="BMG49" s="971"/>
      <c r="BMH49" s="971"/>
      <c r="BMI49" s="971"/>
      <c r="BMJ49" s="971"/>
      <c r="BMK49" s="971"/>
      <c r="BML49" s="971"/>
      <c r="BMM49" s="971"/>
      <c r="BMN49" s="971"/>
      <c r="BMO49" s="971"/>
      <c r="BMP49" s="971"/>
      <c r="BMQ49" s="971"/>
      <c r="BMR49" s="971"/>
      <c r="BMS49" s="971"/>
      <c r="BMT49" s="971"/>
      <c r="BMU49" s="971"/>
      <c r="BMV49" s="971"/>
      <c r="BMW49" s="971"/>
      <c r="BMX49" s="971"/>
      <c r="BMY49" s="971"/>
      <c r="BMZ49" s="971"/>
      <c r="BNA49" s="971"/>
      <c r="BNB49" s="971"/>
      <c r="BNC49" s="971"/>
      <c r="BND49" s="971"/>
      <c r="BNE49" s="971"/>
      <c r="BNF49" s="971"/>
      <c r="BNG49" s="971"/>
      <c r="BNH49" s="971"/>
      <c r="BNI49" s="971"/>
      <c r="BNJ49" s="971"/>
      <c r="BNK49" s="971"/>
      <c r="BNL49" s="971"/>
      <c r="BNM49" s="971"/>
      <c r="BNN49" s="971"/>
      <c r="BNO49" s="971"/>
      <c r="BNP49" s="971"/>
      <c r="BNQ49" s="971"/>
      <c r="BNR49" s="971"/>
      <c r="BNS49" s="971"/>
      <c r="BNT49" s="971"/>
      <c r="BNU49" s="971"/>
      <c r="BNV49" s="971"/>
      <c r="BNW49" s="971"/>
      <c r="BNX49" s="971"/>
      <c r="BNY49" s="971"/>
      <c r="BNZ49" s="971"/>
      <c r="BOA49" s="971"/>
      <c r="BOB49" s="971"/>
      <c r="BOC49" s="971"/>
      <c r="BOD49" s="971"/>
      <c r="BOE49" s="971"/>
      <c r="BOF49" s="971"/>
      <c r="BOG49" s="971"/>
      <c r="BOH49" s="971"/>
      <c r="BOI49" s="971"/>
      <c r="BOJ49" s="971"/>
      <c r="BOK49" s="971"/>
      <c r="BOL49" s="971"/>
      <c r="BOM49" s="971"/>
      <c r="BON49" s="971"/>
      <c r="BOO49" s="971"/>
      <c r="BOP49" s="971"/>
      <c r="BOQ49" s="971"/>
      <c r="BOR49" s="971"/>
      <c r="BOS49" s="971"/>
      <c r="BOT49" s="971"/>
      <c r="BOU49" s="971"/>
      <c r="BOV49" s="971"/>
      <c r="BOW49" s="971"/>
      <c r="BOX49" s="971"/>
      <c r="BOY49" s="971"/>
      <c r="BOZ49" s="971"/>
      <c r="BPA49" s="971"/>
      <c r="BPB49" s="971"/>
      <c r="BPC49" s="971"/>
      <c r="BPD49" s="971"/>
      <c r="BPE49" s="971"/>
      <c r="BPF49" s="971"/>
      <c r="BPG49" s="971"/>
      <c r="BPH49" s="971"/>
      <c r="BPI49" s="971"/>
      <c r="BPJ49" s="971"/>
      <c r="BPK49" s="971"/>
      <c r="BPL49" s="971"/>
      <c r="BPM49" s="971"/>
      <c r="BPN49" s="971"/>
      <c r="BPO49" s="971"/>
      <c r="BPP49" s="971"/>
      <c r="BPQ49" s="971"/>
      <c r="BPR49" s="971"/>
      <c r="BPS49" s="971"/>
      <c r="BPT49" s="971"/>
      <c r="BPU49" s="971"/>
      <c r="BPV49" s="971"/>
      <c r="BPW49" s="971"/>
      <c r="BPX49" s="971"/>
      <c r="BPY49" s="971"/>
      <c r="BPZ49" s="971"/>
      <c r="BQA49" s="971"/>
      <c r="BQB49" s="971"/>
      <c r="BQC49" s="971"/>
      <c r="BQD49" s="971"/>
      <c r="BQE49" s="971"/>
      <c r="BQF49" s="971"/>
      <c r="BQG49" s="971"/>
      <c r="BQH49" s="971"/>
      <c r="BQI49" s="971"/>
      <c r="BQJ49" s="971"/>
      <c r="BQK49" s="971"/>
      <c r="BQL49" s="971"/>
      <c r="BQM49" s="971"/>
      <c r="BQN49" s="971"/>
      <c r="BQO49" s="971"/>
      <c r="BQP49" s="971"/>
      <c r="BQQ49" s="971"/>
      <c r="BQR49" s="971"/>
      <c r="BQS49" s="971"/>
      <c r="BQT49" s="971"/>
      <c r="BQU49" s="971"/>
      <c r="BQV49" s="971"/>
      <c r="BQW49" s="971"/>
      <c r="BQX49" s="971"/>
      <c r="BQY49" s="971"/>
      <c r="BQZ49" s="971"/>
      <c r="BRA49" s="971"/>
      <c r="BRB49" s="971"/>
      <c r="BRC49" s="971"/>
      <c r="BRD49" s="971"/>
      <c r="BRE49" s="971"/>
      <c r="BRF49" s="971"/>
      <c r="BRG49" s="971"/>
      <c r="BRH49" s="971"/>
      <c r="BRI49" s="971"/>
      <c r="BRJ49" s="971"/>
      <c r="BRK49" s="971"/>
      <c r="BRL49" s="971"/>
      <c r="BRM49" s="971"/>
      <c r="BRN49" s="971"/>
      <c r="BRO49" s="971"/>
      <c r="BRP49" s="971"/>
      <c r="BRQ49" s="971"/>
      <c r="BRR49" s="971"/>
      <c r="BRS49" s="971"/>
      <c r="BRT49" s="971"/>
      <c r="BRU49" s="971"/>
      <c r="BRV49" s="971"/>
      <c r="BRW49" s="971"/>
      <c r="BRX49" s="971"/>
      <c r="BRY49" s="971"/>
      <c r="BRZ49" s="971"/>
      <c r="BSA49" s="971"/>
      <c r="BSB49" s="971"/>
      <c r="BSC49" s="971"/>
      <c r="BSD49" s="971"/>
      <c r="BSE49" s="971"/>
      <c r="BSF49" s="971"/>
      <c r="BSG49" s="971"/>
      <c r="BSH49" s="971"/>
      <c r="BSI49" s="971"/>
      <c r="BSJ49" s="971"/>
      <c r="BSK49" s="971"/>
      <c r="BSL49" s="971"/>
      <c r="BSM49" s="971"/>
      <c r="BSN49" s="971"/>
      <c r="BSO49" s="971"/>
      <c r="BSP49" s="971"/>
      <c r="BSQ49" s="971"/>
      <c r="BSR49" s="971"/>
      <c r="BSS49" s="971"/>
      <c r="BST49" s="971"/>
      <c r="BSU49" s="971"/>
      <c r="BSV49" s="971"/>
      <c r="BSW49" s="971"/>
      <c r="BSX49" s="971"/>
      <c r="BSY49" s="971"/>
      <c r="BSZ49" s="971"/>
      <c r="BTA49" s="971"/>
      <c r="BTB49" s="971"/>
      <c r="BTC49" s="971"/>
      <c r="BTD49" s="971"/>
      <c r="BTE49" s="971"/>
      <c r="BTF49" s="971"/>
      <c r="BTG49" s="971"/>
      <c r="BTH49" s="971"/>
      <c r="BTI49" s="971"/>
      <c r="BTJ49" s="971"/>
      <c r="BTK49" s="971"/>
      <c r="BTL49" s="971"/>
      <c r="BTM49" s="971"/>
      <c r="BTN49" s="971"/>
      <c r="BTO49" s="971"/>
      <c r="BTP49" s="971"/>
      <c r="BTQ49" s="971"/>
      <c r="BTR49" s="971"/>
      <c r="BTS49" s="971"/>
      <c r="BTT49" s="971"/>
      <c r="BTU49" s="971"/>
      <c r="BTV49" s="971"/>
      <c r="BTW49" s="971"/>
      <c r="BTX49" s="971"/>
      <c r="BTY49" s="971"/>
      <c r="BTZ49" s="971"/>
      <c r="BUA49" s="971"/>
      <c r="BUB49" s="971"/>
      <c r="BUC49" s="971"/>
      <c r="BUD49" s="971"/>
      <c r="BUE49" s="971"/>
      <c r="BUF49" s="971"/>
      <c r="BUG49" s="971"/>
      <c r="BUH49" s="971"/>
      <c r="BUI49" s="971"/>
      <c r="BUJ49" s="971"/>
      <c r="BUK49" s="971"/>
      <c r="BUL49" s="971"/>
      <c r="BUM49" s="971"/>
      <c r="BUN49" s="971"/>
      <c r="BUO49" s="971"/>
      <c r="BUP49" s="971"/>
      <c r="BUQ49" s="971"/>
      <c r="BUR49" s="971"/>
      <c r="BUS49" s="971"/>
      <c r="BUT49" s="971"/>
      <c r="BUU49" s="971"/>
      <c r="BUV49" s="971"/>
      <c r="BUW49" s="971"/>
      <c r="BUX49" s="971"/>
      <c r="BUY49" s="971"/>
      <c r="BUZ49" s="971"/>
      <c r="BVA49" s="971"/>
      <c r="BVB49" s="971"/>
      <c r="BVC49" s="971"/>
      <c r="BVD49" s="971"/>
      <c r="BVE49" s="971"/>
      <c r="BVF49" s="971"/>
      <c r="BVG49" s="971"/>
      <c r="BVH49" s="971"/>
      <c r="BVI49" s="971"/>
      <c r="BVJ49" s="971"/>
      <c r="BVK49" s="971"/>
      <c r="BVL49" s="971"/>
      <c r="BVM49" s="971"/>
      <c r="BVN49" s="971"/>
      <c r="BVO49" s="971"/>
      <c r="BVP49" s="971"/>
      <c r="BVQ49" s="971"/>
      <c r="BVR49" s="971"/>
      <c r="BVS49" s="971"/>
      <c r="BVT49" s="971"/>
      <c r="BVU49" s="971"/>
      <c r="BVV49" s="971"/>
      <c r="BVW49" s="971"/>
      <c r="BVX49" s="971"/>
      <c r="BVY49" s="971"/>
      <c r="BVZ49" s="971"/>
      <c r="BWA49" s="971"/>
      <c r="BWB49" s="971"/>
      <c r="BWC49" s="971"/>
      <c r="BWD49" s="971"/>
      <c r="BWE49" s="971"/>
      <c r="BWF49" s="971"/>
      <c r="BWG49" s="971"/>
      <c r="BWH49" s="971"/>
      <c r="BWI49" s="971"/>
      <c r="BWJ49" s="971"/>
      <c r="BWK49" s="971"/>
      <c r="BWL49" s="971"/>
      <c r="BWM49" s="971"/>
      <c r="BWN49" s="971"/>
      <c r="BWO49" s="971"/>
      <c r="BWP49" s="971"/>
      <c r="BWQ49" s="971"/>
      <c r="BWR49" s="971"/>
      <c r="BWS49" s="971"/>
      <c r="BWT49" s="971"/>
      <c r="BWU49" s="971"/>
      <c r="BWV49" s="971"/>
      <c r="BWW49" s="971"/>
      <c r="BWX49" s="971"/>
      <c r="BWY49" s="971"/>
      <c r="BWZ49" s="971"/>
      <c r="BXA49" s="971"/>
      <c r="BXB49" s="971"/>
      <c r="BXC49" s="971"/>
      <c r="BXD49" s="971"/>
      <c r="BXE49" s="971"/>
      <c r="BXF49" s="971"/>
      <c r="BXG49" s="971"/>
      <c r="BXH49" s="971"/>
      <c r="BXI49" s="971"/>
      <c r="BXJ49" s="971"/>
      <c r="BXK49" s="971"/>
      <c r="BXL49" s="971"/>
      <c r="BXM49" s="971"/>
      <c r="BXN49" s="971"/>
      <c r="BXO49" s="971"/>
      <c r="BXP49" s="971"/>
      <c r="BXQ49" s="971"/>
      <c r="BXR49" s="971"/>
      <c r="BXS49" s="971"/>
      <c r="BXT49" s="971"/>
      <c r="BXU49" s="971"/>
      <c r="BXV49" s="971"/>
      <c r="BXW49" s="971"/>
      <c r="BXX49" s="971"/>
      <c r="BXY49" s="971"/>
      <c r="BXZ49" s="971"/>
      <c r="BYA49" s="971"/>
      <c r="BYB49" s="971"/>
      <c r="BYC49" s="971"/>
      <c r="BYD49" s="971"/>
      <c r="BYE49" s="971"/>
      <c r="BYF49" s="971"/>
      <c r="BYG49" s="971"/>
      <c r="BYH49" s="971"/>
      <c r="BYI49" s="971"/>
      <c r="BYJ49" s="971"/>
      <c r="BYK49" s="971"/>
      <c r="BYL49" s="971"/>
      <c r="BYM49" s="971"/>
      <c r="BYN49" s="971"/>
      <c r="BYO49" s="971"/>
      <c r="BYP49" s="971"/>
      <c r="BYQ49" s="971"/>
      <c r="BYR49" s="971"/>
      <c r="BYS49" s="971"/>
      <c r="BYT49" s="971"/>
      <c r="BYU49" s="971"/>
      <c r="BYV49" s="971"/>
      <c r="BYW49" s="971"/>
      <c r="BYX49" s="971"/>
      <c r="BYY49" s="971"/>
      <c r="BYZ49" s="971"/>
      <c r="BZA49" s="971"/>
      <c r="BZB49" s="971"/>
      <c r="BZC49" s="971"/>
      <c r="BZD49" s="971"/>
      <c r="BZE49" s="971"/>
      <c r="BZF49" s="971"/>
      <c r="BZG49" s="971"/>
      <c r="BZH49" s="971"/>
      <c r="BZI49" s="971"/>
      <c r="BZJ49" s="971"/>
      <c r="BZK49" s="971"/>
      <c r="BZL49" s="971"/>
      <c r="BZM49" s="971"/>
      <c r="BZN49" s="971"/>
      <c r="BZO49" s="971"/>
      <c r="BZP49" s="971"/>
      <c r="BZQ49" s="971"/>
      <c r="BZR49" s="971"/>
      <c r="BZS49" s="971"/>
      <c r="BZT49" s="971"/>
      <c r="BZU49" s="971"/>
      <c r="BZV49" s="971"/>
      <c r="BZW49" s="971"/>
      <c r="BZX49" s="971"/>
      <c r="BZY49" s="971"/>
      <c r="BZZ49" s="971"/>
      <c r="CAA49" s="971"/>
      <c r="CAB49" s="971"/>
      <c r="CAC49" s="971"/>
      <c r="CAD49" s="971"/>
      <c r="CAE49" s="971"/>
      <c r="CAF49" s="971"/>
      <c r="CAG49" s="971"/>
      <c r="CAH49" s="971"/>
      <c r="CAI49" s="971"/>
      <c r="CAJ49" s="971"/>
      <c r="CAK49" s="971"/>
      <c r="CAL49" s="971"/>
      <c r="CAM49" s="971"/>
      <c r="CAN49" s="971"/>
      <c r="CAO49" s="971"/>
      <c r="CAP49" s="971"/>
      <c r="CAQ49" s="971"/>
      <c r="CAR49" s="971"/>
      <c r="CAS49" s="971"/>
      <c r="CAT49" s="971"/>
      <c r="CAU49" s="971"/>
      <c r="CAV49" s="971"/>
      <c r="CAW49" s="971"/>
      <c r="CAX49" s="971"/>
      <c r="CAY49" s="971"/>
      <c r="CAZ49" s="971"/>
      <c r="CBA49" s="971"/>
      <c r="CBB49" s="971"/>
      <c r="CBC49" s="971"/>
      <c r="CBD49" s="971"/>
      <c r="CBE49" s="971"/>
      <c r="CBF49" s="971"/>
      <c r="CBG49" s="971"/>
      <c r="CBH49" s="971"/>
      <c r="CBI49" s="971"/>
      <c r="CBJ49" s="971"/>
      <c r="CBK49" s="971"/>
      <c r="CBL49" s="971"/>
      <c r="CBM49" s="971"/>
      <c r="CBN49" s="971"/>
      <c r="CBO49" s="971"/>
      <c r="CBP49" s="971"/>
      <c r="CBQ49" s="971"/>
      <c r="CBR49" s="971"/>
      <c r="CBS49" s="971"/>
      <c r="CBT49" s="971"/>
      <c r="CBU49" s="971"/>
      <c r="CBV49" s="971"/>
      <c r="CBW49" s="971"/>
      <c r="CBX49" s="971"/>
      <c r="CBY49" s="971"/>
      <c r="CBZ49" s="971"/>
      <c r="CCA49" s="971"/>
      <c r="CCB49" s="971"/>
      <c r="CCC49" s="971"/>
      <c r="CCD49" s="971"/>
      <c r="CCE49" s="971"/>
      <c r="CCF49" s="971"/>
      <c r="CCG49" s="971"/>
      <c r="CCH49" s="971"/>
      <c r="CCI49" s="971"/>
      <c r="CCJ49" s="971"/>
      <c r="CCK49" s="971"/>
      <c r="CCL49" s="971"/>
      <c r="CCM49" s="971"/>
      <c r="CCN49" s="971"/>
      <c r="CCO49" s="971"/>
      <c r="CCP49" s="971"/>
      <c r="CCQ49" s="971"/>
      <c r="CCR49" s="971"/>
      <c r="CCS49" s="971"/>
      <c r="CCT49" s="971"/>
      <c r="CCU49" s="971"/>
      <c r="CCV49" s="971"/>
      <c r="CCW49" s="971"/>
      <c r="CCX49" s="971"/>
      <c r="CCY49" s="971"/>
      <c r="CCZ49" s="971"/>
      <c r="CDA49" s="971"/>
      <c r="CDB49" s="971"/>
      <c r="CDC49" s="971"/>
      <c r="CDD49" s="971"/>
      <c r="CDE49" s="971"/>
      <c r="CDF49" s="971"/>
      <c r="CDG49" s="971"/>
      <c r="CDH49" s="971"/>
      <c r="CDI49" s="971"/>
      <c r="CDJ49" s="971"/>
      <c r="CDK49" s="971"/>
      <c r="CDL49" s="971"/>
      <c r="CDM49" s="971"/>
      <c r="CDN49" s="971"/>
      <c r="CDO49" s="971"/>
      <c r="CDP49" s="971"/>
      <c r="CDQ49" s="971"/>
      <c r="CDR49" s="971"/>
      <c r="CDS49" s="971"/>
      <c r="CDT49" s="971"/>
      <c r="CDU49" s="971"/>
      <c r="CDV49" s="971"/>
      <c r="CDW49" s="971"/>
      <c r="CDX49" s="971"/>
      <c r="CDY49" s="971"/>
      <c r="CDZ49" s="971"/>
      <c r="CEA49" s="971"/>
      <c r="CEB49" s="971"/>
      <c r="CEC49" s="971"/>
      <c r="CED49" s="971"/>
      <c r="CEE49" s="971"/>
      <c r="CEF49" s="971"/>
      <c r="CEG49" s="971"/>
      <c r="CEH49" s="971"/>
      <c r="CEI49" s="971"/>
      <c r="CEJ49" s="971"/>
      <c r="CEK49" s="971"/>
      <c r="CEL49" s="971"/>
      <c r="CEM49" s="971"/>
      <c r="CEN49" s="971"/>
      <c r="CEO49" s="971"/>
      <c r="CEP49" s="971"/>
      <c r="CEQ49" s="971"/>
      <c r="CER49" s="971"/>
      <c r="CES49" s="971"/>
      <c r="CET49" s="971"/>
      <c r="CEU49" s="971"/>
      <c r="CEV49" s="971"/>
      <c r="CEW49" s="971"/>
      <c r="CEX49" s="971"/>
      <c r="CEY49" s="971"/>
      <c r="CEZ49" s="971"/>
      <c r="CFA49" s="971"/>
      <c r="CFB49" s="971"/>
      <c r="CFC49" s="971"/>
      <c r="CFD49" s="971"/>
      <c r="CFE49" s="971"/>
      <c r="CFF49" s="971"/>
      <c r="CFG49" s="971"/>
      <c r="CFH49" s="971"/>
      <c r="CFI49" s="971"/>
      <c r="CFJ49" s="971"/>
      <c r="CFK49" s="971"/>
      <c r="CFL49" s="971"/>
      <c r="CFM49" s="971"/>
      <c r="CFN49" s="971"/>
      <c r="CFO49" s="971"/>
      <c r="CFP49" s="971"/>
      <c r="CFQ49" s="971"/>
      <c r="CFR49" s="971"/>
      <c r="CFS49" s="971"/>
      <c r="CFT49" s="971"/>
      <c r="CFU49" s="971"/>
      <c r="CFV49" s="971"/>
      <c r="CFW49" s="971"/>
      <c r="CFX49" s="971"/>
      <c r="CFY49" s="971"/>
      <c r="CFZ49" s="971"/>
      <c r="CGA49" s="971"/>
      <c r="CGB49" s="971"/>
      <c r="CGC49" s="971"/>
      <c r="CGD49" s="971"/>
      <c r="CGE49" s="971"/>
      <c r="CGF49" s="971"/>
      <c r="CGG49" s="971"/>
      <c r="CGH49" s="971"/>
      <c r="CGI49" s="971"/>
      <c r="CGJ49" s="971"/>
      <c r="CGK49" s="971"/>
      <c r="CGL49" s="971"/>
      <c r="CGM49" s="971"/>
      <c r="CGN49" s="971"/>
      <c r="CGO49" s="971"/>
      <c r="CGP49" s="971"/>
      <c r="CGQ49" s="971"/>
      <c r="CGR49" s="971"/>
      <c r="CGS49" s="971"/>
      <c r="CGT49" s="971"/>
      <c r="CGU49" s="971"/>
      <c r="CGV49" s="971"/>
      <c r="CGW49" s="971"/>
      <c r="CGX49" s="971"/>
      <c r="CGY49" s="971"/>
      <c r="CGZ49" s="971"/>
      <c r="CHA49" s="971"/>
      <c r="CHB49" s="971"/>
      <c r="CHC49" s="971"/>
      <c r="CHD49" s="971"/>
      <c r="CHE49" s="971"/>
      <c r="CHF49" s="971"/>
      <c r="CHG49" s="971"/>
      <c r="CHH49" s="971"/>
      <c r="CHI49" s="971"/>
      <c r="CHJ49" s="971"/>
      <c r="CHK49" s="971"/>
      <c r="CHL49" s="971"/>
      <c r="CHM49" s="971"/>
      <c r="CHN49" s="971"/>
      <c r="CHO49" s="971"/>
      <c r="CHP49" s="971"/>
      <c r="CHQ49" s="971"/>
      <c r="CHR49" s="971"/>
      <c r="CHS49" s="971"/>
      <c r="CHT49" s="971"/>
      <c r="CHU49" s="971"/>
      <c r="CHV49" s="971"/>
      <c r="CHW49" s="971"/>
      <c r="CHX49" s="971"/>
      <c r="CHY49" s="971"/>
      <c r="CHZ49" s="971"/>
      <c r="CIA49" s="971"/>
      <c r="CIB49" s="971"/>
      <c r="CIC49" s="971"/>
      <c r="CID49" s="971"/>
      <c r="CIE49" s="971"/>
      <c r="CIF49" s="971"/>
      <c r="CIG49" s="971"/>
      <c r="CIH49" s="971"/>
      <c r="CII49" s="971"/>
      <c r="CIJ49" s="971"/>
      <c r="CIK49" s="971"/>
      <c r="CIL49" s="971"/>
      <c r="CIM49" s="971"/>
      <c r="CIN49" s="971"/>
      <c r="CIO49" s="971"/>
      <c r="CIP49" s="971"/>
      <c r="CIQ49" s="971"/>
      <c r="CIR49" s="971"/>
      <c r="CIS49" s="971"/>
      <c r="CIT49" s="971"/>
      <c r="CIU49" s="971"/>
      <c r="CIV49" s="971"/>
      <c r="CIW49" s="971"/>
      <c r="CIX49" s="971"/>
      <c r="CIY49" s="971"/>
      <c r="CIZ49" s="971"/>
      <c r="CJA49" s="971"/>
      <c r="CJB49" s="971"/>
      <c r="CJC49" s="971"/>
      <c r="CJD49" s="971"/>
      <c r="CJE49" s="971"/>
      <c r="CJF49" s="971"/>
      <c r="CJG49" s="971"/>
      <c r="CJH49" s="971"/>
      <c r="CJI49" s="971"/>
      <c r="CJJ49" s="971"/>
      <c r="CJK49" s="971"/>
      <c r="CJL49" s="971"/>
      <c r="CJM49" s="971"/>
      <c r="CJN49" s="971"/>
      <c r="CJO49" s="971"/>
      <c r="CJP49" s="971"/>
      <c r="CJQ49" s="971"/>
      <c r="CJR49" s="971"/>
      <c r="CJS49" s="971"/>
      <c r="CJT49" s="971"/>
      <c r="CJU49" s="971"/>
      <c r="CJV49" s="971"/>
      <c r="CJW49" s="971"/>
      <c r="CJX49" s="971"/>
      <c r="CJY49" s="971"/>
      <c r="CJZ49" s="971"/>
      <c r="CKA49" s="971"/>
      <c r="CKB49" s="971"/>
      <c r="CKC49" s="971"/>
      <c r="CKD49" s="971"/>
      <c r="CKE49" s="971"/>
      <c r="CKF49" s="971"/>
      <c r="CKG49" s="971"/>
      <c r="CKH49" s="971"/>
      <c r="CKI49" s="971"/>
      <c r="CKJ49" s="971"/>
      <c r="CKK49" s="971"/>
      <c r="CKL49" s="971"/>
      <c r="CKM49" s="971"/>
      <c r="CKN49" s="971"/>
      <c r="CKO49" s="971"/>
      <c r="CKP49" s="971"/>
      <c r="CKQ49" s="971"/>
      <c r="CKR49" s="971"/>
      <c r="CKS49" s="971"/>
      <c r="CKT49" s="971"/>
      <c r="CKU49" s="971"/>
      <c r="CKV49" s="971"/>
      <c r="CKW49" s="971"/>
      <c r="CKX49" s="971"/>
      <c r="CKY49" s="971"/>
      <c r="CKZ49" s="971"/>
      <c r="CLA49" s="971"/>
      <c r="CLB49" s="971"/>
      <c r="CLC49" s="971"/>
      <c r="CLD49" s="971"/>
      <c r="CLE49" s="971"/>
      <c r="CLF49" s="971"/>
      <c r="CLG49" s="971"/>
      <c r="CLH49" s="971"/>
      <c r="CLI49" s="971"/>
      <c r="CLJ49" s="971"/>
      <c r="CLK49" s="971"/>
      <c r="CLL49" s="971"/>
      <c r="CLM49" s="971"/>
      <c r="CLN49" s="971"/>
      <c r="CLO49" s="971"/>
      <c r="CLP49" s="971"/>
      <c r="CLQ49" s="971"/>
      <c r="CLR49" s="971"/>
      <c r="CLS49" s="971"/>
      <c r="CLT49" s="971"/>
      <c r="CLU49" s="971"/>
      <c r="CLV49" s="971"/>
      <c r="CLW49" s="971"/>
      <c r="CLX49" s="971"/>
      <c r="CLY49" s="971"/>
      <c r="CLZ49" s="971"/>
      <c r="CMA49" s="971"/>
      <c r="CMB49" s="971"/>
      <c r="CMC49" s="971"/>
      <c r="CMD49" s="971"/>
      <c r="CME49" s="971"/>
      <c r="CMF49" s="971"/>
      <c r="CMG49" s="971"/>
      <c r="CMH49" s="971"/>
      <c r="CMI49" s="971"/>
      <c r="CMJ49" s="971"/>
      <c r="CMK49" s="971"/>
      <c r="CML49" s="971"/>
      <c r="CMM49" s="971"/>
      <c r="CMN49" s="971"/>
      <c r="CMO49" s="971"/>
      <c r="CMP49" s="971"/>
      <c r="CMQ49" s="971"/>
      <c r="CMR49" s="971"/>
      <c r="CMS49" s="971"/>
      <c r="CMT49" s="971"/>
      <c r="CMU49" s="971"/>
      <c r="CMV49" s="971"/>
      <c r="CMW49" s="971"/>
      <c r="CMX49" s="971"/>
      <c r="CMY49" s="971"/>
      <c r="CMZ49" s="971"/>
      <c r="CNA49" s="971"/>
      <c r="CNB49" s="971"/>
      <c r="CNC49" s="971"/>
      <c r="CND49" s="971"/>
      <c r="CNE49" s="971"/>
      <c r="CNF49" s="971"/>
      <c r="CNG49" s="971"/>
      <c r="CNH49" s="971"/>
      <c r="CNI49" s="971"/>
      <c r="CNJ49" s="971"/>
      <c r="CNK49" s="971"/>
      <c r="CNL49" s="971"/>
      <c r="CNM49" s="971"/>
      <c r="CNN49" s="971"/>
      <c r="CNO49" s="971"/>
      <c r="CNP49" s="971"/>
      <c r="CNQ49" s="971"/>
      <c r="CNR49" s="971"/>
      <c r="CNS49" s="971"/>
      <c r="CNT49" s="971"/>
      <c r="CNU49" s="971"/>
      <c r="CNV49" s="971"/>
      <c r="CNW49" s="971"/>
      <c r="CNX49" s="971"/>
      <c r="CNY49" s="971"/>
      <c r="CNZ49" s="971"/>
      <c r="COA49" s="971"/>
      <c r="COB49" s="971"/>
      <c r="COC49" s="971"/>
      <c r="COD49" s="971"/>
      <c r="COE49" s="971"/>
      <c r="COF49" s="971"/>
      <c r="COG49" s="971"/>
      <c r="COH49" s="971"/>
      <c r="COI49" s="971"/>
      <c r="COJ49" s="971"/>
      <c r="COK49" s="971"/>
      <c r="COL49" s="971"/>
      <c r="COM49" s="971"/>
      <c r="CON49" s="971"/>
      <c r="COO49" s="971"/>
      <c r="COP49" s="971"/>
      <c r="COQ49" s="971"/>
      <c r="COR49" s="971"/>
      <c r="COS49" s="971"/>
      <c r="COT49" s="971"/>
      <c r="COU49" s="971"/>
      <c r="COV49" s="971"/>
      <c r="COW49" s="971"/>
      <c r="COX49" s="971"/>
      <c r="COY49" s="971"/>
      <c r="COZ49" s="971"/>
      <c r="CPA49" s="971"/>
      <c r="CPB49" s="971"/>
      <c r="CPC49" s="971"/>
      <c r="CPD49" s="971"/>
      <c r="CPE49" s="971"/>
      <c r="CPF49" s="971"/>
      <c r="CPG49" s="971"/>
      <c r="CPH49" s="971"/>
      <c r="CPI49" s="971"/>
      <c r="CPJ49" s="971"/>
      <c r="CPK49" s="971"/>
      <c r="CPL49" s="971"/>
      <c r="CPM49" s="971"/>
      <c r="CPN49" s="971"/>
      <c r="CPO49" s="971"/>
      <c r="CPP49" s="971"/>
      <c r="CPQ49" s="971"/>
      <c r="CPR49" s="971"/>
      <c r="CPS49" s="971"/>
      <c r="CPT49" s="971"/>
      <c r="CPU49" s="971"/>
      <c r="CPV49" s="971"/>
      <c r="CPW49" s="971"/>
      <c r="CPX49" s="971"/>
      <c r="CPY49" s="971"/>
      <c r="CPZ49" s="971"/>
      <c r="CQA49" s="971"/>
      <c r="CQB49" s="971"/>
      <c r="CQC49" s="971"/>
      <c r="CQD49" s="971"/>
      <c r="CQE49" s="971"/>
      <c r="CQF49" s="971"/>
      <c r="CQG49" s="971"/>
      <c r="CQH49" s="971"/>
      <c r="CQI49" s="971"/>
      <c r="CQJ49" s="971"/>
      <c r="CQK49" s="971"/>
      <c r="CQL49" s="971"/>
      <c r="CQM49" s="971"/>
      <c r="CQN49" s="971"/>
      <c r="CQO49" s="971"/>
      <c r="CQP49" s="971"/>
      <c r="CQQ49" s="971"/>
      <c r="CQR49" s="971"/>
      <c r="CQS49" s="971"/>
      <c r="CQT49" s="971"/>
      <c r="CQU49" s="971"/>
      <c r="CQV49" s="971"/>
      <c r="CQW49" s="971"/>
      <c r="CQX49" s="971"/>
      <c r="CQY49" s="971"/>
      <c r="CQZ49" s="971"/>
      <c r="CRA49" s="971"/>
      <c r="CRB49" s="971"/>
      <c r="CRC49" s="971"/>
      <c r="CRD49" s="971"/>
      <c r="CRE49" s="971"/>
      <c r="CRF49" s="971"/>
      <c r="CRG49" s="971"/>
      <c r="CRH49" s="971"/>
      <c r="CRI49" s="971"/>
      <c r="CRJ49" s="971"/>
      <c r="CRK49" s="971"/>
      <c r="CRL49" s="971"/>
      <c r="CRM49" s="971"/>
      <c r="CRN49" s="971"/>
      <c r="CRO49" s="971"/>
      <c r="CRP49" s="971"/>
      <c r="CRQ49" s="971"/>
      <c r="CRR49" s="971"/>
      <c r="CRS49" s="971"/>
      <c r="CRT49" s="971"/>
      <c r="CRU49" s="971"/>
      <c r="CRV49" s="971"/>
      <c r="CRW49" s="971"/>
      <c r="CRX49" s="971"/>
      <c r="CRY49" s="971"/>
      <c r="CRZ49" s="971"/>
      <c r="CSA49" s="971"/>
      <c r="CSB49" s="971"/>
      <c r="CSC49" s="971"/>
      <c r="CSD49" s="971"/>
      <c r="CSE49" s="971"/>
      <c r="CSF49" s="971"/>
      <c r="CSG49" s="971"/>
      <c r="CSH49" s="971"/>
      <c r="CSI49" s="971"/>
      <c r="CSJ49" s="971"/>
      <c r="CSK49" s="971"/>
      <c r="CSL49" s="971"/>
      <c r="CSM49" s="971"/>
      <c r="CSN49" s="971"/>
      <c r="CSO49" s="971"/>
      <c r="CSP49" s="971"/>
      <c r="CSQ49" s="971"/>
      <c r="CSR49" s="971"/>
      <c r="CSS49" s="971"/>
      <c r="CST49" s="971"/>
      <c r="CSU49" s="971"/>
      <c r="CSV49" s="971"/>
      <c r="CSW49" s="971"/>
      <c r="CSX49" s="971"/>
      <c r="CSY49" s="971"/>
      <c r="CSZ49" s="971"/>
      <c r="CTA49" s="971"/>
      <c r="CTB49" s="971"/>
      <c r="CTC49" s="971"/>
      <c r="CTD49" s="971"/>
      <c r="CTE49" s="971"/>
      <c r="CTF49" s="971"/>
      <c r="CTG49" s="971"/>
      <c r="CTH49" s="971"/>
      <c r="CTI49" s="971"/>
      <c r="CTJ49" s="971"/>
      <c r="CTK49" s="971"/>
      <c r="CTL49" s="971"/>
      <c r="CTM49" s="971"/>
      <c r="CTN49" s="971"/>
      <c r="CTO49" s="971"/>
      <c r="CTP49" s="971"/>
      <c r="CTQ49" s="971"/>
      <c r="CTR49" s="971"/>
      <c r="CTS49" s="971"/>
      <c r="CTT49" s="971"/>
      <c r="CTU49" s="971"/>
      <c r="CTV49" s="971"/>
      <c r="CTW49" s="971"/>
      <c r="CTX49" s="971"/>
      <c r="CTY49" s="971"/>
      <c r="CTZ49" s="971"/>
      <c r="CUA49" s="971"/>
      <c r="CUB49" s="971"/>
      <c r="CUC49" s="971"/>
      <c r="CUD49" s="971"/>
      <c r="CUE49" s="971"/>
      <c r="CUF49" s="971"/>
      <c r="CUG49" s="971"/>
      <c r="CUH49" s="971"/>
      <c r="CUI49" s="971"/>
      <c r="CUJ49" s="971"/>
      <c r="CUK49" s="971"/>
      <c r="CUL49" s="971"/>
      <c r="CUM49" s="971"/>
      <c r="CUN49" s="971"/>
      <c r="CUO49" s="971"/>
      <c r="CUP49" s="971"/>
      <c r="CUQ49" s="971"/>
      <c r="CUR49" s="971"/>
      <c r="CUS49" s="971"/>
      <c r="CUT49" s="971"/>
      <c r="CUU49" s="971"/>
      <c r="CUV49" s="971"/>
      <c r="CUW49" s="971"/>
      <c r="CUX49" s="971"/>
      <c r="CUY49" s="971"/>
      <c r="CUZ49" s="971"/>
      <c r="CVA49" s="971"/>
      <c r="CVB49" s="971"/>
      <c r="CVC49" s="971"/>
      <c r="CVD49" s="971"/>
      <c r="CVE49" s="971"/>
      <c r="CVF49" s="971"/>
      <c r="CVG49" s="971"/>
      <c r="CVH49" s="971"/>
      <c r="CVI49" s="971"/>
      <c r="CVJ49" s="971"/>
      <c r="CVK49" s="971"/>
      <c r="CVL49" s="971"/>
      <c r="CVM49" s="971"/>
      <c r="CVN49" s="971"/>
      <c r="CVO49" s="971"/>
      <c r="CVP49" s="971"/>
      <c r="CVQ49" s="971"/>
      <c r="CVR49" s="971"/>
      <c r="CVS49" s="971"/>
      <c r="CVT49" s="971"/>
      <c r="CVU49" s="971"/>
      <c r="CVV49" s="971"/>
      <c r="CVW49" s="971"/>
      <c r="CVX49" s="971"/>
      <c r="CVY49" s="971"/>
      <c r="CVZ49" s="971"/>
      <c r="CWA49" s="971"/>
      <c r="CWB49" s="971"/>
      <c r="CWC49" s="971"/>
      <c r="CWD49" s="971"/>
      <c r="CWE49" s="971"/>
      <c r="CWF49" s="971"/>
      <c r="CWG49" s="971"/>
      <c r="CWH49" s="971"/>
      <c r="CWI49" s="971"/>
      <c r="CWJ49" s="971"/>
      <c r="CWK49" s="971"/>
      <c r="CWL49" s="971"/>
      <c r="CWM49" s="971"/>
      <c r="CWN49" s="971"/>
      <c r="CWO49" s="971"/>
      <c r="CWP49" s="971"/>
      <c r="CWQ49" s="971"/>
      <c r="CWR49" s="971"/>
      <c r="CWS49" s="971"/>
      <c r="CWT49" s="971"/>
      <c r="CWU49" s="971"/>
      <c r="CWV49" s="971"/>
      <c r="CWW49" s="971"/>
      <c r="CWX49" s="971"/>
      <c r="CWY49" s="971"/>
      <c r="CWZ49" s="971"/>
      <c r="CXA49" s="971"/>
      <c r="CXB49" s="971"/>
      <c r="CXC49" s="971"/>
      <c r="CXD49" s="971"/>
      <c r="CXE49" s="971"/>
      <c r="CXF49" s="971"/>
      <c r="CXG49" s="971"/>
      <c r="CXH49" s="971"/>
      <c r="CXI49" s="971"/>
      <c r="CXJ49" s="971"/>
      <c r="CXK49" s="971"/>
      <c r="CXL49" s="971"/>
      <c r="CXM49" s="971"/>
      <c r="CXN49" s="971"/>
      <c r="CXO49" s="971"/>
      <c r="CXP49" s="971"/>
      <c r="CXQ49" s="971"/>
      <c r="CXR49" s="971"/>
      <c r="CXS49" s="971"/>
      <c r="CXT49" s="971"/>
      <c r="CXU49" s="971"/>
      <c r="CXV49" s="971"/>
      <c r="CXW49" s="971"/>
      <c r="CXX49" s="971"/>
      <c r="CXY49" s="971"/>
      <c r="CXZ49" s="971"/>
      <c r="CYA49" s="971"/>
      <c r="CYB49" s="971"/>
      <c r="CYC49" s="971"/>
      <c r="CYD49" s="971"/>
      <c r="CYE49" s="971"/>
      <c r="CYF49" s="971"/>
      <c r="CYG49" s="971"/>
      <c r="CYH49" s="971"/>
      <c r="CYI49" s="971"/>
      <c r="CYJ49" s="971"/>
      <c r="CYK49" s="971"/>
      <c r="CYL49" s="971"/>
      <c r="CYM49" s="971"/>
      <c r="CYN49" s="971"/>
      <c r="CYO49" s="971"/>
      <c r="CYP49" s="971"/>
      <c r="CYQ49" s="971"/>
      <c r="CYR49" s="971"/>
      <c r="CYS49" s="971"/>
      <c r="CYT49" s="971"/>
      <c r="CYU49" s="971"/>
      <c r="CYV49" s="971"/>
      <c r="CYW49" s="971"/>
      <c r="CYX49" s="971"/>
      <c r="CYY49" s="971"/>
      <c r="CYZ49" s="971"/>
      <c r="CZA49" s="971"/>
      <c r="CZB49" s="971"/>
      <c r="CZC49" s="971"/>
      <c r="CZD49" s="971"/>
      <c r="CZE49" s="971"/>
      <c r="CZF49" s="971"/>
      <c r="CZG49" s="971"/>
      <c r="CZH49" s="971"/>
      <c r="CZI49" s="971"/>
      <c r="CZJ49" s="971"/>
      <c r="CZK49" s="971"/>
      <c r="CZL49" s="971"/>
      <c r="CZM49" s="971"/>
      <c r="CZN49" s="971"/>
      <c r="CZO49" s="971"/>
      <c r="CZP49" s="971"/>
      <c r="CZQ49" s="971"/>
      <c r="CZR49" s="971"/>
      <c r="CZS49" s="971"/>
      <c r="CZT49" s="971"/>
      <c r="CZU49" s="971"/>
      <c r="CZV49" s="971"/>
      <c r="CZW49" s="971"/>
      <c r="CZX49" s="971"/>
      <c r="CZY49" s="971"/>
      <c r="CZZ49" s="971"/>
      <c r="DAA49" s="971"/>
      <c r="DAB49" s="971"/>
      <c r="DAC49" s="971"/>
      <c r="DAD49" s="971"/>
      <c r="DAE49" s="971"/>
      <c r="DAF49" s="971"/>
      <c r="DAG49" s="971"/>
      <c r="DAH49" s="971"/>
      <c r="DAI49" s="971"/>
      <c r="DAJ49" s="971"/>
      <c r="DAK49" s="971"/>
      <c r="DAL49" s="971"/>
      <c r="DAM49" s="971"/>
      <c r="DAN49" s="971"/>
      <c r="DAO49" s="971"/>
      <c r="DAP49" s="971"/>
      <c r="DAQ49" s="971"/>
      <c r="DAR49" s="971"/>
      <c r="DAS49" s="971"/>
      <c r="DAT49" s="971"/>
      <c r="DAU49" s="971"/>
      <c r="DAV49" s="971"/>
      <c r="DAW49" s="971"/>
      <c r="DAX49" s="971"/>
      <c r="DAY49" s="971"/>
      <c r="DAZ49" s="971"/>
      <c r="DBA49" s="971"/>
      <c r="DBB49" s="971"/>
      <c r="DBC49" s="971"/>
      <c r="DBD49" s="971"/>
      <c r="DBE49" s="971"/>
      <c r="DBF49" s="971"/>
      <c r="DBG49" s="971"/>
      <c r="DBH49" s="971"/>
      <c r="DBI49" s="971"/>
      <c r="DBJ49" s="971"/>
      <c r="DBK49" s="971"/>
      <c r="DBL49" s="971"/>
      <c r="DBM49" s="971"/>
      <c r="DBN49" s="971"/>
      <c r="DBO49" s="971"/>
      <c r="DBP49" s="971"/>
      <c r="DBQ49" s="971"/>
      <c r="DBR49" s="971"/>
      <c r="DBS49" s="971"/>
      <c r="DBT49" s="971"/>
      <c r="DBU49" s="971"/>
      <c r="DBV49" s="971"/>
      <c r="DBW49" s="971"/>
      <c r="DBX49" s="971"/>
      <c r="DBY49" s="971"/>
      <c r="DBZ49" s="971"/>
      <c r="DCA49" s="971"/>
      <c r="DCB49" s="971"/>
      <c r="DCC49" s="971"/>
      <c r="DCD49" s="971"/>
      <c r="DCE49" s="971"/>
      <c r="DCF49" s="971"/>
      <c r="DCG49" s="971"/>
      <c r="DCH49" s="971"/>
      <c r="DCI49" s="971"/>
      <c r="DCJ49" s="971"/>
      <c r="DCK49" s="971"/>
      <c r="DCL49" s="971"/>
      <c r="DCM49" s="971"/>
      <c r="DCN49" s="971"/>
      <c r="DCO49" s="971"/>
      <c r="DCP49" s="971"/>
      <c r="DCQ49" s="971"/>
      <c r="DCR49" s="971"/>
      <c r="DCS49" s="971"/>
      <c r="DCT49" s="971"/>
      <c r="DCU49" s="971"/>
      <c r="DCV49" s="971"/>
      <c r="DCW49" s="971"/>
      <c r="DCX49" s="971"/>
      <c r="DCY49" s="971"/>
      <c r="DCZ49" s="971"/>
      <c r="DDA49" s="971"/>
      <c r="DDB49" s="971"/>
      <c r="DDC49" s="971"/>
      <c r="DDD49" s="971"/>
      <c r="DDE49" s="971"/>
      <c r="DDF49" s="971"/>
      <c r="DDG49" s="971"/>
      <c r="DDH49" s="971"/>
      <c r="DDI49" s="971"/>
      <c r="DDJ49" s="971"/>
      <c r="DDK49" s="971"/>
      <c r="DDL49" s="971"/>
      <c r="DDM49" s="971"/>
      <c r="DDN49" s="971"/>
      <c r="DDO49" s="971"/>
      <c r="DDP49" s="971"/>
      <c r="DDQ49" s="971"/>
      <c r="DDR49" s="971"/>
      <c r="DDS49" s="971"/>
      <c r="DDT49" s="971"/>
      <c r="DDU49" s="971"/>
      <c r="DDV49" s="971"/>
      <c r="DDW49" s="971"/>
      <c r="DDX49" s="971"/>
      <c r="DDY49" s="971"/>
      <c r="DDZ49" s="971"/>
      <c r="DEA49" s="971"/>
      <c r="DEB49" s="971"/>
      <c r="DEC49" s="971"/>
      <c r="DED49" s="971"/>
      <c r="DEE49" s="971"/>
      <c r="DEF49" s="971"/>
      <c r="DEG49" s="971"/>
      <c r="DEH49" s="971"/>
      <c r="DEI49" s="971"/>
      <c r="DEJ49" s="971"/>
      <c r="DEK49" s="971"/>
      <c r="DEL49" s="971"/>
      <c r="DEM49" s="971"/>
      <c r="DEN49" s="971"/>
      <c r="DEO49" s="971"/>
      <c r="DEP49" s="971"/>
      <c r="DEQ49" s="971"/>
      <c r="DER49" s="971"/>
      <c r="DES49" s="971"/>
      <c r="DET49" s="971"/>
      <c r="DEU49" s="971"/>
      <c r="DEV49" s="971"/>
      <c r="DEW49" s="971"/>
      <c r="DEX49" s="971"/>
      <c r="DEY49" s="971"/>
      <c r="DEZ49" s="971"/>
      <c r="DFA49" s="971"/>
      <c r="DFB49" s="971"/>
      <c r="DFC49" s="971"/>
      <c r="DFD49" s="971"/>
      <c r="DFE49" s="971"/>
      <c r="DFF49" s="971"/>
      <c r="DFG49" s="971"/>
      <c r="DFH49" s="971"/>
      <c r="DFI49" s="971"/>
      <c r="DFJ49" s="971"/>
      <c r="DFK49" s="971"/>
      <c r="DFL49" s="971"/>
      <c r="DFM49" s="971"/>
      <c r="DFN49" s="971"/>
      <c r="DFO49" s="971"/>
      <c r="DFP49" s="971"/>
      <c r="DFQ49" s="971"/>
      <c r="DFR49" s="971"/>
      <c r="DFS49" s="971"/>
      <c r="DFT49" s="971"/>
      <c r="DFU49" s="971"/>
      <c r="DFV49" s="971"/>
      <c r="DFW49" s="971"/>
      <c r="DFX49" s="971"/>
      <c r="DFY49" s="971"/>
      <c r="DFZ49" s="971"/>
      <c r="DGA49" s="971"/>
      <c r="DGB49" s="971"/>
      <c r="DGC49" s="971"/>
      <c r="DGD49" s="971"/>
      <c r="DGE49" s="971"/>
      <c r="DGF49" s="971"/>
      <c r="DGG49" s="971"/>
      <c r="DGH49" s="971"/>
      <c r="DGI49" s="971"/>
      <c r="DGJ49" s="971"/>
      <c r="DGK49" s="971"/>
      <c r="DGL49" s="971"/>
      <c r="DGM49" s="971"/>
      <c r="DGN49" s="971"/>
      <c r="DGO49" s="971"/>
      <c r="DGP49" s="971"/>
      <c r="DGQ49" s="971"/>
      <c r="DGR49" s="971"/>
      <c r="DGS49" s="971"/>
      <c r="DGT49" s="971"/>
      <c r="DGU49" s="971"/>
      <c r="DGV49" s="971"/>
      <c r="DGW49" s="971"/>
      <c r="DGX49" s="971"/>
      <c r="DGY49" s="971"/>
      <c r="DGZ49" s="971"/>
      <c r="DHA49" s="971"/>
      <c r="DHB49" s="971"/>
      <c r="DHC49" s="971"/>
      <c r="DHD49" s="971"/>
      <c r="DHE49" s="971"/>
      <c r="DHF49" s="971"/>
      <c r="DHG49" s="971"/>
      <c r="DHH49" s="971"/>
      <c r="DHI49" s="971"/>
      <c r="DHJ49" s="971"/>
      <c r="DHK49" s="971"/>
      <c r="DHL49" s="971"/>
      <c r="DHM49" s="971"/>
      <c r="DHN49" s="971"/>
      <c r="DHO49" s="971"/>
      <c r="DHP49" s="971"/>
      <c r="DHQ49" s="971"/>
      <c r="DHR49" s="971"/>
      <c r="DHS49" s="971"/>
      <c r="DHT49" s="971"/>
      <c r="DHU49" s="971"/>
      <c r="DHV49" s="971"/>
      <c r="DHW49" s="971"/>
      <c r="DHX49" s="971"/>
      <c r="DHY49" s="971"/>
      <c r="DHZ49" s="971"/>
      <c r="DIA49" s="971"/>
      <c r="DIB49" s="971"/>
      <c r="DIC49" s="971"/>
      <c r="DID49" s="971"/>
      <c r="DIE49" s="971"/>
      <c r="DIF49" s="971"/>
      <c r="DIG49" s="971"/>
      <c r="DIH49" s="971"/>
      <c r="DII49" s="971"/>
      <c r="DIJ49" s="971"/>
      <c r="DIK49" s="971"/>
      <c r="DIL49" s="971"/>
      <c r="DIM49" s="971"/>
      <c r="DIN49" s="971"/>
      <c r="DIO49" s="971"/>
      <c r="DIP49" s="971"/>
      <c r="DIQ49" s="971"/>
      <c r="DIR49" s="971"/>
      <c r="DIS49" s="971"/>
      <c r="DIT49" s="971"/>
      <c r="DIU49" s="971"/>
      <c r="DIV49" s="971"/>
      <c r="DIW49" s="971"/>
      <c r="DIX49" s="971"/>
      <c r="DIY49" s="971"/>
      <c r="DIZ49" s="971"/>
      <c r="DJA49" s="971"/>
      <c r="DJB49" s="971"/>
      <c r="DJC49" s="971"/>
      <c r="DJD49" s="971"/>
      <c r="DJE49" s="971"/>
      <c r="DJF49" s="971"/>
      <c r="DJG49" s="971"/>
      <c r="DJH49" s="971"/>
      <c r="DJI49" s="971"/>
      <c r="DJJ49" s="971"/>
      <c r="DJK49" s="971"/>
      <c r="DJL49" s="971"/>
      <c r="DJM49" s="971"/>
      <c r="DJN49" s="971"/>
      <c r="DJO49" s="971"/>
      <c r="DJP49" s="971"/>
      <c r="DJQ49" s="971"/>
      <c r="DJR49" s="971"/>
      <c r="DJS49" s="971"/>
      <c r="DJT49" s="971"/>
      <c r="DJU49" s="971"/>
      <c r="DJV49" s="971"/>
      <c r="DJW49" s="971"/>
      <c r="DJX49" s="971"/>
      <c r="DJY49" s="971"/>
      <c r="DJZ49" s="971"/>
      <c r="DKA49" s="971"/>
      <c r="DKB49" s="971"/>
      <c r="DKC49" s="971"/>
      <c r="DKD49" s="971"/>
      <c r="DKE49" s="971"/>
      <c r="DKF49" s="971"/>
      <c r="DKG49" s="971"/>
      <c r="DKH49" s="971"/>
      <c r="DKI49" s="971"/>
      <c r="DKJ49" s="971"/>
      <c r="DKK49" s="971"/>
      <c r="DKL49" s="971"/>
      <c r="DKM49" s="971"/>
      <c r="DKN49" s="971"/>
      <c r="DKO49" s="971"/>
      <c r="DKP49" s="971"/>
      <c r="DKQ49" s="971"/>
      <c r="DKR49" s="971"/>
      <c r="DKS49" s="971"/>
      <c r="DKT49" s="971"/>
      <c r="DKU49" s="971"/>
      <c r="DKV49" s="971"/>
      <c r="DKW49" s="971"/>
      <c r="DKX49" s="971"/>
      <c r="DKY49" s="971"/>
      <c r="DKZ49" s="971"/>
      <c r="DLA49" s="971"/>
      <c r="DLB49" s="971"/>
      <c r="DLC49" s="971"/>
      <c r="DLD49" s="971"/>
      <c r="DLE49" s="971"/>
      <c r="DLF49" s="971"/>
      <c r="DLG49" s="971"/>
      <c r="DLH49" s="971"/>
      <c r="DLI49" s="971"/>
      <c r="DLJ49" s="971"/>
      <c r="DLK49" s="971"/>
      <c r="DLL49" s="971"/>
      <c r="DLM49" s="971"/>
      <c r="DLN49" s="971"/>
      <c r="DLO49" s="971"/>
      <c r="DLP49" s="971"/>
      <c r="DLQ49" s="971"/>
      <c r="DLR49" s="971"/>
      <c r="DLS49" s="971"/>
      <c r="DLT49" s="971"/>
      <c r="DLU49" s="971"/>
      <c r="DLV49" s="971"/>
      <c r="DLW49" s="971"/>
      <c r="DLX49" s="971"/>
      <c r="DLY49" s="971"/>
      <c r="DLZ49" s="971"/>
      <c r="DMA49" s="971"/>
      <c r="DMB49" s="971"/>
      <c r="DMC49" s="971"/>
      <c r="DMD49" s="971"/>
      <c r="DME49" s="971"/>
      <c r="DMF49" s="971"/>
      <c r="DMG49" s="971"/>
      <c r="DMH49" s="971"/>
      <c r="DMI49" s="971"/>
      <c r="DMJ49" s="971"/>
      <c r="DMK49" s="971"/>
      <c r="DML49" s="971"/>
      <c r="DMM49" s="971"/>
      <c r="DMN49" s="971"/>
      <c r="DMO49" s="971"/>
      <c r="DMP49" s="971"/>
      <c r="DMQ49" s="971"/>
      <c r="DMR49" s="971"/>
      <c r="DMS49" s="971"/>
      <c r="DMT49" s="971"/>
      <c r="DMU49" s="971"/>
      <c r="DMV49" s="971"/>
      <c r="DMW49" s="971"/>
      <c r="DMX49" s="971"/>
      <c r="DMY49" s="971"/>
      <c r="DMZ49" s="971"/>
      <c r="DNA49" s="971"/>
      <c r="DNB49" s="971"/>
      <c r="DNC49" s="971"/>
      <c r="DND49" s="971"/>
      <c r="DNE49" s="971"/>
      <c r="DNF49" s="971"/>
      <c r="DNG49" s="971"/>
      <c r="DNH49" s="971"/>
      <c r="DNI49" s="971"/>
      <c r="DNJ49" s="971"/>
      <c r="DNK49" s="971"/>
      <c r="DNL49" s="971"/>
      <c r="DNM49" s="971"/>
      <c r="DNN49" s="971"/>
      <c r="DNO49" s="971"/>
      <c r="DNP49" s="971"/>
      <c r="DNQ49" s="971"/>
      <c r="DNR49" s="971"/>
      <c r="DNS49" s="971"/>
      <c r="DNT49" s="971"/>
      <c r="DNU49" s="971"/>
      <c r="DNV49" s="971"/>
      <c r="DNW49" s="971"/>
      <c r="DNX49" s="971"/>
      <c r="DNY49" s="971"/>
      <c r="DNZ49" s="971"/>
      <c r="DOA49" s="971"/>
      <c r="DOB49" s="971"/>
      <c r="DOC49" s="971"/>
      <c r="DOD49" s="971"/>
      <c r="DOE49" s="971"/>
      <c r="DOF49" s="971"/>
      <c r="DOG49" s="971"/>
      <c r="DOH49" s="971"/>
      <c r="DOI49" s="971"/>
      <c r="DOJ49" s="971"/>
      <c r="DOK49" s="971"/>
      <c r="DOL49" s="971"/>
      <c r="DOM49" s="971"/>
      <c r="DON49" s="971"/>
      <c r="DOO49" s="971"/>
      <c r="DOP49" s="971"/>
      <c r="DOQ49" s="971"/>
      <c r="DOR49" s="971"/>
      <c r="DOS49" s="971"/>
      <c r="DOT49" s="971"/>
      <c r="DOU49" s="971"/>
      <c r="DOV49" s="971"/>
      <c r="DOW49" s="971"/>
      <c r="DOX49" s="971"/>
      <c r="DOY49" s="971"/>
      <c r="DOZ49" s="971"/>
      <c r="DPA49" s="971"/>
      <c r="DPB49" s="971"/>
      <c r="DPC49" s="971"/>
      <c r="DPD49" s="971"/>
      <c r="DPE49" s="971"/>
      <c r="DPF49" s="971"/>
      <c r="DPG49" s="971"/>
      <c r="DPH49" s="971"/>
      <c r="DPI49" s="971"/>
      <c r="DPJ49" s="971"/>
      <c r="DPK49" s="971"/>
      <c r="DPL49" s="971"/>
      <c r="DPM49" s="971"/>
      <c r="DPN49" s="971"/>
      <c r="DPO49" s="971"/>
      <c r="DPP49" s="971"/>
      <c r="DPQ49" s="971"/>
      <c r="DPR49" s="971"/>
      <c r="DPS49" s="971"/>
      <c r="DPT49" s="971"/>
      <c r="DPU49" s="971"/>
      <c r="DPV49" s="971"/>
      <c r="DPW49" s="971"/>
      <c r="DPX49" s="971"/>
      <c r="DPY49" s="971"/>
      <c r="DPZ49" s="971"/>
      <c r="DQA49" s="971"/>
      <c r="DQB49" s="971"/>
      <c r="DQC49" s="971"/>
      <c r="DQD49" s="971"/>
      <c r="DQE49" s="971"/>
      <c r="DQF49" s="971"/>
      <c r="DQG49" s="971"/>
      <c r="DQH49" s="971"/>
      <c r="DQI49" s="971"/>
      <c r="DQJ49" s="971"/>
      <c r="DQK49" s="971"/>
      <c r="DQL49" s="971"/>
      <c r="DQM49" s="971"/>
      <c r="DQN49" s="971"/>
      <c r="DQO49" s="971"/>
      <c r="DQP49" s="971"/>
      <c r="DQQ49" s="971"/>
      <c r="DQR49" s="971"/>
      <c r="DQS49" s="971"/>
      <c r="DQT49" s="971"/>
      <c r="DQU49" s="971"/>
      <c r="DQV49" s="971"/>
      <c r="DQW49" s="971"/>
      <c r="DQX49" s="971"/>
      <c r="DQY49" s="971"/>
      <c r="DQZ49" s="971"/>
      <c r="DRA49" s="971"/>
      <c r="DRB49" s="971"/>
      <c r="DRC49" s="971"/>
      <c r="DRD49" s="971"/>
      <c r="DRE49" s="971"/>
      <c r="DRF49" s="971"/>
      <c r="DRG49" s="971"/>
      <c r="DRH49" s="971"/>
      <c r="DRI49" s="971"/>
      <c r="DRJ49" s="971"/>
      <c r="DRK49" s="971"/>
      <c r="DRL49" s="971"/>
      <c r="DRM49" s="971"/>
      <c r="DRN49" s="971"/>
      <c r="DRO49" s="971"/>
      <c r="DRP49" s="971"/>
      <c r="DRQ49" s="971"/>
      <c r="DRR49" s="971"/>
      <c r="DRS49" s="971"/>
      <c r="DRT49" s="971"/>
      <c r="DRU49" s="971"/>
      <c r="DRV49" s="971"/>
      <c r="DRW49" s="971"/>
      <c r="DRX49" s="971"/>
      <c r="DRY49" s="971"/>
      <c r="DRZ49" s="971"/>
      <c r="DSA49" s="971"/>
      <c r="DSB49" s="971"/>
      <c r="DSC49" s="971"/>
      <c r="DSD49" s="971"/>
      <c r="DSE49" s="971"/>
      <c r="DSF49" s="971"/>
      <c r="DSG49" s="971"/>
      <c r="DSH49" s="971"/>
      <c r="DSI49" s="971"/>
      <c r="DSJ49" s="971"/>
      <c r="DSK49" s="971"/>
      <c r="DSL49" s="971"/>
      <c r="DSM49" s="971"/>
      <c r="DSN49" s="971"/>
      <c r="DSO49" s="971"/>
      <c r="DSP49" s="971"/>
      <c r="DSQ49" s="971"/>
      <c r="DSR49" s="971"/>
      <c r="DSS49" s="971"/>
      <c r="DST49" s="971"/>
      <c r="DSU49" s="971"/>
      <c r="DSV49" s="971"/>
      <c r="DSW49" s="971"/>
      <c r="DSX49" s="971"/>
      <c r="DSY49" s="971"/>
      <c r="DSZ49" s="971"/>
      <c r="DTA49" s="971"/>
      <c r="DTB49" s="971"/>
      <c r="DTC49" s="971"/>
      <c r="DTD49" s="971"/>
      <c r="DTE49" s="971"/>
      <c r="DTF49" s="971"/>
      <c r="DTG49" s="971"/>
      <c r="DTH49" s="971"/>
      <c r="DTI49" s="971"/>
      <c r="DTJ49" s="971"/>
      <c r="DTK49" s="971"/>
      <c r="DTL49" s="971"/>
      <c r="DTM49" s="971"/>
      <c r="DTN49" s="971"/>
      <c r="DTO49" s="971"/>
      <c r="DTP49" s="971"/>
      <c r="DTQ49" s="971"/>
      <c r="DTR49" s="971"/>
      <c r="DTS49" s="971"/>
      <c r="DTT49" s="971"/>
      <c r="DTU49" s="971"/>
      <c r="DTV49" s="971"/>
      <c r="DTW49" s="971"/>
      <c r="DTX49" s="971"/>
      <c r="DTY49" s="971"/>
      <c r="DTZ49" s="971"/>
      <c r="DUA49" s="971"/>
      <c r="DUB49" s="971"/>
      <c r="DUC49" s="971"/>
      <c r="DUD49" s="971"/>
      <c r="DUE49" s="971"/>
      <c r="DUF49" s="971"/>
      <c r="DUG49" s="971"/>
      <c r="DUH49" s="971"/>
      <c r="DUI49" s="971"/>
      <c r="DUJ49" s="971"/>
      <c r="DUK49" s="971"/>
      <c r="DUL49" s="971"/>
      <c r="DUM49" s="971"/>
      <c r="DUN49" s="971"/>
      <c r="DUO49" s="971"/>
      <c r="DUP49" s="971"/>
      <c r="DUQ49" s="971"/>
      <c r="DUR49" s="971"/>
      <c r="DUS49" s="971"/>
      <c r="DUT49" s="971"/>
      <c r="DUU49" s="971"/>
      <c r="DUV49" s="971"/>
      <c r="DUW49" s="971"/>
      <c r="DUX49" s="971"/>
      <c r="DUY49" s="971"/>
      <c r="DUZ49" s="971"/>
      <c r="DVA49" s="971"/>
      <c r="DVB49" s="971"/>
      <c r="DVC49" s="971"/>
      <c r="DVD49" s="971"/>
      <c r="DVE49" s="971"/>
      <c r="DVF49" s="971"/>
      <c r="DVG49" s="971"/>
      <c r="DVH49" s="971"/>
      <c r="DVI49" s="971"/>
      <c r="DVJ49" s="971"/>
      <c r="DVK49" s="971"/>
      <c r="DVL49" s="971"/>
      <c r="DVM49" s="971"/>
      <c r="DVN49" s="971"/>
      <c r="DVO49" s="971"/>
      <c r="DVP49" s="971"/>
      <c r="DVQ49" s="971"/>
      <c r="DVR49" s="971"/>
      <c r="DVS49" s="971"/>
      <c r="DVT49" s="971"/>
      <c r="DVU49" s="971"/>
      <c r="DVV49" s="971"/>
      <c r="DVW49" s="971"/>
      <c r="DVX49" s="971"/>
      <c r="DVY49" s="971"/>
      <c r="DVZ49" s="971"/>
      <c r="DWA49" s="971"/>
      <c r="DWB49" s="971"/>
      <c r="DWC49" s="971"/>
      <c r="DWD49" s="971"/>
      <c r="DWE49" s="971"/>
      <c r="DWF49" s="971"/>
      <c r="DWG49" s="971"/>
      <c r="DWH49" s="971"/>
      <c r="DWI49" s="971"/>
      <c r="DWJ49" s="971"/>
      <c r="DWK49" s="971"/>
      <c r="DWL49" s="971"/>
      <c r="DWM49" s="971"/>
      <c r="DWN49" s="971"/>
      <c r="DWO49" s="971"/>
      <c r="DWP49" s="971"/>
      <c r="DWQ49" s="971"/>
      <c r="DWR49" s="971"/>
      <c r="DWS49" s="971"/>
      <c r="DWT49" s="971"/>
      <c r="DWU49" s="971"/>
      <c r="DWV49" s="971"/>
      <c r="DWW49" s="971"/>
      <c r="DWX49" s="971"/>
      <c r="DWY49" s="971"/>
      <c r="DWZ49" s="971"/>
      <c r="DXA49" s="971"/>
      <c r="DXB49" s="971"/>
      <c r="DXC49" s="971"/>
      <c r="DXD49" s="971"/>
      <c r="DXE49" s="971"/>
      <c r="DXF49" s="971"/>
      <c r="DXG49" s="971"/>
      <c r="DXH49" s="971"/>
      <c r="DXI49" s="971"/>
      <c r="DXJ49" s="971"/>
      <c r="DXK49" s="971"/>
      <c r="DXL49" s="971"/>
      <c r="DXM49" s="971"/>
      <c r="DXN49" s="971"/>
      <c r="DXO49" s="971"/>
      <c r="DXP49" s="971"/>
      <c r="DXQ49" s="971"/>
      <c r="DXR49" s="971"/>
      <c r="DXS49" s="971"/>
      <c r="DXT49" s="971"/>
      <c r="DXU49" s="971"/>
      <c r="DXV49" s="971"/>
      <c r="DXW49" s="971"/>
      <c r="DXX49" s="971"/>
      <c r="DXY49" s="971"/>
      <c r="DXZ49" s="971"/>
      <c r="DYA49" s="971"/>
      <c r="DYB49" s="971"/>
      <c r="DYC49" s="971"/>
      <c r="DYD49" s="971"/>
      <c r="DYE49" s="971"/>
      <c r="DYF49" s="971"/>
      <c r="DYG49" s="971"/>
      <c r="DYH49" s="971"/>
      <c r="DYI49" s="971"/>
      <c r="DYJ49" s="971"/>
      <c r="DYK49" s="971"/>
      <c r="DYL49" s="971"/>
      <c r="DYM49" s="971"/>
      <c r="DYN49" s="971"/>
      <c r="DYO49" s="971"/>
      <c r="DYP49" s="971"/>
      <c r="DYQ49" s="971"/>
      <c r="DYR49" s="971"/>
      <c r="DYS49" s="971"/>
      <c r="DYT49" s="971"/>
      <c r="DYU49" s="971"/>
      <c r="DYV49" s="971"/>
      <c r="DYW49" s="971"/>
      <c r="DYX49" s="971"/>
      <c r="DYY49" s="971"/>
      <c r="DYZ49" s="971"/>
      <c r="DZA49" s="971"/>
      <c r="DZB49" s="971"/>
      <c r="DZC49" s="971"/>
      <c r="DZD49" s="971"/>
      <c r="DZE49" s="971"/>
      <c r="DZF49" s="971"/>
      <c r="DZG49" s="971"/>
      <c r="DZH49" s="971"/>
      <c r="DZI49" s="971"/>
      <c r="DZJ49" s="971"/>
      <c r="DZK49" s="971"/>
      <c r="DZL49" s="971"/>
      <c r="DZM49" s="971"/>
      <c r="DZN49" s="971"/>
      <c r="DZO49" s="971"/>
      <c r="DZP49" s="971"/>
      <c r="DZQ49" s="971"/>
      <c r="DZR49" s="971"/>
      <c r="DZS49" s="971"/>
      <c r="DZT49" s="971"/>
      <c r="DZU49" s="971"/>
      <c r="DZV49" s="971"/>
      <c r="DZW49" s="971"/>
      <c r="DZX49" s="971"/>
      <c r="DZY49" s="971"/>
      <c r="DZZ49" s="971"/>
      <c r="EAA49" s="971"/>
      <c r="EAB49" s="971"/>
      <c r="EAC49" s="971"/>
      <c r="EAD49" s="971"/>
      <c r="EAE49" s="971"/>
      <c r="EAF49" s="971"/>
      <c r="EAG49" s="971"/>
      <c r="EAH49" s="971"/>
      <c r="EAI49" s="971"/>
      <c r="EAJ49" s="971"/>
      <c r="EAK49" s="971"/>
      <c r="EAL49" s="971"/>
      <c r="EAM49" s="971"/>
      <c r="EAN49" s="971"/>
      <c r="EAO49" s="971"/>
      <c r="EAP49" s="971"/>
      <c r="EAQ49" s="971"/>
      <c r="EAR49" s="971"/>
      <c r="EAS49" s="971"/>
      <c r="EAT49" s="971"/>
      <c r="EAU49" s="971"/>
      <c r="EAV49" s="971"/>
      <c r="EAW49" s="971"/>
      <c r="EAX49" s="971"/>
      <c r="EAY49" s="971"/>
      <c r="EAZ49" s="971"/>
      <c r="EBA49" s="971"/>
      <c r="EBB49" s="971"/>
      <c r="EBC49" s="971"/>
      <c r="EBD49" s="971"/>
      <c r="EBE49" s="971"/>
      <c r="EBF49" s="971"/>
      <c r="EBG49" s="971"/>
      <c r="EBH49" s="971"/>
      <c r="EBI49" s="971"/>
      <c r="EBJ49" s="971"/>
      <c r="EBK49" s="971"/>
      <c r="EBL49" s="971"/>
      <c r="EBM49" s="971"/>
      <c r="EBN49" s="971"/>
      <c r="EBO49" s="971"/>
      <c r="EBP49" s="971"/>
      <c r="EBQ49" s="971"/>
      <c r="EBR49" s="971"/>
      <c r="EBS49" s="971"/>
      <c r="EBT49" s="971"/>
      <c r="EBU49" s="971"/>
      <c r="EBV49" s="971"/>
      <c r="EBW49" s="971"/>
      <c r="EBX49" s="971"/>
      <c r="EBY49" s="971"/>
      <c r="EBZ49" s="971"/>
      <c r="ECA49" s="971"/>
      <c r="ECB49" s="971"/>
      <c r="ECC49" s="971"/>
      <c r="ECD49" s="971"/>
      <c r="ECE49" s="971"/>
      <c r="ECF49" s="971"/>
      <c r="ECG49" s="971"/>
      <c r="ECH49" s="971"/>
      <c r="ECI49" s="971"/>
      <c r="ECJ49" s="971"/>
      <c r="ECK49" s="971"/>
      <c r="ECL49" s="971"/>
      <c r="ECM49" s="971"/>
      <c r="ECN49" s="971"/>
      <c r="ECO49" s="971"/>
      <c r="ECP49" s="971"/>
      <c r="ECQ49" s="971"/>
      <c r="ECR49" s="971"/>
      <c r="ECS49" s="971"/>
      <c r="ECT49" s="971"/>
      <c r="ECU49" s="971"/>
      <c r="ECV49" s="971"/>
      <c r="ECW49" s="971"/>
      <c r="ECX49" s="971"/>
      <c r="ECY49" s="971"/>
      <c r="ECZ49" s="971"/>
      <c r="EDA49" s="971"/>
      <c r="EDB49" s="971"/>
      <c r="EDC49" s="971"/>
      <c r="EDD49" s="971"/>
      <c r="EDE49" s="971"/>
      <c r="EDF49" s="971"/>
      <c r="EDG49" s="971"/>
      <c r="EDH49" s="971"/>
      <c r="EDI49" s="971"/>
      <c r="EDJ49" s="971"/>
      <c r="EDK49" s="971"/>
      <c r="EDL49" s="971"/>
      <c r="EDM49" s="971"/>
      <c r="EDN49" s="971"/>
      <c r="EDO49" s="971"/>
      <c r="EDP49" s="971"/>
      <c r="EDQ49" s="971"/>
      <c r="EDR49" s="971"/>
      <c r="EDS49" s="971"/>
      <c r="EDT49" s="971"/>
      <c r="EDU49" s="971"/>
      <c r="EDV49" s="971"/>
      <c r="EDW49" s="971"/>
      <c r="EDX49" s="971"/>
      <c r="EDY49" s="971"/>
      <c r="EDZ49" s="971"/>
      <c r="EEA49" s="971"/>
      <c r="EEB49" s="971"/>
      <c r="EEC49" s="971"/>
      <c r="EED49" s="971"/>
      <c r="EEE49" s="971"/>
      <c r="EEF49" s="971"/>
      <c r="EEG49" s="971"/>
      <c r="EEH49" s="971"/>
      <c r="EEI49" s="971"/>
      <c r="EEJ49" s="971"/>
      <c r="EEK49" s="971"/>
      <c r="EEL49" s="971"/>
      <c r="EEM49" s="971"/>
      <c r="EEN49" s="971"/>
      <c r="EEO49" s="971"/>
      <c r="EEP49" s="971"/>
      <c r="EEQ49" s="971"/>
      <c r="EER49" s="971"/>
      <c r="EES49" s="971"/>
      <c r="EET49" s="971"/>
      <c r="EEU49" s="971"/>
      <c r="EEV49" s="971"/>
      <c r="EEW49" s="971"/>
      <c r="EEX49" s="971"/>
      <c r="EEY49" s="971"/>
      <c r="EEZ49" s="971"/>
      <c r="EFA49" s="971"/>
      <c r="EFB49" s="971"/>
      <c r="EFC49" s="971"/>
      <c r="EFD49" s="971"/>
      <c r="EFE49" s="971"/>
      <c r="EFF49" s="971"/>
      <c r="EFG49" s="971"/>
      <c r="EFH49" s="971"/>
      <c r="EFI49" s="971"/>
      <c r="EFJ49" s="971"/>
      <c r="EFK49" s="971"/>
      <c r="EFL49" s="971"/>
      <c r="EFM49" s="971"/>
      <c r="EFN49" s="971"/>
      <c r="EFO49" s="971"/>
      <c r="EFP49" s="971"/>
      <c r="EFQ49" s="971"/>
      <c r="EFR49" s="971"/>
      <c r="EFS49" s="971"/>
      <c r="EFT49" s="971"/>
      <c r="EFU49" s="971"/>
      <c r="EFV49" s="971"/>
      <c r="EFW49" s="971"/>
      <c r="EFX49" s="971"/>
      <c r="EFY49" s="971"/>
      <c r="EFZ49" s="971"/>
      <c r="EGA49" s="971"/>
      <c r="EGB49" s="971"/>
      <c r="EGC49" s="971"/>
      <c r="EGD49" s="971"/>
      <c r="EGE49" s="971"/>
      <c r="EGF49" s="971"/>
      <c r="EGG49" s="971"/>
      <c r="EGH49" s="971"/>
      <c r="EGI49" s="971"/>
      <c r="EGJ49" s="971"/>
      <c r="EGK49" s="971"/>
      <c r="EGL49" s="971"/>
      <c r="EGM49" s="971"/>
      <c r="EGN49" s="971"/>
      <c r="EGO49" s="971"/>
      <c r="EGP49" s="971"/>
      <c r="EGQ49" s="971"/>
      <c r="EGR49" s="971"/>
      <c r="EGS49" s="971"/>
      <c r="EGT49" s="971"/>
      <c r="EGU49" s="971"/>
      <c r="EGV49" s="971"/>
      <c r="EGW49" s="971"/>
      <c r="EGX49" s="971"/>
      <c r="EGY49" s="971"/>
      <c r="EGZ49" s="971"/>
      <c r="EHA49" s="971"/>
      <c r="EHB49" s="971"/>
      <c r="EHC49" s="971"/>
      <c r="EHD49" s="971"/>
      <c r="EHE49" s="971"/>
      <c r="EHF49" s="971"/>
      <c r="EHG49" s="971"/>
      <c r="EHH49" s="971"/>
      <c r="EHI49" s="971"/>
      <c r="EHJ49" s="971"/>
      <c r="EHK49" s="971"/>
      <c r="EHL49" s="971"/>
      <c r="EHM49" s="971"/>
      <c r="EHN49" s="971"/>
      <c r="EHO49" s="971"/>
      <c r="EHP49" s="971"/>
      <c r="EHQ49" s="971"/>
      <c r="EHR49" s="971"/>
      <c r="EHS49" s="971"/>
      <c r="EHT49" s="971"/>
      <c r="EHU49" s="971"/>
      <c r="EHV49" s="971"/>
      <c r="EHW49" s="971"/>
      <c r="EHX49" s="971"/>
      <c r="EHY49" s="971"/>
      <c r="EHZ49" s="971"/>
      <c r="EIA49" s="971"/>
      <c r="EIB49" s="971"/>
      <c r="EIC49" s="971"/>
      <c r="EID49" s="971"/>
      <c r="EIE49" s="971"/>
      <c r="EIF49" s="971"/>
      <c r="EIG49" s="971"/>
      <c r="EIH49" s="971"/>
      <c r="EII49" s="971"/>
      <c r="EIJ49" s="971"/>
      <c r="EIK49" s="971"/>
      <c r="EIL49" s="971"/>
      <c r="EIM49" s="971"/>
      <c r="EIN49" s="971"/>
      <c r="EIO49" s="971"/>
      <c r="EIP49" s="971"/>
      <c r="EIQ49" s="971"/>
      <c r="EIR49" s="971"/>
      <c r="EIS49" s="971"/>
      <c r="EIT49" s="971"/>
      <c r="EIU49" s="971"/>
      <c r="EIV49" s="971"/>
      <c r="EIW49" s="971"/>
      <c r="EIX49" s="971"/>
      <c r="EIY49" s="971"/>
      <c r="EIZ49" s="971"/>
      <c r="EJA49" s="971"/>
      <c r="EJB49" s="971"/>
      <c r="EJC49" s="971"/>
      <c r="EJD49" s="971"/>
      <c r="EJE49" s="971"/>
      <c r="EJF49" s="971"/>
      <c r="EJG49" s="971"/>
      <c r="EJH49" s="971"/>
      <c r="EJI49" s="971"/>
      <c r="EJJ49" s="971"/>
      <c r="EJK49" s="971"/>
      <c r="EJL49" s="971"/>
      <c r="EJM49" s="971"/>
      <c r="EJN49" s="971"/>
      <c r="EJO49" s="971"/>
      <c r="EJP49" s="971"/>
      <c r="EJQ49" s="971"/>
      <c r="EJR49" s="971"/>
      <c r="EJS49" s="971"/>
      <c r="EJT49" s="971"/>
      <c r="EJU49" s="971"/>
      <c r="EJV49" s="971"/>
      <c r="EJW49" s="971"/>
      <c r="EJX49" s="971"/>
      <c r="EJY49" s="971"/>
      <c r="EJZ49" s="971"/>
      <c r="EKA49" s="971"/>
      <c r="EKB49" s="971"/>
      <c r="EKC49" s="971"/>
      <c r="EKD49" s="971"/>
      <c r="EKE49" s="971"/>
      <c r="EKF49" s="971"/>
      <c r="EKG49" s="971"/>
      <c r="EKH49" s="971"/>
      <c r="EKI49" s="971"/>
      <c r="EKJ49" s="971"/>
      <c r="EKK49" s="971"/>
      <c r="EKL49" s="971"/>
      <c r="EKM49" s="971"/>
      <c r="EKN49" s="971"/>
      <c r="EKO49" s="971"/>
      <c r="EKP49" s="971"/>
      <c r="EKQ49" s="971"/>
      <c r="EKR49" s="971"/>
      <c r="EKS49" s="971"/>
      <c r="EKT49" s="971"/>
      <c r="EKU49" s="971"/>
      <c r="EKV49" s="971"/>
      <c r="EKW49" s="971"/>
      <c r="EKX49" s="971"/>
      <c r="EKY49" s="971"/>
      <c r="EKZ49" s="971"/>
      <c r="ELA49" s="971"/>
      <c r="ELB49" s="971"/>
      <c r="ELC49" s="971"/>
      <c r="ELD49" s="971"/>
      <c r="ELE49" s="971"/>
      <c r="ELF49" s="971"/>
      <c r="ELG49" s="971"/>
      <c r="ELH49" s="971"/>
      <c r="ELI49" s="971"/>
      <c r="ELJ49" s="971"/>
      <c r="ELK49" s="971"/>
      <c r="ELL49" s="971"/>
      <c r="ELM49" s="971"/>
      <c r="ELN49" s="971"/>
      <c r="ELO49" s="971"/>
      <c r="ELP49" s="971"/>
      <c r="ELQ49" s="971"/>
      <c r="ELR49" s="971"/>
      <c r="ELS49" s="971"/>
      <c r="ELT49" s="971"/>
      <c r="ELU49" s="971"/>
      <c r="ELV49" s="971"/>
      <c r="ELW49" s="971"/>
      <c r="ELX49" s="971"/>
      <c r="ELY49" s="971"/>
      <c r="ELZ49" s="971"/>
      <c r="EMA49" s="971"/>
      <c r="EMB49" s="971"/>
      <c r="EMC49" s="971"/>
      <c r="EMD49" s="971"/>
      <c r="EME49" s="971"/>
      <c r="EMF49" s="971"/>
      <c r="EMG49" s="971"/>
      <c r="EMH49" s="971"/>
      <c r="EMI49" s="971"/>
      <c r="EMJ49" s="971"/>
      <c r="EMK49" s="971"/>
      <c r="EML49" s="971"/>
      <c r="EMM49" s="971"/>
      <c r="EMN49" s="971"/>
      <c r="EMO49" s="971"/>
      <c r="EMP49" s="971"/>
      <c r="EMQ49" s="971"/>
      <c r="EMR49" s="971"/>
      <c r="EMS49" s="971"/>
      <c r="EMT49" s="971"/>
      <c r="EMU49" s="971"/>
      <c r="EMV49" s="971"/>
      <c r="EMW49" s="971"/>
      <c r="EMX49" s="971"/>
      <c r="EMY49" s="971"/>
      <c r="EMZ49" s="971"/>
      <c r="ENA49" s="971"/>
      <c r="ENB49" s="971"/>
      <c r="ENC49" s="971"/>
      <c r="END49" s="971"/>
      <c r="ENE49" s="971"/>
      <c r="ENF49" s="971"/>
      <c r="ENG49" s="971"/>
      <c r="ENH49" s="971"/>
      <c r="ENI49" s="971"/>
      <c r="ENJ49" s="971"/>
      <c r="ENK49" s="971"/>
      <c r="ENL49" s="971"/>
      <c r="ENM49" s="971"/>
      <c r="ENN49" s="971"/>
      <c r="ENO49" s="971"/>
      <c r="ENP49" s="971"/>
      <c r="ENQ49" s="971"/>
      <c r="ENR49" s="971"/>
      <c r="ENS49" s="971"/>
      <c r="ENT49" s="971"/>
      <c r="ENU49" s="971"/>
      <c r="ENV49" s="971"/>
      <c r="ENW49" s="971"/>
      <c r="ENX49" s="971"/>
      <c r="ENY49" s="971"/>
      <c r="ENZ49" s="971"/>
      <c r="EOA49" s="971"/>
      <c r="EOB49" s="971"/>
      <c r="EOC49" s="971"/>
      <c r="EOD49" s="971"/>
      <c r="EOE49" s="971"/>
      <c r="EOF49" s="971"/>
      <c r="EOG49" s="971"/>
      <c r="EOH49" s="971"/>
      <c r="EOI49" s="971"/>
      <c r="EOJ49" s="971"/>
      <c r="EOK49" s="971"/>
      <c r="EOL49" s="971"/>
      <c r="EOM49" s="971"/>
      <c r="EON49" s="971"/>
      <c r="EOO49" s="971"/>
      <c r="EOP49" s="971"/>
      <c r="EOQ49" s="971"/>
      <c r="EOR49" s="971"/>
      <c r="EOS49" s="971"/>
      <c r="EOT49" s="971"/>
      <c r="EOU49" s="971"/>
      <c r="EOV49" s="971"/>
      <c r="EOW49" s="971"/>
      <c r="EOX49" s="971"/>
      <c r="EOY49" s="971"/>
      <c r="EOZ49" s="971"/>
      <c r="EPA49" s="971"/>
      <c r="EPB49" s="971"/>
      <c r="EPC49" s="971"/>
      <c r="EPD49" s="971"/>
      <c r="EPE49" s="971"/>
      <c r="EPF49" s="971"/>
      <c r="EPG49" s="971"/>
      <c r="EPH49" s="971"/>
      <c r="EPI49" s="971"/>
      <c r="EPJ49" s="971"/>
      <c r="EPK49" s="971"/>
      <c r="EPL49" s="971"/>
      <c r="EPM49" s="971"/>
      <c r="EPN49" s="971"/>
      <c r="EPO49" s="971"/>
      <c r="EPP49" s="971"/>
      <c r="EPQ49" s="971"/>
      <c r="EPR49" s="971"/>
      <c r="EPS49" s="971"/>
      <c r="EPT49" s="971"/>
      <c r="EPU49" s="971"/>
      <c r="EPV49" s="971"/>
      <c r="EPW49" s="971"/>
      <c r="EPX49" s="971"/>
      <c r="EPY49" s="971"/>
      <c r="EPZ49" s="971"/>
      <c r="EQA49" s="971"/>
      <c r="EQB49" s="971"/>
      <c r="EQC49" s="971"/>
      <c r="EQD49" s="971"/>
      <c r="EQE49" s="971"/>
      <c r="EQF49" s="971"/>
      <c r="EQG49" s="971"/>
      <c r="EQH49" s="971"/>
      <c r="EQI49" s="971"/>
      <c r="EQJ49" s="971"/>
      <c r="EQK49" s="971"/>
      <c r="EQL49" s="971"/>
      <c r="EQM49" s="971"/>
      <c r="EQN49" s="971"/>
      <c r="EQO49" s="971"/>
      <c r="EQP49" s="971"/>
      <c r="EQQ49" s="971"/>
      <c r="EQR49" s="971"/>
      <c r="EQS49" s="971"/>
      <c r="EQT49" s="971"/>
      <c r="EQU49" s="971"/>
      <c r="EQV49" s="971"/>
      <c r="EQW49" s="971"/>
      <c r="EQX49" s="971"/>
      <c r="EQY49" s="971"/>
      <c r="EQZ49" s="971"/>
      <c r="ERA49" s="971"/>
      <c r="ERB49" s="971"/>
      <c r="ERC49" s="971"/>
      <c r="ERD49" s="971"/>
      <c r="ERE49" s="971"/>
      <c r="ERF49" s="971"/>
      <c r="ERG49" s="971"/>
      <c r="ERH49" s="971"/>
      <c r="ERI49" s="971"/>
      <c r="ERJ49" s="971"/>
      <c r="ERK49" s="971"/>
      <c r="ERL49" s="971"/>
      <c r="ERM49" s="971"/>
      <c r="ERN49" s="971"/>
      <c r="ERO49" s="971"/>
      <c r="ERP49" s="971"/>
      <c r="ERQ49" s="971"/>
      <c r="ERR49" s="971"/>
      <c r="ERS49" s="971"/>
      <c r="ERT49" s="971"/>
      <c r="ERU49" s="971"/>
      <c r="ERV49" s="971"/>
      <c r="ERW49" s="971"/>
      <c r="ERX49" s="971"/>
      <c r="ERY49" s="971"/>
      <c r="ERZ49" s="971"/>
      <c r="ESA49" s="971"/>
      <c r="ESB49" s="971"/>
      <c r="ESC49" s="971"/>
      <c r="ESD49" s="971"/>
      <c r="ESE49" s="971"/>
      <c r="ESF49" s="971"/>
      <c r="ESG49" s="971"/>
      <c r="ESH49" s="971"/>
      <c r="ESI49" s="971"/>
      <c r="ESJ49" s="971"/>
      <c r="ESK49" s="971"/>
      <c r="ESL49" s="971"/>
      <c r="ESM49" s="971"/>
      <c r="ESN49" s="971"/>
      <c r="ESO49" s="971"/>
      <c r="ESP49" s="971"/>
      <c r="ESQ49" s="971"/>
      <c r="ESR49" s="971"/>
      <c r="ESS49" s="971"/>
      <c r="EST49" s="971"/>
      <c r="ESU49" s="971"/>
      <c r="ESV49" s="971"/>
      <c r="ESW49" s="971"/>
      <c r="ESX49" s="971"/>
      <c r="ESY49" s="971"/>
      <c r="ESZ49" s="971"/>
      <c r="ETA49" s="971"/>
      <c r="ETB49" s="971"/>
      <c r="ETC49" s="971"/>
      <c r="ETD49" s="971"/>
      <c r="ETE49" s="971"/>
      <c r="ETF49" s="971"/>
      <c r="ETG49" s="971"/>
      <c r="ETH49" s="971"/>
      <c r="ETI49" s="971"/>
      <c r="ETJ49" s="971"/>
      <c r="ETK49" s="971"/>
      <c r="ETL49" s="971"/>
      <c r="ETM49" s="971"/>
      <c r="ETN49" s="971"/>
      <c r="ETO49" s="971"/>
      <c r="ETP49" s="971"/>
      <c r="ETQ49" s="971"/>
      <c r="ETR49" s="971"/>
      <c r="ETS49" s="971"/>
      <c r="ETT49" s="971"/>
      <c r="ETU49" s="971"/>
      <c r="ETV49" s="971"/>
      <c r="ETW49" s="971"/>
      <c r="ETX49" s="971"/>
      <c r="ETY49" s="971"/>
      <c r="ETZ49" s="971"/>
      <c r="EUA49" s="971"/>
      <c r="EUB49" s="971"/>
      <c r="EUC49" s="971"/>
      <c r="EUD49" s="971"/>
      <c r="EUE49" s="971"/>
      <c r="EUF49" s="971"/>
      <c r="EUG49" s="971"/>
      <c r="EUH49" s="971"/>
      <c r="EUI49" s="971"/>
      <c r="EUJ49" s="971"/>
      <c r="EUK49" s="971"/>
      <c r="EUL49" s="971"/>
      <c r="EUM49" s="971"/>
      <c r="EUN49" s="971"/>
      <c r="EUO49" s="971"/>
      <c r="EUP49" s="971"/>
      <c r="EUQ49" s="971"/>
      <c r="EUR49" s="971"/>
      <c r="EUS49" s="971"/>
      <c r="EUT49" s="971"/>
      <c r="EUU49" s="971"/>
      <c r="EUV49" s="971"/>
      <c r="EUW49" s="971"/>
      <c r="EUX49" s="971"/>
      <c r="EUY49" s="971"/>
      <c r="EUZ49" s="971"/>
      <c r="EVA49" s="971"/>
      <c r="EVB49" s="971"/>
      <c r="EVC49" s="971"/>
      <c r="EVD49" s="971"/>
      <c r="EVE49" s="971"/>
      <c r="EVF49" s="971"/>
      <c r="EVG49" s="971"/>
      <c r="EVH49" s="971"/>
      <c r="EVI49" s="971"/>
      <c r="EVJ49" s="971"/>
      <c r="EVK49" s="971"/>
      <c r="EVL49" s="971"/>
      <c r="EVM49" s="971"/>
      <c r="EVN49" s="971"/>
      <c r="EVO49" s="971"/>
      <c r="EVP49" s="971"/>
      <c r="EVQ49" s="971"/>
      <c r="EVR49" s="971"/>
      <c r="EVS49" s="971"/>
      <c r="EVT49" s="971"/>
      <c r="EVU49" s="971"/>
      <c r="EVV49" s="971"/>
      <c r="EVW49" s="971"/>
      <c r="EVX49" s="971"/>
      <c r="EVY49" s="971"/>
      <c r="EVZ49" s="971"/>
      <c r="EWA49" s="971"/>
      <c r="EWB49" s="971"/>
      <c r="EWC49" s="971"/>
      <c r="EWD49" s="971"/>
      <c r="EWE49" s="971"/>
      <c r="EWF49" s="971"/>
      <c r="EWG49" s="971"/>
      <c r="EWH49" s="971"/>
      <c r="EWI49" s="971"/>
      <c r="EWJ49" s="971"/>
      <c r="EWK49" s="971"/>
      <c r="EWL49" s="971"/>
      <c r="EWM49" s="971"/>
      <c r="EWN49" s="971"/>
      <c r="EWO49" s="971"/>
      <c r="EWP49" s="971"/>
      <c r="EWQ49" s="971"/>
      <c r="EWR49" s="971"/>
      <c r="EWS49" s="971"/>
      <c r="EWT49" s="971"/>
      <c r="EWU49" s="971"/>
      <c r="EWV49" s="971"/>
      <c r="EWW49" s="971"/>
      <c r="EWX49" s="971"/>
      <c r="EWY49" s="971"/>
      <c r="EWZ49" s="971"/>
      <c r="EXA49" s="971"/>
      <c r="EXB49" s="971"/>
      <c r="EXC49" s="971"/>
      <c r="EXD49" s="971"/>
      <c r="EXE49" s="971"/>
      <c r="EXF49" s="971"/>
      <c r="EXG49" s="971"/>
      <c r="EXH49" s="971"/>
      <c r="EXI49" s="971"/>
      <c r="EXJ49" s="971"/>
      <c r="EXK49" s="971"/>
      <c r="EXL49" s="971"/>
      <c r="EXM49" s="971"/>
      <c r="EXN49" s="971"/>
      <c r="EXO49" s="971"/>
      <c r="EXP49" s="971"/>
      <c r="EXQ49" s="971"/>
      <c r="EXR49" s="971"/>
      <c r="EXS49" s="971"/>
      <c r="EXT49" s="971"/>
      <c r="EXU49" s="971"/>
      <c r="EXV49" s="971"/>
      <c r="EXW49" s="971"/>
      <c r="EXX49" s="971"/>
      <c r="EXY49" s="971"/>
      <c r="EXZ49" s="971"/>
      <c r="EYA49" s="971"/>
      <c r="EYB49" s="971"/>
      <c r="EYC49" s="971"/>
      <c r="EYD49" s="971"/>
      <c r="EYE49" s="971"/>
      <c r="EYF49" s="971"/>
      <c r="EYG49" s="971"/>
      <c r="EYH49" s="971"/>
      <c r="EYI49" s="971"/>
      <c r="EYJ49" s="971"/>
      <c r="EYK49" s="971"/>
      <c r="EYL49" s="971"/>
      <c r="EYM49" s="971"/>
      <c r="EYN49" s="971"/>
      <c r="EYO49" s="971"/>
      <c r="EYP49" s="971"/>
      <c r="EYQ49" s="971"/>
      <c r="EYR49" s="971"/>
      <c r="EYS49" s="971"/>
      <c r="EYT49" s="971"/>
      <c r="EYU49" s="971"/>
      <c r="EYV49" s="971"/>
      <c r="EYW49" s="971"/>
      <c r="EYX49" s="971"/>
      <c r="EYY49" s="971"/>
      <c r="EYZ49" s="971"/>
      <c r="EZA49" s="971"/>
      <c r="EZB49" s="971"/>
      <c r="EZC49" s="971"/>
      <c r="EZD49" s="971"/>
      <c r="EZE49" s="971"/>
      <c r="EZF49" s="971"/>
      <c r="EZG49" s="971"/>
      <c r="EZH49" s="971"/>
      <c r="EZI49" s="971"/>
      <c r="EZJ49" s="971"/>
      <c r="EZK49" s="971"/>
      <c r="EZL49" s="971"/>
      <c r="EZM49" s="971"/>
      <c r="EZN49" s="971"/>
      <c r="EZO49" s="971"/>
      <c r="EZP49" s="971"/>
      <c r="EZQ49" s="971"/>
      <c r="EZR49" s="971"/>
      <c r="EZS49" s="971"/>
      <c r="EZT49" s="971"/>
      <c r="EZU49" s="971"/>
      <c r="EZV49" s="971"/>
      <c r="EZW49" s="971"/>
      <c r="EZX49" s="971"/>
      <c r="EZY49" s="971"/>
      <c r="EZZ49" s="971"/>
      <c r="FAA49" s="971"/>
      <c r="FAB49" s="971"/>
      <c r="FAC49" s="971"/>
      <c r="FAD49" s="971"/>
      <c r="FAE49" s="971"/>
      <c r="FAF49" s="971"/>
      <c r="FAG49" s="971"/>
      <c r="FAH49" s="971"/>
      <c r="FAI49" s="971"/>
      <c r="FAJ49" s="971"/>
      <c r="FAK49" s="971"/>
      <c r="FAL49" s="971"/>
      <c r="FAM49" s="971"/>
      <c r="FAN49" s="971"/>
      <c r="FAO49" s="971"/>
      <c r="FAP49" s="971"/>
      <c r="FAQ49" s="971"/>
      <c r="FAR49" s="971"/>
      <c r="FAS49" s="971"/>
      <c r="FAT49" s="971"/>
      <c r="FAU49" s="971"/>
      <c r="FAV49" s="971"/>
      <c r="FAW49" s="971"/>
      <c r="FAX49" s="971"/>
      <c r="FAY49" s="971"/>
      <c r="FAZ49" s="971"/>
      <c r="FBA49" s="971"/>
      <c r="FBB49" s="971"/>
      <c r="FBC49" s="971"/>
      <c r="FBD49" s="971"/>
      <c r="FBE49" s="971"/>
      <c r="FBF49" s="971"/>
      <c r="FBG49" s="971"/>
      <c r="FBH49" s="971"/>
      <c r="FBI49" s="971"/>
      <c r="FBJ49" s="971"/>
      <c r="FBK49" s="971"/>
      <c r="FBL49" s="971"/>
      <c r="FBM49" s="971"/>
      <c r="FBN49" s="971"/>
      <c r="FBO49" s="971"/>
      <c r="FBP49" s="971"/>
      <c r="FBQ49" s="971"/>
      <c r="FBR49" s="971"/>
      <c r="FBS49" s="971"/>
      <c r="FBT49" s="971"/>
      <c r="FBU49" s="971"/>
      <c r="FBV49" s="971"/>
      <c r="FBW49" s="971"/>
      <c r="FBX49" s="971"/>
      <c r="FBY49" s="971"/>
      <c r="FBZ49" s="971"/>
      <c r="FCA49" s="971"/>
      <c r="FCB49" s="971"/>
      <c r="FCC49" s="971"/>
      <c r="FCD49" s="971"/>
      <c r="FCE49" s="971"/>
      <c r="FCF49" s="971"/>
      <c r="FCG49" s="971"/>
      <c r="FCH49" s="971"/>
      <c r="FCI49" s="971"/>
      <c r="FCJ49" s="971"/>
      <c r="FCK49" s="971"/>
      <c r="FCL49" s="971"/>
      <c r="FCM49" s="971"/>
      <c r="FCN49" s="971"/>
      <c r="FCO49" s="971"/>
      <c r="FCP49" s="971"/>
      <c r="FCQ49" s="971"/>
      <c r="FCR49" s="971"/>
      <c r="FCS49" s="971"/>
      <c r="FCT49" s="971"/>
      <c r="FCU49" s="971"/>
      <c r="FCV49" s="971"/>
      <c r="FCW49" s="971"/>
      <c r="FCX49" s="971"/>
      <c r="FCY49" s="971"/>
      <c r="FCZ49" s="971"/>
      <c r="FDA49" s="971"/>
      <c r="FDB49" s="971"/>
      <c r="FDC49" s="971"/>
      <c r="FDD49" s="971"/>
      <c r="FDE49" s="971"/>
      <c r="FDF49" s="971"/>
      <c r="FDG49" s="971"/>
      <c r="FDH49" s="971"/>
      <c r="FDI49" s="971"/>
      <c r="FDJ49" s="971"/>
      <c r="FDK49" s="971"/>
      <c r="FDL49" s="971"/>
      <c r="FDM49" s="971"/>
      <c r="FDN49" s="971"/>
      <c r="FDO49" s="971"/>
      <c r="FDP49" s="971"/>
      <c r="FDQ49" s="971"/>
      <c r="FDR49" s="971"/>
      <c r="FDS49" s="971"/>
      <c r="FDT49" s="971"/>
      <c r="FDU49" s="971"/>
      <c r="FDV49" s="971"/>
      <c r="FDW49" s="971"/>
      <c r="FDX49" s="971"/>
      <c r="FDY49" s="971"/>
      <c r="FDZ49" s="971"/>
      <c r="FEA49" s="971"/>
      <c r="FEB49" s="971"/>
      <c r="FEC49" s="971"/>
      <c r="FED49" s="971"/>
      <c r="FEE49" s="971"/>
      <c r="FEF49" s="971"/>
      <c r="FEG49" s="971"/>
      <c r="FEH49" s="971"/>
      <c r="FEI49" s="971"/>
      <c r="FEJ49" s="971"/>
      <c r="FEK49" s="971"/>
      <c r="FEL49" s="971"/>
      <c r="FEM49" s="971"/>
      <c r="FEN49" s="971"/>
      <c r="FEO49" s="971"/>
      <c r="FEP49" s="971"/>
      <c r="FEQ49" s="971"/>
      <c r="FER49" s="971"/>
      <c r="FES49" s="971"/>
      <c r="FET49" s="971"/>
      <c r="FEU49" s="971"/>
      <c r="FEV49" s="971"/>
      <c r="FEW49" s="971"/>
      <c r="FEX49" s="971"/>
      <c r="FEY49" s="971"/>
      <c r="FEZ49" s="971"/>
      <c r="FFA49" s="971"/>
      <c r="FFB49" s="971"/>
      <c r="FFC49" s="971"/>
      <c r="FFD49" s="971"/>
      <c r="FFE49" s="971"/>
      <c r="FFF49" s="971"/>
      <c r="FFG49" s="971"/>
      <c r="FFH49" s="971"/>
      <c r="FFI49" s="971"/>
      <c r="FFJ49" s="971"/>
      <c r="FFK49" s="971"/>
      <c r="FFL49" s="971"/>
      <c r="FFM49" s="971"/>
      <c r="FFN49" s="971"/>
      <c r="FFO49" s="971"/>
      <c r="FFP49" s="971"/>
      <c r="FFQ49" s="971"/>
      <c r="FFR49" s="971"/>
      <c r="FFS49" s="971"/>
      <c r="FFT49" s="971"/>
      <c r="FFU49" s="971"/>
      <c r="FFV49" s="971"/>
      <c r="FFW49" s="971"/>
      <c r="FFX49" s="971"/>
      <c r="FFY49" s="971"/>
      <c r="FFZ49" s="971"/>
      <c r="FGA49" s="971"/>
      <c r="FGB49" s="971"/>
      <c r="FGC49" s="971"/>
      <c r="FGD49" s="971"/>
      <c r="FGE49" s="971"/>
      <c r="FGF49" s="971"/>
      <c r="FGG49" s="971"/>
      <c r="FGH49" s="971"/>
      <c r="FGI49" s="971"/>
      <c r="FGJ49" s="971"/>
      <c r="FGK49" s="971"/>
      <c r="FGL49" s="971"/>
      <c r="FGM49" s="971"/>
      <c r="FGN49" s="971"/>
      <c r="FGO49" s="971"/>
      <c r="FGP49" s="971"/>
      <c r="FGQ49" s="971"/>
      <c r="FGR49" s="971"/>
      <c r="FGS49" s="971"/>
      <c r="FGT49" s="971"/>
      <c r="FGU49" s="971"/>
      <c r="FGV49" s="971"/>
      <c r="FGW49" s="971"/>
      <c r="FGX49" s="971"/>
      <c r="FGY49" s="971"/>
      <c r="FGZ49" s="971"/>
      <c r="FHA49" s="971"/>
      <c r="FHB49" s="971"/>
      <c r="FHC49" s="971"/>
      <c r="FHD49" s="971"/>
      <c r="FHE49" s="971"/>
      <c r="FHF49" s="971"/>
      <c r="FHG49" s="971"/>
      <c r="FHH49" s="971"/>
      <c r="FHI49" s="971"/>
      <c r="FHJ49" s="971"/>
      <c r="FHK49" s="971"/>
      <c r="FHL49" s="971"/>
      <c r="FHM49" s="971"/>
      <c r="FHN49" s="971"/>
      <c r="FHO49" s="971"/>
      <c r="FHP49" s="971"/>
      <c r="FHQ49" s="971"/>
      <c r="FHR49" s="971"/>
      <c r="FHS49" s="971"/>
      <c r="FHT49" s="971"/>
      <c r="FHU49" s="971"/>
      <c r="FHV49" s="971"/>
      <c r="FHW49" s="971"/>
      <c r="FHX49" s="971"/>
      <c r="FHY49" s="971"/>
      <c r="FHZ49" s="971"/>
      <c r="FIA49" s="971"/>
      <c r="FIB49" s="971"/>
      <c r="FIC49" s="971"/>
      <c r="FID49" s="971"/>
      <c r="FIE49" s="971"/>
      <c r="FIF49" s="971"/>
      <c r="FIG49" s="971"/>
      <c r="FIH49" s="971"/>
      <c r="FII49" s="971"/>
      <c r="FIJ49" s="971"/>
      <c r="FIK49" s="971"/>
      <c r="FIL49" s="971"/>
      <c r="FIM49" s="971"/>
      <c r="FIN49" s="971"/>
      <c r="FIO49" s="971"/>
      <c r="FIP49" s="971"/>
      <c r="FIQ49" s="971"/>
      <c r="FIR49" s="971"/>
      <c r="FIS49" s="971"/>
      <c r="FIT49" s="971"/>
      <c r="FIU49" s="971"/>
      <c r="FIV49" s="971"/>
      <c r="FIW49" s="971"/>
      <c r="FIX49" s="971"/>
      <c r="FIY49" s="971"/>
      <c r="FIZ49" s="971"/>
      <c r="FJA49" s="971"/>
      <c r="FJB49" s="971"/>
      <c r="FJC49" s="971"/>
      <c r="FJD49" s="971"/>
      <c r="FJE49" s="971"/>
      <c r="FJF49" s="971"/>
      <c r="FJG49" s="971"/>
      <c r="FJH49" s="971"/>
      <c r="FJI49" s="971"/>
      <c r="FJJ49" s="971"/>
      <c r="FJK49" s="971"/>
      <c r="FJL49" s="971"/>
      <c r="FJM49" s="971"/>
      <c r="FJN49" s="971"/>
      <c r="FJO49" s="971"/>
      <c r="FJP49" s="971"/>
      <c r="FJQ49" s="971"/>
      <c r="FJR49" s="971"/>
      <c r="FJS49" s="971"/>
      <c r="FJT49" s="971"/>
      <c r="FJU49" s="971"/>
      <c r="FJV49" s="971"/>
      <c r="FJW49" s="971"/>
      <c r="FJX49" s="971"/>
      <c r="FJY49" s="971"/>
      <c r="FJZ49" s="971"/>
      <c r="FKA49" s="971"/>
      <c r="FKB49" s="971"/>
      <c r="FKC49" s="971"/>
      <c r="FKD49" s="971"/>
      <c r="FKE49" s="971"/>
      <c r="FKF49" s="971"/>
      <c r="FKG49" s="971"/>
      <c r="FKH49" s="971"/>
      <c r="FKI49" s="971"/>
      <c r="FKJ49" s="971"/>
      <c r="FKK49" s="971"/>
      <c r="FKL49" s="971"/>
      <c r="FKM49" s="971"/>
      <c r="FKN49" s="971"/>
      <c r="FKO49" s="971"/>
      <c r="FKP49" s="971"/>
      <c r="FKQ49" s="971"/>
      <c r="FKR49" s="971"/>
      <c r="FKS49" s="971"/>
      <c r="FKT49" s="971"/>
      <c r="FKU49" s="971"/>
      <c r="FKV49" s="971"/>
      <c r="FKW49" s="971"/>
      <c r="FKX49" s="971"/>
      <c r="FKY49" s="971"/>
      <c r="FKZ49" s="971"/>
      <c r="FLA49" s="971"/>
      <c r="FLB49" s="971"/>
      <c r="FLC49" s="971"/>
      <c r="FLD49" s="971"/>
      <c r="FLE49" s="971"/>
      <c r="FLF49" s="971"/>
      <c r="FLG49" s="971"/>
      <c r="FLH49" s="971"/>
      <c r="FLI49" s="971"/>
      <c r="FLJ49" s="971"/>
      <c r="FLK49" s="971"/>
      <c r="FLL49" s="971"/>
      <c r="FLM49" s="971"/>
      <c r="FLN49" s="971"/>
      <c r="FLO49" s="971"/>
      <c r="FLP49" s="971"/>
      <c r="FLQ49" s="971"/>
      <c r="FLR49" s="971"/>
      <c r="FLS49" s="971"/>
      <c r="FLT49" s="971"/>
      <c r="FLU49" s="971"/>
      <c r="FLV49" s="971"/>
      <c r="FLW49" s="971"/>
      <c r="FLX49" s="971"/>
      <c r="FLY49" s="971"/>
      <c r="FLZ49" s="971"/>
      <c r="FMA49" s="971"/>
      <c r="FMB49" s="971"/>
      <c r="FMC49" s="971"/>
      <c r="FMD49" s="971"/>
      <c r="FME49" s="971"/>
      <c r="FMF49" s="971"/>
      <c r="FMG49" s="971"/>
      <c r="FMH49" s="971"/>
      <c r="FMI49" s="971"/>
      <c r="FMJ49" s="971"/>
      <c r="FMK49" s="971"/>
      <c r="FML49" s="971"/>
      <c r="FMM49" s="971"/>
      <c r="FMN49" s="971"/>
      <c r="FMO49" s="971"/>
      <c r="FMP49" s="971"/>
      <c r="FMQ49" s="971"/>
      <c r="FMR49" s="971"/>
      <c r="FMS49" s="971"/>
      <c r="FMT49" s="971"/>
      <c r="FMU49" s="971"/>
      <c r="FMV49" s="971"/>
      <c r="FMW49" s="971"/>
      <c r="FMX49" s="971"/>
      <c r="FMY49" s="971"/>
      <c r="FMZ49" s="971"/>
      <c r="FNA49" s="971"/>
      <c r="FNB49" s="971"/>
      <c r="FNC49" s="971"/>
      <c r="FND49" s="971"/>
      <c r="FNE49" s="971"/>
      <c r="FNF49" s="971"/>
      <c r="FNG49" s="971"/>
      <c r="FNH49" s="971"/>
      <c r="FNI49" s="971"/>
      <c r="FNJ49" s="971"/>
      <c r="FNK49" s="971"/>
      <c r="FNL49" s="971"/>
      <c r="FNM49" s="971"/>
      <c r="FNN49" s="971"/>
      <c r="FNO49" s="971"/>
      <c r="FNP49" s="971"/>
      <c r="FNQ49" s="971"/>
      <c r="FNR49" s="971"/>
      <c r="FNS49" s="971"/>
      <c r="FNT49" s="971"/>
      <c r="FNU49" s="971"/>
      <c r="FNV49" s="971"/>
      <c r="FNW49" s="971"/>
      <c r="FNX49" s="971"/>
      <c r="FNY49" s="971"/>
      <c r="FNZ49" s="971"/>
      <c r="FOA49" s="971"/>
      <c r="FOB49" s="971"/>
      <c r="FOC49" s="971"/>
      <c r="FOD49" s="971"/>
      <c r="FOE49" s="971"/>
      <c r="FOF49" s="971"/>
      <c r="FOG49" s="971"/>
      <c r="FOH49" s="971"/>
      <c r="FOI49" s="971"/>
      <c r="FOJ49" s="971"/>
      <c r="FOK49" s="971"/>
      <c r="FOL49" s="971"/>
      <c r="FOM49" s="971"/>
      <c r="FON49" s="971"/>
      <c r="FOO49" s="971"/>
      <c r="FOP49" s="971"/>
      <c r="FOQ49" s="971"/>
      <c r="FOR49" s="971"/>
      <c r="FOS49" s="971"/>
      <c r="FOT49" s="971"/>
      <c r="FOU49" s="971"/>
      <c r="FOV49" s="971"/>
      <c r="FOW49" s="971"/>
      <c r="FOX49" s="971"/>
      <c r="FOY49" s="971"/>
      <c r="FOZ49" s="971"/>
      <c r="FPA49" s="971"/>
      <c r="FPB49" s="971"/>
      <c r="FPC49" s="971"/>
      <c r="FPD49" s="971"/>
      <c r="FPE49" s="971"/>
      <c r="FPF49" s="971"/>
      <c r="FPG49" s="971"/>
      <c r="FPH49" s="971"/>
      <c r="FPI49" s="971"/>
      <c r="FPJ49" s="971"/>
      <c r="FPK49" s="971"/>
      <c r="FPL49" s="971"/>
      <c r="FPM49" s="971"/>
      <c r="FPN49" s="971"/>
      <c r="FPO49" s="971"/>
      <c r="FPP49" s="971"/>
      <c r="FPQ49" s="971"/>
      <c r="FPR49" s="971"/>
      <c r="FPS49" s="971"/>
      <c r="FPT49" s="971"/>
      <c r="FPU49" s="971"/>
      <c r="FPV49" s="971"/>
      <c r="FPW49" s="971"/>
      <c r="FPX49" s="971"/>
      <c r="FPY49" s="971"/>
      <c r="FPZ49" s="971"/>
      <c r="FQA49" s="971"/>
      <c r="FQB49" s="971"/>
      <c r="FQC49" s="971"/>
      <c r="FQD49" s="971"/>
      <c r="FQE49" s="971"/>
      <c r="FQF49" s="971"/>
      <c r="FQG49" s="971"/>
      <c r="FQH49" s="971"/>
      <c r="FQI49" s="971"/>
      <c r="FQJ49" s="971"/>
      <c r="FQK49" s="971"/>
      <c r="FQL49" s="971"/>
      <c r="FQM49" s="971"/>
      <c r="FQN49" s="971"/>
      <c r="FQO49" s="971"/>
      <c r="FQP49" s="971"/>
      <c r="FQQ49" s="971"/>
      <c r="FQR49" s="971"/>
      <c r="FQS49" s="971"/>
      <c r="FQT49" s="971"/>
      <c r="FQU49" s="971"/>
      <c r="FQV49" s="971"/>
      <c r="FQW49" s="971"/>
      <c r="FQX49" s="971"/>
      <c r="FQY49" s="971"/>
      <c r="FQZ49" s="971"/>
      <c r="FRA49" s="971"/>
      <c r="FRB49" s="971"/>
      <c r="FRC49" s="971"/>
      <c r="FRD49" s="971"/>
      <c r="FRE49" s="971"/>
      <c r="FRF49" s="971"/>
      <c r="FRG49" s="971"/>
      <c r="FRH49" s="971"/>
      <c r="FRI49" s="971"/>
      <c r="FRJ49" s="971"/>
      <c r="FRK49" s="971"/>
      <c r="FRL49" s="971"/>
      <c r="FRM49" s="971"/>
      <c r="FRN49" s="971"/>
      <c r="FRO49" s="971"/>
      <c r="FRP49" s="971"/>
      <c r="FRQ49" s="971"/>
      <c r="FRR49" s="971"/>
      <c r="FRS49" s="971"/>
      <c r="FRT49" s="971"/>
      <c r="FRU49" s="971"/>
      <c r="FRV49" s="971"/>
      <c r="FRW49" s="971"/>
      <c r="FRX49" s="971"/>
      <c r="FRY49" s="971"/>
      <c r="FRZ49" s="971"/>
      <c r="FSA49" s="971"/>
      <c r="FSB49" s="971"/>
      <c r="FSC49" s="971"/>
      <c r="FSD49" s="971"/>
      <c r="FSE49" s="971"/>
      <c r="FSF49" s="971"/>
      <c r="FSG49" s="971"/>
      <c r="FSH49" s="971"/>
      <c r="FSI49" s="971"/>
      <c r="FSJ49" s="971"/>
      <c r="FSK49" s="971"/>
      <c r="FSL49" s="971"/>
      <c r="FSM49" s="971"/>
      <c r="FSN49" s="971"/>
      <c r="FSO49" s="971"/>
      <c r="FSP49" s="971"/>
      <c r="FSQ49" s="971"/>
      <c r="FSR49" s="971"/>
      <c r="FSS49" s="971"/>
      <c r="FST49" s="971"/>
      <c r="FSU49" s="971"/>
      <c r="FSV49" s="971"/>
      <c r="FSW49" s="971"/>
      <c r="FSX49" s="971"/>
      <c r="FSY49" s="971"/>
      <c r="FSZ49" s="971"/>
      <c r="FTA49" s="971"/>
      <c r="FTB49" s="971"/>
      <c r="FTC49" s="971"/>
      <c r="FTD49" s="971"/>
      <c r="FTE49" s="971"/>
      <c r="FTF49" s="971"/>
      <c r="FTG49" s="971"/>
      <c r="FTH49" s="971"/>
      <c r="FTI49" s="971"/>
      <c r="FTJ49" s="971"/>
      <c r="FTK49" s="971"/>
      <c r="FTL49" s="971"/>
      <c r="FTM49" s="971"/>
      <c r="FTN49" s="971"/>
      <c r="FTO49" s="971"/>
      <c r="FTP49" s="971"/>
      <c r="FTQ49" s="971"/>
      <c r="FTR49" s="971"/>
      <c r="FTS49" s="971"/>
      <c r="FTT49" s="971"/>
      <c r="FTU49" s="971"/>
      <c r="FTV49" s="971"/>
      <c r="FTW49" s="971"/>
      <c r="FTX49" s="971"/>
      <c r="FTY49" s="971"/>
      <c r="FTZ49" s="971"/>
      <c r="FUA49" s="971"/>
      <c r="FUB49" s="971"/>
      <c r="FUC49" s="971"/>
      <c r="FUD49" s="971"/>
      <c r="FUE49" s="971"/>
      <c r="FUF49" s="971"/>
      <c r="FUG49" s="971"/>
      <c r="FUH49" s="971"/>
      <c r="FUI49" s="971"/>
      <c r="FUJ49" s="971"/>
      <c r="FUK49" s="971"/>
      <c r="FUL49" s="971"/>
      <c r="FUM49" s="971"/>
      <c r="FUN49" s="971"/>
      <c r="FUO49" s="971"/>
      <c r="FUP49" s="971"/>
      <c r="FUQ49" s="971"/>
      <c r="FUR49" s="971"/>
      <c r="FUS49" s="971"/>
      <c r="FUT49" s="971"/>
      <c r="FUU49" s="971"/>
      <c r="FUV49" s="971"/>
      <c r="FUW49" s="971"/>
      <c r="FUX49" s="971"/>
      <c r="FUY49" s="971"/>
      <c r="FUZ49" s="971"/>
      <c r="FVA49" s="971"/>
      <c r="FVB49" s="971"/>
      <c r="FVC49" s="971"/>
      <c r="FVD49" s="971"/>
      <c r="FVE49" s="971"/>
      <c r="FVF49" s="971"/>
      <c r="FVG49" s="971"/>
      <c r="FVH49" s="971"/>
      <c r="FVI49" s="971"/>
      <c r="FVJ49" s="971"/>
      <c r="FVK49" s="971"/>
      <c r="FVL49" s="971"/>
      <c r="FVM49" s="971"/>
      <c r="FVN49" s="971"/>
      <c r="FVO49" s="971"/>
      <c r="FVP49" s="971"/>
      <c r="FVQ49" s="971"/>
      <c r="FVR49" s="971"/>
      <c r="FVS49" s="971"/>
      <c r="FVT49" s="971"/>
      <c r="FVU49" s="971"/>
      <c r="FVV49" s="971"/>
      <c r="FVW49" s="971"/>
      <c r="FVX49" s="971"/>
      <c r="FVY49" s="971"/>
      <c r="FVZ49" s="971"/>
      <c r="FWA49" s="971"/>
      <c r="FWB49" s="971"/>
      <c r="FWC49" s="971"/>
      <c r="FWD49" s="971"/>
      <c r="FWE49" s="971"/>
      <c r="FWF49" s="971"/>
      <c r="FWG49" s="971"/>
      <c r="FWH49" s="971"/>
      <c r="FWI49" s="971"/>
      <c r="FWJ49" s="971"/>
      <c r="FWK49" s="971"/>
      <c r="FWL49" s="971"/>
      <c r="FWM49" s="971"/>
      <c r="FWN49" s="971"/>
      <c r="FWO49" s="971"/>
      <c r="FWP49" s="971"/>
      <c r="FWQ49" s="971"/>
      <c r="FWR49" s="971"/>
      <c r="FWS49" s="971"/>
      <c r="FWT49" s="971"/>
      <c r="FWU49" s="971"/>
      <c r="FWV49" s="971"/>
      <c r="FWW49" s="971"/>
      <c r="FWX49" s="971"/>
      <c r="FWY49" s="971"/>
      <c r="FWZ49" s="971"/>
      <c r="FXA49" s="971"/>
      <c r="FXB49" s="971"/>
      <c r="FXC49" s="971"/>
      <c r="FXD49" s="971"/>
      <c r="FXE49" s="971"/>
      <c r="FXF49" s="971"/>
      <c r="FXG49" s="971"/>
      <c r="FXH49" s="971"/>
      <c r="FXI49" s="971"/>
      <c r="FXJ49" s="971"/>
      <c r="FXK49" s="971"/>
      <c r="FXL49" s="971"/>
      <c r="FXM49" s="971"/>
      <c r="FXN49" s="971"/>
      <c r="FXO49" s="971"/>
      <c r="FXP49" s="971"/>
      <c r="FXQ49" s="971"/>
      <c r="FXR49" s="971"/>
      <c r="FXS49" s="971"/>
      <c r="FXT49" s="971"/>
      <c r="FXU49" s="971"/>
      <c r="FXV49" s="971"/>
      <c r="FXW49" s="971"/>
      <c r="FXX49" s="971"/>
      <c r="FXY49" s="971"/>
      <c r="FXZ49" s="971"/>
      <c r="FYA49" s="971"/>
      <c r="FYB49" s="971"/>
      <c r="FYC49" s="971"/>
      <c r="FYD49" s="971"/>
      <c r="FYE49" s="971"/>
      <c r="FYF49" s="971"/>
      <c r="FYG49" s="971"/>
      <c r="FYH49" s="971"/>
      <c r="FYI49" s="971"/>
      <c r="FYJ49" s="971"/>
      <c r="FYK49" s="971"/>
      <c r="FYL49" s="971"/>
      <c r="FYM49" s="971"/>
      <c r="FYN49" s="971"/>
      <c r="FYO49" s="971"/>
      <c r="FYP49" s="971"/>
      <c r="FYQ49" s="971"/>
      <c r="FYR49" s="971"/>
      <c r="FYS49" s="971"/>
      <c r="FYT49" s="971"/>
      <c r="FYU49" s="971"/>
      <c r="FYV49" s="971"/>
      <c r="FYW49" s="971"/>
      <c r="FYX49" s="971"/>
      <c r="FYY49" s="971"/>
      <c r="FYZ49" s="971"/>
      <c r="FZA49" s="971"/>
      <c r="FZB49" s="971"/>
      <c r="FZC49" s="971"/>
      <c r="FZD49" s="971"/>
      <c r="FZE49" s="971"/>
      <c r="FZF49" s="971"/>
      <c r="FZG49" s="971"/>
      <c r="FZH49" s="971"/>
      <c r="FZI49" s="971"/>
      <c r="FZJ49" s="971"/>
      <c r="FZK49" s="971"/>
      <c r="FZL49" s="971"/>
      <c r="FZM49" s="971"/>
      <c r="FZN49" s="971"/>
      <c r="FZO49" s="971"/>
      <c r="FZP49" s="971"/>
      <c r="FZQ49" s="971"/>
      <c r="FZR49" s="971"/>
      <c r="FZS49" s="971"/>
      <c r="FZT49" s="971"/>
      <c r="FZU49" s="971"/>
      <c r="FZV49" s="971"/>
      <c r="FZW49" s="971"/>
      <c r="FZX49" s="971"/>
      <c r="FZY49" s="971"/>
      <c r="FZZ49" s="971"/>
      <c r="GAA49" s="971"/>
      <c r="GAB49" s="971"/>
      <c r="GAC49" s="971"/>
      <c r="GAD49" s="971"/>
      <c r="GAE49" s="971"/>
      <c r="GAF49" s="971"/>
      <c r="GAG49" s="971"/>
      <c r="GAH49" s="971"/>
      <c r="GAI49" s="971"/>
      <c r="GAJ49" s="971"/>
      <c r="GAK49" s="971"/>
      <c r="GAL49" s="971"/>
      <c r="GAM49" s="971"/>
      <c r="GAN49" s="971"/>
      <c r="GAO49" s="971"/>
      <c r="GAP49" s="971"/>
      <c r="GAQ49" s="971"/>
      <c r="GAR49" s="971"/>
      <c r="GAS49" s="971"/>
      <c r="GAT49" s="971"/>
      <c r="GAU49" s="971"/>
      <c r="GAV49" s="971"/>
      <c r="GAW49" s="971"/>
      <c r="GAX49" s="971"/>
      <c r="GAY49" s="971"/>
      <c r="GAZ49" s="971"/>
      <c r="GBA49" s="971"/>
      <c r="GBB49" s="971"/>
      <c r="GBC49" s="971"/>
      <c r="GBD49" s="971"/>
      <c r="GBE49" s="971"/>
      <c r="GBF49" s="971"/>
      <c r="GBG49" s="971"/>
      <c r="GBH49" s="971"/>
      <c r="GBI49" s="971"/>
      <c r="GBJ49" s="971"/>
      <c r="GBK49" s="971"/>
      <c r="GBL49" s="971"/>
      <c r="GBM49" s="971"/>
      <c r="GBN49" s="971"/>
      <c r="GBO49" s="971"/>
      <c r="GBP49" s="971"/>
      <c r="GBQ49" s="971"/>
      <c r="GBR49" s="971"/>
      <c r="GBS49" s="971"/>
      <c r="GBT49" s="971"/>
      <c r="GBU49" s="971"/>
      <c r="GBV49" s="971"/>
      <c r="GBW49" s="971"/>
      <c r="GBX49" s="971"/>
      <c r="GBY49" s="971"/>
      <c r="GBZ49" s="971"/>
      <c r="GCA49" s="971"/>
      <c r="GCB49" s="971"/>
      <c r="GCC49" s="971"/>
      <c r="GCD49" s="971"/>
      <c r="GCE49" s="971"/>
      <c r="GCF49" s="971"/>
      <c r="GCG49" s="971"/>
      <c r="GCH49" s="971"/>
      <c r="GCI49" s="971"/>
      <c r="GCJ49" s="971"/>
      <c r="GCK49" s="971"/>
      <c r="GCL49" s="971"/>
      <c r="GCM49" s="971"/>
      <c r="GCN49" s="971"/>
      <c r="GCO49" s="971"/>
      <c r="GCP49" s="971"/>
      <c r="GCQ49" s="971"/>
      <c r="GCR49" s="971"/>
      <c r="GCS49" s="971"/>
      <c r="GCT49" s="971"/>
      <c r="GCU49" s="971"/>
      <c r="GCV49" s="971"/>
      <c r="GCW49" s="971"/>
      <c r="GCX49" s="971"/>
      <c r="GCY49" s="971"/>
      <c r="GCZ49" s="971"/>
      <c r="GDA49" s="971"/>
      <c r="GDB49" s="971"/>
      <c r="GDC49" s="971"/>
      <c r="GDD49" s="971"/>
      <c r="GDE49" s="971"/>
      <c r="GDF49" s="971"/>
      <c r="GDG49" s="971"/>
      <c r="GDH49" s="971"/>
      <c r="GDI49" s="971"/>
      <c r="GDJ49" s="971"/>
      <c r="GDK49" s="971"/>
      <c r="GDL49" s="971"/>
      <c r="GDM49" s="971"/>
      <c r="GDN49" s="971"/>
      <c r="GDO49" s="971"/>
      <c r="GDP49" s="971"/>
      <c r="GDQ49" s="971"/>
      <c r="GDR49" s="971"/>
      <c r="GDS49" s="971"/>
      <c r="GDT49" s="971"/>
      <c r="GDU49" s="971"/>
      <c r="GDV49" s="971"/>
      <c r="GDW49" s="971"/>
      <c r="GDX49" s="971"/>
      <c r="GDY49" s="971"/>
      <c r="GDZ49" s="971"/>
      <c r="GEA49" s="971"/>
      <c r="GEB49" s="971"/>
      <c r="GEC49" s="971"/>
      <c r="GED49" s="971"/>
      <c r="GEE49" s="971"/>
      <c r="GEF49" s="971"/>
      <c r="GEG49" s="971"/>
      <c r="GEH49" s="971"/>
      <c r="GEI49" s="971"/>
      <c r="GEJ49" s="971"/>
      <c r="GEK49" s="971"/>
      <c r="GEL49" s="971"/>
      <c r="GEM49" s="971"/>
      <c r="GEN49" s="971"/>
      <c r="GEO49" s="971"/>
      <c r="GEP49" s="971"/>
      <c r="GEQ49" s="971"/>
      <c r="GER49" s="971"/>
      <c r="GES49" s="971"/>
      <c r="GET49" s="971"/>
      <c r="GEU49" s="971"/>
      <c r="GEV49" s="971"/>
      <c r="GEW49" s="971"/>
      <c r="GEX49" s="971"/>
      <c r="GEY49" s="971"/>
      <c r="GEZ49" s="971"/>
      <c r="GFA49" s="971"/>
      <c r="GFB49" s="971"/>
      <c r="GFC49" s="971"/>
      <c r="GFD49" s="971"/>
      <c r="GFE49" s="971"/>
      <c r="GFF49" s="971"/>
      <c r="GFG49" s="971"/>
      <c r="GFH49" s="971"/>
      <c r="GFI49" s="971"/>
      <c r="GFJ49" s="971"/>
      <c r="GFK49" s="971"/>
      <c r="GFL49" s="971"/>
      <c r="GFM49" s="971"/>
      <c r="GFN49" s="971"/>
      <c r="GFO49" s="971"/>
      <c r="GFP49" s="971"/>
      <c r="GFQ49" s="971"/>
      <c r="GFR49" s="971"/>
      <c r="GFS49" s="971"/>
      <c r="GFT49" s="971"/>
      <c r="GFU49" s="971"/>
      <c r="GFV49" s="971"/>
      <c r="GFW49" s="971"/>
      <c r="GFX49" s="971"/>
      <c r="GFY49" s="971"/>
      <c r="GFZ49" s="971"/>
      <c r="GGA49" s="971"/>
      <c r="GGB49" s="971"/>
      <c r="GGC49" s="971"/>
      <c r="GGD49" s="971"/>
      <c r="GGE49" s="971"/>
      <c r="GGF49" s="971"/>
      <c r="GGG49" s="971"/>
      <c r="GGH49" s="971"/>
      <c r="GGI49" s="971"/>
      <c r="GGJ49" s="971"/>
      <c r="GGK49" s="971"/>
      <c r="GGL49" s="971"/>
      <c r="GGM49" s="971"/>
      <c r="GGN49" s="971"/>
      <c r="GGO49" s="971"/>
      <c r="GGP49" s="971"/>
      <c r="GGQ49" s="971"/>
      <c r="GGR49" s="971"/>
      <c r="GGS49" s="971"/>
      <c r="GGT49" s="971"/>
      <c r="GGU49" s="971"/>
      <c r="GGV49" s="971"/>
      <c r="GGW49" s="971"/>
      <c r="GGX49" s="971"/>
      <c r="GGY49" s="971"/>
      <c r="GGZ49" s="971"/>
      <c r="GHA49" s="971"/>
      <c r="GHB49" s="971"/>
      <c r="GHC49" s="971"/>
      <c r="GHD49" s="971"/>
      <c r="GHE49" s="971"/>
      <c r="GHF49" s="971"/>
      <c r="GHG49" s="971"/>
      <c r="GHH49" s="971"/>
      <c r="GHI49" s="971"/>
      <c r="GHJ49" s="971"/>
      <c r="GHK49" s="971"/>
      <c r="GHL49" s="971"/>
      <c r="GHM49" s="971"/>
      <c r="GHN49" s="971"/>
      <c r="GHO49" s="971"/>
      <c r="GHP49" s="971"/>
      <c r="GHQ49" s="971"/>
      <c r="GHR49" s="971"/>
      <c r="GHS49" s="971"/>
      <c r="GHT49" s="971"/>
      <c r="GHU49" s="971"/>
      <c r="GHV49" s="971"/>
      <c r="GHW49" s="971"/>
      <c r="GHX49" s="971"/>
      <c r="GHY49" s="971"/>
      <c r="GHZ49" s="971"/>
      <c r="GIA49" s="971"/>
      <c r="GIB49" s="971"/>
      <c r="GIC49" s="971"/>
      <c r="GID49" s="971"/>
      <c r="GIE49" s="971"/>
      <c r="GIF49" s="971"/>
      <c r="GIG49" s="971"/>
      <c r="GIH49" s="971"/>
      <c r="GII49" s="971"/>
      <c r="GIJ49" s="971"/>
      <c r="GIK49" s="971"/>
      <c r="GIL49" s="971"/>
      <c r="GIM49" s="971"/>
      <c r="GIN49" s="971"/>
      <c r="GIO49" s="971"/>
      <c r="GIP49" s="971"/>
      <c r="GIQ49" s="971"/>
      <c r="GIR49" s="971"/>
      <c r="GIS49" s="971"/>
      <c r="GIT49" s="971"/>
      <c r="GIU49" s="971"/>
      <c r="GIV49" s="971"/>
      <c r="GIW49" s="971"/>
      <c r="GIX49" s="971"/>
      <c r="GIY49" s="971"/>
      <c r="GIZ49" s="971"/>
      <c r="GJA49" s="971"/>
      <c r="GJB49" s="971"/>
      <c r="GJC49" s="971"/>
      <c r="GJD49" s="971"/>
      <c r="GJE49" s="971"/>
      <c r="GJF49" s="971"/>
      <c r="GJG49" s="971"/>
      <c r="GJH49" s="971"/>
      <c r="GJI49" s="971"/>
      <c r="GJJ49" s="971"/>
      <c r="GJK49" s="971"/>
      <c r="GJL49" s="971"/>
      <c r="GJM49" s="971"/>
      <c r="GJN49" s="971"/>
      <c r="GJO49" s="971"/>
      <c r="GJP49" s="971"/>
      <c r="GJQ49" s="971"/>
      <c r="GJR49" s="971"/>
      <c r="GJS49" s="971"/>
      <c r="GJT49" s="971"/>
      <c r="GJU49" s="971"/>
      <c r="GJV49" s="971"/>
      <c r="GJW49" s="971"/>
      <c r="GJX49" s="971"/>
      <c r="GJY49" s="971"/>
      <c r="GJZ49" s="971"/>
      <c r="GKA49" s="971"/>
      <c r="GKB49" s="971"/>
      <c r="GKC49" s="971"/>
      <c r="GKD49" s="971"/>
      <c r="GKE49" s="971"/>
      <c r="GKF49" s="971"/>
      <c r="GKG49" s="971"/>
      <c r="GKH49" s="971"/>
      <c r="GKI49" s="971"/>
      <c r="GKJ49" s="971"/>
      <c r="GKK49" s="971"/>
      <c r="GKL49" s="971"/>
      <c r="GKM49" s="971"/>
      <c r="GKN49" s="971"/>
      <c r="GKO49" s="971"/>
      <c r="GKP49" s="971"/>
      <c r="GKQ49" s="971"/>
      <c r="GKR49" s="971"/>
      <c r="GKS49" s="971"/>
      <c r="GKT49" s="971"/>
      <c r="GKU49" s="971"/>
      <c r="GKV49" s="971"/>
      <c r="GKW49" s="971"/>
      <c r="GKX49" s="971"/>
      <c r="GKY49" s="971"/>
      <c r="GKZ49" s="971"/>
      <c r="GLA49" s="971"/>
      <c r="GLB49" s="971"/>
      <c r="GLC49" s="971"/>
      <c r="GLD49" s="971"/>
      <c r="GLE49" s="971"/>
      <c r="GLF49" s="971"/>
      <c r="GLG49" s="971"/>
      <c r="GLH49" s="971"/>
      <c r="GLI49" s="971"/>
      <c r="GLJ49" s="971"/>
      <c r="GLK49" s="971"/>
      <c r="GLL49" s="971"/>
      <c r="GLM49" s="971"/>
      <c r="GLN49" s="971"/>
      <c r="GLO49" s="971"/>
      <c r="GLP49" s="971"/>
      <c r="GLQ49" s="971"/>
      <c r="GLR49" s="971"/>
      <c r="GLS49" s="971"/>
      <c r="GLT49" s="971"/>
      <c r="GLU49" s="971"/>
      <c r="GLV49" s="971"/>
      <c r="GLW49" s="971"/>
      <c r="GLX49" s="971"/>
      <c r="GLY49" s="971"/>
      <c r="GLZ49" s="971"/>
      <c r="GMA49" s="971"/>
      <c r="GMB49" s="971"/>
      <c r="GMC49" s="971"/>
      <c r="GMD49" s="971"/>
      <c r="GME49" s="971"/>
      <c r="GMF49" s="971"/>
      <c r="GMG49" s="971"/>
      <c r="GMH49" s="971"/>
      <c r="GMI49" s="971"/>
      <c r="GMJ49" s="971"/>
      <c r="GMK49" s="971"/>
      <c r="GML49" s="971"/>
      <c r="GMM49" s="971"/>
      <c r="GMN49" s="971"/>
      <c r="GMO49" s="971"/>
      <c r="GMP49" s="971"/>
      <c r="GMQ49" s="971"/>
      <c r="GMR49" s="971"/>
      <c r="GMS49" s="971"/>
      <c r="GMT49" s="971"/>
      <c r="GMU49" s="971"/>
      <c r="GMV49" s="971"/>
      <c r="GMW49" s="971"/>
      <c r="GMX49" s="971"/>
      <c r="GMY49" s="971"/>
      <c r="GMZ49" s="971"/>
      <c r="GNA49" s="971"/>
      <c r="GNB49" s="971"/>
      <c r="GNC49" s="971"/>
      <c r="GND49" s="971"/>
      <c r="GNE49" s="971"/>
      <c r="GNF49" s="971"/>
      <c r="GNG49" s="971"/>
      <c r="GNH49" s="971"/>
      <c r="GNI49" s="971"/>
      <c r="GNJ49" s="971"/>
      <c r="GNK49" s="971"/>
      <c r="GNL49" s="971"/>
      <c r="GNM49" s="971"/>
      <c r="GNN49" s="971"/>
      <c r="GNO49" s="971"/>
      <c r="GNP49" s="971"/>
      <c r="GNQ49" s="971"/>
      <c r="GNR49" s="971"/>
      <c r="GNS49" s="971"/>
      <c r="GNT49" s="971"/>
      <c r="GNU49" s="971"/>
      <c r="GNV49" s="971"/>
      <c r="GNW49" s="971"/>
      <c r="GNX49" s="971"/>
      <c r="GNY49" s="971"/>
      <c r="GNZ49" s="971"/>
      <c r="GOA49" s="971"/>
      <c r="GOB49" s="971"/>
      <c r="GOC49" s="971"/>
      <c r="GOD49" s="971"/>
      <c r="GOE49" s="971"/>
      <c r="GOF49" s="971"/>
      <c r="GOG49" s="971"/>
      <c r="GOH49" s="971"/>
      <c r="GOI49" s="971"/>
      <c r="GOJ49" s="971"/>
      <c r="GOK49" s="971"/>
      <c r="GOL49" s="971"/>
      <c r="GOM49" s="971"/>
      <c r="GON49" s="971"/>
      <c r="GOO49" s="971"/>
      <c r="GOP49" s="971"/>
      <c r="GOQ49" s="971"/>
      <c r="GOR49" s="971"/>
      <c r="GOS49" s="971"/>
      <c r="GOT49" s="971"/>
      <c r="GOU49" s="971"/>
      <c r="GOV49" s="971"/>
      <c r="GOW49" s="971"/>
      <c r="GOX49" s="971"/>
      <c r="GOY49" s="971"/>
      <c r="GOZ49" s="971"/>
      <c r="GPA49" s="971"/>
      <c r="GPB49" s="971"/>
      <c r="GPC49" s="971"/>
      <c r="GPD49" s="971"/>
      <c r="GPE49" s="971"/>
      <c r="GPF49" s="971"/>
      <c r="GPG49" s="971"/>
      <c r="GPH49" s="971"/>
      <c r="GPI49" s="971"/>
      <c r="GPJ49" s="971"/>
      <c r="GPK49" s="971"/>
      <c r="GPL49" s="971"/>
      <c r="GPM49" s="971"/>
      <c r="GPN49" s="971"/>
      <c r="GPO49" s="971"/>
      <c r="GPP49" s="971"/>
      <c r="GPQ49" s="971"/>
      <c r="GPR49" s="971"/>
      <c r="GPS49" s="971"/>
      <c r="GPT49" s="971"/>
      <c r="GPU49" s="971"/>
      <c r="GPV49" s="971"/>
      <c r="GPW49" s="971"/>
      <c r="GPX49" s="971"/>
      <c r="GPY49" s="971"/>
      <c r="GPZ49" s="971"/>
      <c r="GQA49" s="971"/>
      <c r="GQB49" s="971"/>
      <c r="GQC49" s="971"/>
      <c r="GQD49" s="971"/>
      <c r="GQE49" s="971"/>
      <c r="GQF49" s="971"/>
      <c r="GQG49" s="971"/>
      <c r="GQH49" s="971"/>
      <c r="GQI49" s="971"/>
      <c r="GQJ49" s="971"/>
      <c r="GQK49" s="971"/>
      <c r="GQL49" s="971"/>
      <c r="GQM49" s="971"/>
      <c r="GQN49" s="971"/>
      <c r="GQO49" s="971"/>
      <c r="GQP49" s="971"/>
      <c r="GQQ49" s="971"/>
      <c r="GQR49" s="971"/>
      <c r="GQS49" s="971"/>
      <c r="GQT49" s="971"/>
      <c r="GQU49" s="971"/>
      <c r="GQV49" s="971"/>
      <c r="GQW49" s="971"/>
      <c r="GQX49" s="971"/>
      <c r="GQY49" s="971"/>
      <c r="GQZ49" s="971"/>
      <c r="GRA49" s="971"/>
      <c r="GRB49" s="971"/>
      <c r="GRC49" s="971"/>
      <c r="GRD49" s="971"/>
      <c r="GRE49" s="971"/>
      <c r="GRF49" s="971"/>
      <c r="GRG49" s="971"/>
      <c r="GRH49" s="971"/>
      <c r="GRI49" s="971"/>
      <c r="GRJ49" s="971"/>
      <c r="GRK49" s="971"/>
      <c r="GRL49" s="971"/>
      <c r="GRM49" s="971"/>
      <c r="GRN49" s="971"/>
      <c r="GRO49" s="971"/>
      <c r="GRP49" s="971"/>
      <c r="GRQ49" s="971"/>
      <c r="GRR49" s="971"/>
      <c r="GRS49" s="971"/>
      <c r="GRT49" s="971"/>
      <c r="GRU49" s="971"/>
      <c r="GRV49" s="971"/>
      <c r="GRW49" s="971"/>
      <c r="GRX49" s="971"/>
      <c r="GRY49" s="971"/>
      <c r="GRZ49" s="971"/>
      <c r="GSA49" s="971"/>
      <c r="GSB49" s="971"/>
      <c r="GSC49" s="971"/>
      <c r="GSD49" s="971"/>
      <c r="GSE49" s="971"/>
      <c r="GSF49" s="971"/>
      <c r="GSG49" s="971"/>
      <c r="GSH49" s="971"/>
      <c r="GSI49" s="971"/>
      <c r="GSJ49" s="971"/>
      <c r="GSK49" s="971"/>
      <c r="GSL49" s="971"/>
      <c r="GSM49" s="971"/>
      <c r="GSN49" s="971"/>
      <c r="GSO49" s="971"/>
      <c r="GSP49" s="971"/>
      <c r="GSQ49" s="971"/>
      <c r="GSR49" s="971"/>
      <c r="GSS49" s="971"/>
      <c r="GST49" s="971"/>
      <c r="GSU49" s="971"/>
      <c r="GSV49" s="971"/>
      <c r="GSW49" s="971"/>
      <c r="GSX49" s="971"/>
      <c r="GSY49" s="971"/>
      <c r="GSZ49" s="971"/>
      <c r="GTA49" s="971"/>
      <c r="GTB49" s="971"/>
      <c r="GTC49" s="971"/>
      <c r="GTD49" s="971"/>
      <c r="GTE49" s="971"/>
      <c r="GTF49" s="971"/>
      <c r="GTG49" s="971"/>
      <c r="GTH49" s="971"/>
      <c r="GTI49" s="971"/>
      <c r="GTJ49" s="971"/>
      <c r="GTK49" s="971"/>
      <c r="GTL49" s="971"/>
      <c r="GTM49" s="971"/>
      <c r="GTN49" s="971"/>
      <c r="GTO49" s="971"/>
      <c r="GTP49" s="971"/>
      <c r="GTQ49" s="971"/>
      <c r="GTR49" s="971"/>
      <c r="GTS49" s="971"/>
      <c r="GTT49" s="971"/>
      <c r="GTU49" s="971"/>
      <c r="GTV49" s="971"/>
      <c r="GTW49" s="971"/>
      <c r="GTX49" s="971"/>
      <c r="GTY49" s="971"/>
      <c r="GTZ49" s="971"/>
      <c r="GUA49" s="971"/>
      <c r="GUB49" s="971"/>
      <c r="GUC49" s="971"/>
      <c r="GUD49" s="971"/>
      <c r="GUE49" s="971"/>
      <c r="GUF49" s="971"/>
      <c r="GUG49" s="971"/>
      <c r="GUH49" s="971"/>
      <c r="GUI49" s="971"/>
      <c r="GUJ49" s="971"/>
      <c r="GUK49" s="971"/>
      <c r="GUL49" s="971"/>
      <c r="GUM49" s="971"/>
      <c r="GUN49" s="971"/>
      <c r="GUO49" s="971"/>
      <c r="GUP49" s="971"/>
      <c r="GUQ49" s="971"/>
      <c r="GUR49" s="971"/>
      <c r="GUS49" s="971"/>
      <c r="GUT49" s="971"/>
      <c r="GUU49" s="971"/>
      <c r="GUV49" s="971"/>
      <c r="GUW49" s="971"/>
      <c r="GUX49" s="971"/>
      <c r="GUY49" s="971"/>
      <c r="GUZ49" s="971"/>
      <c r="GVA49" s="971"/>
      <c r="GVB49" s="971"/>
      <c r="GVC49" s="971"/>
      <c r="GVD49" s="971"/>
      <c r="GVE49" s="971"/>
      <c r="GVF49" s="971"/>
      <c r="GVG49" s="971"/>
      <c r="GVH49" s="971"/>
      <c r="GVI49" s="971"/>
      <c r="GVJ49" s="971"/>
      <c r="GVK49" s="971"/>
      <c r="GVL49" s="971"/>
      <c r="GVM49" s="971"/>
      <c r="GVN49" s="971"/>
      <c r="GVO49" s="971"/>
      <c r="GVP49" s="971"/>
      <c r="GVQ49" s="971"/>
      <c r="GVR49" s="971"/>
      <c r="GVS49" s="971"/>
      <c r="GVT49" s="971"/>
      <c r="GVU49" s="971"/>
      <c r="GVV49" s="971"/>
      <c r="GVW49" s="971"/>
      <c r="GVX49" s="971"/>
      <c r="GVY49" s="971"/>
      <c r="GVZ49" s="971"/>
      <c r="GWA49" s="971"/>
      <c r="GWB49" s="971"/>
      <c r="GWC49" s="971"/>
      <c r="GWD49" s="971"/>
      <c r="GWE49" s="971"/>
      <c r="GWF49" s="971"/>
      <c r="GWG49" s="971"/>
      <c r="GWH49" s="971"/>
      <c r="GWI49" s="971"/>
      <c r="GWJ49" s="971"/>
      <c r="GWK49" s="971"/>
      <c r="GWL49" s="971"/>
      <c r="GWM49" s="971"/>
      <c r="GWN49" s="971"/>
      <c r="GWO49" s="971"/>
      <c r="GWP49" s="971"/>
      <c r="GWQ49" s="971"/>
      <c r="GWR49" s="971"/>
      <c r="GWS49" s="971"/>
      <c r="GWT49" s="971"/>
      <c r="GWU49" s="971"/>
      <c r="GWV49" s="971"/>
      <c r="GWW49" s="971"/>
      <c r="GWX49" s="971"/>
      <c r="GWY49" s="971"/>
      <c r="GWZ49" s="971"/>
      <c r="GXA49" s="971"/>
      <c r="GXB49" s="971"/>
      <c r="GXC49" s="971"/>
      <c r="GXD49" s="971"/>
      <c r="GXE49" s="971"/>
      <c r="GXF49" s="971"/>
      <c r="GXG49" s="971"/>
      <c r="GXH49" s="971"/>
      <c r="GXI49" s="971"/>
      <c r="GXJ49" s="971"/>
      <c r="GXK49" s="971"/>
      <c r="GXL49" s="971"/>
      <c r="GXM49" s="971"/>
      <c r="GXN49" s="971"/>
      <c r="GXO49" s="971"/>
      <c r="GXP49" s="971"/>
      <c r="GXQ49" s="971"/>
      <c r="GXR49" s="971"/>
      <c r="GXS49" s="971"/>
      <c r="GXT49" s="971"/>
      <c r="GXU49" s="971"/>
      <c r="GXV49" s="971"/>
      <c r="GXW49" s="971"/>
      <c r="GXX49" s="971"/>
      <c r="GXY49" s="971"/>
      <c r="GXZ49" s="971"/>
      <c r="GYA49" s="971"/>
      <c r="GYB49" s="971"/>
      <c r="GYC49" s="971"/>
      <c r="GYD49" s="971"/>
      <c r="GYE49" s="971"/>
      <c r="GYF49" s="971"/>
      <c r="GYG49" s="971"/>
      <c r="GYH49" s="971"/>
      <c r="GYI49" s="971"/>
      <c r="GYJ49" s="971"/>
      <c r="GYK49" s="971"/>
      <c r="GYL49" s="971"/>
      <c r="GYM49" s="971"/>
      <c r="GYN49" s="971"/>
      <c r="GYO49" s="971"/>
      <c r="GYP49" s="971"/>
      <c r="GYQ49" s="971"/>
      <c r="GYR49" s="971"/>
      <c r="GYS49" s="971"/>
      <c r="GYT49" s="971"/>
      <c r="GYU49" s="971"/>
      <c r="GYV49" s="971"/>
      <c r="GYW49" s="971"/>
      <c r="GYX49" s="971"/>
      <c r="GYY49" s="971"/>
      <c r="GYZ49" s="971"/>
      <c r="GZA49" s="971"/>
      <c r="GZB49" s="971"/>
      <c r="GZC49" s="971"/>
      <c r="GZD49" s="971"/>
      <c r="GZE49" s="971"/>
      <c r="GZF49" s="971"/>
      <c r="GZG49" s="971"/>
      <c r="GZH49" s="971"/>
      <c r="GZI49" s="971"/>
      <c r="GZJ49" s="971"/>
      <c r="GZK49" s="971"/>
      <c r="GZL49" s="971"/>
      <c r="GZM49" s="971"/>
      <c r="GZN49" s="971"/>
      <c r="GZO49" s="971"/>
      <c r="GZP49" s="971"/>
      <c r="GZQ49" s="971"/>
      <c r="GZR49" s="971"/>
      <c r="GZS49" s="971"/>
      <c r="GZT49" s="971"/>
      <c r="GZU49" s="971"/>
      <c r="GZV49" s="971"/>
      <c r="GZW49" s="971"/>
      <c r="GZX49" s="971"/>
      <c r="GZY49" s="971"/>
      <c r="GZZ49" s="971"/>
      <c r="HAA49" s="971"/>
      <c r="HAB49" s="971"/>
      <c r="HAC49" s="971"/>
      <c r="HAD49" s="971"/>
      <c r="HAE49" s="971"/>
      <c r="HAF49" s="971"/>
      <c r="HAG49" s="971"/>
      <c r="HAH49" s="971"/>
      <c r="HAI49" s="971"/>
      <c r="HAJ49" s="971"/>
      <c r="HAK49" s="971"/>
      <c r="HAL49" s="971"/>
      <c r="HAM49" s="971"/>
      <c r="HAN49" s="971"/>
      <c r="HAO49" s="971"/>
      <c r="HAP49" s="971"/>
      <c r="HAQ49" s="971"/>
      <c r="HAR49" s="971"/>
      <c r="HAS49" s="971"/>
      <c r="HAT49" s="971"/>
      <c r="HAU49" s="971"/>
      <c r="HAV49" s="971"/>
      <c r="HAW49" s="971"/>
      <c r="HAX49" s="971"/>
      <c r="HAY49" s="971"/>
      <c r="HAZ49" s="971"/>
      <c r="HBA49" s="971"/>
      <c r="HBB49" s="971"/>
      <c r="HBC49" s="971"/>
      <c r="HBD49" s="971"/>
      <c r="HBE49" s="971"/>
      <c r="HBF49" s="971"/>
      <c r="HBG49" s="971"/>
      <c r="HBH49" s="971"/>
      <c r="HBI49" s="971"/>
      <c r="HBJ49" s="971"/>
      <c r="HBK49" s="971"/>
      <c r="HBL49" s="971"/>
      <c r="HBM49" s="971"/>
      <c r="HBN49" s="971"/>
      <c r="HBO49" s="971"/>
      <c r="HBP49" s="971"/>
      <c r="HBQ49" s="971"/>
      <c r="HBR49" s="971"/>
      <c r="HBS49" s="971"/>
      <c r="HBT49" s="971"/>
      <c r="HBU49" s="971"/>
      <c r="HBV49" s="971"/>
      <c r="HBW49" s="971"/>
      <c r="HBX49" s="971"/>
      <c r="HBY49" s="971"/>
      <c r="HBZ49" s="971"/>
      <c r="HCA49" s="971"/>
      <c r="HCB49" s="971"/>
      <c r="HCC49" s="971"/>
      <c r="HCD49" s="971"/>
      <c r="HCE49" s="971"/>
      <c r="HCF49" s="971"/>
      <c r="HCG49" s="971"/>
      <c r="HCH49" s="971"/>
      <c r="HCI49" s="971"/>
      <c r="HCJ49" s="971"/>
      <c r="HCK49" s="971"/>
      <c r="HCL49" s="971"/>
      <c r="HCM49" s="971"/>
      <c r="HCN49" s="971"/>
      <c r="HCO49" s="971"/>
      <c r="HCP49" s="971"/>
      <c r="HCQ49" s="971"/>
      <c r="HCR49" s="971"/>
      <c r="HCS49" s="971"/>
      <c r="HCT49" s="971"/>
      <c r="HCU49" s="971"/>
      <c r="HCV49" s="971"/>
      <c r="HCW49" s="971"/>
      <c r="HCX49" s="971"/>
      <c r="HCY49" s="971"/>
      <c r="HCZ49" s="971"/>
      <c r="HDA49" s="971"/>
      <c r="HDB49" s="971"/>
      <c r="HDC49" s="971"/>
      <c r="HDD49" s="971"/>
      <c r="HDE49" s="971"/>
      <c r="HDF49" s="971"/>
      <c r="HDG49" s="971"/>
      <c r="HDH49" s="971"/>
      <c r="HDI49" s="971"/>
      <c r="HDJ49" s="971"/>
      <c r="HDK49" s="971"/>
      <c r="HDL49" s="971"/>
      <c r="HDM49" s="971"/>
      <c r="HDN49" s="971"/>
      <c r="HDO49" s="971"/>
      <c r="HDP49" s="971"/>
      <c r="HDQ49" s="971"/>
      <c r="HDR49" s="971"/>
      <c r="HDS49" s="971"/>
      <c r="HDT49" s="971"/>
      <c r="HDU49" s="971"/>
      <c r="HDV49" s="971"/>
      <c r="HDW49" s="971"/>
      <c r="HDX49" s="971"/>
      <c r="HDY49" s="971"/>
      <c r="HDZ49" s="971"/>
      <c r="HEA49" s="971"/>
      <c r="HEB49" s="971"/>
      <c r="HEC49" s="971"/>
      <c r="HED49" s="971"/>
      <c r="HEE49" s="971"/>
      <c r="HEF49" s="971"/>
      <c r="HEG49" s="971"/>
      <c r="HEH49" s="971"/>
      <c r="HEI49" s="971"/>
      <c r="HEJ49" s="971"/>
      <c r="HEK49" s="971"/>
      <c r="HEL49" s="971"/>
      <c r="HEM49" s="971"/>
      <c r="HEN49" s="971"/>
      <c r="HEO49" s="971"/>
      <c r="HEP49" s="971"/>
      <c r="HEQ49" s="971"/>
      <c r="HER49" s="971"/>
      <c r="HES49" s="971"/>
      <c r="HET49" s="971"/>
      <c r="HEU49" s="971"/>
      <c r="HEV49" s="971"/>
      <c r="HEW49" s="971"/>
      <c r="HEX49" s="971"/>
      <c r="HEY49" s="971"/>
      <c r="HEZ49" s="971"/>
      <c r="HFA49" s="971"/>
      <c r="HFB49" s="971"/>
      <c r="HFC49" s="971"/>
      <c r="HFD49" s="971"/>
      <c r="HFE49" s="971"/>
      <c r="HFF49" s="971"/>
      <c r="HFG49" s="971"/>
      <c r="HFH49" s="971"/>
      <c r="HFI49" s="971"/>
      <c r="HFJ49" s="971"/>
      <c r="HFK49" s="971"/>
      <c r="HFL49" s="971"/>
      <c r="HFM49" s="971"/>
      <c r="HFN49" s="971"/>
      <c r="HFO49" s="971"/>
      <c r="HFP49" s="971"/>
      <c r="HFQ49" s="971"/>
      <c r="HFR49" s="971"/>
      <c r="HFS49" s="971"/>
      <c r="HFT49" s="971"/>
      <c r="HFU49" s="971"/>
      <c r="HFV49" s="971"/>
      <c r="HFW49" s="971"/>
      <c r="HFX49" s="971"/>
      <c r="HFY49" s="971"/>
      <c r="HFZ49" s="971"/>
      <c r="HGA49" s="971"/>
      <c r="HGB49" s="971"/>
      <c r="HGC49" s="971"/>
      <c r="HGD49" s="971"/>
      <c r="HGE49" s="971"/>
      <c r="HGF49" s="971"/>
      <c r="HGG49" s="971"/>
      <c r="HGH49" s="971"/>
      <c r="HGI49" s="971"/>
      <c r="HGJ49" s="971"/>
      <c r="HGK49" s="971"/>
      <c r="HGL49" s="971"/>
      <c r="HGM49" s="971"/>
      <c r="HGN49" s="971"/>
      <c r="HGO49" s="971"/>
      <c r="HGP49" s="971"/>
      <c r="HGQ49" s="971"/>
      <c r="HGR49" s="971"/>
      <c r="HGS49" s="971"/>
      <c r="HGT49" s="971"/>
      <c r="HGU49" s="971"/>
      <c r="HGV49" s="971"/>
      <c r="HGW49" s="971"/>
      <c r="HGX49" s="971"/>
      <c r="HGY49" s="971"/>
      <c r="HGZ49" s="971"/>
      <c r="HHA49" s="971"/>
      <c r="HHB49" s="971"/>
      <c r="HHC49" s="971"/>
      <c r="HHD49" s="971"/>
      <c r="HHE49" s="971"/>
      <c r="HHF49" s="971"/>
      <c r="HHG49" s="971"/>
      <c r="HHH49" s="971"/>
      <c r="HHI49" s="971"/>
      <c r="HHJ49" s="971"/>
      <c r="HHK49" s="971"/>
      <c r="HHL49" s="971"/>
      <c r="HHM49" s="971"/>
      <c r="HHN49" s="971"/>
      <c r="HHO49" s="971"/>
      <c r="HHP49" s="971"/>
      <c r="HHQ49" s="971"/>
      <c r="HHR49" s="971"/>
      <c r="HHS49" s="971"/>
      <c r="HHT49" s="971"/>
      <c r="HHU49" s="971"/>
      <c r="HHV49" s="971"/>
      <c r="HHW49" s="971"/>
      <c r="HHX49" s="971"/>
      <c r="HHY49" s="971"/>
      <c r="HHZ49" s="971"/>
      <c r="HIA49" s="971"/>
      <c r="HIB49" s="971"/>
      <c r="HIC49" s="971"/>
      <c r="HID49" s="971"/>
      <c r="HIE49" s="971"/>
      <c r="HIF49" s="971"/>
      <c r="HIG49" s="971"/>
      <c r="HIH49" s="971"/>
      <c r="HII49" s="971"/>
      <c r="HIJ49" s="971"/>
      <c r="HIK49" s="971"/>
      <c r="HIL49" s="971"/>
      <c r="HIM49" s="971"/>
      <c r="HIN49" s="971"/>
      <c r="HIO49" s="971"/>
      <c r="HIP49" s="971"/>
      <c r="HIQ49" s="971"/>
      <c r="HIR49" s="971"/>
      <c r="HIS49" s="971"/>
      <c r="HIT49" s="971"/>
      <c r="HIU49" s="971"/>
      <c r="HIV49" s="971"/>
      <c r="HIW49" s="971"/>
      <c r="HIX49" s="971"/>
      <c r="HIY49" s="971"/>
      <c r="HIZ49" s="971"/>
      <c r="HJA49" s="971"/>
      <c r="HJB49" s="971"/>
      <c r="HJC49" s="971"/>
      <c r="HJD49" s="971"/>
      <c r="HJE49" s="971"/>
      <c r="HJF49" s="971"/>
      <c r="HJG49" s="971"/>
      <c r="HJH49" s="971"/>
      <c r="HJI49" s="971"/>
      <c r="HJJ49" s="971"/>
      <c r="HJK49" s="971"/>
      <c r="HJL49" s="971"/>
      <c r="HJM49" s="971"/>
      <c r="HJN49" s="971"/>
      <c r="HJO49" s="971"/>
      <c r="HJP49" s="971"/>
      <c r="HJQ49" s="971"/>
      <c r="HJR49" s="971"/>
      <c r="HJS49" s="971"/>
      <c r="HJT49" s="971"/>
      <c r="HJU49" s="971"/>
      <c r="HJV49" s="971"/>
      <c r="HJW49" s="971"/>
      <c r="HJX49" s="971"/>
      <c r="HJY49" s="971"/>
      <c r="HJZ49" s="971"/>
      <c r="HKA49" s="971"/>
      <c r="HKB49" s="971"/>
      <c r="HKC49" s="971"/>
      <c r="HKD49" s="971"/>
      <c r="HKE49" s="971"/>
      <c r="HKF49" s="971"/>
      <c r="HKG49" s="971"/>
      <c r="HKH49" s="971"/>
      <c r="HKI49" s="971"/>
      <c r="HKJ49" s="971"/>
      <c r="HKK49" s="971"/>
      <c r="HKL49" s="971"/>
      <c r="HKM49" s="971"/>
      <c r="HKN49" s="971"/>
      <c r="HKO49" s="971"/>
      <c r="HKP49" s="971"/>
      <c r="HKQ49" s="971"/>
      <c r="HKR49" s="971"/>
      <c r="HKS49" s="971"/>
      <c r="HKT49" s="971"/>
      <c r="HKU49" s="971"/>
      <c r="HKV49" s="971"/>
      <c r="HKW49" s="971"/>
      <c r="HKX49" s="971"/>
      <c r="HKY49" s="971"/>
      <c r="HKZ49" s="971"/>
      <c r="HLA49" s="971"/>
      <c r="HLB49" s="971"/>
      <c r="HLC49" s="971"/>
      <c r="HLD49" s="971"/>
      <c r="HLE49" s="971"/>
      <c r="HLF49" s="971"/>
      <c r="HLG49" s="971"/>
      <c r="HLH49" s="971"/>
      <c r="HLI49" s="971"/>
      <c r="HLJ49" s="971"/>
      <c r="HLK49" s="971"/>
      <c r="HLL49" s="971"/>
      <c r="HLM49" s="971"/>
      <c r="HLN49" s="971"/>
      <c r="HLO49" s="971"/>
      <c r="HLP49" s="971"/>
      <c r="HLQ49" s="971"/>
      <c r="HLR49" s="971"/>
      <c r="HLS49" s="971"/>
      <c r="HLT49" s="971"/>
      <c r="HLU49" s="971"/>
      <c r="HLV49" s="971"/>
      <c r="HLW49" s="971"/>
      <c r="HLX49" s="971"/>
      <c r="HLY49" s="971"/>
      <c r="HLZ49" s="971"/>
      <c r="HMA49" s="971"/>
      <c r="HMB49" s="971"/>
      <c r="HMC49" s="971"/>
      <c r="HMD49" s="971"/>
      <c r="HME49" s="971"/>
      <c r="HMF49" s="971"/>
      <c r="HMG49" s="971"/>
      <c r="HMH49" s="971"/>
      <c r="HMI49" s="971"/>
      <c r="HMJ49" s="971"/>
      <c r="HMK49" s="971"/>
      <c r="HML49" s="971"/>
      <c r="HMM49" s="971"/>
      <c r="HMN49" s="971"/>
      <c r="HMO49" s="971"/>
      <c r="HMP49" s="971"/>
      <c r="HMQ49" s="971"/>
      <c r="HMR49" s="971"/>
      <c r="HMS49" s="971"/>
      <c r="HMT49" s="971"/>
      <c r="HMU49" s="971"/>
      <c r="HMV49" s="971"/>
      <c r="HMW49" s="971"/>
      <c r="HMX49" s="971"/>
      <c r="HMY49" s="971"/>
      <c r="HMZ49" s="971"/>
      <c r="HNA49" s="971"/>
      <c r="HNB49" s="971"/>
      <c r="HNC49" s="971"/>
      <c r="HND49" s="971"/>
      <c r="HNE49" s="971"/>
      <c r="HNF49" s="971"/>
      <c r="HNG49" s="971"/>
      <c r="HNH49" s="971"/>
      <c r="HNI49" s="971"/>
      <c r="HNJ49" s="971"/>
      <c r="HNK49" s="971"/>
      <c r="HNL49" s="971"/>
      <c r="HNM49" s="971"/>
      <c r="HNN49" s="971"/>
      <c r="HNO49" s="971"/>
      <c r="HNP49" s="971"/>
      <c r="HNQ49" s="971"/>
      <c r="HNR49" s="971"/>
      <c r="HNS49" s="971"/>
      <c r="HNT49" s="971"/>
      <c r="HNU49" s="971"/>
      <c r="HNV49" s="971"/>
      <c r="HNW49" s="971"/>
      <c r="HNX49" s="971"/>
      <c r="HNY49" s="971"/>
      <c r="HNZ49" s="971"/>
      <c r="HOA49" s="971"/>
      <c r="HOB49" s="971"/>
      <c r="HOC49" s="971"/>
      <c r="HOD49" s="971"/>
      <c r="HOE49" s="971"/>
      <c r="HOF49" s="971"/>
      <c r="HOG49" s="971"/>
      <c r="HOH49" s="971"/>
      <c r="HOI49" s="971"/>
      <c r="HOJ49" s="971"/>
      <c r="HOK49" s="971"/>
      <c r="HOL49" s="971"/>
      <c r="HOM49" s="971"/>
      <c r="HON49" s="971"/>
      <c r="HOO49" s="971"/>
      <c r="HOP49" s="971"/>
      <c r="HOQ49" s="971"/>
      <c r="HOR49" s="971"/>
      <c r="HOS49" s="971"/>
      <c r="HOT49" s="971"/>
      <c r="HOU49" s="971"/>
      <c r="HOV49" s="971"/>
      <c r="HOW49" s="971"/>
      <c r="HOX49" s="971"/>
      <c r="HOY49" s="971"/>
      <c r="HOZ49" s="971"/>
      <c r="HPA49" s="971"/>
      <c r="HPB49" s="971"/>
      <c r="HPC49" s="971"/>
      <c r="HPD49" s="971"/>
      <c r="HPE49" s="971"/>
      <c r="HPF49" s="971"/>
      <c r="HPG49" s="971"/>
      <c r="HPH49" s="971"/>
      <c r="HPI49" s="971"/>
      <c r="HPJ49" s="971"/>
      <c r="HPK49" s="971"/>
      <c r="HPL49" s="971"/>
      <c r="HPM49" s="971"/>
      <c r="HPN49" s="971"/>
      <c r="HPO49" s="971"/>
      <c r="HPP49" s="971"/>
      <c r="HPQ49" s="971"/>
      <c r="HPR49" s="971"/>
      <c r="HPS49" s="971"/>
      <c r="HPT49" s="971"/>
      <c r="HPU49" s="971"/>
      <c r="HPV49" s="971"/>
      <c r="HPW49" s="971"/>
      <c r="HPX49" s="971"/>
      <c r="HPY49" s="971"/>
      <c r="HPZ49" s="971"/>
      <c r="HQA49" s="971"/>
      <c r="HQB49" s="971"/>
      <c r="HQC49" s="971"/>
      <c r="HQD49" s="971"/>
      <c r="HQE49" s="971"/>
      <c r="HQF49" s="971"/>
      <c r="HQG49" s="971"/>
      <c r="HQH49" s="971"/>
      <c r="HQI49" s="971"/>
      <c r="HQJ49" s="971"/>
      <c r="HQK49" s="971"/>
      <c r="HQL49" s="971"/>
      <c r="HQM49" s="971"/>
      <c r="HQN49" s="971"/>
      <c r="HQO49" s="971"/>
      <c r="HQP49" s="971"/>
      <c r="HQQ49" s="971"/>
      <c r="HQR49" s="971"/>
      <c r="HQS49" s="971"/>
      <c r="HQT49" s="971"/>
      <c r="HQU49" s="971"/>
      <c r="HQV49" s="971"/>
      <c r="HQW49" s="971"/>
      <c r="HQX49" s="971"/>
      <c r="HQY49" s="971"/>
      <c r="HQZ49" s="971"/>
      <c r="HRA49" s="971"/>
      <c r="HRB49" s="971"/>
      <c r="HRC49" s="971"/>
      <c r="HRD49" s="971"/>
      <c r="HRE49" s="971"/>
      <c r="HRF49" s="971"/>
      <c r="HRG49" s="971"/>
      <c r="HRH49" s="971"/>
      <c r="HRI49" s="971"/>
      <c r="HRJ49" s="971"/>
      <c r="HRK49" s="971"/>
      <c r="HRL49" s="971"/>
      <c r="HRM49" s="971"/>
      <c r="HRN49" s="971"/>
      <c r="HRO49" s="971"/>
      <c r="HRP49" s="971"/>
      <c r="HRQ49" s="971"/>
      <c r="HRR49" s="971"/>
      <c r="HRS49" s="971"/>
      <c r="HRT49" s="971"/>
      <c r="HRU49" s="971"/>
      <c r="HRV49" s="971"/>
      <c r="HRW49" s="971"/>
      <c r="HRX49" s="971"/>
      <c r="HRY49" s="971"/>
      <c r="HRZ49" s="971"/>
      <c r="HSA49" s="971"/>
      <c r="HSB49" s="971"/>
      <c r="HSC49" s="971"/>
      <c r="HSD49" s="971"/>
      <c r="HSE49" s="971"/>
      <c r="HSF49" s="971"/>
      <c r="HSG49" s="971"/>
      <c r="HSH49" s="971"/>
      <c r="HSI49" s="971"/>
      <c r="HSJ49" s="971"/>
      <c r="HSK49" s="971"/>
      <c r="HSL49" s="971"/>
      <c r="HSM49" s="971"/>
      <c r="HSN49" s="971"/>
      <c r="HSO49" s="971"/>
      <c r="HSP49" s="971"/>
      <c r="HSQ49" s="971"/>
      <c r="HSR49" s="971"/>
      <c r="HSS49" s="971"/>
      <c r="HST49" s="971"/>
      <c r="HSU49" s="971"/>
      <c r="HSV49" s="971"/>
      <c r="HSW49" s="971"/>
      <c r="HSX49" s="971"/>
      <c r="HSY49" s="971"/>
      <c r="HSZ49" s="971"/>
      <c r="HTA49" s="971"/>
      <c r="HTB49" s="971"/>
      <c r="HTC49" s="971"/>
      <c r="HTD49" s="971"/>
      <c r="HTE49" s="971"/>
      <c r="HTF49" s="971"/>
      <c r="HTG49" s="971"/>
      <c r="HTH49" s="971"/>
      <c r="HTI49" s="971"/>
      <c r="HTJ49" s="971"/>
      <c r="HTK49" s="971"/>
      <c r="HTL49" s="971"/>
      <c r="HTM49" s="971"/>
      <c r="HTN49" s="971"/>
      <c r="HTO49" s="971"/>
      <c r="HTP49" s="971"/>
      <c r="HTQ49" s="971"/>
      <c r="HTR49" s="971"/>
      <c r="HTS49" s="971"/>
      <c r="HTT49" s="971"/>
      <c r="HTU49" s="971"/>
      <c r="HTV49" s="971"/>
      <c r="HTW49" s="971"/>
      <c r="HTX49" s="971"/>
      <c r="HTY49" s="971"/>
      <c r="HTZ49" s="971"/>
      <c r="HUA49" s="971"/>
      <c r="HUB49" s="971"/>
      <c r="HUC49" s="971"/>
      <c r="HUD49" s="971"/>
      <c r="HUE49" s="971"/>
      <c r="HUF49" s="971"/>
      <c r="HUG49" s="971"/>
      <c r="HUH49" s="971"/>
      <c r="HUI49" s="971"/>
      <c r="HUJ49" s="971"/>
      <c r="HUK49" s="971"/>
      <c r="HUL49" s="971"/>
      <c r="HUM49" s="971"/>
      <c r="HUN49" s="971"/>
      <c r="HUO49" s="971"/>
      <c r="HUP49" s="971"/>
      <c r="HUQ49" s="971"/>
      <c r="HUR49" s="971"/>
      <c r="HUS49" s="971"/>
      <c r="HUT49" s="971"/>
      <c r="HUU49" s="971"/>
      <c r="HUV49" s="971"/>
      <c r="HUW49" s="971"/>
      <c r="HUX49" s="971"/>
      <c r="HUY49" s="971"/>
      <c r="HUZ49" s="971"/>
      <c r="HVA49" s="971"/>
      <c r="HVB49" s="971"/>
      <c r="HVC49" s="971"/>
      <c r="HVD49" s="971"/>
      <c r="HVE49" s="971"/>
      <c r="HVF49" s="971"/>
      <c r="HVG49" s="971"/>
      <c r="HVH49" s="971"/>
      <c r="HVI49" s="971"/>
      <c r="HVJ49" s="971"/>
      <c r="HVK49" s="971"/>
      <c r="HVL49" s="971"/>
      <c r="HVM49" s="971"/>
      <c r="HVN49" s="971"/>
      <c r="HVO49" s="971"/>
      <c r="HVP49" s="971"/>
      <c r="HVQ49" s="971"/>
      <c r="HVR49" s="971"/>
      <c r="HVS49" s="971"/>
      <c r="HVT49" s="971"/>
      <c r="HVU49" s="971"/>
      <c r="HVV49" s="971"/>
      <c r="HVW49" s="971"/>
      <c r="HVX49" s="971"/>
      <c r="HVY49" s="971"/>
      <c r="HVZ49" s="971"/>
      <c r="HWA49" s="971"/>
      <c r="HWB49" s="971"/>
      <c r="HWC49" s="971"/>
      <c r="HWD49" s="971"/>
      <c r="HWE49" s="971"/>
      <c r="HWF49" s="971"/>
      <c r="HWG49" s="971"/>
      <c r="HWH49" s="971"/>
      <c r="HWI49" s="971"/>
      <c r="HWJ49" s="971"/>
      <c r="HWK49" s="971"/>
      <c r="HWL49" s="971"/>
      <c r="HWM49" s="971"/>
      <c r="HWN49" s="971"/>
      <c r="HWO49" s="971"/>
      <c r="HWP49" s="971"/>
      <c r="HWQ49" s="971"/>
      <c r="HWR49" s="971"/>
      <c r="HWS49" s="971"/>
      <c r="HWT49" s="971"/>
      <c r="HWU49" s="971"/>
      <c r="HWV49" s="971"/>
      <c r="HWW49" s="971"/>
      <c r="HWX49" s="971"/>
      <c r="HWY49" s="971"/>
      <c r="HWZ49" s="971"/>
      <c r="HXA49" s="971"/>
      <c r="HXB49" s="971"/>
      <c r="HXC49" s="971"/>
      <c r="HXD49" s="971"/>
      <c r="HXE49" s="971"/>
      <c r="HXF49" s="971"/>
      <c r="HXG49" s="971"/>
      <c r="HXH49" s="971"/>
      <c r="HXI49" s="971"/>
      <c r="HXJ49" s="971"/>
      <c r="HXK49" s="971"/>
      <c r="HXL49" s="971"/>
      <c r="HXM49" s="971"/>
      <c r="HXN49" s="971"/>
      <c r="HXO49" s="971"/>
      <c r="HXP49" s="971"/>
      <c r="HXQ49" s="971"/>
      <c r="HXR49" s="971"/>
      <c r="HXS49" s="971"/>
      <c r="HXT49" s="971"/>
      <c r="HXU49" s="971"/>
      <c r="HXV49" s="971"/>
      <c r="HXW49" s="971"/>
      <c r="HXX49" s="971"/>
      <c r="HXY49" s="971"/>
      <c r="HXZ49" s="971"/>
      <c r="HYA49" s="971"/>
      <c r="HYB49" s="971"/>
      <c r="HYC49" s="971"/>
      <c r="HYD49" s="971"/>
      <c r="HYE49" s="971"/>
      <c r="HYF49" s="971"/>
      <c r="HYG49" s="971"/>
      <c r="HYH49" s="971"/>
      <c r="HYI49" s="971"/>
      <c r="HYJ49" s="971"/>
      <c r="HYK49" s="971"/>
      <c r="HYL49" s="971"/>
      <c r="HYM49" s="971"/>
      <c r="HYN49" s="971"/>
      <c r="HYO49" s="971"/>
      <c r="HYP49" s="971"/>
      <c r="HYQ49" s="971"/>
      <c r="HYR49" s="971"/>
      <c r="HYS49" s="971"/>
      <c r="HYT49" s="971"/>
      <c r="HYU49" s="971"/>
      <c r="HYV49" s="971"/>
      <c r="HYW49" s="971"/>
      <c r="HYX49" s="971"/>
      <c r="HYY49" s="971"/>
      <c r="HYZ49" s="971"/>
      <c r="HZA49" s="971"/>
      <c r="HZB49" s="971"/>
      <c r="HZC49" s="971"/>
      <c r="HZD49" s="971"/>
      <c r="HZE49" s="971"/>
      <c r="HZF49" s="971"/>
      <c r="HZG49" s="971"/>
      <c r="HZH49" s="971"/>
      <c r="HZI49" s="971"/>
      <c r="HZJ49" s="971"/>
      <c r="HZK49" s="971"/>
      <c r="HZL49" s="971"/>
      <c r="HZM49" s="971"/>
      <c r="HZN49" s="971"/>
      <c r="HZO49" s="971"/>
      <c r="HZP49" s="971"/>
      <c r="HZQ49" s="971"/>
      <c r="HZR49" s="971"/>
      <c r="HZS49" s="971"/>
      <c r="HZT49" s="971"/>
      <c r="HZU49" s="971"/>
      <c r="HZV49" s="971"/>
      <c r="HZW49" s="971"/>
      <c r="HZX49" s="971"/>
      <c r="HZY49" s="971"/>
      <c r="HZZ49" s="971"/>
      <c r="IAA49" s="971"/>
      <c r="IAB49" s="971"/>
      <c r="IAC49" s="971"/>
      <c r="IAD49" s="971"/>
      <c r="IAE49" s="971"/>
      <c r="IAF49" s="971"/>
      <c r="IAG49" s="971"/>
      <c r="IAH49" s="971"/>
      <c r="IAI49" s="971"/>
      <c r="IAJ49" s="971"/>
      <c r="IAK49" s="971"/>
      <c r="IAL49" s="971"/>
      <c r="IAM49" s="971"/>
      <c r="IAN49" s="971"/>
      <c r="IAO49" s="971"/>
      <c r="IAP49" s="971"/>
      <c r="IAQ49" s="971"/>
      <c r="IAR49" s="971"/>
      <c r="IAS49" s="971"/>
      <c r="IAT49" s="971"/>
      <c r="IAU49" s="971"/>
      <c r="IAV49" s="971"/>
      <c r="IAW49" s="971"/>
      <c r="IAX49" s="971"/>
      <c r="IAY49" s="971"/>
      <c r="IAZ49" s="971"/>
      <c r="IBA49" s="971"/>
      <c r="IBB49" s="971"/>
      <c r="IBC49" s="971"/>
      <c r="IBD49" s="971"/>
      <c r="IBE49" s="971"/>
      <c r="IBF49" s="971"/>
      <c r="IBG49" s="971"/>
      <c r="IBH49" s="971"/>
      <c r="IBI49" s="971"/>
      <c r="IBJ49" s="971"/>
      <c r="IBK49" s="971"/>
      <c r="IBL49" s="971"/>
      <c r="IBM49" s="971"/>
      <c r="IBN49" s="971"/>
      <c r="IBO49" s="971"/>
      <c r="IBP49" s="971"/>
      <c r="IBQ49" s="971"/>
      <c r="IBR49" s="971"/>
      <c r="IBS49" s="971"/>
      <c r="IBT49" s="971"/>
      <c r="IBU49" s="971"/>
      <c r="IBV49" s="971"/>
      <c r="IBW49" s="971"/>
      <c r="IBX49" s="971"/>
      <c r="IBY49" s="971"/>
      <c r="IBZ49" s="971"/>
      <c r="ICA49" s="971"/>
      <c r="ICB49" s="971"/>
      <c r="ICC49" s="971"/>
      <c r="ICD49" s="971"/>
      <c r="ICE49" s="971"/>
      <c r="ICF49" s="971"/>
      <c r="ICG49" s="971"/>
      <c r="ICH49" s="971"/>
      <c r="ICI49" s="971"/>
      <c r="ICJ49" s="971"/>
      <c r="ICK49" s="971"/>
      <c r="ICL49" s="971"/>
      <c r="ICM49" s="971"/>
      <c r="ICN49" s="971"/>
      <c r="ICO49" s="971"/>
      <c r="ICP49" s="971"/>
      <c r="ICQ49" s="971"/>
      <c r="ICR49" s="971"/>
      <c r="ICS49" s="971"/>
      <c r="ICT49" s="971"/>
      <c r="ICU49" s="971"/>
      <c r="ICV49" s="971"/>
      <c r="ICW49" s="971"/>
      <c r="ICX49" s="971"/>
      <c r="ICY49" s="971"/>
      <c r="ICZ49" s="971"/>
      <c r="IDA49" s="971"/>
      <c r="IDB49" s="971"/>
      <c r="IDC49" s="971"/>
      <c r="IDD49" s="971"/>
      <c r="IDE49" s="971"/>
      <c r="IDF49" s="971"/>
      <c r="IDG49" s="971"/>
      <c r="IDH49" s="971"/>
      <c r="IDI49" s="971"/>
      <c r="IDJ49" s="971"/>
      <c r="IDK49" s="971"/>
      <c r="IDL49" s="971"/>
      <c r="IDM49" s="971"/>
      <c r="IDN49" s="971"/>
      <c r="IDO49" s="971"/>
      <c r="IDP49" s="971"/>
      <c r="IDQ49" s="971"/>
      <c r="IDR49" s="971"/>
      <c r="IDS49" s="971"/>
      <c r="IDT49" s="971"/>
      <c r="IDU49" s="971"/>
      <c r="IDV49" s="971"/>
      <c r="IDW49" s="971"/>
      <c r="IDX49" s="971"/>
      <c r="IDY49" s="971"/>
      <c r="IDZ49" s="971"/>
      <c r="IEA49" s="971"/>
      <c r="IEB49" s="971"/>
      <c r="IEC49" s="971"/>
      <c r="IED49" s="971"/>
      <c r="IEE49" s="971"/>
      <c r="IEF49" s="971"/>
      <c r="IEG49" s="971"/>
      <c r="IEH49" s="971"/>
      <c r="IEI49" s="971"/>
      <c r="IEJ49" s="971"/>
      <c r="IEK49" s="971"/>
      <c r="IEL49" s="971"/>
      <c r="IEM49" s="971"/>
      <c r="IEN49" s="971"/>
      <c r="IEO49" s="971"/>
      <c r="IEP49" s="971"/>
      <c r="IEQ49" s="971"/>
      <c r="IER49" s="971"/>
      <c r="IES49" s="971"/>
      <c r="IET49" s="971"/>
      <c r="IEU49" s="971"/>
      <c r="IEV49" s="971"/>
      <c r="IEW49" s="971"/>
      <c r="IEX49" s="971"/>
      <c r="IEY49" s="971"/>
      <c r="IEZ49" s="971"/>
      <c r="IFA49" s="971"/>
      <c r="IFB49" s="971"/>
      <c r="IFC49" s="971"/>
      <c r="IFD49" s="971"/>
      <c r="IFE49" s="971"/>
      <c r="IFF49" s="971"/>
      <c r="IFG49" s="971"/>
      <c r="IFH49" s="971"/>
      <c r="IFI49" s="971"/>
      <c r="IFJ49" s="971"/>
      <c r="IFK49" s="971"/>
      <c r="IFL49" s="971"/>
      <c r="IFM49" s="971"/>
      <c r="IFN49" s="971"/>
      <c r="IFO49" s="971"/>
      <c r="IFP49" s="971"/>
      <c r="IFQ49" s="971"/>
      <c r="IFR49" s="971"/>
      <c r="IFS49" s="971"/>
      <c r="IFT49" s="971"/>
      <c r="IFU49" s="971"/>
      <c r="IFV49" s="971"/>
      <c r="IFW49" s="971"/>
      <c r="IFX49" s="971"/>
      <c r="IFY49" s="971"/>
      <c r="IFZ49" s="971"/>
      <c r="IGA49" s="971"/>
      <c r="IGB49" s="971"/>
      <c r="IGC49" s="971"/>
      <c r="IGD49" s="971"/>
      <c r="IGE49" s="971"/>
      <c r="IGF49" s="971"/>
      <c r="IGG49" s="971"/>
      <c r="IGH49" s="971"/>
      <c r="IGI49" s="971"/>
      <c r="IGJ49" s="971"/>
      <c r="IGK49" s="971"/>
      <c r="IGL49" s="971"/>
      <c r="IGM49" s="971"/>
      <c r="IGN49" s="971"/>
      <c r="IGO49" s="971"/>
      <c r="IGP49" s="971"/>
      <c r="IGQ49" s="971"/>
      <c r="IGR49" s="971"/>
      <c r="IGS49" s="971"/>
      <c r="IGT49" s="971"/>
      <c r="IGU49" s="971"/>
      <c r="IGV49" s="971"/>
      <c r="IGW49" s="971"/>
      <c r="IGX49" s="971"/>
      <c r="IGY49" s="971"/>
      <c r="IGZ49" s="971"/>
      <c r="IHA49" s="971"/>
      <c r="IHB49" s="971"/>
      <c r="IHC49" s="971"/>
      <c r="IHD49" s="971"/>
      <c r="IHE49" s="971"/>
      <c r="IHF49" s="971"/>
      <c r="IHG49" s="971"/>
      <c r="IHH49" s="971"/>
      <c r="IHI49" s="971"/>
      <c r="IHJ49" s="971"/>
      <c r="IHK49" s="971"/>
      <c r="IHL49" s="971"/>
      <c r="IHM49" s="971"/>
      <c r="IHN49" s="971"/>
      <c r="IHO49" s="971"/>
      <c r="IHP49" s="971"/>
      <c r="IHQ49" s="971"/>
      <c r="IHR49" s="971"/>
      <c r="IHS49" s="971"/>
      <c r="IHT49" s="971"/>
      <c r="IHU49" s="971"/>
      <c r="IHV49" s="971"/>
      <c r="IHW49" s="971"/>
      <c r="IHX49" s="971"/>
      <c r="IHY49" s="971"/>
      <c r="IHZ49" s="971"/>
      <c r="IIA49" s="971"/>
      <c r="IIB49" s="971"/>
      <c r="IIC49" s="971"/>
      <c r="IID49" s="971"/>
      <c r="IIE49" s="971"/>
      <c r="IIF49" s="971"/>
      <c r="IIG49" s="971"/>
      <c r="IIH49" s="971"/>
      <c r="III49" s="971"/>
      <c r="IIJ49" s="971"/>
      <c r="IIK49" s="971"/>
      <c r="IIL49" s="971"/>
      <c r="IIM49" s="971"/>
      <c r="IIN49" s="971"/>
      <c r="IIO49" s="971"/>
      <c r="IIP49" s="971"/>
      <c r="IIQ49" s="971"/>
      <c r="IIR49" s="971"/>
      <c r="IIS49" s="971"/>
      <c r="IIT49" s="971"/>
      <c r="IIU49" s="971"/>
      <c r="IIV49" s="971"/>
      <c r="IIW49" s="971"/>
      <c r="IIX49" s="971"/>
      <c r="IIY49" s="971"/>
      <c r="IIZ49" s="971"/>
      <c r="IJA49" s="971"/>
      <c r="IJB49" s="971"/>
      <c r="IJC49" s="971"/>
      <c r="IJD49" s="971"/>
      <c r="IJE49" s="971"/>
      <c r="IJF49" s="971"/>
      <c r="IJG49" s="971"/>
      <c r="IJH49" s="971"/>
      <c r="IJI49" s="971"/>
      <c r="IJJ49" s="971"/>
      <c r="IJK49" s="971"/>
      <c r="IJL49" s="971"/>
      <c r="IJM49" s="971"/>
      <c r="IJN49" s="971"/>
      <c r="IJO49" s="971"/>
      <c r="IJP49" s="971"/>
      <c r="IJQ49" s="971"/>
      <c r="IJR49" s="971"/>
      <c r="IJS49" s="971"/>
      <c r="IJT49" s="971"/>
      <c r="IJU49" s="971"/>
      <c r="IJV49" s="971"/>
      <c r="IJW49" s="971"/>
      <c r="IJX49" s="971"/>
      <c r="IJY49" s="971"/>
      <c r="IJZ49" s="971"/>
      <c r="IKA49" s="971"/>
      <c r="IKB49" s="971"/>
      <c r="IKC49" s="971"/>
      <c r="IKD49" s="971"/>
      <c r="IKE49" s="971"/>
      <c r="IKF49" s="971"/>
      <c r="IKG49" s="971"/>
      <c r="IKH49" s="971"/>
      <c r="IKI49" s="971"/>
      <c r="IKJ49" s="971"/>
      <c r="IKK49" s="971"/>
      <c r="IKL49" s="971"/>
      <c r="IKM49" s="971"/>
      <c r="IKN49" s="971"/>
      <c r="IKO49" s="971"/>
      <c r="IKP49" s="971"/>
      <c r="IKQ49" s="971"/>
      <c r="IKR49" s="971"/>
      <c r="IKS49" s="971"/>
      <c r="IKT49" s="971"/>
      <c r="IKU49" s="971"/>
      <c r="IKV49" s="971"/>
      <c r="IKW49" s="971"/>
      <c r="IKX49" s="971"/>
      <c r="IKY49" s="971"/>
      <c r="IKZ49" s="971"/>
      <c r="ILA49" s="971"/>
      <c r="ILB49" s="971"/>
      <c r="ILC49" s="971"/>
      <c r="ILD49" s="971"/>
      <c r="ILE49" s="971"/>
      <c r="ILF49" s="971"/>
      <c r="ILG49" s="971"/>
      <c r="ILH49" s="971"/>
      <c r="ILI49" s="971"/>
      <c r="ILJ49" s="971"/>
      <c r="ILK49" s="971"/>
      <c r="ILL49" s="971"/>
      <c r="ILM49" s="971"/>
      <c r="ILN49" s="971"/>
      <c r="ILO49" s="971"/>
      <c r="ILP49" s="971"/>
      <c r="ILQ49" s="971"/>
      <c r="ILR49" s="971"/>
      <c r="ILS49" s="971"/>
      <c r="ILT49" s="971"/>
      <c r="ILU49" s="971"/>
      <c r="ILV49" s="971"/>
      <c r="ILW49" s="971"/>
      <c r="ILX49" s="971"/>
      <c r="ILY49" s="971"/>
      <c r="ILZ49" s="971"/>
      <c r="IMA49" s="971"/>
      <c r="IMB49" s="971"/>
      <c r="IMC49" s="971"/>
      <c r="IMD49" s="971"/>
      <c r="IME49" s="971"/>
      <c r="IMF49" s="971"/>
      <c r="IMG49" s="971"/>
      <c r="IMH49" s="971"/>
      <c r="IMI49" s="971"/>
      <c r="IMJ49" s="971"/>
      <c r="IMK49" s="971"/>
      <c r="IML49" s="971"/>
      <c r="IMM49" s="971"/>
      <c r="IMN49" s="971"/>
      <c r="IMO49" s="971"/>
      <c r="IMP49" s="971"/>
      <c r="IMQ49" s="971"/>
      <c r="IMR49" s="971"/>
      <c r="IMS49" s="971"/>
      <c r="IMT49" s="971"/>
      <c r="IMU49" s="971"/>
      <c r="IMV49" s="971"/>
      <c r="IMW49" s="971"/>
      <c r="IMX49" s="971"/>
      <c r="IMY49" s="971"/>
      <c r="IMZ49" s="971"/>
      <c r="INA49" s="971"/>
      <c r="INB49" s="971"/>
      <c r="INC49" s="971"/>
      <c r="IND49" s="971"/>
      <c r="INE49" s="971"/>
      <c r="INF49" s="971"/>
      <c r="ING49" s="971"/>
      <c r="INH49" s="971"/>
      <c r="INI49" s="971"/>
      <c r="INJ49" s="971"/>
      <c r="INK49" s="971"/>
      <c r="INL49" s="971"/>
      <c r="INM49" s="971"/>
      <c r="INN49" s="971"/>
      <c r="INO49" s="971"/>
      <c r="INP49" s="971"/>
      <c r="INQ49" s="971"/>
      <c r="INR49" s="971"/>
      <c r="INS49" s="971"/>
      <c r="INT49" s="971"/>
      <c r="INU49" s="971"/>
      <c r="INV49" s="971"/>
      <c r="INW49" s="971"/>
      <c r="INX49" s="971"/>
      <c r="INY49" s="971"/>
      <c r="INZ49" s="971"/>
      <c r="IOA49" s="971"/>
      <c r="IOB49" s="971"/>
      <c r="IOC49" s="971"/>
      <c r="IOD49" s="971"/>
      <c r="IOE49" s="971"/>
      <c r="IOF49" s="971"/>
      <c r="IOG49" s="971"/>
      <c r="IOH49" s="971"/>
      <c r="IOI49" s="971"/>
      <c r="IOJ49" s="971"/>
      <c r="IOK49" s="971"/>
      <c r="IOL49" s="971"/>
      <c r="IOM49" s="971"/>
      <c r="ION49" s="971"/>
      <c r="IOO49" s="971"/>
      <c r="IOP49" s="971"/>
      <c r="IOQ49" s="971"/>
      <c r="IOR49" s="971"/>
      <c r="IOS49" s="971"/>
      <c r="IOT49" s="971"/>
      <c r="IOU49" s="971"/>
      <c r="IOV49" s="971"/>
      <c r="IOW49" s="971"/>
      <c r="IOX49" s="971"/>
      <c r="IOY49" s="971"/>
      <c r="IOZ49" s="971"/>
      <c r="IPA49" s="971"/>
      <c r="IPB49" s="971"/>
      <c r="IPC49" s="971"/>
      <c r="IPD49" s="971"/>
      <c r="IPE49" s="971"/>
      <c r="IPF49" s="971"/>
      <c r="IPG49" s="971"/>
      <c r="IPH49" s="971"/>
      <c r="IPI49" s="971"/>
      <c r="IPJ49" s="971"/>
      <c r="IPK49" s="971"/>
      <c r="IPL49" s="971"/>
      <c r="IPM49" s="971"/>
      <c r="IPN49" s="971"/>
      <c r="IPO49" s="971"/>
      <c r="IPP49" s="971"/>
      <c r="IPQ49" s="971"/>
      <c r="IPR49" s="971"/>
      <c r="IPS49" s="971"/>
      <c r="IPT49" s="971"/>
      <c r="IPU49" s="971"/>
      <c r="IPV49" s="971"/>
      <c r="IPW49" s="971"/>
      <c r="IPX49" s="971"/>
      <c r="IPY49" s="971"/>
      <c r="IPZ49" s="971"/>
      <c r="IQA49" s="971"/>
      <c r="IQB49" s="971"/>
      <c r="IQC49" s="971"/>
      <c r="IQD49" s="971"/>
      <c r="IQE49" s="971"/>
      <c r="IQF49" s="971"/>
      <c r="IQG49" s="971"/>
      <c r="IQH49" s="971"/>
      <c r="IQI49" s="971"/>
      <c r="IQJ49" s="971"/>
      <c r="IQK49" s="971"/>
      <c r="IQL49" s="971"/>
      <c r="IQM49" s="971"/>
      <c r="IQN49" s="971"/>
      <c r="IQO49" s="971"/>
      <c r="IQP49" s="971"/>
      <c r="IQQ49" s="971"/>
      <c r="IQR49" s="971"/>
      <c r="IQS49" s="971"/>
      <c r="IQT49" s="971"/>
      <c r="IQU49" s="971"/>
      <c r="IQV49" s="971"/>
      <c r="IQW49" s="971"/>
      <c r="IQX49" s="971"/>
      <c r="IQY49" s="971"/>
      <c r="IQZ49" s="971"/>
      <c r="IRA49" s="971"/>
      <c r="IRB49" s="971"/>
      <c r="IRC49" s="971"/>
      <c r="IRD49" s="971"/>
      <c r="IRE49" s="971"/>
      <c r="IRF49" s="971"/>
      <c r="IRG49" s="971"/>
      <c r="IRH49" s="971"/>
      <c r="IRI49" s="971"/>
      <c r="IRJ49" s="971"/>
      <c r="IRK49" s="971"/>
      <c r="IRL49" s="971"/>
      <c r="IRM49" s="971"/>
      <c r="IRN49" s="971"/>
      <c r="IRO49" s="971"/>
      <c r="IRP49" s="971"/>
      <c r="IRQ49" s="971"/>
      <c r="IRR49" s="971"/>
      <c r="IRS49" s="971"/>
      <c r="IRT49" s="971"/>
      <c r="IRU49" s="971"/>
      <c r="IRV49" s="971"/>
      <c r="IRW49" s="971"/>
      <c r="IRX49" s="971"/>
      <c r="IRY49" s="971"/>
      <c r="IRZ49" s="971"/>
      <c r="ISA49" s="971"/>
      <c r="ISB49" s="971"/>
      <c r="ISC49" s="971"/>
      <c r="ISD49" s="971"/>
      <c r="ISE49" s="971"/>
      <c r="ISF49" s="971"/>
      <c r="ISG49" s="971"/>
      <c r="ISH49" s="971"/>
      <c r="ISI49" s="971"/>
      <c r="ISJ49" s="971"/>
      <c r="ISK49" s="971"/>
      <c r="ISL49" s="971"/>
      <c r="ISM49" s="971"/>
      <c r="ISN49" s="971"/>
      <c r="ISO49" s="971"/>
      <c r="ISP49" s="971"/>
      <c r="ISQ49" s="971"/>
      <c r="ISR49" s="971"/>
      <c r="ISS49" s="971"/>
      <c r="IST49" s="971"/>
      <c r="ISU49" s="971"/>
      <c r="ISV49" s="971"/>
      <c r="ISW49" s="971"/>
      <c r="ISX49" s="971"/>
      <c r="ISY49" s="971"/>
      <c r="ISZ49" s="971"/>
      <c r="ITA49" s="971"/>
      <c r="ITB49" s="971"/>
      <c r="ITC49" s="971"/>
      <c r="ITD49" s="971"/>
      <c r="ITE49" s="971"/>
      <c r="ITF49" s="971"/>
      <c r="ITG49" s="971"/>
      <c r="ITH49" s="971"/>
      <c r="ITI49" s="971"/>
      <c r="ITJ49" s="971"/>
      <c r="ITK49" s="971"/>
      <c r="ITL49" s="971"/>
      <c r="ITM49" s="971"/>
      <c r="ITN49" s="971"/>
      <c r="ITO49" s="971"/>
      <c r="ITP49" s="971"/>
      <c r="ITQ49" s="971"/>
      <c r="ITR49" s="971"/>
      <c r="ITS49" s="971"/>
      <c r="ITT49" s="971"/>
      <c r="ITU49" s="971"/>
      <c r="ITV49" s="971"/>
      <c r="ITW49" s="971"/>
      <c r="ITX49" s="971"/>
      <c r="ITY49" s="971"/>
      <c r="ITZ49" s="971"/>
      <c r="IUA49" s="971"/>
      <c r="IUB49" s="971"/>
      <c r="IUC49" s="971"/>
      <c r="IUD49" s="971"/>
      <c r="IUE49" s="971"/>
      <c r="IUF49" s="971"/>
      <c r="IUG49" s="971"/>
      <c r="IUH49" s="971"/>
      <c r="IUI49" s="971"/>
      <c r="IUJ49" s="971"/>
      <c r="IUK49" s="971"/>
      <c r="IUL49" s="971"/>
      <c r="IUM49" s="971"/>
      <c r="IUN49" s="971"/>
      <c r="IUO49" s="971"/>
      <c r="IUP49" s="971"/>
      <c r="IUQ49" s="971"/>
      <c r="IUR49" s="971"/>
      <c r="IUS49" s="971"/>
      <c r="IUT49" s="971"/>
      <c r="IUU49" s="971"/>
      <c r="IUV49" s="971"/>
      <c r="IUW49" s="971"/>
      <c r="IUX49" s="971"/>
      <c r="IUY49" s="971"/>
      <c r="IUZ49" s="971"/>
      <c r="IVA49" s="971"/>
      <c r="IVB49" s="971"/>
      <c r="IVC49" s="971"/>
      <c r="IVD49" s="971"/>
      <c r="IVE49" s="971"/>
      <c r="IVF49" s="971"/>
      <c r="IVG49" s="971"/>
      <c r="IVH49" s="971"/>
      <c r="IVI49" s="971"/>
      <c r="IVJ49" s="971"/>
      <c r="IVK49" s="971"/>
      <c r="IVL49" s="971"/>
      <c r="IVM49" s="971"/>
      <c r="IVN49" s="971"/>
      <c r="IVO49" s="971"/>
      <c r="IVP49" s="971"/>
      <c r="IVQ49" s="971"/>
      <c r="IVR49" s="971"/>
      <c r="IVS49" s="971"/>
      <c r="IVT49" s="971"/>
      <c r="IVU49" s="971"/>
      <c r="IVV49" s="971"/>
      <c r="IVW49" s="971"/>
      <c r="IVX49" s="971"/>
      <c r="IVY49" s="971"/>
      <c r="IVZ49" s="971"/>
      <c r="IWA49" s="971"/>
      <c r="IWB49" s="971"/>
      <c r="IWC49" s="971"/>
      <c r="IWD49" s="971"/>
      <c r="IWE49" s="971"/>
      <c r="IWF49" s="971"/>
      <c r="IWG49" s="971"/>
      <c r="IWH49" s="971"/>
      <c r="IWI49" s="971"/>
      <c r="IWJ49" s="971"/>
      <c r="IWK49" s="971"/>
      <c r="IWL49" s="971"/>
      <c r="IWM49" s="971"/>
      <c r="IWN49" s="971"/>
      <c r="IWO49" s="971"/>
      <c r="IWP49" s="971"/>
      <c r="IWQ49" s="971"/>
      <c r="IWR49" s="971"/>
      <c r="IWS49" s="971"/>
      <c r="IWT49" s="971"/>
      <c r="IWU49" s="971"/>
      <c r="IWV49" s="971"/>
      <c r="IWW49" s="971"/>
      <c r="IWX49" s="971"/>
      <c r="IWY49" s="971"/>
      <c r="IWZ49" s="971"/>
      <c r="IXA49" s="971"/>
      <c r="IXB49" s="971"/>
      <c r="IXC49" s="971"/>
      <c r="IXD49" s="971"/>
      <c r="IXE49" s="971"/>
      <c r="IXF49" s="971"/>
      <c r="IXG49" s="971"/>
      <c r="IXH49" s="971"/>
      <c r="IXI49" s="971"/>
      <c r="IXJ49" s="971"/>
      <c r="IXK49" s="971"/>
      <c r="IXL49" s="971"/>
      <c r="IXM49" s="971"/>
      <c r="IXN49" s="971"/>
      <c r="IXO49" s="971"/>
      <c r="IXP49" s="971"/>
      <c r="IXQ49" s="971"/>
      <c r="IXR49" s="971"/>
      <c r="IXS49" s="971"/>
      <c r="IXT49" s="971"/>
      <c r="IXU49" s="971"/>
      <c r="IXV49" s="971"/>
      <c r="IXW49" s="971"/>
      <c r="IXX49" s="971"/>
      <c r="IXY49" s="971"/>
      <c r="IXZ49" s="971"/>
      <c r="IYA49" s="971"/>
      <c r="IYB49" s="971"/>
      <c r="IYC49" s="971"/>
      <c r="IYD49" s="971"/>
      <c r="IYE49" s="971"/>
      <c r="IYF49" s="971"/>
      <c r="IYG49" s="971"/>
      <c r="IYH49" s="971"/>
      <c r="IYI49" s="971"/>
      <c r="IYJ49" s="971"/>
      <c r="IYK49" s="971"/>
      <c r="IYL49" s="971"/>
      <c r="IYM49" s="971"/>
      <c r="IYN49" s="971"/>
      <c r="IYO49" s="971"/>
      <c r="IYP49" s="971"/>
      <c r="IYQ49" s="971"/>
      <c r="IYR49" s="971"/>
      <c r="IYS49" s="971"/>
      <c r="IYT49" s="971"/>
      <c r="IYU49" s="971"/>
      <c r="IYV49" s="971"/>
      <c r="IYW49" s="971"/>
      <c r="IYX49" s="971"/>
      <c r="IYY49" s="971"/>
      <c r="IYZ49" s="971"/>
      <c r="IZA49" s="971"/>
      <c r="IZB49" s="971"/>
      <c r="IZC49" s="971"/>
      <c r="IZD49" s="971"/>
      <c r="IZE49" s="971"/>
      <c r="IZF49" s="971"/>
      <c r="IZG49" s="971"/>
      <c r="IZH49" s="971"/>
      <c r="IZI49" s="971"/>
      <c r="IZJ49" s="971"/>
      <c r="IZK49" s="971"/>
      <c r="IZL49" s="971"/>
      <c r="IZM49" s="971"/>
      <c r="IZN49" s="971"/>
      <c r="IZO49" s="971"/>
      <c r="IZP49" s="971"/>
      <c r="IZQ49" s="971"/>
      <c r="IZR49" s="971"/>
      <c r="IZS49" s="971"/>
      <c r="IZT49" s="971"/>
      <c r="IZU49" s="971"/>
      <c r="IZV49" s="971"/>
      <c r="IZW49" s="971"/>
      <c r="IZX49" s="971"/>
      <c r="IZY49" s="971"/>
      <c r="IZZ49" s="971"/>
      <c r="JAA49" s="971"/>
      <c r="JAB49" s="971"/>
      <c r="JAC49" s="971"/>
      <c r="JAD49" s="971"/>
      <c r="JAE49" s="971"/>
      <c r="JAF49" s="971"/>
      <c r="JAG49" s="971"/>
      <c r="JAH49" s="971"/>
      <c r="JAI49" s="971"/>
      <c r="JAJ49" s="971"/>
      <c r="JAK49" s="971"/>
      <c r="JAL49" s="971"/>
      <c r="JAM49" s="971"/>
      <c r="JAN49" s="971"/>
      <c r="JAO49" s="971"/>
      <c r="JAP49" s="971"/>
      <c r="JAQ49" s="971"/>
      <c r="JAR49" s="971"/>
      <c r="JAS49" s="971"/>
      <c r="JAT49" s="971"/>
      <c r="JAU49" s="971"/>
      <c r="JAV49" s="971"/>
      <c r="JAW49" s="971"/>
      <c r="JAX49" s="971"/>
      <c r="JAY49" s="971"/>
      <c r="JAZ49" s="971"/>
      <c r="JBA49" s="971"/>
      <c r="JBB49" s="971"/>
      <c r="JBC49" s="971"/>
      <c r="JBD49" s="971"/>
      <c r="JBE49" s="971"/>
      <c r="JBF49" s="971"/>
      <c r="JBG49" s="971"/>
      <c r="JBH49" s="971"/>
      <c r="JBI49" s="971"/>
      <c r="JBJ49" s="971"/>
      <c r="JBK49" s="971"/>
      <c r="JBL49" s="971"/>
      <c r="JBM49" s="971"/>
      <c r="JBN49" s="971"/>
      <c r="JBO49" s="971"/>
      <c r="JBP49" s="971"/>
      <c r="JBQ49" s="971"/>
      <c r="JBR49" s="971"/>
      <c r="JBS49" s="971"/>
      <c r="JBT49" s="971"/>
      <c r="JBU49" s="971"/>
      <c r="JBV49" s="971"/>
      <c r="JBW49" s="971"/>
      <c r="JBX49" s="971"/>
      <c r="JBY49" s="971"/>
      <c r="JBZ49" s="971"/>
      <c r="JCA49" s="971"/>
      <c r="JCB49" s="971"/>
      <c r="JCC49" s="971"/>
      <c r="JCD49" s="971"/>
      <c r="JCE49" s="971"/>
      <c r="JCF49" s="971"/>
      <c r="JCG49" s="971"/>
      <c r="JCH49" s="971"/>
      <c r="JCI49" s="971"/>
      <c r="JCJ49" s="971"/>
      <c r="JCK49" s="971"/>
      <c r="JCL49" s="971"/>
      <c r="JCM49" s="971"/>
      <c r="JCN49" s="971"/>
      <c r="JCO49" s="971"/>
      <c r="JCP49" s="971"/>
      <c r="JCQ49" s="971"/>
      <c r="JCR49" s="971"/>
      <c r="JCS49" s="971"/>
      <c r="JCT49" s="971"/>
      <c r="JCU49" s="971"/>
      <c r="JCV49" s="971"/>
      <c r="JCW49" s="971"/>
      <c r="JCX49" s="971"/>
      <c r="JCY49" s="971"/>
      <c r="JCZ49" s="971"/>
      <c r="JDA49" s="971"/>
      <c r="JDB49" s="971"/>
      <c r="JDC49" s="971"/>
      <c r="JDD49" s="971"/>
      <c r="JDE49" s="971"/>
      <c r="JDF49" s="971"/>
      <c r="JDG49" s="971"/>
      <c r="JDH49" s="971"/>
      <c r="JDI49" s="971"/>
      <c r="JDJ49" s="971"/>
      <c r="JDK49" s="971"/>
      <c r="JDL49" s="971"/>
      <c r="JDM49" s="971"/>
      <c r="JDN49" s="971"/>
      <c r="JDO49" s="971"/>
      <c r="JDP49" s="971"/>
      <c r="JDQ49" s="971"/>
      <c r="JDR49" s="971"/>
      <c r="JDS49" s="971"/>
      <c r="JDT49" s="971"/>
      <c r="JDU49" s="971"/>
      <c r="JDV49" s="971"/>
      <c r="JDW49" s="971"/>
      <c r="JDX49" s="971"/>
      <c r="JDY49" s="971"/>
      <c r="JDZ49" s="971"/>
      <c r="JEA49" s="971"/>
      <c r="JEB49" s="971"/>
      <c r="JEC49" s="971"/>
      <c r="JED49" s="971"/>
      <c r="JEE49" s="971"/>
      <c r="JEF49" s="971"/>
      <c r="JEG49" s="971"/>
      <c r="JEH49" s="971"/>
      <c r="JEI49" s="971"/>
      <c r="JEJ49" s="971"/>
      <c r="JEK49" s="971"/>
      <c r="JEL49" s="971"/>
      <c r="JEM49" s="971"/>
      <c r="JEN49" s="971"/>
      <c r="JEO49" s="971"/>
      <c r="JEP49" s="971"/>
      <c r="JEQ49" s="971"/>
      <c r="JER49" s="971"/>
      <c r="JES49" s="971"/>
      <c r="JET49" s="971"/>
      <c r="JEU49" s="971"/>
      <c r="JEV49" s="971"/>
      <c r="JEW49" s="971"/>
      <c r="JEX49" s="971"/>
      <c r="JEY49" s="971"/>
      <c r="JEZ49" s="971"/>
      <c r="JFA49" s="971"/>
      <c r="JFB49" s="971"/>
      <c r="JFC49" s="971"/>
      <c r="JFD49" s="971"/>
      <c r="JFE49" s="971"/>
      <c r="JFF49" s="971"/>
      <c r="JFG49" s="971"/>
      <c r="JFH49" s="971"/>
      <c r="JFI49" s="971"/>
      <c r="JFJ49" s="971"/>
      <c r="JFK49" s="971"/>
      <c r="JFL49" s="971"/>
      <c r="JFM49" s="971"/>
      <c r="JFN49" s="971"/>
      <c r="JFO49" s="971"/>
      <c r="JFP49" s="971"/>
      <c r="JFQ49" s="971"/>
      <c r="JFR49" s="971"/>
      <c r="JFS49" s="971"/>
      <c r="JFT49" s="971"/>
      <c r="JFU49" s="971"/>
      <c r="JFV49" s="971"/>
      <c r="JFW49" s="971"/>
      <c r="JFX49" s="971"/>
      <c r="JFY49" s="971"/>
      <c r="JFZ49" s="971"/>
      <c r="JGA49" s="971"/>
      <c r="JGB49" s="971"/>
      <c r="JGC49" s="971"/>
      <c r="JGD49" s="971"/>
      <c r="JGE49" s="971"/>
      <c r="JGF49" s="971"/>
      <c r="JGG49" s="971"/>
      <c r="JGH49" s="971"/>
      <c r="JGI49" s="971"/>
      <c r="JGJ49" s="971"/>
      <c r="JGK49" s="971"/>
      <c r="JGL49" s="971"/>
      <c r="JGM49" s="971"/>
      <c r="JGN49" s="971"/>
      <c r="JGO49" s="971"/>
      <c r="JGP49" s="971"/>
      <c r="JGQ49" s="971"/>
      <c r="JGR49" s="971"/>
      <c r="JGS49" s="971"/>
      <c r="JGT49" s="971"/>
      <c r="JGU49" s="971"/>
      <c r="JGV49" s="971"/>
      <c r="JGW49" s="971"/>
      <c r="JGX49" s="971"/>
      <c r="JGY49" s="971"/>
      <c r="JGZ49" s="971"/>
      <c r="JHA49" s="971"/>
      <c r="JHB49" s="971"/>
      <c r="JHC49" s="971"/>
      <c r="JHD49" s="971"/>
      <c r="JHE49" s="971"/>
      <c r="JHF49" s="971"/>
      <c r="JHG49" s="971"/>
      <c r="JHH49" s="971"/>
      <c r="JHI49" s="971"/>
      <c r="JHJ49" s="971"/>
      <c r="JHK49" s="971"/>
      <c r="JHL49" s="971"/>
      <c r="JHM49" s="971"/>
      <c r="JHN49" s="971"/>
      <c r="JHO49" s="971"/>
      <c r="JHP49" s="971"/>
      <c r="JHQ49" s="971"/>
      <c r="JHR49" s="971"/>
      <c r="JHS49" s="971"/>
      <c r="JHT49" s="971"/>
      <c r="JHU49" s="971"/>
      <c r="JHV49" s="971"/>
      <c r="JHW49" s="971"/>
      <c r="JHX49" s="971"/>
      <c r="JHY49" s="971"/>
      <c r="JHZ49" s="971"/>
      <c r="JIA49" s="971"/>
      <c r="JIB49" s="971"/>
      <c r="JIC49" s="971"/>
      <c r="JID49" s="971"/>
      <c r="JIE49" s="971"/>
      <c r="JIF49" s="971"/>
      <c r="JIG49" s="971"/>
      <c r="JIH49" s="971"/>
      <c r="JII49" s="971"/>
      <c r="JIJ49" s="971"/>
      <c r="JIK49" s="971"/>
      <c r="JIL49" s="971"/>
      <c r="JIM49" s="971"/>
      <c r="JIN49" s="971"/>
      <c r="JIO49" s="971"/>
      <c r="JIP49" s="971"/>
      <c r="JIQ49" s="971"/>
      <c r="JIR49" s="971"/>
      <c r="JIS49" s="971"/>
      <c r="JIT49" s="971"/>
      <c r="JIU49" s="971"/>
      <c r="JIV49" s="971"/>
      <c r="JIW49" s="971"/>
      <c r="JIX49" s="971"/>
      <c r="JIY49" s="971"/>
      <c r="JIZ49" s="971"/>
      <c r="JJA49" s="971"/>
      <c r="JJB49" s="971"/>
      <c r="JJC49" s="971"/>
      <c r="JJD49" s="971"/>
      <c r="JJE49" s="971"/>
      <c r="JJF49" s="971"/>
      <c r="JJG49" s="971"/>
      <c r="JJH49" s="971"/>
      <c r="JJI49" s="971"/>
      <c r="JJJ49" s="971"/>
      <c r="JJK49" s="971"/>
      <c r="JJL49" s="971"/>
      <c r="JJM49" s="971"/>
      <c r="JJN49" s="971"/>
      <c r="JJO49" s="971"/>
      <c r="JJP49" s="971"/>
      <c r="JJQ49" s="971"/>
      <c r="JJR49" s="971"/>
      <c r="JJS49" s="971"/>
      <c r="JJT49" s="971"/>
      <c r="JJU49" s="971"/>
      <c r="JJV49" s="971"/>
      <c r="JJW49" s="971"/>
      <c r="JJX49" s="971"/>
      <c r="JJY49" s="971"/>
      <c r="JJZ49" s="971"/>
      <c r="JKA49" s="971"/>
      <c r="JKB49" s="971"/>
      <c r="JKC49" s="971"/>
      <c r="JKD49" s="971"/>
      <c r="JKE49" s="971"/>
      <c r="JKF49" s="971"/>
      <c r="JKG49" s="971"/>
      <c r="JKH49" s="971"/>
      <c r="JKI49" s="971"/>
      <c r="JKJ49" s="971"/>
      <c r="JKK49" s="971"/>
      <c r="JKL49" s="971"/>
      <c r="JKM49" s="971"/>
      <c r="JKN49" s="971"/>
      <c r="JKO49" s="971"/>
      <c r="JKP49" s="971"/>
      <c r="JKQ49" s="971"/>
      <c r="JKR49" s="971"/>
      <c r="JKS49" s="971"/>
      <c r="JKT49" s="971"/>
      <c r="JKU49" s="971"/>
      <c r="JKV49" s="971"/>
      <c r="JKW49" s="971"/>
      <c r="JKX49" s="971"/>
      <c r="JKY49" s="971"/>
      <c r="JKZ49" s="971"/>
      <c r="JLA49" s="971"/>
      <c r="JLB49" s="971"/>
      <c r="JLC49" s="971"/>
      <c r="JLD49" s="971"/>
      <c r="JLE49" s="971"/>
      <c r="JLF49" s="971"/>
      <c r="JLG49" s="971"/>
      <c r="JLH49" s="971"/>
      <c r="JLI49" s="971"/>
      <c r="JLJ49" s="971"/>
      <c r="JLK49" s="971"/>
      <c r="JLL49" s="971"/>
      <c r="JLM49" s="971"/>
      <c r="JLN49" s="971"/>
      <c r="JLO49" s="971"/>
      <c r="JLP49" s="971"/>
      <c r="JLQ49" s="971"/>
      <c r="JLR49" s="971"/>
      <c r="JLS49" s="971"/>
      <c r="JLT49" s="971"/>
      <c r="JLU49" s="971"/>
      <c r="JLV49" s="971"/>
      <c r="JLW49" s="971"/>
      <c r="JLX49" s="971"/>
      <c r="JLY49" s="971"/>
      <c r="JLZ49" s="971"/>
      <c r="JMA49" s="971"/>
      <c r="JMB49" s="971"/>
      <c r="JMC49" s="971"/>
      <c r="JMD49" s="971"/>
      <c r="JME49" s="971"/>
      <c r="JMF49" s="971"/>
      <c r="JMG49" s="971"/>
      <c r="JMH49" s="971"/>
      <c r="JMI49" s="971"/>
      <c r="JMJ49" s="971"/>
      <c r="JMK49" s="971"/>
      <c r="JML49" s="971"/>
      <c r="JMM49" s="971"/>
      <c r="JMN49" s="971"/>
      <c r="JMO49" s="971"/>
      <c r="JMP49" s="971"/>
      <c r="JMQ49" s="971"/>
      <c r="JMR49" s="971"/>
      <c r="JMS49" s="971"/>
      <c r="JMT49" s="971"/>
      <c r="JMU49" s="971"/>
      <c r="JMV49" s="971"/>
      <c r="JMW49" s="971"/>
      <c r="JMX49" s="971"/>
      <c r="JMY49" s="971"/>
      <c r="JMZ49" s="971"/>
      <c r="JNA49" s="971"/>
      <c r="JNB49" s="971"/>
      <c r="JNC49" s="971"/>
      <c r="JND49" s="971"/>
      <c r="JNE49" s="971"/>
      <c r="JNF49" s="971"/>
      <c r="JNG49" s="971"/>
      <c r="JNH49" s="971"/>
      <c r="JNI49" s="971"/>
      <c r="JNJ49" s="971"/>
      <c r="JNK49" s="971"/>
      <c r="JNL49" s="971"/>
      <c r="JNM49" s="971"/>
      <c r="JNN49" s="971"/>
      <c r="JNO49" s="971"/>
      <c r="JNP49" s="971"/>
      <c r="JNQ49" s="971"/>
      <c r="JNR49" s="971"/>
      <c r="JNS49" s="971"/>
      <c r="JNT49" s="971"/>
      <c r="JNU49" s="971"/>
      <c r="JNV49" s="971"/>
      <c r="JNW49" s="971"/>
      <c r="JNX49" s="971"/>
      <c r="JNY49" s="971"/>
      <c r="JNZ49" s="971"/>
      <c r="JOA49" s="971"/>
      <c r="JOB49" s="971"/>
      <c r="JOC49" s="971"/>
      <c r="JOD49" s="971"/>
      <c r="JOE49" s="971"/>
      <c r="JOF49" s="971"/>
      <c r="JOG49" s="971"/>
      <c r="JOH49" s="971"/>
      <c r="JOI49" s="971"/>
      <c r="JOJ49" s="971"/>
      <c r="JOK49" s="971"/>
      <c r="JOL49" s="971"/>
      <c r="JOM49" s="971"/>
      <c r="JON49" s="971"/>
      <c r="JOO49" s="971"/>
      <c r="JOP49" s="971"/>
      <c r="JOQ49" s="971"/>
      <c r="JOR49" s="971"/>
      <c r="JOS49" s="971"/>
      <c r="JOT49" s="971"/>
      <c r="JOU49" s="971"/>
      <c r="JOV49" s="971"/>
      <c r="JOW49" s="971"/>
      <c r="JOX49" s="971"/>
      <c r="JOY49" s="971"/>
      <c r="JOZ49" s="971"/>
      <c r="JPA49" s="971"/>
      <c r="JPB49" s="971"/>
      <c r="JPC49" s="971"/>
      <c r="JPD49" s="971"/>
      <c r="JPE49" s="971"/>
      <c r="JPF49" s="971"/>
      <c r="JPG49" s="971"/>
      <c r="JPH49" s="971"/>
      <c r="JPI49" s="971"/>
      <c r="JPJ49" s="971"/>
      <c r="JPK49" s="971"/>
      <c r="JPL49" s="971"/>
      <c r="JPM49" s="971"/>
      <c r="JPN49" s="971"/>
      <c r="JPO49" s="971"/>
      <c r="JPP49" s="971"/>
      <c r="JPQ49" s="971"/>
      <c r="JPR49" s="971"/>
      <c r="JPS49" s="971"/>
      <c r="JPT49" s="971"/>
      <c r="JPU49" s="971"/>
      <c r="JPV49" s="971"/>
      <c r="JPW49" s="971"/>
      <c r="JPX49" s="971"/>
      <c r="JPY49" s="971"/>
      <c r="JPZ49" s="971"/>
      <c r="JQA49" s="971"/>
      <c r="JQB49" s="971"/>
      <c r="JQC49" s="971"/>
      <c r="JQD49" s="971"/>
      <c r="JQE49" s="971"/>
      <c r="JQF49" s="971"/>
      <c r="JQG49" s="971"/>
      <c r="JQH49" s="971"/>
      <c r="JQI49" s="971"/>
      <c r="JQJ49" s="971"/>
      <c r="JQK49" s="971"/>
      <c r="JQL49" s="971"/>
      <c r="JQM49" s="971"/>
      <c r="JQN49" s="971"/>
      <c r="JQO49" s="971"/>
      <c r="JQP49" s="971"/>
      <c r="JQQ49" s="971"/>
      <c r="JQR49" s="971"/>
      <c r="JQS49" s="971"/>
      <c r="JQT49" s="971"/>
      <c r="JQU49" s="971"/>
      <c r="JQV49" s="971"/>
      <c r="JQW49" s="971"/>
      <c r="JQX49" s="971"/>
      <c r="JQY49" s="971"/>
      <c r="JQZ49" s="971"/>
      <c r="JRA49" s="971"/>
      <c r="JRB49" s="971"/>
      <c r="JRC49" s="971"/>
      <c r="JRD49" s="971"/>
      <c r="JRE49" s="971"/>
      <c r="JRF49" s="971"/>
      <c r="JRG49" s="971"/>
      <c r="JRH49" s="971"/>
      <c r="JRI49" s="971"/>
      <c r="JRJ49" s="971"/>
      <c r="JRK49" s="971"/>
      <c r="JRL49" s="971"/>
      <c r="JRM49" s="971"/>
      <c r="JRN49" s="971"/>
      <c r="JRO49" s="971"/>
      <c r="JRP49" s="971"/>
      <c r="JRQ49" s="971"/>
      <c r="JRR49" s="971"/>
      <c r="JRS49" s="971"/>
      <c r="JRT49" s="971"/>
      <c r="JRU49" s="971"/>
      <c r="JRV49" s="971"/>
      <c r="JRW49" s="971"/>
      <c r="JRX49" s="971"/>
      <c r="JRY49" s="971"/>
      <c r="JRZ49" s="971"/>
      <c r="JSA49" s="971"/>
      <c r="JSB49" s="971"/>
      <c r="JSC49" s="971"/>
      <c r="JSD49" s="971"/>
      <c r="JSE49" s="971"/>
      <c r="JSF49" s="971"/>
      <c r="JSG49" s="971"/>
      <c r="JSH49" s="971"/>
      <c r="JSI49" s="971"/>
      <c r="JSJ49" s="971"/>
      <c r="JSK49" s="971"/>
      <c r="JSL49" s="971"/>
      <c r="JSM49" s="971"/>
      <c r="JSN49" s="971"/>
      <c r="JSO49" s="971"/>
      <c r="JSP49" s="971"/>
      <c r="JSQ49" s="971"/>
      <c r="JSR49" s="971"/>
      <c r="JSS49" s="971"/>
      <c r="JST49" s="971"/>
      <c r="JSU49" s="971"/>
      <c r="JSV49" s="971"/>
      <c r="JSW49" s="971"/>
      <c r="JSX49" s="971"/>
      <c r="JSY49" s="971"/>
      <c r="JSZ49" s="971"/>
      <c r="JTA49" s="971"/>
      <c r="JTB49" s="971"/>
      <c r="JTC49" s="971"/>
      <c r="JTD49" s="971"/>
      <c r="JTE49" s="971"/>
      <c r="JTF49" s="971"/>
      <c r="JTG49" s="971"/>
      <c r="JTH49" s="971"/>
      <c r="JTI49" s="971"/>
      <c r="JTJ49" s="971"/>
      <c r="JTK49" s="971"/>
      <c r="JTL49" s="971"/>
      <c r="JTM49" s="971"/>
      <c r="JTN49" s="971"/>
      <c r="JTO49" s="971"/>
      <c r="JTP49" s="971"/>
      <c r="JTQ49" s="971"/>
      <c r="JTR49" s="971"/>
      <c r="JTS49" s="971"/>
      <c r="JTT49" s="971"/>
      <c r="JTU49" s="971"/>
      <c r="JTV49" s="971"/>
      <c r="JTW49" s="971"/>
      <c r="JTX49" s="971"/>
      <c r="JTY49" s="971"/>
      <c r="JTZ49" s="971"/>
      <c r="JUA49" s="971"/>
      <c r="JUB49" s="971"/>
      <c r="JUC49" s="971"/>
      <c r="JUD49" s="971"/>
      <c r="JUE49" s="971"/>
      <c r="JUF49" s="971"/>
      <c r="JUG49" s="971"/>
      <c r="JUH49" s="971"/>
      <c r="JUI49" s="971"/>
      <c r="JUJ49" s="971"/>
      <c r="JUK49" s="971"/>
      <c r="JUL49" s="971"/>
      <c r="JUM49" s="971"/>
      <c r="JUN49" s="971"/>
      <c r="JUO49" s="971"/>
      <c r="JUP49" s="971"/>
      <c r="JUQ49" s="971"/>
      <c r="JUR49" s="971"/>
      <c r="JUS49" s="971"/>
      <c r="JUT49" s="971"/>
      <c r="JUU49" s="971"/>
      <c r="JUV49" s="971"/>
      <c r="JUW49" s="971"/>
      <c r="JUX49" s="971"/>
      <c r="JUY49" s="971"/>
      <c r="JUZ49" s="971"/>
      <c r="JVA49" s="971"/>
      <c r="JVB49" s="971"/>
      <c r="JVC49" s="971"/>
      <c r="JVD49" s="971"/>
      <c r="JVE49" s="971"/>
      <c r="JVF49" s="971"/>
      <c r="JVG49" s="971"/>
      <c r="JVH49" s="971"/>
      <c r="JVI49" s="971"/>
      <c r="JVJ49" s="971"/>
      <c r="JVK49" s="971"/>
      <c r="JVL49" s="971"/>
      <c r="JVM49" s="971"/>
      <c r="JVN49" s="971"/>
      <c r="JVO49" s="971"/>
      <c r="JVP49" s="971"/>
      <c r="JVQ49" s="971"/>
      <c r="JVR49" s="971"/>
      <c r="JVS49" s="971"/>
      <c r="JVT49" s="971"/>
      <c r="JVU49" s="971"/>
      <c r="JVV49" s="971"/>
      <c r="JVW49" s="971"/>
      <c r="JVX49" s="971"/>
      <c r="JVY49" s="971"/>
      <c r="JVZ49" s="971"/>
      <c r="JWA49" s="971"/>
      <c r="JWB49" s="971"/>
      <c r="JWC49" s="971"/>
      <c r="JWD49" s="971"/>
      <c r="JWE49" s="971"/>
      <c r="JWF49" s="971"/>
      <c r="JWG49" s="971"/>
      <c r="JWH49" s="971"/>
      <c r="JWI49" s="971"/>
      <c r="JWJ49" s="971"/>
      <c r="JWK49" s="971"/>
      <c r="JWL49" s="971"/>
      <c r="JWM49" s="971"/>
      <c r="JWN49" s="971"/>
      <c r="JWO49" s="971"/>
      <c r="JWP49" s="971"/>
      <c r="JWQ49" s="971"/>
      <c r="JWR49" s="971"/>
      <c r="JWS49" s="971"/>
      <c r="JWT49" s="971"/>
      <c r="JWU49" s="971"/>
      <c r="JWV49" s="971"/>
      <c r="JWW49" s="971"/>
      <c r="JWX49" s="971"/>
      <c r="JWY49" s="971"/>
      <c r="JWZ49" s="971"/>
      <c r="JXA49" s="971"/>
      <c r="JXB49" s="971"/>
      <c r="JXC49" s="971"/>
      <c r="JXD49" s="971"/>
      <c r="JXE49" s="971"/>
      <c r="JXF49" s="971"/>
      <c r="JXG49" s="971"/>
      <c r="JXH49" s="971"/>
      <c r="JXI49" s="971"/>
      <c r="JXJ49" s="971"/>
      <c r="JXK49" s="971"/>
      <c r="JXL49" s="971"/>
      <c r="JXM49" s="971"/>
      <c r="JXN49" s="971"/>
      <c r="JXO49" s="971"/>
      <c r="JXP49" s="971"/>
      <c r="JXQ49" s="971"/>
      <c r="JXR49" s="971"/>
      <c r="JXS49" s="971"/>
      <c r="JXT49" s="971"/>
      <c r="JXU49" s="971"/>
      <c r="JXV49" s="971"/>
      <c r="JXW49" s="971"/>
      <c r="JXX49" s="971"/>
      <c r="JXY49" s="971"/>
      <c r="JXZ49" s="971"/>
      <c r="JYA49" s="971"/>
      <c r="JYB49" s="971"/>
      <c r="JYC49" s="971"/>
      <c r="JYD49" s="971"/>
      <c r="JYE49" s="971"/>
      <c r="JYF49" s="971"/>
      <c r="JYG49" s="971"/>
      <c r="JYH49" s="971"/>
      <c r="JYI49" s="971"/>
      <c r="JYJ49" s="971"/>
      <c r="JYK49" s="971"/>
      <c r="JYL49" s="971"/>
      <c r="JYM49" s="971"/>
      <c r="JYN49" s="971"/>
      <c r="JYO49" s="971"/>
      <c r="JYP49" s="971"/>
      <c r="JYQ49" s="971"/>
      <c r="JYR49" s="971"/>
      <c r="JYS49" s="971"/>
      <c r="JYT49" s="971"/>
      <c r="JYU49" s="971"/>
      <c r="JYV49" s="971"/>
      <c r="JYW49" s="971"/>
      <c r="JYX49" s="971"/>
      <c r="JYY49" s="971"/>
      <c r="JYZ49" s="971"/>
      <c r="JZA49" s="971"/>
      <c r="JZB49" s="971"/>
      <c r="JZC49" s="971"/>
      <c r="JZD49" s="971"/>
      <c r="JZE49" s="971"/>
      <c r="JZF49" s="971"/>
      <c r="JZG49" s="971"/>
      <c r="JZH49" s="971"/>
      <c r="JZI49" s="971"/>
      <c r="JZJ49" s="971"/>
      <c r="JZK49" s="971"/>
      <c r="JZL49" s="971"/>
      <c r="JZM49" s="971"/>
      <c r="JZN49" s="971"/>
      <c r="JZO49" s="971"/>
      <c r="JZP49" s="971"/>
      <c r="JZQ49" s="971"/>
      <c r="JZR49" s="971"/>
      <c r="JZS49" s="971"/>
      <c r="JZT49" s="971"/>
      <c r="JZU49" s="971"/>
      <c r="JZV49" s="971"/>
      <c r="JZW49" s="971"/>
      <c r="JZX49" s="971"/>
      <c r="JZY49" s="971"/>
      <c r="JZZ49" s="971"/>
      <c r="KAA49" s="971"/>
      <c r="KAB49" s="971"/>
      <c r="KAC49" s="971"/>
      <c r="KAD49" s="971"/>
      <c r="KAE49" s="971"/>
      <c r="KAF49" s="971"/>
      <c r="KAG49" s="971"/>
      <c r="KAH49" s="971"/>
      <c r="KAI49" s="971"/>
      <c r="KAJ49" s="971"/>
      <c r="KAK49" s="971"/>
      <c r="KAL49" s="971"/>
      <c r="KAM49" s="971"/>
      <c r="KAN49" s="971"/>
      <c r="KAO49" s="971"/>
      <c r="KAP49" s="971"/>
      <c r="KAQ49" s="971"/>
      <c r="KAR49" s="971"/>
      <c r="KAS49" s="971"/>
      <c r="KAT49" s="971"/>
      <c r="KAU49" s="971"/>
      <c r="KAV49" s="971"/>
      <c r="KAW49" s="971"/>
      <c r="KAX49" s="971"/>
      <c r="KAY49" s="971"/>
      <c r="KAZ49" s="971"/>
      <c r="KBA49" s="971"/>
      <c r="KBB49" s="971"/>
      <c r="KBC49" s="971"/>
      <c r="KBD49" s="971"/>
      <c r="KBE49" s="971"/>
      <c r="KBF49" s="971"/>
      <c r="KBG49" s="971"/>
      <c r="KBH49" s="971"/>
      <c r="KBI49" s="971"/>
      <c r="KBJ49" s="971"/>
      <c r="KBK49" s="971"/>
      <c r="KBL49" s="971"/>
      <c r="KBM49" s="971"/>
      <c r="KBN49" s="971"/>
      <c r="KBO49" s="971"/>
      <c r="KBP49" s="971"/>
      <c r="KBQ49" s="971"/>
      <c r="KBR49" s="971"/>
      <c r="KBS49" s="971"/>
      <c r="KBT49" s="971"/>
      <c r="KBU49" s="971"/>
      <c r="KBV49" s="971"/>
      <c r="KBW49" s="971"/>
      <c r="KBX49" s="971"/>
      <c r="KBY49" s="971"/>
      <c r="KBZ49" s="971"/>
      <c r="KCA49" s="971"/>
      <c r="KCB49" s="971"/>
      <c r="KCC49" s="971"/>
      <c r="KCD49" s="971"/>
      <c r="KCE49" s="971"/>
      <c r="KCF49" s="971"/>
      <c r="KCG49" s="971"/>
      <c r="KCH49" s="971"/>
      <c r="KCI49" s="971"/>
      <c r="KCJ49" s="971"/>
      <c r="KCK49" s="971"/>
      <c r="KCL49" s="971"/>
      <c r="KCM49" s="971"/>
      <c r="KCN49" s="971"/>
      <c r="KCO49" s="971"/>
      <c r="KCP49" s="971"/>
      <c r="KCQ49" s="971"/>
      <c r="KCR49" s="971"/>
      <c r="KCS49" s="971"/>
      <c r="KCT49" s="971"/>
      <c r="KCU49" s="971"/>
      <c r="KCV49" s="971"/>
      <c r="KCW49" s="971"/>
      <c r="KCX49" s="971"/>
      <c r="KCY49" s="971"/>
      <c r="KCZ49" s="971"/>
      <c r="KDA49" s="971"/>
      <c r="KDB49" s="971"/>
      <c r="KDC49" s="971"/>
      <c r="KDD49" s="971"/>
      <c r="KDE49" s="971"/>
      <c r="KDF49" s="971"/>
      <c r="KDG49" s="971"/>
      <c r="KDH49" s="971"/>
      <c r="KDI49" s="971"/>
      <c r="KDJ49" s="971"/>
      <c r="KDK49" s="971"/>
      <c r="KDL49" s="971"/>
      <c r="KDM49" s="971"/>
      <c r="KDN49" s="971"/>
      <c r="KDO49" s="971"/>
      <c r="KDP49" s="971"/>
      <c r="KDQ49" s="971"/>
      <c r="KDR49" s="971"/>
      <c r="KDS49" s="971"/>
      <c r="KDT49" s="971"/>
      <c r="KDU49" s="971"/>
      <c r="KDV49" s="971"/>
      <c r="KDW49" s="971"/>
      <c r="KDX49" s="971"/>
      <c r="KDY49" s="971"/>
      <c r="KDZ49" s="971"/>
      <c r="KEA49" s="971"/>
      <c r="KEB49" s="971"/>
      <c r="KEC49" s="971"/>
      <c r="KED49" s="971"/>
      <c r="KEE49" s="971"/>
      <c r="KEF49" s="971"/>
      <c r="KEG49" s="971"/>
      <c r="KEH49" s="971"/>
      <c r="KEI49" s="971"/>
      <c r="KEJ49" s="971"/>
      <c r="KEK49" s="971"/>
      <c r="KEL49" s="971"/>
      <c r="KEM49" s="971"/>
      <c r="KEN49" s="971"/>
      <c r="KEO49" s="971"/>
      <c r="KEP49" s="971"/>
      <c r="KEQ49" s="971"/>
      <c r="KER49" s="971"/>
      <c r="KES49" s="971"/>
      <c r="KET49" s="971"/>
      <c r="KEU49" s="971"/>
      <c r="KEV49" s="971"/>
      <c r="KEW49" s="971"/>
      <c r="KEX49" s="971"/>
      <c r="KEY49" s="971"/>
      <c r="KEZ49" s="971"/>
      <c r="KFA49" s="971"/>
      <c r="KFB49" s="971"/>
      <c r="KFC49" s="971"/>
      <c r="KFD49" s="971"/>
      <c r="KFE49" s="971"/>
      <c r="KFF49" s="971"/>
      <c r="KFG49" s="971"/>
      <c r="KFH49" s="971"/>
      <c r="KFI49" s="971"/>
      <c r="KFJ49" s="971"/>
      <c r="KFK49" s="971"/>
      <c r="KFL49" s="971"/>
      <c r="KFM49" s="971"/>
      <c r="KFN49" s="971"/>
      <c r="KFO49" s="971"/>
      <c r="KFP49" s="971"/>
      <c r="KFQ49" s="971"/>
      <c r="KFR49" s="971"/>
      <c r="KFS49" s="971"/>
      <c r="KFT49" s="971"/>
      <c r="KFU49" s="971"/>
      <c r="KFV49" s="971"/>
      <c r="KFW49" s="971"/>
      <c r="KFX49" s="971"/>
      <c r="KFY49" s="971"/>
      <c r="KFZ49" s="971"/>
      <c r="KGA49" s="971"/>
      <c r="KGB49" s="971"/>
      <c r="KGC49" s="971"/>
      <c r="KGD49" s="971"/>
      <c r="KGE49" s="971"/>
      <c r="KGF49" s="971"/>
      <c r="KGG49" s="971"/>
      <c r="KGH49" s="971"/>
      <c r="KGI49" s="971"/>
      <c r="KGJ49" s="971"/>
      <c r="KGK49" s="971"/>
      <c r="KGL49" s="971"/>
      <c r="KGM49" s="971"/>
      <c r="KGN49" s="971"/>
      <c r="KGO49" s="971"/>
      <c r="KGP49" s="971"/>
      <c r="KGQ49" s="971"/>
      <c r="KGR49" s="971"/>
      <c r="KGS49" s="971"/>
      <c r="KGT49" s="971"/>
      <c r="KGU49" s="971"/>
      <c r="KGV49" s="971"/>
      <c r="KGW49" s="971"/>
      <c r="KGX49" s="971"/>
      <c r="KGY49" s="971"/>
      <c r="KGZ49" s="971"/>
      <c r="KHA49" s="971"/>
      <c r="KHB49" s="971"/>
      <c r="KHC49" s="971"/>
      <c r="KHD49" s="971"/>
      <c r="KHE49" s="971"/>
      <c r="KHF49" s="971"/>
      <c r="KHG49" s="971"/>
      <c r="KHH49" s="971"/>
      <c r="KHI49" s="971"/>
      <c r="KHJ49" s="971"/>
      <c r="KHK49" s="971"/>
      <c r="KHL49" s="971"/>
      <c r="KHM49" s="971"/>
      <c r="KHN49" s="971"/>
      <c r="KHO49" s="971"/>
      <c r="KHP49" s="971"/>
      <c r="KHQ49" s="971"/>
      <c r="KHR49" s="971"/>
      <c r="KHS49" s="971"/>
      <c r="KHT49" s="971"/>
      <c r="KHU49" s="971"/>
      <c r="KHV49" s="971"/>
      <c r="KHW49" s="971"/>
      <c r="KHX49" s="971"/>
      <c r="KHY49" s="971"/>
      <c r="KHZ49" s="971"/>
      <c r="KIA49" s="971"/>
      <c r="KIB49" s="971"/>
      <c r="KIC49" s="971"/>
      <c r="KID49" s="971"/>
      <c r="KIE49" s="971"/>
      <c r="KIF49" s="971"/>
      <c r="KIG49" s="971"/>
      <c r="KIH49" s="971"/>
      <c r="KII49" s="971"/>
      <c r="KIJ49" s="971"/>
      <c r="KIK49" s="971"/>
      <c r="KIL49" s="971"/>
      <c r="KIM49" s="971"/>
      <c r="KIN49" s="971"/>
      <c r="KIO49" s="971"/>
      <c r="KIP49" s="971"/>
      <c r="KIQ49" s="971"/>
      <c r="KIR49" s="971"/>
      <c r="KIS49" s="971"/>
      <c r="KIT49" s="971"/>
      <c r="KIU49" s="971"/>
      <c r="KIV49" s="971"/>
      <c r="KIW49" s="971"/>
      <c r="KIX49" s="971"/>
      <c r="KIY49" s="971"/>
      <c r="KIZ49" s="971"/>
      <c r="KJA49" s="971"/>
      <c r="KJB49" s="971"/>
      <c r="KJC49" s="971"/>
      <c r="KJD49" s="971"/>
      <c r="KJE49" s="971"/>
      <c r="KJF49" s="971"/>
      <c r="KJG49" s="971"/>
      <c r="KJH49" s="971"/>
      <c r="KJI49" s="971"/>
      <c r="KJJ49" s="971"/>
      <c r="KJK49" s="971"/>
      <c r="KJL49" s="971"/>
      <c r="KJM49" s="971"/>
      <c r="KJN49" s="971"/>
      <c r="KJO49" s="971"/>
      <c r="KJP49" s="971"/>
      <c r="KJQ49" s="971"/>
      <c r="KJR49" s="971"/>
      <c r="KJS49" s="971"/>
      <c r="KJT49" s="971"/>
      <c r="KJU49" s="971"/>
      <c r="KJV49" s="971"/>
      <c r="KJW49" s="971"/>
      <c r="KJX49" s="971"/>
      <c r="KJY49" s="971"/>
      <c r="KJZ49" s="971"/>
      <c r="KKA49" s="971"/>
      <c r="KKB49" s="971"/>
      <c r="KKC49" s="971"/>
      <c r="KKD49" s="971"/>
      <c r="KKE49" s="971"/>
      <c r="KKF49" s="971"/>
      <c r="KKG49" s="971"/>
      <c r="KKH49" s="971"/>
      <c r="KKI49" s="971"/>
      <c r="KKJ49" s="971"/>
      <c r="KKK49" s="971"/>
      <c r="KKL49" s="971"/>
      <c r="KKM49" s="971"/>
      <c r="KKN49" s="971"/>
      <c r="KKO49" s="971"/>
      <c r="KKP49" s="971"/>
      <c r="KKQ49" s="971"/>
      <c r="KKR49" s="971"/>
      <c r="KKS49" s="971"/>
      <c r="KKT49" s="971"/>
      <c r="KKU49" s="971"/>
      <c r="KKV49" s="971"/>
      <c r="KKW49" s="971"/>
      <c r="KKX49" s="971"/>
      <c r="KKY49" s="971"/>
      <c r="KKZ49" s="971"/>
      <c r="KLA49" s="971"/>
      <c r="KLB49" s="971"/>
      <c r="KLC49" s="971"/>
      <c r="KLD49" s="971"/>
      <c r="KLE49" s="971"/>
      <c r="KLF49" s="971"/>
      <c r="KLG49" s="971"/>
      <c r="KLH49" s="971"/>
      <c r="KLI49" s="971"/>
      <c r="KLJ49" s="971"/>
      <c r="KLK49" s="971"/>
      <c r="KLL49" s="971"/>
      <c r="KLM49" s="971"/>
      <c r="KLN49" s="971"/>
      <c r="KLO49" s="971"/>
      <c r="KLP49" s="971"/>
      <c r="KLQ49" s="971"/>
      <c r="KLR49" s="971"/>
      <c r="KLS49" s="971"/>
      <c r="KLT49" s="971"/>
      <c r="KLU49" s="971"/>
      <c r="KLV49" s="971"/>
      <c r="KLW49" s="971"/>
      <c r="KLX49" s="971"/>
      <c r="KLY49" s="971"/>
      <c r="KLZ49" s="971"/>
      <c r="KMA49" s="971"/>
      <c r="KMB49" s="971"/>
      <c r="KMC49" s="971"/>
      <c r="KMD49" s="971"/>
      <c r="KME49" s="971"/>
      <c r="KMF49" s="971"/>
      <c r="KMG49" s="971"/>
      <c r="KMH49" s="971"/>
      <c r="KMI49" s="971"/>
      <c r="KMJ49" s="971"/>
      <c r="KMK49" s="971"/>
      <c r="KML49" s="971"/>
      <c r="KMM49" s="971"/>
      <c r="KMN49" s="971"/>
      <c r="KMO49" s="971"/>
      <c r="KMP49" s="971"/>
      <c r="KMQ49" s="971"/>
      <c r="KMR49" s="971"/>
      <c r="KMS49" s="971"/>
      <c r="KMT49" s="971"/>
      <c r="KMU49" s="971"/>
      <c r="KMV49" s="971"/>
      <c r="KMW49" s="971"/>
      <c r="KMX49" s="971"/>
      <c r="KMY49" s="971"/>
      <c r="KMZ49" s="971"/>
      <c r="KNA49" s="971"/>
      <c r="KNB49" s="971"/>
      <c r="KNC49" s="971"/>
      <c r="KND49" s="971"/>
      <c r="KNE49" s="971"/>
      <c r="KNF49" s="971"/>
      <c r="KNG49" s="971"/>
      <c r="KNH49" s="971"/>
      <c r="KNI49" s="971"/>
      <c r="KNJ49" s="971"/>
      <c r="KNK49" s="971"/>
      <c r="KNL49" s="971"/>
      <c r="KNM49" s="971"/>
      <c r="KNN49" s="971"/>
      <c r="KNO49" s="971"/>
      <c r="KNP49" s="971"/>
      <c r="KNQ49" s="971"/>
      <c r="KNR49" s="971"/>
      <c r="KNS49" s="971"/>
      <c r="KNT49" s="971"/>
      <c r="KNU49" s="971"/>
      <c r="KNV49" s="971"/>
      <c r="KNW49" s="971"/>
      <c r="KNX49" s="971"/>
      <c r="KNY49" s="971"/>
      <c r="KNZ49" s="971"/>
      <c r="KOA49" s="971"/>
      <c r="KOB49" s="971"/>
      <c r="KOC49" s="971"/>
      <c r="KOD49" s="971"/>
      <c r="KOE49" s="971"/>
      <c r="KOF49" s="971"/>
      <c r="KOG49" s="971"/>
      <c r="KOH49" s="971"/>
      <c r="KOI49" s="971"/>
      <c r="KOJ49" s="971"/>
      <c r="KOK49" s="971"/>
      <c r="KOL49" s="971"/>
      <c r="KOM49" s="971"/>
      <c r="KON49" s="971"/>
      <c r="KOO49" s="971"/>
      <c r="KOP49" s="971"/>
      <c r="KOQ49" s="971"/>
      <c r="KOR49" s="971"/>
      <c r="KOS49" s="971"/>
      <c r="KOT49" s="971"/>
      <c r="KOU49" s="971"/>
      <c r="KOV49" s="971"/>
      <c r="KOW49" s="971"/>
      <c r="KOX49" s="971"/>
      <c r="KOY49" s="971"/>
      <c r="KOZ49" s="971"/>
      <c r="KPA49" s="971"/>
      <c r="KPB49" s="971"/>
      <c r="KPC49" s="971"/>
      <c r="KPD49" s="971"/>
      <c r="KPE49" s="971"/>
      <c r="KPF49" s="971"/>
      <c r="KPG49" s="971"/>
      <c r="KPH49" s="971"/>
      <c r="KPI49" s="971"/>
      <c r="KPJ49" s="971"/>
      <c r="KPK49" s="971"/>
      <c r="KPL49" s="971"/>
      <c r="KPM49" s="971"/>
      <c r="KPN49" s="971"/>
      <c r="KPO49" s="971"/>
      <c r="KPP49" s="971"/>
      <c r="KPQ49" s="971"/>
      <c r="KPR49" s="971"/>
      <c r="KPS49" s="971"/>
      <c r="KPT49" s="971"/>
      <c r="KPU49" s="971"/>
      <c r="KPV49" s="971"/>
      <c r="KPW49" s="971"/>
      <c r="KPX49" s="971"/>
      <c r="KPY49" s="971"/>
      <c r="KPZ49" s="971"/>
      <c r="KQA49" s="971"/>
      <c r="KQB49" s="971"/>
      <c r="KQC49" s="971"/>
      <c r="KQD49" s="971"/>
      <c r="KQE49" s="971"/>
      <c r="KQF49" s="971"/>
      <c r="KQG49" s="971"/>
      <c r="KQH49" s="971"/>
      <c r="KQI49" s="971"/>
      <c r="KQJ49" s="971"/>
      <c r="KQK49" s="971"/>
      <c r="KQL49" s="971"/>
      <c r="KQM49" s="971"/>
      <c r="KQN49" s="971"/>
      <c r="KQO49" s="971"/>
      <c r="KQP49" s="971"/>
      <c r="KQQ49" s="971"/>
      <c r="KQR49" s="971"/>
      <c r="KQS49" s="971"/>
      <c r="KQT49" s="971"/>
      <c r="KQU49" s="971"/>
      <c r="KQV49" s="971"/>
      <c r="KQW49" s="971"/>
      <c r="KQX49" s="971"/>
      <c r="KQY49" s="971"/>
      <c r="KQZ49" s="971"/>
      <c r="KRA49" s="971"/>
      <c r="KRB49" s="971"/>
      <c r="KRC49" s="971"/>
      <c r="KRD49" s="971"/>
      <c r="KRE49" s="971"/>
      <c r="KRF49" s="971"/>
      <c r="KRG49" s="971"/>
      <c r="KRH49" s="971"/>
      <c r="KRI49" s="971"/>
      <c r="KRJ49" s="971"/>
      <c r="KRK49" s="971"/>
      <c r="KRL49" s="971"/>
      <c r="KRM49" s="971"/>
      <c r="KRN49" s="971"/>
      <c r="KRO49" s="971"/>
      <c r="KRP49" s="971"/>
      <c r="KRQ49" s="971"/>
      <c r="KRR49" s="971"/>
      <c r="KRS49" s="971"/>
      <c r="KRT49" s="971"/>
      <c r="KRU49" s="971"/>
      <c r="KRV49" s="971"/>
      <c r="KRW49" s="971"/>
      <c r="KRX49" s="971"/>
      <c r="KRY49" s="971"/>
      <c r="KRZ49" s="971"/>
      <c r="KSA49" s="971"/>
      <c r="KSB49" s="971"/>
      <c r="KSC49" s="971"/>
      <c r="KSD49" s="971"/>
      <c r="KSE49" s="971"/>
      <c r="KSF49" s="971"/>
      <c r="KSG49" s="971"/>
      <c r="KSH49" s="971"/>
      <c r="KSI49" s="971"/>
      <c r="KSJ49" s="971"/>
      <c r="KSK49" s="971"/>
      <c r="KSL49" s="971"/>
      <c r="KSM49" s="971"/>
      <c r="KSN49" s="971"/>
      <c r="KSO49" s="971"/>
      <c r="KSP49" s="971"/>
      <c r="KSQ49" s="971"/>
      <c r="KSR49" s="971"/>
      <c r="KSS49" s="971"/>
      <c r="KST49" s="971"/>
      <c r="KSU49" s="971"/>
      <c r="KSV49" s="971"/>
      <c r="KSW49" s="971"/>
      <c r="KSX49" s="971"/>
      <c r="KSY49" s="971"/>
      <c r="KSZ49" s="971"/>
      <c r="KTA49" s="971"/>
      <c r="KTB49" s="971"/>
      <c r="KTC49" s="971"/>
      <c r="KTD49" s="971"/>
      <c r="KTE49" s="971"/>
      <c r="KTF49" s="971"/>
      <c r="KTG49" s="971"/>
      <c r="KTH49" s="971"/>
      <c r="KTI49" s="971"/>
      <c r="KTJ49" s="971"/>
      <c r="KTK49" s="971"/>
      <c r="KTL49" s="971"/>
      <c r="KTM49" s="971"/>
      <c r="KTN49" s="971"/>
      <c r="KTO49" s="971"/>
      <c r="KTP49" s="971"/>
      <c r="KTQ49" s="971"/>
      <c r="KTR49" s="971"/>
      <c r="KTS49" s="971"/>
      <c r="KTT49" s="971"/>
      <c r="KTU49" s="971"/>
      <c r="KTV49" s="971"/>
      <c r="KTW49" s="971"/>
      <c r="KTX49" s="971"/>
      <c r="KTY49" s="971"/>
      <c r="KTZ49" s="971"/>
      <c r="KUA49" s="971"/>
      <c r="KUB49" s="971"/>
      <c r="KUC49" s="971"/>
      <c r="KUD49" s="971"/>
      <c r="KUE49" s="971"/>
      <c r="KUF49" s="971"/>
      <c r="KUG49" s="971"/>
      <c r="KUH49" s="971"/>
      <c r="KUI49" s="971"/>
      <c r="KUJ49" s="971"/>
      <c r="KUK49" s="971"/>
      <c r="KUL49" s="971"/>
      <c r="KUM49" s="971"/>
      <c r="KUN49" s="971"/>
      <c r="KUO49" s="971"/>
      <c r="KUP49" s="971"/>
      <c r="KUQ49" s="971"/>
      <c r="KUR49" s="971"/>
      <c r="KUS49" s="971"/>
      <c r="KUT49" s="971"/>
      <c r="KUU49" s="971"/>
      <c r="KUV49" s="971"/>
      <c r="KUW49" s="971"/>
      <c r="KUX49" s="971"/>
      <c r="KUY49" s="971"/>
      <c r="KUZ49" s="971"/>
      <c r="KVA49" s="971"/>
      <c r="KVB49" s="971"/>
      <c r="KVC49" s="971"/>
      <c r="KVD49" s="971"/>
      <c r="KVE49" s="971"/>
      <c r="KVF49" s="971"/>
      <c r="KVG49" s="971"/>
      <c r="KVH49" s="971"/>
      <c r="KVI49" s="971"/>
      <c r="KVJ49" s="971"/>
      <c r="KVK49" s="971"/>
      <c r="KVL49" s="971"/>
      <c r="KVM49" s="971"/>
      <c r="KVN49" s="971"/>
      <c r="KVO49" s="971"/>
      <c r="KVP49" s="971"/>
      <c r="KVQ49" s="971"/>
      <c r="KVR49" s="971"/>
      <c r="KVS49" s="971"/>
      <c r="KVT49" s="971"/>
      <c r="KVU49" s="971"/>
      <c r="KVV49" s="971"/>
      <c r="KVW49" s="971"/>
      <c r="KVX49" s="971"/>
      <c r="KVY49" s="971"/>
      <c r="KVZ49" s="971"/>
      <c r="KWA49" s="971"/>
      <c r="KWB49" s="971"/>
      <c r="KWC49" s="971"/>
      <c r="KWD49" s="971"/>
      <c r="KWE49" s="971"/>
      <c r="KWF49" s="971"/>
      <c r="KWG49" s="971"/>
      <c r="KWH49" s="971"/>
      <c r="KWI49" s="971"/>
      <c r="KWJ49" s="971"/>
      <c r="KWK49" s="971"/>
      <c r="KWL49" s="971"/>
      <c r="KWM49" s="971"/>
      <c r="KWN49" s="971"/>
      <c r="KWO49" s="971"/>
      <c r="KWP49" s="971"/>
      <c r="KWQ49" s="971"/>
      <c r="KWR49" s="971"/>
      <c r="KWS49" s="971"/>
      <c r="KWT49" s="971"/>
      <c r="KWU49" s="971"/>
      <c r="KWV49" s="971"/>
      <c r="KWW49" s="971"/>
      <c r="KWX49" s="971"/>
      <c r="KWY49" s="971"/>
      <c r="KWZ49" s="971"/>
      <c r="KXA49" s="971"/>
      <c r="KXB49" s="971"/>
      <c r="KXC49" s="971"/>
      <c r="KXD49" s="971"/>
      <c r="KXE49" s="971"/>
      <c r="KXF49" s="971"/>
      <c r="KXG49" s="971"/>
      <c r="KXH49" s="971"/>
      <c r="KXI49" s="971"/>
      <c r="KXJ49" s="971"/>
      <c r="KXK49" s="971"/>
      <c r="KXL49" s="971"/>
      <c r="KXM49" s="971"/>
      <c r="KXN49" s="971"/>
      <c r="KXO49" s="971"/>
      <c r="KXP49" s="971"/>
      <c r="KXQ49" s="971"/>
      <c r="KXR49" s="971"/>
      <c r="KXS49" s="971"/>
      <c r="KXT49" s="971"/>
      <c r="KXU49" s="971"/>
      <c r="KXV49" s="971"/>
      <c r="KXW49" s="971"/>
      <c r="KXX49" s="971"/>
      <c r="KXY49" s="971"/>
      <c r="KXZ49" s="971"/>
      <c r="KYA49" s="971"/>
      <c r="KYB49" s="971"/>
      <c r="KYC49" s="971"/>
      <c r="KYD49" s="971"/>
      <c r="KYE49" s="971"/>
      <c r="KYF49" s="971"/>
      <c r="KYG49" s="971"/>
      <c r="KYH49" s="971"/>
      <c r="KYI49" s="971"/>
      <c r="KYJ49" s="971"/>
      <c r="KYK49" s="971"/>
      <c r="KYL49" s="971"/>
      <c r="KYM49" s="971"/>
      <c r="KYN49" s="971"/>
      <c r="KYO49" s="971"/>
      <c r="KYP49" s="971"/>
      <c r="KYQ49" s="971"/>
      <c r="KYR49" s="971"/>
      <c r="KYS49" s="971"/>
      <c r="KYT49" s="971"/>
      <c r="KYU49" s="971"/>
      <c r="KYV49" s="971"/>
      <c r="KYW49" s="971"/>
      <c r="KYX49" s="971"/>
      <c r="KYY49" s="971"/>
      <c r="KYZ49" s="971"/>
      <c r="KZA49" s="971"/>
      <c r="KZB49" s="971"/>
      <c r="KZC49" s="971"/>
      <c r="KZD49" s="971"/>
      <c r="KZE49" s="971"/>
      <c r="KZF49" s="971"/>
      <c r="KZG49" s="971"/>
      <c r="KZH49" s="971"/>
      <c r="KZI49" s="971"/>
      <c r="KZJ49" s="971"/>
      <c r="KZK49" s="971"/>
      <c r="KZL49" s="971"/>
      <c r="KZM49" s="971"/>
      <c r="KZN49" s="971"/>
      <c r="KZO49" s="971"/>
      <c r="KZP49" s="971"/>
      <c r="KZQ49" s="971"/>
      <c r="KZR49" s="971"/>
      <c r="KZS49" s="971"/>
      <c r="KZT49" s="971"/>
      <c r="KZU49" s="971"/>
      <c r="KZV49" s="971"/>
      <c r="KZW49" s="971"/>
      <c r="KZX49" s="971"/>
      <c r="KZY49" s="971"/>
      <c r="KZZ49" s="971"/>
      <c r="LAA49" s="971"/>
      <c r="LAB49" s="971"/>
      <c r="LAC49" s="971"/>
      <c r="LAD49" s="971"/>
      <c r="LAE49" s="971"/>
      <c r="LAF49" s="971"/>
      <c r="LAG49" s="971"/>
      <c r="LAH49" s="971"/>
      <c r="LAI49" s="971"/>
      <c r="LAJ49" s="971"/>
      <c r="LAK49" s="971"/>
      <c r="LAL49" s="971"/>
      <c r="LAM49" s="971"/>
      <c r="LAN49" s="971"/>
      <c r="LAO49" s="971"/>
      <c r="LAP49" s="971"/>
      <c r="LAQ49" s="971"/>
      <c r="LAR49" s="971"/>
      <c r="LAS49" s="971"/>
      <c r="LAT49" s="971"/>
      <c r="LAU49" s="971"/>
      <c r="LAV49" s="971"/>
      <c r="LAW49" s="971"/>
      <c r="LAX49" s="971"/>
      <c r="LAY49" s="971"/>
      <c r="LAZ49" s="971"/>
      <c r="LBA49" s="971"/>
      <c r="LBB49" s="971"/>
      <c r="LBC49" s="971"/>
      <c r="LBD49" s="971"/>
      <c r="LBE49" s="971"/>
      <c r="LBF49" s="971"/>
      <c r="LBG49" s="971"/>
      <c r="LBH49" s="971"/>
      <c r="LBI49" s="971"/>
      <c r="LBJ49" s="971"/>
      <c r="LBK49" s="971"/>
      <c r="LBL49" s="971"/>
      <c r="LBM49" s="971"/>
      <c r="LBN49" s="971"/>
      <c r="LBO49" s="971"/>
      <c r="LBP49" s="971"/>
      <c r="LBQ49" s="971"/>
      <c r="LBR49" s="971"/>
      <c r="LBS49" s="971"/>
      <c r="LBT49" s="971"/>
      <c r="LBU49" s="971"/>
      <c r="LBV49" s="971"/>
      <c r="LBW49" s="971"/>
      <c r="LBX49" s="971"/>
      <c r="LBY49" s="971"/>
      <c r="LBZ49" s="971"/>
      <c r="LCA49" s="971"/>
      <c r="LCB49" s="971"/>
      <c r="LCC49" s="971"/>
      <c r="LCD49" s="971"/>
      <c r="LCE49" s="971"/>
      <c r="LCF49" s="971"/>
      <c r="LCG49" s="971"/>
      <c r="LCH49" s="971"/>
      <c r="LCI49" s="971"/>
      <c r="LCJ49" s="971"/>
      <c r="LCK49" s="971"/>
      <c r="LCL49" s="971"/>
      <c r="LCM49" s="971"/>
      <c r="LCN49" s="971"/>
      <c r="LCO49" s="971"/>
      <c r="LCP49" s="971"/>
      <c r="LCQ49" s="971"/>
      <c r="LCR49" s="971"/>
      <c r="LCS49" s="971"/>
      <c r="LCT49" s="971"/>
      <c r="LCU49" s="971"/>
      <c r="LCV49" s="971"/>
      <c r="LCW49" s="971"/>
      <c r="LCX49" s="971"/>
      <c r="LCY49" s="971"/>
      <c r="LCZ49" s="971"/>
      <c r="LDA49" s="971"/>
      <c r="LDB49" s="971"/>
      <c r="LDC49" s="971"/>
      <c r="LDD49" s="971"/>
      <c r="LDE49" s="971"/>
      <c r="LDF49" s="971"/>
      <c r="LDG49" s="971"/>
      <c r="LDH49" s="971"/>
      <c r="LDI49" s="971"/>
      <c r="LDJ49" s="971"/>
      <c r="LDK49" s="971"/>
      <c r="LDL49" s="971"/>
      <c r="LDM49" s="971"/>
      <c r="LDN49" s="971"/>
      <c r="LDO49" s="971"/>
      <c r="LDP49" s="971"/>
      <c r="LDQ49" s="971"/>
      <c r="LDR49" s="971"/>
      <c r="LDS49" s="971"/>
      <c r="LDT49" s="971"/>
      <c r="LDU49" s="971"/>
      <c r="LDV49" s="971"/>
      <c r="LDW49" s="971"/>
      <c r="LDX49" s="971"/>
      <c r="LDY49" s="971"/>
      <c r="LDZ49" s="971"/>
      <c r="LEA49" s="971"/>
      <c r="LEB49" s="971"/>
      <c r="LEC49" s="971"/>
      <c r="LED49" s="971"/>
      <c r="LEE49" s="971"/>
      <c r="LEF49" s="971"/>
      <c r="LEG49" s="971"/>
      <c r="LEH49" s="971"/>
      <c r="LEI49" s="971"/>
      <c r="LEJ49" s="971"/>
      <c r="LEK49" s="971"/>
      <c r="LEL49" s="971"/>
      <c r="LEM49" s="971"/>
      <c r="LEN49" s="971"/>
      <c r="LEO49" s="971"/>
      <c r="LEP49" s="971"/>
      <c r="LEQ49" s="971"/>
      <c r="LER49" s="971"/>
      <c r="LES49" s="971"/>
      <c r="LET49" s="971"/>
      <c r="LEU49" s="971"/>
      <c r="LEV49" s="971"/>
      <c r="LEW49" s="971"/>
      <c r="LEX49" s="971"/>
      <c r="LEY49" s="971"/>
      <c r="LEZ49" s="971"/>
      <c r="LFA49" s="971"/>
      <c r="LFB49" s="971"/>
      <c r="LFC49" s="971"/>
      <c r="LFD49" s="971"/>
      <c r="LFE49" s="971"/>
      <c r="LFF49" s="971"/>
      <c r="LFG49" s="971"/>
      <c r="LFH49" s="971"/>
      <c r="LFI49" s="971"/>
      <c r="LFJ49" s="971"/>
      <c r="LFK49" s="971"/>
      <c r="LFL49" s="971"/>
      <c r="LFM49" s="971"/>
      <c r="LFN49" s="971"/>
      <c r="LFO49" s="971"/>
      <c r="LFP49" s="971"/>
      <c r="LFQ49" s="971"/>
      <c r="LFR49" s="971"/>
      <c r="LFS49" s="971"/>
      <c r="LFT49" s="971"/>
      <c r="LFU49" s="971"/>
      <c r="LFV49" s="971"/>
      <c r="LFW49" s="971"/>
      <c r="LFX49" s="971"/>
      <c r="LFY49" s="971"/>
      <c r="LFZ49" s="971"/>
      <c r="LGA49" s="971"/>
      <c r="LGB49" s="971"/>
      <c r="LGC49" s="971"/>
      <c r="LGD49" s="971"/>
      <c r="LGE49" s="971"/>
      <c r="LGF49" s="971"/>
      <c r="LGG49" s="971"/>
      <c r="LGH49" s="971"/>
      <c r="LGI49" s="971"/>
      <c r="LGJ49" s="971"/>
      <c r="LGK49" s="971"/>
      <c r="LGL49" s="971"/>
      <c r="LGM49" s="971"/>
      <c r="LGN49" s="971"/>
      <c r="LGO49" s="971"/>
      <c r="LGP49" s="971"/>
      <c r="LGQ49" s="971"/>
      <c r="LGR49" s="971"/>
      <c r="LGS49" s="971"/>
      <c r="LGT49" s="971"/>
      <c r="LGU49" s="971"/>
      <c r="LGV49" s="971"/>
      <c r="LGW49" s="971"/>
      <c r="LGX49" s="971"/>
      <c r="LGY49" s="971"/>
      <c r="LGZ49" s="971"/>
      <c r="LHA49" s="971"/>
      <c r="LHB49" s="971"/>
      <c r="LHC49" s="971"/>
      <c r="LHD49" s="971"/>
      <c r="LHE49" s="971"/>
      <c r="LHF49" s="971"/>
      <c r="LHG49" s="971"/>
      <c r="LHH49" s="971"/>
      <c r="LHI49" s="971"/>
      <c r="LHJ49" s="971"/>
      <c r="LHK49" s="971"/>
      <c r="LHL49" s="971"/>
      <c r="LHM49" s="971"/>
      <c r="LHN49" s="971"/>
      <c r="LHO49" s="971"/>
      <c r="LHP49" s="971"/>
      <c r="LHQ49" s="971"/>
      <c r="LHR49" s="971"/>
      <c r="LHS49" s="971"/>
      <c r="LHT49" s="971"/>
      <c r="LHU49" s="971"/>
      <c r="LHV49" s="971"/>
      <c r="LHW49" s="971"/>
      <c r="LHX49" s="971"/>
      <c r="LHY49" s="971"/>
      <c r="LHZ49" s="971"/>
      <c r="LIA49" s="971"/>
      <c r="LIB49" s="971"/>
      <c r="LIC49" s="971"/>
      <c r="LID49" s="971"/>
      <c r="LIE49" s="971"/>
      <c r="LIF49" s="971"/>
      <c r="LIG49" s="971"/>
      <c r="LIH49" s="971"/>
      <c r="LII49" s="971"/>
      <c r="LIJ49" s="971"/>
      <c r="LIK49" s="971"/>
      <c r="LIL49" s="971"/>
      <c r="LIM49" s="971"/>
      <c r="LIN49" s="971"/>
      <c r="LIO49" s="971"/>
      <c r="LIP49" s="971"/>
      <c r="LIQ49" s="971"/>
      <c r="LIR49" s="971"/>
      <c r="LIS49" s="971"/>
      <c r="LIT49" s="971"/>
      <c r="LIU49" s="971"/>
      <c r="LIV49" s="971"/>
      <c r="LIW49" s="971"/>
      <c r="LIX49" s="971"/>
      <c r="LIY49" s="971"/>
      <c r="LIZ49" s="971"/>
      <c r="LJA49" s="971"/>
      <c r="LJB49" s="971"/>
      <c r="LJC49" s="971"/>
      <c r="LJD49" s="971"/>
      <c r="LJE49" s="971"/>
      <c r="LJF49" s="971"/>
      <c r="LJG49" s="971"/>
      <c r="LJH49" s="971"/>
      <c r="LJI49" s="971"/>
      <c r="LJJ49" s="971"/>
      <c r="LJK49" s="971"/>
      <c r="LJL49" s="971"/>
      <c r="LJM49" s="971"/>
      <c r="LJN49" s="971"/>
      <c r="LJO49" s="971"/>
      <c r="LJP49" s="971"/>
      <c r="LJQ49" s="971"/>
      <c r="LJR49" s="971"/>
      <c r="LJS49" s="971"/>
      <c r="LJT49" s="971"/>
      <c r="LJU49" s="971"/>
      <c r="LJV49" s="971"/>
      <c r="LJW49" s="971"/>
      <c r="LJX49" s="971"/>
      <c r="LJY49" s="971"/>
      <c r="LJZ49" s="971"/>
      <c r="LKA49" s="971"/>
      <c r="LKB49" s="971"/>
      <c r="LKC49" s="971"/>
      <c r="LKD49" s="971"/>
      <c r="LKE49" s="971"/>
      <c r="LKF49" s="971"/>
      <c r="LKG49" s="971"/>
      <c r="LKH49" s="971"/>
      <c r="LKI49" s="971"/>
      <c r="LKJ49" s="971"/>
      <c r="LKK49" s="971"/>
      <c r="LKL49" s="971"/>
      <c r="LKM49" s="971"/>
      <c r="LKN49" s="971"/>
      <c r="LKO49" s="971"/>
      <c r="LKP49" s="971"/>
      <c r="LKQ49" s="971"/>
      <c r="LKR49" s="971"/>
      <c r="LKS49" s="971"/>
      <c r="LKT49" s="971"/>
      <c r="LKU49" s="971"/>
      <c r="LKV49" s="971"/>
      <c r="LKW49" s="971"/>
      <c r="LKX49" s="971"/>
      <c r="LKY49" s="971"/>
      <c r="LKZ49" s="971"/>
      <c r="LLA49" s="971"/>
      <c r="LLB49" s="971"/>
      <c r="LLC49" s="971"/>
      <c r="LLD49" s="971"/>
      <c r="LLE49" s="971"/>
      <c r="LLF49" s="971"/>
      <c r="LLG49" s="971"/>
      <c r="LLH49" s="971"/>
      <c r="LLI49" s="971"/>
      <c r="LLJ49" s="971"/>
      <c r="LLK49" s="971"/>
      <c r="LLL49" s="971"/>
      <c r="LLM49" s="971"/>
      <c r="LLN49" s="971"/>
      <c r="LLO49" s="971"/>
      <c r="LLP49" s="971"/>
      <c r="LLQ49" s="971"/>
      <c r="LLR49" s="971"/>
      <c r="LLS49" s="971"/>
      <c r="LLT49" s="971"/>
      <c r="LLU49" s="971"/>
      <c r="LLV49" s="971"/>
      <c r="LLW49" s="971"/>
      <c r="LLX49" s="971"/>
      <c r="LLY49" s="971"/>
      <c r="LLZ49" s="971"/>
      <c r="LMA49" s="971"/>
      <c r="LMB49" s="971"/>
      <c r="LMC49" s="971"/>
      <c r="LMD49" s="971"/>
      <c r="LME49" s="971"/>
      <c r="LMF49" s="971"/>
      <c r="LMG49" s="971"/>
      <c r="LMH49" s="971"/>
      <c r="LMI49" s="971"/>
      <c r="LMJ49" s="971"/>
      <c r="LMK49" s="971"/>
      <c r="LML49" s="971"/>
      <c r="LMM49" s="971"/>
      <c r="LMN49" s="971"/>
      <c r="LMO49" s="971"/>
      <c r="LMP49" s="971"/>
      <c r="LMQ49" s="971"/>
      <c r="LMR49" s="971"/>
      <c r="LMS49" s="971"/>
      <c r="LMT49" s="971"/>
      <c r="LMU49" s="971"/>
      <c r="LMV49" s="971"/>
      <c r="LMW49" s="971"/>
      <c r="LMX49" s="971"/>
      <c r="LMY49" s="971"/>
      <c r="LMZ49" s="971"/>
      <c r="LNA49" s="971"/>
      <c r="LNB49" s="971"/>
      <c r="LNC49" s="971"/>
      <c r="LND49" s="971"/>
      <c r="LNE49" s="971"/>
      <c r="LNF49" s="971"/>
      <c r="LNG49" s="971"/>
      <c r="LNH49" s="971"/>
      <c r="LNI49" s="971"/>
      <c r="LNJ49" s="971"/>
      <c r="LNK49" s="971"/>
      <c r="LNL49" s="971"/>
      <c r="LNM49" s="971"/>
      <c r="LNN49" s="971"/>
      <c r="LNO49" s="971"/>
      <c r="LNP49" s="971"/>
      <c r="LNQ49" s="971"/>
      <c r="LNR49" s="971"/>
      <c r="LNS49" s="971"/>
      <c r="LNT49" s="971"/>
      <c r="LNU49" s="971"/>
      <c r="LNV49" s="971"/>
      <c r="LNW49" s="971"/>
      <c r="LNX49" s="971"/>
      <c r="LNY49" s="971"/>
      <c r="LNZ49" s="971"/>
      <c r="LOA49" s="971"/>
      <c r="LOB49" s="971"/>
      <c r="LOC49" s="971"/>
      <c r="LOD49" s="971"/>
      <c r="LOE49" s="971"/>
      <c r="LOF49" s="971"/>
      <c r="LOG49" s="971"/>
      <c r="LOH49" s="971"/>
      <c r="LOI49" s="971"/>
      <c r="LOJ49" s="971"/>
      <c r="LOK49" s="971"/>
      <c r="LOL49" s="971"/>
      <c r="LOM49" s="971"/>
      <c r="LON49" s="971"/>
      <c r="LOO49" s="971"/>
      <c r="LOP49" s="971"/>
      <c r="LOQ49" s="971"/>
      <c r="LOR49" s="971"/>
      <c r="LOS49" s="971"/>
      <c r="LOT49" s="971"/>
      <c r="LOU49" s="971"/>
      <c r="LOV49" s="971"/>
      <c r="LOW49" s="971"/>
      <c r="LOX49" s="971"/>
      <c r="LOY49" s="971"/>
      <c r="LOZ49" s="971"/>
      <c r="LPA49" s="971"/>
      <c r="LPB49" s="971"/>
      <c r="LPC49" s="971"/>
      <c r="LPD49" s="971"/>
      <c r="LPE49" s="971"/>
      <c r="LPF49" s="971"/>
      <c r="LPG49" s="971"/>
      <c r="LPH49" s="971"/>
      <c r="LPI49" s="971"/>
      <c r="LPJ49" s="971"/>
      <c r="LPK49" s="971"/>
      <c r="LPL49" s="971"/>
      <c r="LPM49" s="971"/>
      <c r="LPN49" s="971"/>
      <c r="LPO49" s="971"/>
      <c r="LPP49" s="971"/>
      <c r="LPQ49" s="971"/>
      <c r="LPR49" s="971"/>
      <c r="LPS49" s="971"/>
      <c r="LPT49" s="971"/>
      <c r="LPU49" s="971"/>
      <c r="LPV49" s="971"/>
      <c r="LPW49" s="971"/>
      <c r="LPX49" s="971"/>
      <c r="LPY49" s="971"/>
      <c r="LPZ49" s="971"/>
      <c r="LQA49" s="971"/>
      <c r="LQB49" s="971"/>
      <c r="LQC49" s="971"/>
      <c r="LQD49" s="971"/>
      <c r="LQE49" s="971"/>
      <c r="LQF49" s="971"/>
      <c r="LQG49" s="971"/>
      <c r="LQH49" s="971"/>
      <c r="LQI49" s="971"/>
      <c r="LQJ49" s="971"/>
      <c r="LQK49" s="971"/>
      <c r="LQL49" s="971"/>
      <c r="LQM49" s="971"/>
      <c r="LQN49" s="971"/>
      <c r="LQO49" s="971"/>
      <c r="LQP49" s="971"/>
      <c r="LQQ49" s="971"/>
      <c r="LQR49" s="971"/>
      <c r="LQS49" s="971"/>
      <c r="LQT49" s="971"/>
      <c r="LQU49" s="971"/>
      <c r="LQV49" s="971"/>
      <c r="LQW49" s="971"/>
      <c r="LQX49" s="971"/>
      <c r="LQY49" s="971"/>
      <c r="LQZ49" s="971"/>
      <c r="LRA49" s="971"/>
      <c r="LRB49" s="971"/>
      <c r="LRC49" s="971"/>
      <c r="LRD49" s="971"/>
      <c r="LRE49" s="971"/>
      <c r="LRF49" s="971"/>
      <c r="LRG49" s="971"/>
      <c r="LRH49" s="971"/>
      <c r="LRI49" s="971"/>
      <c r="LRJ49" s="971"/>
      <c r="LRK49" s="971"/>
      <c r="LRL49" s="971"/>
      <c r="LRM49" s="971"/>
      <c r="LRN49" s="971"/>
      <c r="LRO49" s="971"/>
      <c r="LRP49" s="971"/>
      <c r="LRQ49" s="971"/>
      <c r="LRR49" s="971"/>
      <c r="LRS49" s="971"/>
      <c r="LRT49" s="971"/>
      <c r="LRU49" s="971"/>
      <c r="LRV49" s="971"/>
      <c r="LRW49" s="971"/>
      <c r="LRX49" s="971"/>
      <c r="LRY49" s="971"/>
      <c r="LRZ49" s="971"/>
      <c r="LSA49" s="971"/>
      <c r="LSB49" s="971"/>
      <c r="LSC49" s="971"/>
      <c r="LSD49" s="971"/>
      <c r="LSE49" s="971"/>
      <c r="LSF49" s="971"/>
      <c r="LSG49" s="971"/>
      <c r="LSH49" s="971"/>
      <c r="LSI49" s="971"/>
      <c r="LSJ49" s="971"/>
      <c r="LSK49" s="971"/>
      <c r="LSL49" s="971"/>
      <c r="LSM49" s="971"/>
      <c r="LSN49" s="971"/>
      <c r="LSO49" s="971"/>
      <c r="LSP49" s="971"/>
      <c r="LSQ49" s="971"/>
      <c r="LSR49" s="971"/>
      <c r="LSS49" s="971"/>
      <c r="LST49" s="971"/>
      <c r="LSU49" s="971"/>
      <c r="LSV49" s="971"/>
      <c r="LSW49" s="971"/>
      <c r="LSX49" s="971"/>
      <c r="LSY49" s="971"/>
      <c r="LSZ49" s="971"/>
      <c r="LTA49" s="971"/>
      <c r="LTB49" s="971"/>
      <c r="LTC49" s="971"/>
      <c r="LTD49" s="971"/>
      <c r="LTE49" s="971"/>
      <c r="LTF49" s="971"/>
      <c r="LTG49" s="971"/>
      <c r="LTH49" s="971"/>
      <c r="LTI49" s="971"/>
      <c r="LTJ49" s="971"/>
      <c r="LTK49" s="971"/>
      <c r="LTL49" s="971"/>
      <c r="LTM49" s="971"/>
      <c r="LTN49" s="971"/>
      <c r="LTO49" s="971"/>
      <c r="LTP49" s="971"/>
      <c r="LTQ49" s="971"/>
      <c r="LTR49" s="971"/>
      <c r="LTS49" s="971"/>
      <c r="LTT49" s="971"/>
      <c r="LTU49" s="971"/>
      <c r="LTV49" s="971"/>
      <c r="LTW49" s="971"/>
      <c r="LTX49" s="971"/>
      <c r="LTY49" s="971"/>
      <c r="LTZ49" s="971"/>
      <c r="LUA49" s="971"/>
      <c r="LUB49" s="971"/>
      <c r="LUC49" s="971"/>
      <c r="LUD49" s="971"/>
      <c r="LUE49" s="971"/>
      <c r="LUF49" s="971"/>
      <c r="LUG49" s="971"/>
      <c r="LUH49" s="971"/>
      <c r="LUI49" s="971"/>
      <c r="LUJ49" s="971"/>
      <c r="LUK49" s="971"/>
      <c r="LUL49" s="971"/>
      <c r="LUM49" s="971"/>
      <c r="LUN49" s="971"/>
      <c r="LUO49" s="971"/>
      <c r="LUP49" s="971"/>
      <c r="LUQ49" s="971"/>
      <c r="LUR49" s="971"/>
      <c r="LUS49" s="971"/>
      <c r="LUT49" s="971"/>
      <c r="LUU49" s="971"/>
      <c r="LUV49" s="971"/>
      <c r="LUW49" s="971"/>
      <c r="LUX49" s="971"/>
      <c r="LUY49" s="971"/>
      <c r="LUZ49" s="971"/>
      <c r="LVA49" s="971"/>
      <c r="LVB49" s="971"/>
      <c r="LVC49" s="971"/>
      <c r="LVD49" s="971"/>
      <c r="LVE49" s="971"/>
      <c r="LVF49" s="971"/>
      <c r="LVG49" s="971"/>
      <c r="LVH49" s="971"/>
      <c r="LVI49" s="971"/>
      <c r="LVJ49" s="971"/>
      <c r="LVK49" s="971"/>
      <c r="LVL49" s="971"/>
      <c r="LVM49" s="971"/>
      <c r="LVN49" s="971"/>
      <c r="LVO49" s="971"/>
      <c r="LVP49" s="971"/>
      <c r="LVQ49" s="971"/>
      <c r="LVR49" s="971"/>
      <c r="LVS49" s="971"/>
      <c r="LVT49" s="971"/>
      <c r="LVU49" s="971"/>
      <c r="LVV49" s="971"/>
      <c r="LVW49" s="971"/>
      <c r="LVX49" s="971"/>
      <c r="LVY49" s="971"/>
      <c r="LVZ49" s="971"/>
      <c r="LWA49" s="971"/>
      <c r="LWB49" s="971"/>
      <c r="LWC49" s="971"/>
      <c r="LWD49" s="971"/>
      <c r="LWE49" s="971"/>
      <c r="LWF49" s="971"/>
      <c r="LWG49" s="971"/>
      <c r="LWH49" s="971"/>
      <c r="LWI49" s="971"/>
      <c r="LWJ49" s="971"/>
      <c r="LWK49" s="971"/>
      <c r="LWL49" s="971"/>
      <c r="LWM49" s="971"/>
      <c r="LWN49" s="971"/>
      <c r="LWO49" s="971"/>
      <c r="LWP49" s="971"/>
      <c r="LWQ49" s="971"/>
      <c r="LWR49" s="971"/>
      <c r="LWS49" s="971"/>
      <c r="LWT49" s="971"/>
      <c r="LWU49" s="971"/>
      <c r="LWV49" s="971"/>
      <c r="LWW49" s="971"/>
      <c r="LWX49" s="971"/>
      <c r="LWY49" s="971"/>
      <c r="LWZ49" s="971"/>
      <c r="LXA49" s="971"/>
      <c r="LXB49" s="971"/>
      <c r="LXC49" s="971"/>
      <c r="LXD49" s="971"/>
      <c r="LXE49" s="971"/>
      <c r="LXF49" s="971"/>
      <c r="LXG49" s="971"/>
      <c r="LXH49" s="971"/>
      <c r="LXI49" s="971"/>
      <c r="LXJ49" s="971"/>
      <c r="LXK49" s="971"/>
      <c r="LXL49" s="971"/>
      <c r="LXM49" s="971"/>
      <c r="LXN49" s="971"/>
      <c r="LXO49" s="971"/>
      <c r="LXP49" s="971"/>
      <c r="LXQ49" s="971"/>
      <c r="LXR49" s="971"/>
      <c r="LXS49" s="971"/>
      <c r="LXT49" s="971"/>
      <c r="LXU49" s="971"/>
      <c r="LXV49" s="971"/>
      <c r="LXW49" s="971"/>
      <c r="LXX49" s="971"/>
      <c r="LXY49" s="971"/>
      <c r="LXZ49" s="971"/>
      <c r="LYA49" s="971"/>
      <c r="LYB49" s="971"/>
      <c r="LYC49" s="971"/>
      <c r="LYD49" s="971"/>
      <c r="LYE49" s="971"/>
      <c r="LYF49" s="971"/>
      <c r="LYG49" s="971"/>
      <c r="LYH49" s="971"/>
      <c r="LYI49" s="971"/>
      <c r="LYJ49" s="971"/>
      <c r="LYK49" s="971"/>
      <c r="LYL49" s="971"/>
      <c r="LYM49" s="971"/>
      <c r="LYN49" s="971"/>
      <c r="LYO49" s="971"/>
      <c r="LYP49" s="971"/>
      <c r="LYQ49" s="971"/>
      <c r="LYR49" s="971"/>
      <c r="LYS49" s="971"/>
      <c r="LYT49" s="971"/>
      <c r="LYU49" s="971"/>
      <c r="LYV49" s="971"/>
      <c r="LYW49" s="971"/>
      <c r="LYX49" s="971"/>
      <c r="LYY49" s="971"/>
      <c r="LYZ49" s="971"/>
      <c r="LZA49" s="971"/>
      <c r="LZB49" s="971"/>
      <c r="LZC49" s="971"/>
      <c r="LZD49" s="971"/>
      <c r="LZE49" s="971"/>
      <c r="LZF49" s="971"/>
      <c r="LZG49" s="971"/>
      <c r="LZH49" s="971"/>
      <c r="LZI49" s="971"/>
      <c r="LZJ49" s="971"/>
      <c r="LZK49" s="971"/>
      <c r="LZL49" s="971"/>
      <c r="LZM49" s="971"/>
      <c r="LZN49" s="971"/>
      <c r="LZO49" s="971"/>
      <c r="LZP49" s="971"/>
      <c r="LZQ49" s="971"/>
      <c r="LZR49" s="971"/>
      <c r="LZS49" s="971"/>
      <c r="LZT49" s="971"/>
      <c r="LZU49" s="971"/>
      <c r="LZV49" s="971"/>
      <c r="LZW49" s="971"/>
      <c r="LZX49" s="971"/>
      <c r="LZY49" s="971"/>
      <c r="LZZ49" s="971"/>
      <c r="MAA49" s="971"/>
      <c r="MAB49" s="971"/>
      <c r="MAC49" s="971"/>
      <c r="MAD49" s="971"/>
      <c r="MAE49" s="971"/>
      <c r="MAF49" s="971"/>
      <c r="MAG49" s="971"/>
      <c r="MAH49" s="971"/>
      <c r="MAI49" s="971"/>
      <c r="MAJ49" s="971"/>
      <c r="MAK49" s="971"/>
      <c r="MAL49" s="971"/>
      <c r="MAM49" s="971"/>
      <c r="MAN49" s="971"/>
      <c r="MAO49" s="971"/>
      <c r="MAP49" s="971"/>
      <c r="MAQ49" s="971"/>
      <c r="MAR49" s="971"/>
      <c r="MAS49" s="971"/>
      <c r="MAT49" s="971"/>
      <c r="MAU49" s="971"/>
      <c r="MAV49" s="971"/>
      <c r="MAW49" s="971"/>
      <c r="MAX49" s="971"/>
      <c r="MAY49" s="971"/>
      <c r="MAZ49" s="971"/>
      <c r="MBA49" s="971"/>
      <c r="MBB49" s="971"/>
      <c r="MBC49" s="971"/>
      <c r="MBD49" s="971"/>
      <c r="MBE49" s="971"/>
      <c r="MBF49" s="971"/>
      <c r="MBG49" s="971"/>
      <c r="MBH49" s="971"/>
      <c r="MBI49" s="971"/>
      <c r="MBJ49" s="971"/>
      <c r="MBK49" s="971"/>
      <c r="MBL49" s="971"/>
      <c r="MBM49" s="971"/>
      <c r="MBN49" s="971"/>
      <c r="MBO49" s="971"/>
      <c r="MBP49" s="971"/>
      <c r="MBQ49" s="971"/>
      <c r="MBR49" s="971"/>
      <c r="MBS49" s="971"/>
      <c r="MBT49" s="971"/>
      <c r="MBU49" s="971"/>
      <c r="MBV49" s="971"/>
      <c r="MBW49" s="971"/>
      <c r="MBX49" s="971"/>
      <c r="MBY49" s="971"/>
      <c r="MBZ49" s="971"/>
      <c r="MCA49" s="971"/>
      <c r="MCB49" s="971"/>
      <c r="MCC49" s="971"/>
      <c r="MCD49" s="971"/>
      <c r="MCE49" s="971"/>
      <c r="MCF49" s="971"/>
      <c r="MCG49" s="971"/>
      <c r="MCH49" s="971"/>
      <c r="MCI49" s="971"/>
      <c r="MCJ49" s="971"/>
      <c r="MCK49" s="971"/>
      <c r="MCL49" s="971"/>
      <c r="MCM49" s="971"/>
      <c r="MCN49" s="971"/>
      <c r="MCO49" s="971"/>
      <c r="MCP49" s="971"/>
      <c r="MCQ49" s="971"/>
      <c r="MCR49" s="971"/>
      <c r="MCS49" s="971"/>
      <c r="MCT49" s="971"/>
      <c r="MCU49" s="971"/>
      <c r="MCV49" s="971"/>
      <c r="MCW49" s="971"/>
      <c r="MCX49" s="971"/>
      <c r="MCY49" s="971"/>
      <c r="MCZ49" s="971"/>
      <c r="MDA49" s="971"/>
      <c r="MDB49" s="971"/>
      <c r="MDC49" s="971"/>
      <c r="MDD49" s="971"/>
      <c r="MDE49" s="971"/>
      <c r="MDF49" s="971"/>
      <c r="MDG49" s="971"/>
      <c r="MDH49" s="971"/>
      <c r="MDI49" s="971"/>
      <c r="MDJ49" s="971"/>
      <c r="MDK49" s="971"/>
      <c r="MDL49" s="971"/>
      <c r="MDM49" s="971"/>
      <c r="MDN49" s="971"/>
      <c r="MDO49" s="971"/>
      <c r="MDP49" s="971"/>
      <c r="MDQ49" s="971"/>
      <c r="MDR49" s="971"/>
      <c r="MDS49" s="971"/>
      <c r="MDT49" s="971"/>
      <c r="MDU49" s="971"/>
      <c r="MDV49" s="971"/>
      <c r="MDW49" s="971"/>
      <c r="MDX49" s="971"/>
      <c r="MDY49" s="971"/>
      <c r="MDZ49" s="971"/>
      <c r="MEA49" s="971"/>
      <c r="MEB49" s="971"/>
      <c r="MEC49" s="971"/>
      <c r="MED49" s="971"/>
      <c r="MEE49" s="971"/>
      <c r="MEF49" s="971"/>
      <c r="MEG49" s="971"/>
      <c r="MEH49" s="971"/>
      <c r="MEI49" s="971"/>
      <c r="MEJ49" s="971"/>
      <c r="MEK49" s="971"/>
      <c r="MEL49" s="971"/>
      <c r="MEM49" s="971"/>
      <c r="MEN49" s="971"/>
      <c r="MEO49" s="971"/>
      <c r="MEP49" s="971"/>
      <c r="MEQ49" s="971"/>
      <c r="MER49" s="971"/>
      <c r="MES49" s="971"/>
      <c r="MET49" s="971"/>
      <c r="MEU49" s="971"/>
      <c r="MEV49" s="971"/>
      <c r="MEW49" s="971"/>
      <c r="MEX49" s="971"/>
      <c r="MEY49" s="971"/>
      <c r="MEZ49" s="971"/>
      <c r="MFA49" s="971"/>
      <c r="MFB49" s="971"/>
      <c r="MFC49" s="971"/>
      <c r="MFD49" s="971"/>
      <c r="MFE49" s="971"/>
      <c r="MFF49" s="971"/>
      <c r="MFG49" s="971"/>
      <c r="MFH49" s="971"/>
      <c r="MFI49" s="971"/>
      <c r="MFJ49" s="971"/>
      <c r="MFK49" s="971"/>
      <c r="MFL49" s="971"/>
      <c r="MFM49" s="971"/>
      <c r="MFN49" s="971"/>
      <c r="MFO49" s="971"/>
      <c r="MFP49" s="971"/>
      <c r="MFQ49" s="971"/>
      <c r="MFR49" s="971"/>
      <c r="MFS49" s="971"/>
      <c r="MFT49" s="971"/>
      <c r="MFU49" s="971"/>
      <c r="MFV49" s="971"/>
      <c r="MFW49" s="971"/>
      <c r="MFX49" s="971"/>
      <c r="MFY49" s="971"/>
      <c r="MFZ49" s="971"/>
      <c r="MGA49" s="971"/>
      <c r="MGB49" s="971"/>
      <c r="MGC49" s="971"/>
      <c r="MGD49" s="971"/>
      <c r="MGE49" s="971"/>
      <c r="MGF49" s="971"/>
      <c r="MGG49" s="971"/>
      <c r="MGH49" s="971"/>
      <c r="MGI49" s="971"/>
      <c r="MGJ49" s="971"/>
      <c r="MGK49" s="971"/>
      <c r="MGL49" s="971"/>
      <c r="MGM49" s="971"/>
      <c r="MGN49" s="971"/>
      <c r="MGO49" s="971"/>
      <c r="MGP49" s="971"/>
      <c r="MGQ49" s="971"/>
      <c r="MGR49" s="971"/>
      <c r="MGS49" s="971"/>
      <c r="MGT49" s="971"/>
      <c r="MGU49" s="971"/>
      <c r="MGV49" s="971"/>
      <c r="MGW49" s="971"/>
      <c r="MGX49" s="971"/>
      <c r="MGY49" s="971"/>
      <c r="MGZ49" s="971"/>
      <c r="MHA49" s="971"/>
      <c r="MHB49" s="971"/>
      <c r="MHC49" s="971"/>
      <c r="MHD49" s="971"/>
      <c r="MHE49" s="971"/>
      <c r="MHF49" s="971"/>
      <c r="MHG49" s="971"/>
      <c r="MHH49" s="971"/>
      <c r="MHI49" s="971"/>
      <c r="MHJ49" s="971"/>
      <c r="MHK49" s="971"/>
      <c r="MHL49" s="971"/>
      <c r="MHM49" s="971"/>
      <c r="MHN49" s="971"/>
      <c r="MHO49" s="971"/>
      <c r="MHP49" s="971"/>
      <c r="MHQ49" s="971"/>
      <c r="MHR49" s="971"/>
      <c r="MHS49" s="971"/>
      <c r="MHT49" s="971"/>
      <c r="MHU49" s="971"/>
      <c r="MHV49" s="971"/>
      <c r="MHW49" s="971"/>
      <c r="MHX49" s="971"/>
      <c r="MHY49" s="971"/>
      <c r="MHZ49" s="971"/>
      <c r="MIA49" s="971"/>
      <c r="MIB49" s="971"/>
      <c r="MIC49" s="971"/>
      <c r="MID49" s="971"/>
      <c r="MIE49" s="971"/>
      <c r="MIF49" s="971"/>
      <c r="MIG49" s="971"/>
      <c r="MIH49" s="971"/>
      <c r="MII49" s="971"/>
      <c r="MIJ49" s="971"/>
      <c r="MIK49" s="971"/>
      <c r="MIL49" s="971"/>
      <c r="MIM49" s="971"/>
      <c r="MIN49" s="971"/>
      <c r="MIO49" s="971"/>
      <c r="MIP49" s="971"/>
      <c r="MIQ49" s="971"/>
      <c r="MIR49" s="971"/>
      <c r="MIS49" s="971"/>
      <c r="MIT49" s="971"/>
      <c r="MIU49" s="971"/>
      <c r="MIV49" s="971"/>
      <c r="MIW49" s="971"/>
      <c r="MIX49" s="971"/>
      <c r="MIY49" s="971"/>
      <c r="MIZ49" s="971"/>
      <c r="MJA49" s="971"/>
      <c r="MJB49" s="971"/>
      <c r="MJC49" s="971"/>
      <c r="MJD49" s="971"/>
      <c r="MJE49" s="971"/>
      <c r="MJF49" s="971"/>
      <c r="MJG49" s="971"/>
      <c r="MJH49" s="971"/>
      <c r="MJI49" s="971"/>
      <c r="MJJ49" s="971"/>
      <c r="MJK49" s="971"/>
      <c r="MJL49" s="971"/>
      <c r="MJM49" s="971"/>
      <c r="MJN49" s="971"/>
      <c r="MJO49" s="971"/>
      <c r="MJP49" s="971"/>
      <c r="MJQ49" s="971"/>
      <c r="MJR49" s="971"/>
      <c r="MJS49" s="971"/>
      <c r="MJT49" s="971"/>
      <c r="MJU49" s="971"/>
      <c r="MJV49" s="971"/>
      <c r="MJW49" s="971"/>
      <c r="MJX49" s="971"/>
      <c r="MJY49" s="971"/>
      <c r="MJZ49" s="971"/>
      <c r="MKA49" s="971"/>
      <c r="MKB49" s="971"/>
      <c r="MKC49" s="971"/>
      <c r="MKD49" s="971"/>
      <c r="MKE49" s="971"/>
      <c r="MKF49" s="971"/>
      <c r="MKG49" s="971"/>
      <c r="MKH49" s="971"/>
      <c r="MKI49" s="971"/>
      <c r="MKJ49" s="971"/>
      <c r="MKK49" s="971"/>
      <c r="MKL49" s="971"/>
      <c r="MKM49" s="971"/>
      <c r="MKN49" s="971"/>
      <c r="MKO49" s="971"/>
      <c r="MKP49" s="971"/>
      <c r="MKQ49" s="971"/>
      <c r="MKR49" s="971"/>
      <c r="MKS49" s="971"/>
      <c r="MKT49" s="971"/>
      <c r="MKU49" s="971"/>
      <c r="MKV49" s="971"/>
      <c r="MKW49" s="971"/>
      <c r="MKX49" s="971"/>
      <c r="MKY49" s="971"/>
      <c r="MKZ49" s="971"/>
      <c r="MLA49" s="971"/>
      <c r="MLB49" s="971"/>
      <c r="MLC49" s="971"/>
      <c r="MLD49" s="971"/>
      <c r="MLE49" s="971"/>
      <c r="MLF49" s="971"/>
      <c r="MLG49" s="971"/>
      <c r="MLH49" s="971"/>
      <c r="MLI49" s="971"/>
      <c r="MLJ49" s="971"/>
      <c r="MLK49" s="971"/>
      <c r="MLL49" s="971"/>
      <c r="MLM49" s="971"/>
      <c r="MLN49" s="971"/>
      <c r="MLO49" s="971"/>
      <c r="MLP49" s="971"/>
      <c r="MLQ49" s="971"/>
      <c r="MLR49" s="971"/>
      <c r="MLS49" s="971"/>
      <c r="MLT49" s="971"/>
      <c r="MLU49" s="971"/>
      <c r="MLV49" s="971"/>
      <c r="MLW49" s="971"/>
      <c r="MLX49" s="971"/>
      <c r="MLY49" s="971"/>
      <c r="MLZ49" s="971"/>
      <c r="MMA49" s="971"/>
      <c r="MMB49" s="971"/>
      <c r="MMC49" s="971"/>
      <c r="MMD49" s="971"/>
      <c r="MME49" s="971"/>
      <c r="MMF49" s="971"/>
      <c r="MMG49" s="971"/>
      <c r="MMH49" s="971"/>
      <c r="MMI49" s="971"/>
      <c r="MMJ49" s="971"/>
      <c r="MMK49" s="971"/>
      <c r="MML49" s="971"/>
      <c r="MMM49" s="971"/>
      <c r="MMN49" s="971"/>
      <c r="MMO49" s="971"/>
      <c r="MMP49" s="971"/>
      <c r="MMQ49" s="971"/>
      <c r="MMR49" s="971"/>
      <c r="MMS49" s="971"/>
      <c r="MMT49" s="971"/>
      <c r="MMU49" s="971"/>
      <c r="MMV49" s="971"/>
      <c r="MMW49" s="971"/>
      <c r="MMX49" s="971"/>
      <c r="MMY49" s="971"/>
      <c r="MMZ49" s="971"/>
      <c r="MNA49" s="971"/>
      <c r="MNB49" s="971"/>
      <c r="MNC49" s="971"/>
      <c r="MND49" s="971"/>
      <c r="MNE49" s="971"/>
      <c r="MNF49" s="971"/>
      <c r="MNG49" s="971"/>
      <c r="MNH49" s="971"/>
      <c r="MNI49" s="971"/>
      <c r="MNJ49" s="971"/>
      <c r="MNK49" s="971"/>
      <c r="MNL49" s="971"/>
      <c r="MNM49" s="971"/>
      <c r="MNN49" s="971"/>
      <c r="MNO49" s="971"/>
      <c r="MNP49" s="971"/>
      <c r="MNQ49" s="971"/>
      <c r="MNR49" s="971"/>
      <c r="MNS49" s="971"/>
      <c r="MNT49" s="971"/>
      <c r="MNU49" s="971"/>
      <c r="MNV49" s="971"/>
      <c r="MNW49" s="971"/>
      <c r="MNX49" s="971"/>
      <c r="MNY49" s="971"/>
      <c r="MNZ49" s="971"/>
      <c r="MOA49" s="971"/>
      <c r="MOB49" s="971"/>
      <c r="MOC49" s="971"/>
      <c r="MOD49" s="971"/>
      <c r="MOE49" s="971"/>
      <c r="MOF49" s="971"/>
      <c r="MOG49" s="971"/>
      <c r="MOH49" s="971"/>
      <c r="MOI49" s="971"/>
      <c r="MOJ49" s="971"/>
      <c r="MOK49" s="971"/>
      <c r="MOL49" s="971"/>
      <c r="MOM49" s="971"/>
      <c r="MON49" s="971"/>
      <c r="MOO49" s="971"/>
      <c r="MOP49" s="971"/>
      <c r="MOQ49" s="971"/>
      <c r="MOR49" s="971"/>
      <c r="MOS49" s="971"/>
      <c r="MOT49" s="971"/>
      <c r="MOU49" s="971"/>
      <c r="MOV49" s="971"/>
      <c r="MOW49" s="971"/>
      <c r="MOX49" s="971"/>
      <c r="MOY49" s="971"/>
      <c r="MOZ49" s="971"/>
      <c r="MPA49" s="971"/>
      <c r="MPB49" s="971"/>
      <c r="MPC49" s="971"/>
      <c r="MPD49" s="971"/>
      <c r="MPE49" s="971"/>
      <c r="MPF49" s="971"/>
      <c r="MPG49" s="971"/>
      <c r="MPH49" s="971"/>
      <c r="MPI49" s="971"/>
      <c r="MPJ49" s="971"/>
      <c r="MPK49" s="971"/>
      <c r="MPL49" s="971"/>
      <c r="MPM49" s="971"/>
      <c r="MPN49" s="971"/>
      <c r="MPO49" s="971"/>
      <c r="MPP49" s="971"/>
      <c r="MPQ49" s="971"/>
      <c r="MPR49" s="971"/>
      <c r="MPS49" s="971"/>
      <c r="MPT49" s="971"/>
      <c r="MPU49" s="971"/>
      <c r="MPV49" s="971"/>
      <c r="MPW49" s="971"/>
      <c r="MPX49" s="971"/>
      <c r="MPY49" s="971"/>
      <c r="MPZ49" s="971"/>
      <c r="MQA49" s="971"/>
      <c r="MQB49" s="971"/>
      <c r="MQC49" s="971"/>
      <c r="MQD49" s="971"/>
      <c r="MQE49" s="971"/>
      <c r="MQF49" s="971"/>
      <c r="MQG49" s="971"/>
      <c r="MQH49" s="971"/>
      <c r="MQI49" s="971"/>
      <c r="MQJ49" s="971"/>
      <c r="MQK49" s="971"/>
      <c r="MQL49" s="971"/>
      <c r="MQM49" s="971"/>
      <c r="MQN49" s="971"/>
      <c r="MQO49" s="971"/>
      <c r="MQP49" s="971"/>
      <c r="MQQ49" s="971"/>
      <c r="MQR49" s="971"/>
      <c r="MQS49" s="971"/>
      <c r="MQT49" s="971"/>
      <c r="MQU49" s="971"/>
      <c r="MQV49" s="971"/>
      <c r="MQW49" s="971"/>
      <c r="MQX49" s="971"/>
      <c r="MQY49" s="971"/>
      <c r="MQZ49" s="971"/>
      <c r="MRA49" s="971"/>
      <c r="MRB49" s="971"/>
      <c r="MRC49" s="971"/>
      <c r="MRD49" s="971"/>
      <c r="MRE49" s="971"/>
      <c r="MRF49" s="971"/>
      <c r="MRG49" s="971"/>
      <c r="MRH49" s="971"/>
      <c r="MRI49" s="971"/>
      <c r="MRJ49" s="971"/>
      <c r="MRK49" s="971"/>
      <c r="MRL49" s="971"/>
      <c r="MRM49" s="971"/>
      <c r="MRN49" s="971"/>
      <c r="MRO49" s="971"/>
      <c r="MRP49" s="971"/>
      <c r="MRQ49" s="971"/>
      <c r="MRR49" s="971"/>
      <c r="MRS49" s="971"/>
      <c r="MRT49" s="971"/>
      <c r="MRU49" s="971"/>
      <c r="MRV49" s="971"/>
      <c r="MRW49" s="971"/>
      <c r="MRX49" s="971"/>
      <c r="MRY49" s="971"/>
      <c r="MRZ49" s="971"/>
      <c r="MSA49" s="971"/>
      <c r="MSB49" s="971"/>
      <c r="MSC49" s="971"/>
      <c r="MSD49" s="971"/>
      <c r="MSE49" s="971"/>
      <c r="MSF49" s="971"/>
      <c r="MSG49" s="971"/>
      <c r="MSH49" s="971"/>
      <c r="MSI49" s="971"/>
      <c r="MSJ49" s="971"/>
      <c r="MSK49" s="971"/>
      <c r="MSL49" s="971"/>
      <c r="MSM49" s="971"/>
      <c r="MSN49" s="971"/>
      <c r="MSO49" s="971"/>
      <c r="MSP49" s="971"/>
      <c r="MSQ49" s="971"/>
      <c r="MSR49" s="971"/>
      <c r="MSS49" s="971"/>
      <c r="MST49" s="971"/>
      <c r="MSU49" s="971"/>
      <c r="MSV49" s="971"/>
      <c r="MSW49" s="971"/>
      <c r="MSX49" s="971"/>
      <c r="MSY49" s="971"/>
      <c r="MSZ49" s="971"/>
      <c r="MTA49" s="971"/>
      <c r="MTB49" s="971"/>
      <c r="MTC49" s="971"/>
      <c r="MTD49" s="971"/>
      <c r="MTE49" s="971"/>
      <c r="MTF49" s="971"/>
      <c r="MTG49" s="971"/>
      <c r="MTH49" s="971"/>
      <c r="MTI49" s="971"/>
      <c r="MTJ49" s="971"/>
      <c r="MTK49" s="971"/>
      <c r="MTL49" s="971"/>
      <c r="MTM49" s="971"/>
      <c r="MTN49" s="971"/>
      <c r="MTO49" s="971"/>
      <c r="MTP49" s="971"/>
      <c r="MTQ49" s="971"/>
      <c r="MTR49" s="971"/>
      <c r="MTS49" s="971"/>
      <c r="MTT49" s="971"/>
      <c r="MTU49" s="971"/>
      <c r="MTV49" s="971"/>
      <c r="MTW49" s="971"/>
      <c r="MTX49" s="971"/>
      <c r="MTY49" s="971"/>
      <c r="MTZ49" s="971"/>
      <c r="MUA49" s="971"/>
      <c r="MUB49" s="971"/>
      <c r="MUC49" s="971"/>
      <c r="MUD49" s="971"/>
      <c r="MUE49" s="971"/>
      <c r="MUF49" s="971"/>
      <c r="MUG49" s="971"/>
      <c r="MUH49" s="971"/>
      <c r="MUI49" s="971"/>
      <c r="MUJ49" s="971"/>
      <c r="MUK49" s="971"/>
      <c r="MUL49" s="971"/>
      <c r="MUM49" s="971"/>
      <c r="MUN49" s="971"/>
      <c r="MUO49" s="971"/>
      <c r="MUP49" s="971"/>
      <c r="MUQ49" s="971"/>
      <c r="MUR49" s="971"/>
      <c r="MUS49" s="971"/>
      <c r="MUT49" s="971"/>
      <c r="MUU49" s="971"/>
      <c r="MUV49" s="971"/>
      <c r="MUW49" s="971"/>
      <c r="MUX49" s="971"/>
      <c r="MUY49" s="971"/>
      <c r="MUZ49" s="971"/>
      <c r="MVA49" s="971"/>
      <c r="MVB49" s="971"/>
      <c r="MVC49" s="971"/>
      <c r="MVD49" s="971"/>
      <c r="MVE49" s="971"/>
      <c r="MVF49" s="971"/>
      <c r="MVG49" s="971"/>
      <c r="MVH49" s="971"/>
      <c r="MVI49" s="971"/>
      <c r="MVJ49" s="971"/>
      <c r="MVK49" s="971"/>
      <c r="MVL49" s="971"/>
      <c r="MVM49" s="971"/>
      <c r="MVN49" s="971"/>
      <c r="MVO49" s="971"/>
      <c r="MVP49" s="971"/>
      <c r="MVQ49" s="971"/>
      <c r="MVR49" s="971"/>
      <c r="MVS49" s="971"/>
      <c r="MVT49" s="971"/>
      <c r="MVU49" s="971"/>
      <c r="MVV49" s="971"/>
      <c r="MVW49" s="971"/>
      <c r="MVX49" s="971"/>
      <c r="MVY49" s="971"/>
      <c r="MVZ49" s="971"/>
      <c r="MWA49" s="971"/>
      <c r="MWB49" s="971"/>
      <c r="MWC49" s="971"/>
      <c r="MWD49" s="971"/>
      <c r="MWE49" s="971"/>
      <c r="MWF49" s="971"/>
      <c r="MWG49" s="971"/>
      <c r="MWH49" s="971"/>
      <c r="MWI49" s="971"/>
      <c r="MWJ49" s="971"/>
      <c r="MWK49" s="971"/>
      <c r="MWL49" s="971"/>
      <c r="MWM49" s="971"/>
      <c r="MWN49" s="971"/>
      <c r="MWO49" s="971"/>
      <c r="MWP49" s="971"/>
      <c r="MWQ49" s="971"/>
      <c r="MWR49" s="971"/>
      <c r="MWS49" s="971"/>
      <c r="MWT49" s="971"/>
      <c r="MWU49" s="971"/>
      <c r="MWV49" s="971"/>
      <c r="MWW49" s="971"/>
      <c r="MWX49" s="971"/>
      <c r="MWY49" s="971"/>
      <c r="MWZ49" s="971"/>
      <c r="MXA49" s="971"/>
      <c r="MXB49" s="971"/>
      <c r="MXC49" s="971"/>
      <c r="MXD49" s="971"/>
      <c r="MXE49" s="971"/>
      <c r="MXF49" s="971"/>
      <c r="MXG49" s="971"/>
      <c r="MXH49" s="971"/>
      <c r="MXI49" s="971"/>
      <c r="MXJ49" s="971"/>
      <c r="MXK49" s="971"/>
      <c r="MXL49" s="971"/>
      <c r="MXM49" s="971"/>
      <c r="MXN49" s="971"/>
      <c r="MXO49" s="971"/>
      <c r="MXP49" s="971"/>
      <c r="MXQ49" s="971"/>
      <c r="MXR49" s="971"/>
      <c r="MXS49" s="971"/>
      <c r="MXT49" s="971"/>
      <c r="MXU49" s="971"/>
      <c r="MXV49" s="971"/>
      <c r="MXW49" s="971"/>
      <c r="MXX49" s="971"/>
      <c r="MXY49" s="971"/>
      <c r="MXZ49" s="971"/>
      <c r="MYA49" s="971"/>
      <c r="MYB49" s="971"/>
      <c r="MYC49" s="971"/>
      <c r="MYD49" s="971"/>
      <c r="MYE49" s="971"/>
      <c r="MYF49" s="971"/>
      <c r="MYG49" s="971"/>
      <c r="MYH49" s="971"/>
      <c r="MYI49" s="971"/>
      <c r="MYJ49" s="971"/>
      <c r="MYK49" s="971"/>
      <c r="MYL49" s="971"/>
      <c r="MYM49" s="971"/>
      <c r="MYN49" s="971"/>
      <c r="MYO49" s="971"/>
      <c r="MYP49" s="971"/>
      <c r="MYQ49" s="971"/>
      <c r="MYR49" s="971"/>
      <c r="MYS49" s="971"/>
      <c r="MYT49" s="971"/>
      <c r="MYU49" s="971"/>
      <c r="MYV49" s="971"/>
      <c r="MYW49" s="971"/>
      <c r="MYX49" s="971"/>
      <c r="MYY49" s="971"/>
      <c r="MYZ49" s="971"/>
      <c r="MZA49" s="971"/>
      <c r="MZB49" s="971"/>
      <c r="MZC49" s="971"/>
      <c r="MZD49" s="971"/>
      <c r="MZE49" s="971"/>
      <c r="MZF49" s="971"/>
      <c r="MZG49" s="971"/>
      <c r="MZH49" s="971"/>
      <c r="MZI49" s="971"/>
      <c r="MZJ49" s="971"/>
      <c r="MZK49" s="971"/>
      <c r="MZL49" s="971"/>
      <c r="MZM49" s="971"/>
      <c r="MZN49" s="971"/>
      <c r="MZO49" s="971"/>
      <c r="MZP49" s="971"/>
      <c r="MZQ49" s="971"/>
      <c r="MZR49" s="971"/>
      <c r="MZS49" s="971"/>
      <c r="MZT49" s="971"/>
      <c r="MZU49" s="971"/>
      <c r="MZV49" s="971"/>
      <c r="MZW49" s="971"/>
      <c r="MZX49" s="971"/>
      <c r="MZY49" s="971"/>
      <c r="MZZ49" s="971"/>
      <c r="NAA49" s="971"/>
      <c r="NAB49" s="971"/>
      <c r="NAC49" s="971"/>
      <c r="NAD49" s="971"/>
      <c r="NAE49" s="971"/>
      <c r="NAF49" s="971"/>
      <c r="NAG49" s="971"/>
      <c r="NAH49" s="971"/>
      <c r="NAI49" s="971"/>
      <c r="NAJ49" s="971"/>
      <c r="NAK49" s="971"/>
      <c r="NAL49" s="971"/>
      <c r="NAM49" s="971"/>
      <c r="NAN49" s="971"/>
      <c r="NAO49" s="971"/>
      <c r="NAP49" s="971"/>
      <c r="NAQ49" s="971"/>
      <c r="NAR49" s="971"/>
      <c r="NAS49" s="971"/>
      <c r="NAT49" s="971"/>
      <c r="NAU49" s="971"/>
      <c r="NAV49" s="971"/>
      <c r="NAW49" s="971"/>
      <c r="NAX49" s="971"/>
      <c r="NAY49" s="971"/>
      <c r="NAZ49" s="971"/>
      <c r="NBA49" s="971"/>
      <c r="NBB49" s="971"/>
      <c r="NBC49" s="971"/>
      <c r="NBD49" s="971"/>
      <c r="NBE49" s="971"/>
      <c r="NBF49" s="971"/>
      <c r="NBG49" s="971"/>
      <c r="NBH49" s="971"/>
      <c r="NBI49" s="971"/>
      <c r="NBJ49" s="971"/>
      <c r="NBK49" s="971"/>
      <c r="NBL49" s="971"/>
      <c r="NBM49" s="971"/>
      <c r="NBN49" s="971"/>
      <c r="NBO49" s="971"/>
      <c r="NBP49" s="971"/>
      <c r="NBQ49" s="971"/>
      <c r="NBR49" s="971"/>
      <c r="NBS49" s="971"/>
      <c r="NBT49" s="971"/>
      <c r="NBU49" s="971"/>
      <c r="NBV49" s="971"/>
      <c r="NBW49" s="971"/>
      <c r="NBX49" s="971"/>
      <c r="NBY49" s="971"/>
      <c r="NBZ49" s="971"/>
      <c r="NCA49" s="971"/>
      <c r="NCB49" s="971"/>
      <c r="NCC49" s="971"/>
      <c r="NCD49" s="971"/>
      <c r="NCE49" s="971"/>
      <c r="NCF49" s="971"/>
      <c r="NCG49" s="971"/>
      <c r="NCH49" s="971"/>
      <c r="NCI49" s="971"/>
      <c r="NCJ49" s="971"/>
      <c r="NCK49" s="971"/>
      <c r="NCL49" s="971"/>
      <c r="NCM49" s="971"/>
      <c r="NCN49" s="971"/>
      <c r="NCO49" s="971"/>
      <c r="NCP49" s="971"/>
      <c r="NCQ49" s="971"/>
      <c r="NCR49" s="971"/>
      <c r="NCS49" s="971"/>
      <c r="NCT49" s="971"/>
      <c r="NCU49" s="971"/>
      <c r="NCV49" s="971"/>
      <c r="NCW49" s="971"/>
      <c r="NCX49" s="971"/>
      <c r="NCY49" s="971"/>
      <c r="NCZ49" s="971"/>
      <c r="NDA49" s="971"/>
      <c r="NDB49" s="971"/>
      <c r="NDC49" s="971"/>
      <c r="NDD49" s="971"/>
      <c r="NDE49" s="971"/>
      <c r="NDF49" s="971"/>
      <c r="NDG49" s="971"/>
      <c r="NDH49" s="971"/>
      <c r="NDI49" s="971"/>
      <c r="NDJ49" s="971"/>
      <c r="NDK49" s="971"/>
      <c r="NDL49" s="971"/>
      <c r="NDM49" s="971"/>
      <c r="NDN49" s="971"/>
      <c r="NDO49" s="971"/>
      <c r="NDP49" s="971"/>
      <c r="NDQ49" s="971"/>
      <c r="NDR49" s="971"/>
      <c r="NDS49" s="971"/>
      <c r="NDT49" s="971"/>
      <c r="NDU49" s="971"/>
      <c r="NDV49" s="971"/>
      <c r="NDW49" s="971"/>
      <c r="NDX49" s="971"/>
      <c r="NDY49" s="971"/>
      <c r="NDZ49" s="971"/>
      <c r="NEA49" s="971"/>
      <c r="NEB49" s="971"/>
      <c r="NEC49" s="971"/>
      <c r="NED49" s="971"/>
      <c r="NEE49" s="971"/>
      <c r="NEF49" s="971"/>
      <c r="NEG49" s="971"/>
      <c r="NEH49" s="971"/>
      <c r="NEI49" s="971"/>
      <c r="NEJ49" s="971"/>
      <c r="NEK49" s="971"/>
      <c r="NEL49" s="971"/>
      <c r="NEM49" s="971"/>
      <c r="NEN49" s="971"/>
      <c r="NEO49" s="971"/>
      <c r="NEP49" s="971"/>
      <c r="NEQ49" s="971"/>
      <c r="NER49" s="971"/>
      <c r="NES49" s="971"/>
      <c r="NET49" s="971"/>
      <c r="NEU49" s="971"/>
      <c r="NEV49" s="971"/>
      <c r="NEW49" s="971"/>
      <c r="NEX49" s="971"/>
      <c r="NEY49" s="971"/>
      <c r="NEZ49" s="971"/>
      <c r="NFA49" s="971"/>
      <c r="NFB49" s="971"/>
      <c r="NFC49" s="971"/>
      <c r="NFD49" s="971"/>
      <c r="NFE49" s="971"/>
      <c r="NFF49" s="971"/>
      <c r="NFG49" s="971"/>
      <c r="NFH49" s="971"/>
      <c r="NFI49" s="971"/>
      <c r="NFJ49" s="971"/>
      <c r="NFK49" s="971"/>
      <c r="NFL49" s="971"/>
      <c r="NFM49" s="971"/>
      <c r="NFN49" s="971"/>
      <c r="NFO49" s="971"/>
      <c r="NFP49" s="971"/>
      <c r="NFQ49" s="971"/>
      <c r="NFR49" s="971"/>
      <c r="NFS49" s="971"/>
      <c r="NFT49" s="971"/>
      <c r="NFU49" s="971"/>
      <c r="NFV49" s="971"/>
      <c r="NFW49" s="971"/>
      <c r="NFX49" s="971"/>
      <c r="NFY49" s="971"/>
      <c r="NFZ49" s="971"/>
      <c r="NGA49" s="971"/>
      <c r="NGB49" s="971"/>
      <c r="NGC49" s="971"/>
      <c r="NGD49" s="971"/>
      <c r="NGE49" s="971"/>
      <c r="NGF49" s="971"/>
      <c r="NGG49" s="971"/>
      <c r="NGH49" s="971"/>
      <c r="NGI49" s="971"/>
      <c r="NGJ49" s="971"/>
      <c r="NGK49" s="971"/>
      <c r="NGL49" s="971"/>
      <c r="NGM49" s="971"/>
      <c r="NGN49" s="971"/>
      <c r="NGO49" s="971"/>
      <c r="NGP49" s="971"/>
      <c r="NGQ49" s="971"/>
      <c r="NGR49" s="971"/>
      <c r="NGS49" s="971"/>
      <c r="NGT49" s="971"/>
      <c r="NGU49" s="971"/>
      <c r="NGV49" s="971"/>
      <c r="NGW49" s="971"/>
      <c r="NGX49" s="971"/>
      <c r="NGY49" s="971"/>
      <c r="NGZ49" s="971"/>
      <c r="NHA49" s="971"/>
      <c r="NHB49" s="971"/>
      <c r="NHC49" s="971"/>
      <c r="NHD49" s="971"/>
      <c r="NHE49" s="971"/>
      <c r="NHF49" s="971"/>
      <c r="NHG49" s="971"/>
      <c r="NHH49" s="971"/>
      <c r="NHI49" s="971"/>
      <c r="NHJ49" s="971"/>
      <c r="NHK49" s="971"/>
      <c r="NHL49" s="971"/>
      <c r="NHM49" s="971"/>
      <c r="NHN49" s="971"/>
      <c r="NHO49" s="971"/>
      <c r="NHP49" s="971"/>
      <c r="NHQ49" s="971"/>
      <c r="NHR49" s="971"/>
      <c r="NHS49" s="971"/>
      <c r="NHT49" s="971"/>
      <c r="NHU49" s="971"/>
      <c r="NHV49" s="971"/>
      <c r="NHW49" s="971"/>
      <c r="NHX49" s="971"/>
      <c r="NHY49" s="971"/>
      <c r="NHZ49" s="971"/>
      <c r="NIA49" s="971"/>
      <c r="NIB49" s="971"/>
      <c r="NIC49" s="971"/>
      <c r="NID49" s="971"/>
      <c r="NIE49" s="971"/>
      <c r="NIF49" s="971"/>
      <c r="NIG49" s="971"/>
      <c r="NIH49" s="971"/>
      <c r="NII49" s="971"/>
      <c r="NIJ49" s="971"/>
      <c r="NIK49" s="971"/>
      <c r="NIL49" s="971"/>
      <c r="NIM49" s="971"/>
      <c r="NIN49" s="971"/>
      <c r="NIO49" s="971"/>
      <c r="NIP49" s="971"/>
      <c r="NIQ49" s="971"/>
      <c r="NIR49" s="971"/>
      <c r="NIS49" s="971"/>
      <c r="NIT49" s="971"/>
      <c r="NIU49" s="971"/>
      <c r="NIV49" s="971"/>
      <c r="NIW49" s="971"/>
      <c r="NIX49" s="971"/>
      <c r="NIY49" s="971"/>
      <c r="NIZ49" s="971"/>
      <c r="NJA49" s="971"/>
      <c r="NJB49" s="971"/>
      <c r="NJC49" s="971"/>
      <c r="NJD49" s="971"/>
      <c r="NJE49" s="971"/>
      <c r="NJF49" s="971"/>
      <c r="NJG49" s="971"/>
      <c r="NJH49" s="971"/>
      <c r="NJI49" s="971"/>
      <c r="NJJ49" s="971"/>
      <c r="NJK49" s="971"/>
      <c r="NJL49" s="971"/>
      <c r="NJM49" s="971"/>
      <c r="NJN49" s="971"/>
      <c r="NJO49" s="971"/>
      <c r="NJP49" s="971"/>
      <c r="NJQ49" s="971"/>
      <c r="NJR49" s="971"/>
      <c r="NJS49" s="971"/>
      <c r="NJT49" s="971"/>
      <c r="NJU49" s="971"/>
      <c r="NJV49" s="971"/>
      <c r="NJW49" s="971"/>
      <c r="NJX49" s="971"/>
      <c r="NJY49" s="971"/>
      <c r="NJZ49" s="971"/>
      <c r="NKA49" s="971"/>
      <c r="NKB49" s="971"/>
      <c r="NKC49" s="971"/>
      <c r="NKD49" s="971"/>
      <c r="NKE49" s="971"/>
      <c r="NKF49" s="971"/>
      <c r="NKG49" s="971"/>
      <c r="NKH49" s="971"/>
      <c r="NKI49" s="971"/>
      <c r="NKJ49" s="971"/>
      <c r="NKK49" s="971"/>
      <c r="NKL49" s="971"/>
      <c r="NKM49" s="971"/>
      <c r="NKN49" s="971"/>
      <c r="NKO49" s="971"/>
      <c r="NKP49" s="971"/>
      <c r="NKQ49" s="971"/>
      <c r="NKR49" s="971"/>
      <c r="NKS49" s="971"/>
      <c r="NKT49" s="971"/>
      <c r="NKU49" s="971"/>
      <c r="NKV49" s="971"/>
      <c r="NKW49" s="971"/>
      <c r="NKX49" s="971"/>
      <c r="NKY49" s="971"/>
      <c r="NKZ49" s="971"/>
      <c r="NLA49" s="971"/>
      <c r="NLB49" s="971"/>
      <c r="NLC49" s="971"/>
      <c r="NLD49" s="971"/>
      <c r="NLE49" s="971"/>
      <c r="NLF49" s="971"/>
      <c r="NLG49" s="971"/>
      <c r="NLH49" s="971"/>
      <c r="NLI49" s="971"/>
      <c r="NLJ49" s="971"/>
      <c r="NLK49" s="971"/>
      <c r="NLL49" s="971"/>
      <c r="NLM49" s="971"/>
      <c r="NLN49" s="971"/>
      <c r="NLO49" s="971"/>
      <c r="NLP49" s="971"/>
      <c r="NLQ49" s="971"/>
      <c r="NLR49" s="971"/>
      <c r="NLS49" s="971"/>
      <c r="NLT49" s="971"/>
      <c r="NLU49" s="971"/>
      <c r="NLV49" s="971"/>
      <c r="NLW49" s="971"/>
      <c r="NLX49" s="971"/>
      <c r="NLY49" s="971"/>
      <c r="NLZ49" s="971"/>
      <c r="NMA49" s="971"/>
      <c r="NMB49" s="971"/>
      <c r="NMC49" s="971"/>
      <c r="NMD49" s="971"/>
      <c r="NME49" s="971"/>
      <c r="NMF49" s="971"/>
      <c r="NMG49" s="971"/>
      <c r="NMH49" s="971"/>
      <c r="NMI49" s="971"/>
      <c r="NMJ49" s="971"/>
      <c r="NMK49" s="971"/>
      <c r="NML49" s="971"/>
      <c r="NMM49" s="971"/>
      <c r="NMN49" s="971"/>
      <c r="NMO49" s="971"/>
      <c r="NMP49" s="971"/>
      <c r="NMQ49" s="971"/>
      <c r="NMR49" s="971"/>
      <c r="NMS49" s="971"/>
      <c r="NMT49" s="971"/>
      <c r="NMU49" s="971"/>
      <c r="NMV49" s="971"/>
      <c r="NMW49" s="971"/>
      <c r="NMX49" s="971"/>
      <c r="NMY49" s="971"/>
      <c r="NMZ49" s="971"/>
      <c r="NNA49" s="971"/>
      <c r="NNB49" s="971"/>
      <c r="NNC49" s="971"/>
      <c r="NND49" s="971"/>
      <c r="NNE49" s="971"/>
      <c r="NNF49" s="971"/>
      <c r="NNG49" s="971"/>
      <c r="NNH49" s="971"/>
      <c r="NNI49" s="971"/>
      <c r="NNJ49" s="971"/>
      <c r="NNK49" s="971"/>
      <c r="NNL49" s="971"/>
      <c r="NNM49" s="971"/>
      <c r="NNN49" s="971"/>
      <c r="NNO49" s="971"/>
      <c r="NNP49" s="971"/>
      <c r="NNQ49" s="971"/>
      <c r="NNR49" s="971"/>
      <c r="NNS49" s="971"/>
      <c r="NNT49" s="971"/>
      <c r="NNU49" s="971"/>
      <c r="NNV49" s="971"/>
      <c r="NNW49" s="971"/>
      <c r="NNX49" s="971"/>
      <c r="NNY49" s="971"/>
      <c r="NNZ49" s="971"/>
      <c r="NOA49" s="971"/>
      <c r="NOB49" s="971"/>
      <c r="NOC49" s="971"/>
      <c r="NOD49" s="971"/>
      <c r="NOE49" s="971"/>
      <c r="NOF49" s="971"/>
      <c r="NOG49" s="971"/>
      <c r="NOH49" s="971"/>
      <c r="NOI49" s="971"/>
      <c r="NOJ49" s="971"/>
      <c r="NOK49" s="971"/>
      <c r="NOL49" s="971"/>
      <c r="NOM49" s="971"/>
      <c r="NON49" s="971"/>
      <c r="NOO49" s="971"/>
      <c r="NOP49" s="971"/>
      <c r="NOQ49" s="971"/>
      <c r="NOR49" s="971"/>
      <c r="NOS49" s="971"/>
      <c r="NOT49" s="971"/>
      <c r="NOU49" s="971"/>
      <c r="NOV49" s="971"/>
      <c r="NOW49" s="971"/>
      <c r="NOX49" s="971"/>
      <c r="NOY49" s="971"/>
      <c r="NOZ49" s="971"/>
      <c r="NPA49" s="971"/>
      <c r="NPB49" s="971"/>
      <c r="NPC49" s="971"/>
      <c r="NPD49" s="971"/>
      <c r="NPE49" s="971"/>
      <c r="NPF49" s="971"/>
      <c r="NPG49" s="971"/>
      <c r="NPH49" s="971"/>
      <c r="NPI49" s="971"/>
      <c r="NPJ49" s="971"/>
      <c r="NPK49" s="971"/>
      <c r="NPL49" s="971"/>
      <c r="NPM49" s="971"/>
      <c r="NPN49" s="971"/>
      <c r="NPO49" s="971"/>
      <c r="NPP49" s="971"/>
      <c r="NPQ49" s="971"/>
      <c r="NPR49" s="971"/>
      <c r="NPS49" s="971"/>
      <c r="NPT49" s="971"/>
      <c r="NPU49" s="971"/>
      <c r="NPV49" s="971"/>
      <c r="NPW49" s="971"/>
      <c r="NPX49" s="971"/>
      <c r="NPY49" s="971"/>
      <c r="NPZ49" s="971"/>
      <c r="NQA49" s="971"/>
      <c r="NQB49" s="971"/>
      <c r="NQC49" s="971"/>
      <c r="NQD49" s="971"/>
      <c r="NQE49" s="971"/>
      <c r="NQF49" s="971"/>
      <c r="NQG49" s="971"/>
      <c r="NQH49" s="971"/>
      <c r="NQI49" s="971"/>
      <c r="NQJ49" s="971"/>
      <c r="NQK49" s="971"/>
      <c r="NQL49" s="971"/>
      <c r="NQM49" s="971"/>
      <c r="NQN49" s="971"/>
      <c r="NQO49" s="971"/>
      <c r="NQP49" s="971"/>
      <c r="NQQ49" s="971"/>
      <c r="NQR49" s="971"/>
      <c r="NQS49" s="971"/>
      <c r="NQT49" s="971"/>
      <c r="NQU49" s="971"/>
      <c r="NQV49" s="971"/>
      <c r="NQW49" s="971"/>
      <c r="NQX49" s="971"/>
      <c r="NQY49" s="971"/>
      <c r="NQZ49" s="971"/>
      <c r="NRA49" s="971"/>
      <c r="NRB49" s="971"/>
      <c r="NRC49" s="971"/>
      <c r="NRD49" s="971"/>
      <c r="NRE49" s="971"/>
      <c r="NRF49" s="971"/>
      <c r="NRG49" s="971"/>
      <c r="NRH49" s="971"/>
      <c r="NRI49" s="971"/>
      <c r="NRJ49" s="971"/>
      <c r="NRK49" s="971"/>
      <c r="NRL49" s="971"/>
      <c r="NRM49" s="971"/>
      <c r="NRN49" s="971"/>
      <c r="NRO49" s="971"/>
      <c r="NRP49" s="971"/>
      <c r="NRQ49" s="971"/>
      <c r="NRR49" s="971"/>
      <c r="NRS49" s="971"/>
      <c r="NRT49" s="971"/>
      <c r="NRU49" s="971"/>
      <c r="NRV49" s="971"/>
      <c r="NRW49" s="971"/>
      <c r="NRX49" s="971"/>
      <c r="NRY49" s="971"/>
      <c r="NRZ49" s="971"/>
      <c r="NSA49" s="971"/>
      <c r="NSB49" s="971"/>
      <c r="NSC49" s="971"/>
      <c r="NSD49" s="971"/>
      <c r="NSE49" s="971"/>
      <c r="NSF49" s="971"/>
      <c r="NSG49" s="971"/>
      <c r="NSH49" s="971"/>
      <c r="NSI49" s="971"/>
      <c r="NSJ49" s="971"/>
      <c r="NSK49" s="971"/>
      <c r="NSL49" s="971"/>
      <c r="NSM49" s="971"/>
      <c r="NSN49" s="971"/>
      <c r="NSO49" s="971"/>
      <c r="NSP49" s="971"/>
      <c r="NSQ49" s="971"/>
      <c r="NSR49" s="971"/>
      <c r="NSS49" s="971"/>
      <c r="NST49" s="971"/>
      <c r="NSU49" s="971"/>
      <c r="NSV49" s="971"/>
      <c r="NSW49" s="971"/>
      <c r="NSX49" s="971"/>
      <c r="NSY49" s="971"/>
      <c r="NSZ49" s="971"/>
      <c r="NTA49" s="971"/>
      <c r="NTB49" s="971"/>
      <c r="NTC49" s="971"/>
      <c r="NTD49" s="971"/>
      <c r="NTE49" s="971"/>
      <c r="NTF49" s="971"/>
      <c r="NTG49" s="971"/>
      <c r="NTH49" s="971"/>
      <c r="NTI49" s="971"/>
      <c r="NTJ49" s="971"/>
      <c r="NTK49" s="971"/>
      <c r="NTL49" s="971"/>
      <c r="NTM49" s="971"/>
      <c r="NTN49" s="971"/>
      <c r="NTO49" s="971"/>
      <c r="NTP49" s="971"/>
      <c r="NTQ49" s="971"/>
      <c r="NTR49" s="971"/>
      <c r="NTS49" s="971"/>
      <c r="NTT49" s="971"/>
      <c r="NTU49" s="971"/>
      <c r="NTV49" s="971"/>
      <c r="NTW49" s="971"/>
      <c r="NTX49" s="971"/>
      <c r="NTY49" s="971"/>
      <c r="NTZ49" s="971"/>
      <c r="NUA49" s="971"/>
      <c r="NUB49" s="971"/>
      <c r="NUC49" s="971"/>
      <c r="NUD49" s="971"/>
      <c r="NUE49" s="971"/>
      <c r="NUF49" s="971"/>
      <c r="NUG49" s="971"/>
      <c r="NUH49" s="971"/>
      <c r="NUI49" s="971"/>
      <c r="NUJ49" s="971"/>
      <c r="NUK49" s="971"/>
      <c r="NUL49" s="971"/>
      <c r="NUM49" s="971"/>
      <c r="NUN49" s="971"/>
      <c r="NUO49" s="971"/>
      <c r="NUP49" s="971"/>
      <c r="NUQ49" s="971"/>
      <c r="NUR49" s="971"/>
      <c r="NUS49" s="971"/>
      <c r="NUT49" s="971"/>
      <c r="NUU49" s="971"/>
      <c r="NUV49" s="971"/>
      <c r="NUW49" s="971"/>
      <c r="NUX49" s="971"/>
      <c r="NUY49" s="971"/>
      <c r="NUZ49" s="971"/>
      <c r="NVA49" s="971"/>
      <c r="NVB49" s="971"/>
      <c r="NVC49" s="971"/>
      <c r="NVD49" s="971"/>
      <c r="NVE49" s="971"/>
      <c r="NVF49" s="971"/>
      <c r="NVG49" s="971"/>
      <c r="NVH49" s="971"/>
      <c r="NVI49" s="971"/>
      <c r="NVJ49" s="971"/>
      <c r="NVK49" s="971"/>
      <c r="NVL49" s="971"/>
      <c r="NVM49" s="971"/>
      <c r="NVN49" s="971"/>
      <c r="NVO49" s="971"/>
      <c r="NVP49" s="971"/>
      <c r="NVQ49" s="971"/>
      <c r="NVR49" s="971"/>
      <c r="NVS49" s="971"/>
      <c r="NVT49" s="971"/>
      <c r="NVU49" s="971"/>
      <c r="NVV49" s="971"/>
      <c r="NVW49" s="971"/>
      <c r="NVX49" s="971"/>
      <c r="NVY49" s="971"/>
      <c r="NVZ49" s="971"/>
      <c r="NWA49" s="971"/>
      <c r="NWB49" s="971"/>
      <c r="NWC49" s="971"/>
      <c r="NWD49" s="971"/>
      <c r="NWE49" s="971"/>
      <c r="NWF49" s="971"/>
      <c r="NWG49" s="971"/>
      <c r="NWH49" s="971"/>
      <c r="NWI49" s="971"/>
      <c r="NWJ49" s="971"/>
      <c r="NWK49" s="971"/>
      <c r="NWL49" s="971"/>
      <c r="NWM49" s="971"/>
      <c r="NWN49" s="971"/>
      <c r="NWO49" s="971"/>
      <c r="NWP49" s="971"/>
      <c r="NWQ49" s="971"/>
      <c r="NWR49" s="971"/>
      <c r="NWS49" s="971"/>
      <c r="NWT49" s="971"/>
      <c r="NWU49" s="971"/>
      <c r="NWV49" s="971"/>
      <c r="NWW49" s="971"/>
      <c r="NWX49" s="971"/>
      <c r="NWY49" s="971"/>
      <c r="NWZ49" s="971"/>
      <c r="NXA49" s="971"/>
      <c r="NXB49" s="971"/>
      <c r="NXC49" s="971"/>
      <c r="NXD49" s="971"/>
      <c r="NXE49" s="971"/>
      <c r="NXF49" s="971"/>
      <c r="NXG49" s="971"/>
      <c r="NXH49" s="971"/>
      <c r="NXI49" s="971"/>
      <c r="NXJ49" s="971"/>
      <c r="NXK49" s="971"/>
      <c r="NXL49" s="971"/>
      <c r="NXM49" s="971"/>
      <c r="NXN49" s="971"/>
      <c r="NXO49" s="971"/>
      <c r="NXP49" s="971"/>
      <c r="NXQ49" s="971"/>
      <c r="NXR49" s="971"/>
      <c r="NXS49" s="971"/>
      <c r="NXT49" s="971"/>
      <c r="NXU49" s="971"/>
      <c r="NXV49" s="971"/>
      <c r="NXW49" s="971"/>
      <c r="NXX49" s="971"/>
      <c r="NXY49" s="971"/>
      <c r="NXZ49" s="971"/>
      <c r="NYA49" s="971"/>
      <c r="NYB49" s="971"/>
      <c r="NYC49" s="971"/>
      <c r="NYD49" s="971"/>
      <c r="NYE49" s="971"/>
      <c r="NYF49" s="971"/>
      <c r="NYG49" s="971"/>
      <c r="NYH49" s="971"/>
      <c r="NYI49" s="971"/>
      <c r="NYJ49" s="971"/>
      <c r="NYK49" s="971"/>
      <c r="NYL49" s="971"/>
      <c r="NYM49" s="971"/>
      <c r="NYN49" s="971"/>
      <c r="NYO49" s="971"/>
      <c r="NYP49" s="971"/>
      <c r="NYQ49" s="971"/>
      <c r="NYR49" s="971"/>
      <c r="NYS49" s="971"/>
      <c r="NYT49" s="971"/>
      <c r="NYU49" s="971"/>
      <c r="NYV49" s="971"/>
      <c r="NYW49" s="971"/>
      <c r="NYX49" s="971"/>
      <c r="NYY49" s="971"/>
      <c r="NYZ49" s="971"/>
      <c r="NZA49" s="971"/>
      <c r="NZB49" s="971"/>
      <c r="NZC49" s="971"/>
      <c r="NZD49" s="971"/>
      <c r="NZE49" s="971"/>
      <c r="NZF49" s="971"/>
      <c r="NZG49" s="971"/>
      <c r="NZH49" s="971"/>
      <c r="NZI49" s="971"/>
      <c r="NZJ49" s="971"/>
      <c r="NZK49" s="971"/>
      <c r="NZL49" s="971"/>
      <c r="NZM49" s="971"/>
      <c r="NZN49" s="971"/>
      <c r="NZO49" s="971"/>
      <c r="NZP49" s="971"/>
      <c r="NZQ49" s="971"/>
      <c r="NZR49" s="971"/>
      <c r="NZS49" s="971"/>
      <c r="NZT49" s="971"/>
      <c r="NZU49" s="971"/>
      <c r="NZV49" s="971"/>
      <c r="NZW49" s="971"/>
      <c r="NZX49" s="971"/>
      <c r="NZY49" s="971"/>
      <c r="NZZ49" s="971"/>
      <c r="OAA49" s="971"/>
      <c r="OAB49" s="971"/>
      <c r="OAC49" s="971"/>
      <c r="OAD49" s="971"/>
      <c r="OAE49" s="971"/>
      <c r="OAF49" s="971"/>
      <c r="OAG49" s="971"/>
      <c r="OAH49" s="971"/>
      <c r="OAI49" s="971"/>
      <c r="OAJ49" s="971"/>
      <c r="OAK49" s="971"/>
      <c r="OAL49" s="971"/>
      <c r="OAM49" s="971"/>
      <c r="OAN49" s="971"/>
      <c r="OAO49" s="971"/>
      <c r="OAP49" s="971"/>
      <c r="OAQ49" s="971"/>
      <c r="OAR49" s="971"/>
      <c r="OAS49" s="971"/>
      <c r="OAT49" s="971"/>
      <c r="OAU49" s="971"/>
      <c r="OAV49" s="971"/>
      <c r="OAW49" s="971"/>
      <c r="OAX49" s="971"/>
      <c r="OAY49" s="971"/>
      <c r="OAZ49" s="971"/>
      <c r="OBA49" s="971"/>
      <c r="OBB49" s="971"/>
      <c r="OBC49" s="971"/>
      <c r="OBD49" s="971"/>
      <c r="OBE49" s="971"/>
      <c r="OBF49" s="971"/>
      <c r="OBG49" s="971"/>
      <c r="OBH49" s="971"/>
      <c r="OBI49" s="971"/>
      <c r="OBJ49" s="971"/>
      <c r="OBK49" s="971"/>
      <c r="OBL49" s="971"/>
      <c r="OBM49" s="971"/>
      <c r="OBN49" s="971"/>
      <c r="OBO49" s="971"/>
      <c r="OBP49" s="971"/>
      <c r="OBQ49" s="971"/>
      <c r="OBR49" s="971"/>
      <c r="OBS49" s="971"/>
      <c r="OBT49" s="971"/>
      <c r="OBU49" s="971"/>
      <c r="OBV49" s="971"/>
      <c r="OBW49" s="971"/>
      <c r="OBX49" s="971"/>
      <c r="OBY49" s="971"/>
      <c r="OBZ49" s="971"/>
      <c r="OCA49" s="971"/>
      <c r="OCB49" s="971"/>
      <c r="OCC49" s="971"/>
      <c r="OCD49" s="971"/>
      <c r="OCE49" s="971"/>
      <c r="OCF49" s="971"/>
      <c r="OCG49" s="971"/>
      <c r="OCH49" s="971"/>
      <c r="OCI49" s="971"/>
      <c r="OCJ49" s="971"/>
      <c r="OCK49" s="971"/>
      <c r="OCL49" s="971"/>
      <c r="OCM49" s="971"/>
      <c r="OCN49" s="971"/>
      <c r="OCO49" s="971"/>
      <c r="OCP49" s="971"/>
      <c r="OCQ49" s="971"/>
      <c r="OCR49" s="971"/>
      <c r="OCS49" s="971"/>
      <c r="OCT49" s="971"/>
      <c r="OCU49" s="971"/>
      <c r="OCV49" s="971"/>
      <c r="OCW49" s="971"/>
      <c r="OCX49" s="971"/>
      <c r="OCY49" s="971"/>
      <c r="OCZ49" s="971"/>
      <c r="ODA49" s="971"/>
      <c r="ODB49" s="971"/>
      <c r="ODC49" s="971"/>
      <c r="ODD49" s="971"/>
      <c r="ODE49" s="971"/>
      <c r="ODF49" s="971"/>
      <c r="ODG49" s="971"/>
      <c r="ODH49" s="971"/>
      <c r="ODI49" s="971"/>
      <c r="ODJ49" s="971"/>
      <c r="ODK49" s="971"/>
      <c r="ODL49" s="971"/>
      <c r="ODM49" s="971"/>
      <c r="ODN49" s="971"/>
      <c r="ODO49" s="971"/>
      <c r="ODP49" s="971"/>
      <c r="ODQ49" s="971"/>
      <c r="ODR49" s="971"/>
      <c r="ODS49" s="971"/>
      <c r="ODT49" s="971"/>
      <c r="ODU49" s="971"/>
      <c r="ODV49" s="971"/>
      <c r="ODW49" s="971"/>
      <c r="ODX49" s="971"/>
      <c r="ODY49" s="971"/>
      <c r="ODZ49" s="971"/>
      <c r="OEA49" s="971"/>
      <c r="OEB49" s="971"/>
      <c r="OEC49" s="971"/>
      <c r="OED49" s="971"/>
      <c r="OEE49" s="971"/>
      <c r="OEF49" s="971"/>
      <c r="OEG49" s="971"/>
      <c r="OEH49" s="971"/>
      <c r="OEI49" s="971"/>
      <c r="OEJ49" s="971"/>
      <c r="OEK49" s="971"/>
      <c r="OEL49" s="971"/>
      <c r="OEM49" s="971"/>
      <c r="OEN49" s="971"/>
      <c r="OEO49" s="971"/>
      <c r="OEP49" s="971"/>
      <c r="OEQ49" s="971"/>
      <c r="OER49" s="971"/>
      <c r="OES49" s="971"/>
      <c r="OET49" s="971"/>
      <c r="OEU49" s="971"/>
      <c r="OEV49" s="971"/>
      <c r="OEW49" s="971"/>
      <c r="OEX49" s="971"/>
      <c r="OEY49" s="971"/>
      <c r="OEZ49" s="971"/>
      <c r="OFA49" s="971"/>
      <c r="OFB49" s="971"/>
      <c r="OFC49" s="971"/>
      <c r="OFD49" s="971"/>
      <c r="OFE49" s="971"/>
      <c r="OFF49" s="971"/>
      <c r="OFG49" s="971"/>
      <c r="OFH49" s="971"/>
      <c r="OFI49" s="971"/>
      <c r="OFJ49" s="971"/>
      <c r="OFK49" s="971"/>
      <c r="OFL49" s="971"/>
      <c r="OFM49" s="971"/>
      <c r="OFN49" s="971"/>
      <c r="OFO49" s="971"/>
      <c r="OFP49" s="971"/>
      <c r="OFQ49" s="971"/>
      <c r="OFR49" s="971"/>
      <c r="OFS49" s="971"/>
      <c r="OFT49" s="971"/>
      <c r="OFU49" s="971"/>
      <c r="OFV49" s="971"/>
      <c r="OFW49" s="971"/>
      <c r="OFX49" s="971"/>
      <c r="OFY49" s="971"/>
      <c r="OFZ49" s="971"/>
      <c r="OGA49" s="971"/>
      <c r="OGB49" s="971"/>
      <c r="OGC49" s="971"/>
      <c r="OGD49" s="971"/>
      <c r="OGE49" s="971"/>
      <c r="OGF49" s="971"/>
      <c r="OGG49" s="971"/>
      <c r="OGH49" s="971"/>
      <c r="OGI49" s="971"/>
      <c r="OGJ49" s="971"/>
      <c r="OGK49" s="971"/>
      <c r="OGL49" s="971"/>
      <c r="OGM49" s="971"/>
      <c r="OGN49" s="971"/>
      <c r="OGO49" s="971"/>
      <c r="OGP49" s="971"/>
      <c r="OGQ49" s="971"/>
      <c r="OGR49" s="971"/>
      <c r="OGS49" s="971"/>
      <c r="OGT49" s="971"/>
      <c r="OGU49" s="971"/>
      <c r="OGV49" s="971"/>
      <c r="OGW49" s="971"/>
      <c r="OGX49" s="971"/>
      <c r="OGY49" s="971"/>
      <c r="OGZ49" s="971"/>
      <c r="OHA49" s="971"/>
      <c r="OHB49" s="971"/>
      <c r="OHC49" s="971"/>
      <c r="OHD49" s="971"/>
      <c r="OHE49" s="971"/>
      <c r="OHF49" s="971"/>
      <c r="OHG49" s="971"/>
      <c r="OHH49" s="971"/>
      <c r="OHI49" s="971"/>
      <c r="OHJ49" s="971"/>
      <c r="OHK49" s="971"/>
      <c r="OHL49" s="971"/>
      <c r="OHM49" s="971"/>
      <c r="OHN49" s="971"/>
      <c r="OHO49" s="971"/>
      <c r="OHP49" s="971"/>
      <c r="OHQ49" s="971"/>
      <c r="OHR49" s="971"/>
      <c r="OHS49" s="971"/>
      <c r="OHT49" s="971"/>
      <c r="OHU49" s="971"/>
      <c r="OHV49" s="971"/>
      <c r="OHW49" s="971"/>
      <c r="OHX49" s="971"/>
      <c r="OHY49" s="971"/>
      <c r="OHZ49" s="971"/>
      <c r="OIA49" s="971"/>
      <c r="OIB49" s="971"/>
      <c r="OIC49" s="971"/>
      <c r="OID49" s="971"/>
      <c r="OIE49" s="971"/>
      <c r="OIF49" s="971"/>
      <c r="OIG49" s="971"/>
      <c r="OIH49" s="971"/>
      <c r="OII49" s="971"/>
      <c r="OIJ49" s="971"/>
      <c r="OIK49" s="971"/>
      <c r="OIL49" s="971"/>
      <c r="OIM49" s="971"/>
      <c r="OIN49" s="971"/>
      <c r="OIO49" s="971"/>
      <c r="OIP49" s="971"/>
      <c r="OIQ49" s="971"/>
      <c r="OIR49" s="971"/>
      <c r="OIS49" s="971"/>
      <c r="OIT49" s="971"/>
      <c r="OIU49" s="971"/>
      <c r="OIV49" s="971"/>
      <c r="OIW49" s="971"/>
      <c r="OIX49" s="971"/>
      <c r="OIY49" s="971"/>
      <c r="OIZ49" s="971"/>
      <c r="OJA49" s="971"/>
      <c r="OJB49" s="971"/>
      <c r="OJC49" s="971"/>
      <c r="OJD49" s="971"/>
      <c r="OJE49" s="971"/>
      <c r="OJF49" s="971"/>
      <c r="OJG49" s="971"/>
      <c r="OJH49" s="971"/>
      <c r="OJI49" s="971"/>
      <c r="OJJ49" s="971"/>
      <c r="OJK49" s="971"/>
      <c r="OJL49" s="971"/>
      <c r="OJM49" s="971"/>
      <c r="OJN49" s="971"/>
      <c r="OJO49" s="971"/>
      <c r="OJP49" s="971"/>
      <c r="OJQ49" s="971"/>
      <c r="OJR49" s="971"/>
      <c r="OJS49" s="971"/>
      <c r="OJT49" s="971"/>
      <c r="OJU49" s="971"/>
      <c r="OJV49" s="971"/>
      <c r="OJW49" s="971"/>
      <c r="OJX49" s="971"/>
      <c r="OJY49" s="971"/>
      <c r="OJZ49" s="971"/>
      <c r="OKA49" s="971"/>
      <c r="OKB49" s="971"/>
      <c r="OKC49" s="971"/>
      <c r="OKD49" s="971"/>
      <c r="OKE49" s="971"/>
      <c r="OKF49" s="971"/>
      <c r="OKG49" s="971"/>
      <c r="OKH49" s="971"/>
      <c r="OKI49" s="971"/>
      <c r="OKJ49" s="971"/>
      <c r="OKK49" s="971"/>
      <c r="OKL49" s="971"/>
      <c r="OKM49" s="971"/>
      <c r="OKN49" s="971"/>
      <c r="OKO49" s="971"/>
      <c r="OKP49" s="971"/>
      <c r="OKQ49" s="971"/>
      <c r="OKR49" s="971"/>
      <c r="OKS49" s="971"/>
      <c r="OKT49" s="971"/>
      <c r="OKU49" s="971"/>
      <c r="OKV49" s="971"/>
      <c r="OKW49" s="971"/>
      <c r="OKX49" s="971"/>
      <c r="OKY49" s="971"/>
      <c r="OKZ49" s="971"/>
      <c r="OLA49" s="971"/>
      <c r="OLB49" s="971"/>
      <c r="OLC49" s="971"/>
      <c r="OLD49" s="971"/>
      <c r="OLE49" s="971"/>
      <c r="OLF49" s="971"/>
      <c r="OLG49" s="971"/>
      <c r="OLH49" s="971"/>
      <c r="OLI49" s="971"/>
      <c r="OLJ49" s="971"/>
      <c r="OLK49" s="971"/>
      <c r="OLL49" s="971"/>
      <c r="OLM49" s="971"/>
      <c r="OLN49" s="971"/>
      <c r="OLO49" s="971"/>
      <c r="OLP49" s="971"/>
      <c r="OLQ49" s="971"/>
      <c r="OLR49" s="971"/>
      <c r="OLS49" s="971"/>
      <c r="OLT49" s="971"/>
      <c r="OLU49" s="971"/>
      <c r="OLV49" s="971"/>
      <c r="OLW49" s="971"/>
      <c r="OLX49" s="971"/>
      <c r="OLY49" s="971"/>
      <c r="OLZ49" s="971"/>
      <c r="OMA49" s="971"/>
      <c r="OMB49" s="971"/>
      <c r="OMC49" s="971"/>
      <c r="OMD49" s="971"/>
      <c r="OME49" s="971"/>
      <c r="OMF49" s="971"/>
      <c r="OMG49" s="971"/>
      <c r="OMH49" s="971"/>
      <c r="OMI49" s="971"/>
      <c r="OMJ49" s="971"/>
      <c r="OMK49" s="971"/>
      <c r="OML49" s="971"/>
      <c r="OMM49" s="971"/>
      <c r="OMN49" s="971"/>
      <c r="OMO49" s="971"/>
      <c r="OMP49" s="971"/>
      <c r="OMQ49" s="971"/>
      <c r="OMR49" s="971"/>
      <c r="OMS49" s="971"/>
      <c r="OMT49" s="971"/>
      <c r="OMU49" s="971"/>
      <c r="OMV49" s="971"/>
      <c r="OMW49" s="971"/>
      <c r="OMX49" s="971"/>
      <c r="OMY49" s="971"/>
      <c r="OMZ49" s="971"/>
      <c r="ONA49" s="971"/>
      <c r="ONB49" s="971"/>
      <c r="ONC49" s="971"/>
      <c r="OND49" s="971"/>
      <c r="ONE49" s="971"/>
      <c r="ONF49" s="971"/>
      <c r="ONG49" s="971"/>
      <c r="ONH49" s="971"/>
      <c r="ONI49" s="971"/>
      <c r="ONJ49" s="971"/>
      <c r="ONK49" s="971"/>
      <c r="ONL49" s="971"/>
      <c r="ONM49" s="971"/>
      <c r="ONN49" s="971"/>
      <c r="ONO49" s="971"/>
      <c r="ONP49" s="971"/>
      <c r="ONQ49" s="971"/>
      <c r="ONR49" s="971"/>
      <c r="ONS49" s="971"/>
      <c r="ONT49" s="971"/>
      <c r="ONU49" s="971"/>
      <c r="ONV49" s="971"/>
      <c r="ONW49" s="971"/>
      <c r="ONX49" s="971"/>
      <c r="ONY49" s="971"/>
      <c r="ONZ49" s="971"/>
      <c r="OOA49" s="971"/>
      <c r="OOB49" s="971"/>
      <c r="OOC49" s="971"/>
      <c r="OOD49" s="971"/>
      <c r="OOE49" s="971"/>
      <c r="OOF49" s="971"/>
      <c r="OOG49" s="971"/>
      <c r="OOH49" s="971"/>
      <c r="OOI49" s="971"/>
      <c r="OOJ49" s="971"/>
      <c r="OOK49" s="971"/>
      <c r="OOL49" s="971"/>
      <c r="OOM49" s="971"/>
      <c r="OON49" s="971"/>
      <c r="OOO49" s="971"/>
      <c r="OOP49" s="971"/>
      <c r="OOQ49" s="971"/>
      <c r="OOR49" s="971"/>
      <c r="OOS49" s="971"/>
      <c r="OOT49" s="971"/>
      <c r="OOU49" s="971"/>
      <c r="OOV49" s="971"/>
      <c r="OOW49" s="971"/>
      <c r="OOX49" s="971"/>
      <c r="OOY49" s="971"/>
      <c r="OOZ49" s="971"/>
      <c r="OPA49" s="971"/>
      <c r="OPB49" s="971"/>
      <c r="OPC49" s="971"/>
      <c r="OPD49" s="971"/>
      <c r="OPE49" s="971"/>
      <c r="OPF49" s="971"/>
      <c r="OPG49" s="971"/>
      <c r="OPH49" s="971"/>
      <c r="OPI49" s="971"/>
      <c r="OPJ49" s="971"/>
      <c r="OPK49" s="971"/>
      <c r="OPL49" s="971"/>
      <c r="OPM49" s="971"/>
      <c r="OPN49" s="971"/>
      <c r="OPO49" s="971"/>
      <c r="OPP49" s="971"/>
      <c r="OPQ49" s="971"/>
      <c r="OPR49" s="971"/>
      <c r="OPS49" s="971"/>
      <c r="OPT49" s="971"/>
      <c r="OPU49" s="971"/>
      <c r="OPV49" s="971"/>
      <c r="OPW49" s="971"/>
      <c r="OPX49" s="971"/>
      <c r="OPY49" s="971"/>
      <c r="OPZ49" s="971"/>
      <c r="OQA49" s="971"/>
      <c r="OQB49" s="971"/>
      <c r="OQC49" s="971"/>
      <c r="OQD49" s="971"/>
      <c r="OQE49" s="971"/>
      <c r="OQF49" s="971"/>
      <c r="OQG49" s="971"/>
      <c r="OQH49" s="971"/>
      <c r="OQI49" s="971"/>
      <c r="OQJ49" s="971"/>
      <c r="OQK49" s="971"/>
      <c r="OQL49" s="971"/>
      <c r="OQM49" s="971"/>
      <c r="OQN49" s="971"/>
      <c r="OQO49" s="971"/>
      <c r="OQP49" s="971"/>
      <c r="OQQ49" s="971"/>
      <c r="OQR49" s="971"/>
      <c r="OQS49" s="971"/>
      <c r="OQT49" s="971"/>
      <c r="OQU49" s="971"/>
      <c r="OQV49" s="971"/>
      <c r="OQW49" s="971"/>
      <c r="OQX49" s="971"/>
      <c r="OQY49" s="971"/>
      <c r="OQZ49" s="971"/>
      <c r="ORA49" s="971"/>
      <c r="ORB49" s="971"/>
      <c r="ORC49" s="971"/>
      <c r="ORD49" s="971"/>
      <c r="ORE49" s="971"/>
      <c r="ORF49" s="971"/>
      <c r="ORG49" s="971"/>
      <c r="ORH49" s="971"/>
      <c r="ORI49" s="971"/>
      <c r="ORJ49" s="971"/>
      <c r="ORK49" s="971"/>
      <c r="ORL49" s="971"/>
      <c r="ORM49" s="971"/>
      <c r="ORN49" s="971"/>
      <c r="ORO49" s="971"/>
      <c r="ORP49" s="971"/>
      <c r="ORQ49" s="971"/>
      <c r="ORR49" s="971"/>
      <c r="ORS49" s="971"/>
      <c r="ORT49" s="971"/>
      <c r="ORU49" s="971"/>
      <c r="ORV49" s="971"/>
      <c r="ORW49" s="971"/>
      <c r="ORX49" s="971"/>
      <c r="ORY49" s="971"/>
      <c r="ORZ49" s="971"/>
      <c r="OSA49" s="971"/>
      <c r="OSB49" s="971"/>
      <c r="OSC49" s="971"/>
      <c r="OSD49" s="971"/>
      <c r="OSE49" s="971"/>
      <c r="OSF49" s="971"/>
      <c r="OSG49" s="971"/>
      <c r="OSH49" s="971"/>
      <c r="OSI49" s="971"/>
      <c r="OSJ49" s="971"/>
      <c r="OSK49" s="971"/>
      <c r="OSL49" s="971"/>
      <c r="OSM49" s="971"/>
      <c r="OSN49" s="971"/>
      <c r="OSO49" s="971"/>
      <c r="OSP49" s="971"/>
      <c r="OSQ49" s="971"/>
      <c r="OSR49" s="971"/>
      <c r="OSS49" s="971"/>
      <c r="OST49" s="971"/>
      <c r="OSU49" s="971"/>
      <c r="OSV49" s="971"/>
      <c r="OSW49" s="971"/>
      <c r="OSX49" s="971"/>
      <c r="OSY49" s="971"/>
      <c r="OSZ49" s="971"/>
      <c r="OTA49" s="971"/>
      <c r="OTB49" s="971"/>
      <c r="OTC49" s="971"/>
      <c r="OTD49" s="971"/>
      <c r="OTE49" s="971"/>
      <c r="OTF49" s="971"/>
      <c r="OTG49" s="971"/>
      <c r="OTH49" s="971"/>
      <c r="OTI49" s="971"/>
      <c r="OTJ49" s="971"/>
      <c r="OTK49" s="971"/>
      <c r="OTL49" s="971"/>
      <c r="OTM49" s="971"/>
      <c r="OTN49" s="971"/>
      <c r="OTO49" s="971"/>
      <c r="OTP49" s="971"/>
      <c r="OTQ49" s="971"/>
      <c r="OTR49" s="971"/>
      <c r="OTS49" s="971"/>
      <c r="OTT49" s="971"/>
      <c r="OTU49" s="971"/>
      <c r="OTV49" s="971"/>
      <c r="OTW49" s="971"/>
      <c r="OTX49" s="971"/>
      <c r="OTY49" s="971"/>
      <c r="OTZ49" s="971"/>
      <c r="OUA49" s="971"/>
      <c r="OUB49" s="971"/>
      <c r="OUC49" s="971"/>
      <c r="OUD49" s="971"/>
      <c r="OUE49" s="971"/>
      <c r="OUF49" s="971"/>
      <c r="OUG49" s="971"/>
      <c r="OUH49" s="971"/>
      <c r="OUI49" s="971"/>
      <c r="OUJ49" s="971"/>
      <c r="OUK49" s="971"/>
      <c r="OUL49" s="971"/>
      <c r="OUM49" s="971"/>
      <c r="OUN49" s="971"/>
      <c r="OUO49" s="971"/>
      <c r="OUP49" s="971"/>
      <c r="OUQ49" s="971"/>
      <c r="OUR49" s="971"/>
      <c r="OUS49" s="971"/>
      <c r="OUT49" s="971"/>
      <c r="OUU49" s="971"/>
      <c r="OUV49" s="971"/>
      <c r="OUW49" s="971"/>
      <c r="OUX49" s="971"/>
      <c r="OUY49" s="971"/>
      <c r="OUZ49" s="971"/>
      <c r="OVA49" s="971"/>
      <c r="OVB49" s="971"/>
      <c r="OVC49" s="971"/>
      <c r="OVD49" s="971"/>
      <c r="OVE49" s="971"/>
      <c r="OVF49" s="971"/>
      <c r="OVG49" s="971"/>
      <c r="OVH49" s="971"/>
      <c r="OVI49" s="971"/>
      <c r="OVJ49" s="971"/>
      <c r="OVK49" s="971"/>
      <c r="OVL49" s="971"/>
      <c r="OVM49" s="971"/>
      <c r="OVN49" s="971"/>
      <c r="OVO49" s="971"/>
      <c r="OVP49" s="971"/>
      <c r="OVQ49" s="971"/>
      <c r="OVR49" s="971"/>
      <c r="OVS49" s="971"/>
      <c r="OVT49" s="971"/>
      <c r="OVU49" s="971"/>
      <c r="OVV49" s="971"/>
      <c r="OVW49" s="971"/>
      <c r="OVX49" s="971"/>
      <c r="OVY49" s="971"/>
      <c r="OVZ49" s="971"/>
      <c r="OWA49" s="971"/>
      <c r="OWB49" s="971"/>
      <c r="OWC49" s="971"/>
      <c r="OWD49" s="971"/>
      <c r="OWE49" s="971"/>
      <c r="OWF49" s="971"/>
      <c r="OWG49" s="971"/>
      <c r="OWH49" s="971"/>
      <c r="OWI49" s="971"/>
      <c r="OWJ49" s="971"/>
      <c r="OWK49" s="971"/>
      <c r="OWL49" s="971"/>
      <c r="OWM49" s="971"/>
      <c r="OWN49" s="971"/>
      <c r="OWO49" s="971"/>
      <c r="OWP49" s="971"/>
      <c r="OWQ49" s="971"/>
      <c r="OWR49" s="971"/>
      <c r="OWS49" s="971"/>
      <c r="OWT49" s="971"/>
      <c r="OWU49" s="971"/>
      <c r="OWV49" s="971"/>
      <c r="OWW49" s="971"/>
      <c r="OWX49" s="971"/>
      <c r="OWY49" s="971"/>
      <c r="OWZ49" s="971"/>
      <c r="OXA49" s="971"/>
      <c r="OXB49" s="971"/>
      <c r="OXC49" s="971"/>
      <c r="OXD49" s="971"/>
      <c r="OXE49" s="971"/>
      <c r="OXF49" s="971"/>
      <c r="OXG49" s="971"/>
      <c r="OXH49" s="971"/>
      <c r="OXI49" s="971"/>
      <c r="OXJ49" s="971"/>
      <c r="OXK49" s="971"/>
      <c r="OXL49" s="971"/>
      <c r="OXM49" s="971"/>
      <c r="OXN49" s="971"/>
      <c r="OXO49" s="971"/>
      <c r="OXP49" s="971"/>
      <c r="OXQ49" s="971"/>
      <c r="OXR49" s="971"/>
      <c r="OXS49" s="971"/>
      <c r="OXT49" s="971"/>
      <c r="OXU49" s="971"/>
      <c r="OXV49" s="971"/>
      <c r="OXW49" s="971"/>
      <c r="OXX49" s="971"/>
      <c r="OXY49" s="971"/>
      <c r="OXZ49" s="971"/>
      <c r="OYA49" s="971"/>
      <c r="OYB49" s="971"/>
      <c r="OYC49" s="971"/>
      <c r="OYD49" s="971"/>
      <c r="OYE49" s="971"/>
      <c r="OYF49" s="971"/>
      <c r="OYG49" s="971"/>
      <c r="OYH49" s="971"/>
      <c r="OYI49" s="971"/>
      <c r="OYJ49" s="971"/>
      <c r="OYK49" s="971"/>
      <c r="OYL49" s="971"/>
      <c r="OYM49" s="971"/>
      <c r="OYN49" s="971"/>
      <c r="OYO49" s="971"/>
      <c r="OYP49" s="971"/>
      <c r="OYQ49" s="971"/>
      <c r="OYR49" s="971"/>
      <c r="OYS49" s="971"/>
      <c r="OYT49" s="971"/>
      <c r="OYU49" s="971"/>
      <c r="OYV49" s="971"/>
      <c r="OYW49" s="971"/>
      <c r="OYX49" s="971"/>
      <c r="OYY49" s="971"/>
      <c r="OYZ49" s="971"/>
      <c r="OZA49" s="971"/>
      <c r="OZB49" s="971"/>
      <c r="OZC49" s="971"/>
      <c r="OZD49" s="971"/>
      <c r="OZE49" s="971"/>
      <c r="OZF49" s="971"/>
      <c r="OZG49" s="971"/>
      <c r="OZH49" s="971"/>
      <c r="OZI49" s="971"/>
      <c r="OZJ49" s="971"/>
      <c r="OZK49" s="971"/>
      <c r="OZL49" s="971"/>
      <c r="OZM49" s="971"/>
      <c r="OZN49" s="971"/>
      <c r="OZO49" s="971"/>
      <c r="OZP49" s="971"/>
      <c r="OZQ49" s="971"/>
      <c r="OZR49" s="971"/>
      <c r="OZS49" s="971"/>
      <c r="OZT49" s="971"/>
      <c r="OZU49" s="971"/>
      <c r="OZV49" s="971"/>
      <c r="OZW49" s="971"/>
      <c r="OZX49" s="971"/>
      <c r="OZY49" s="971"/>
      <c r="OZZ49" s="971"/>
      <c r="PAA49" s="971"/>
      <c r="PAB49" s="971"/>
      <c r="PAC49" s="971"/>
      <c r="PAD49" s="971"/>
      <c r="PAE49" s="971"/>
      <c r="PAF49" s="971"/>
      <c r="PAG49" s="971"/>
      <c r="PAH49" s="971"/>
      <c r="PAI49" s="971"/>
      <c r="PAJ49" s="971"/>
      <c r="PAK49" s="971"/>
      <c r="PAL49" s="971"/>
      <c r="PAM49" s="971"/>
      <c r="PAN49" s="971"/>
      <c r="PAO49" s="971"/>
      <c r="PAP49" s="971"/>
      <c r="PAQ49" s="971"/>
      <c r="PAR49" s="971"/>
      <c r="PAS49" s="971"/>
      <c r="PAT49" s="971"/>
      <c r="PAU49" s="971"/>
      <c r="PAV49" s="971"/>
      <c r="PAW49" s="971"/>
      <c r="PAX49" s="971"/>
      <c r="PAY49" s="971"/>
      <c r="PAZ49" s="971"/>
      <c r="PBA49" s="971"/>
      <c r="PBB49" s="971"/>
      <c r="PBC49" s="971"/>
      <c r="PBD49" s="971"/>
      <c r="PBE49" s="971"/>
      <c r="PBF49" s="971"/>
      <c r="PBG49" s="971"/>
      <c r="PBH49" s="971"/>
      <c r="PBI49" s="971"/>
      <c r="PBJ49" s="971"/>
      <c r="PBK49" s="971"/>
      <c r="PBL49" s="971"/>
      <c r="PBM49" s="971"/>
      <c r="PBN49" s="971"/>
      <c r="PBO49" s="971"/>
      <c r="PBP49" s="971"/>
      <c r="PBQ49" s="971"/>
      <c r="PBR49" s="971"/>
      <c r="PBS49" s="971"/>
      <c r="PBT49" s="971"/>
      <c r="PBU49" s="971"/>
      <c r="PBV49" s="971"/>
      <c r="PBW49" s="971"/>
      <c r="PBX49" s="971"/>
      <c r="PBY49" s="971"/>
      <c r="PBZ49" s="971"/>
      <c r="PCA49" s="971"/>
      <c r="PCB49" s="971"/>
      <c r="PCC49" s="971"/>
      <c r="PCD49" s="971"/>
      <c r="PCE49" s="971"/>
      <c r="PCF49" s="971"/>
      <c r="PCG49" s="971"/>
      <c r="PCH49" s="971"/>
      <c r="PCI49" s="971"/>
      <c r="PCJ49" s="971"/>
      <c r="PCK49" s="971"/>
      <c r="PCL49" s="971"/>
      <c r="PCM49" s="971"/>
      <c r="PCN49" s="971"/>
      <c r="PCO49" s="971"/>
      <c r="PCP49" s="971"/>
      <c r="PCQ49" s="971"/>
      <c r="PCR49" s="971"/>
      <c r="PCS49" s="971"/>
      <c r="PCT49" s="971"/>
      <c r="PCU49" s="971"/>
      <c r="PCV49" s="971"/>
      <c r="PCW49" s="971"/>
      <c r="PCX49" s="971"/>
      <c r="PCY49" s="971"/>
      <c r="PCZ49" s="971"/>
      <c r="PDA49" s="971"/>
      <c r="PDB49" s="971"/>
      <c r="PDC49" s="971"/>
      <c r="PDD49" s="971"/>
      <c r="PDE49" s="971"/>
      <c r="PDF49" s="971"/>
      <c r="PDG49" s="971"/>
      <c r="PDH49" s="971"/>
      <c r="PDI49" s="971"/>
      <c r="PDJ49" s="971"/>
      <c r="PDK49" s="971"/>
      <c r="PDL49" s="971"/>
      <c r="PDM49" s="971"/>
      <c r="PDN49" s="971"/>
      <c r="PDO49" s="971"/>
      <c r="PDP49" s="971"/>
      <c r="PDQ49" s="971"/>
      <c r="PDR49" s="971"/>
      <c r="PDS49" s="971"/>
      <c r="PDT49" s="971"/>
      <c r="PDU49" s="971"/>
      <c r="PDV49" s="971"/>
      <c r="PDW49" s="971"/>
      <c r="PDX49" s="971"/>
      <c r="PDY49" s="971"/>
      <c r="PDZ49" s="971"/>
      <c r="PEA49" s="971"/>
      <c r="PEB49" s="971"/>
      <c r="PEC49" s="971"/>
      <c r="PED49" s="971"/>
      <c r="PEE49" s="971"/>
      <c r="PEF49" s="971"/>
      <c r="PEG49" s="971"/>
      <c r="PEH49" s="971"/>
      <c r="PEI49" s="971"/>
      <c r="PEJ49" s="971"/>
      <c r="PEK49" s="971"/>
      <c r="PEL49" s="971"/>
      <c r="PEM49" s="971"/>
      <c r="PEN49" s="971"/>
      <c r="PEO49" s="971"/>
      <c r="PEP49" s="971"/>
      <c r="PEQ49" s="971"/>
      <c r="PER49" s="971"/>
      <c r="PES49" s="971"/>
      <c r="PET49" s="971"/>
      <c r="PEU49" s="971"/>
      <c r="PEV49" s="971"/>
      <c r="PEW49" s="971"/>
      <c r="PEX49" s="971"/>
      <c r="PEY49" s="971"/>
      <c r="PEZ49" s="971"/>
      <c r="PFA49" s="971"/>
      <c r="PFB49" s="971"/>
      <c r="PFC49" s="971"/>
      <c r="PFD49" s="971"/>
      <c r="PFE49" s="971"/>
      <c r="PFF49" s="971"/>
      <c r="PFG49" s="971"/>
      <c r="PFH49" s="971"/>
      <c r="PFI49" s="971"/>
      <c r="PFJ49" s="971"/>
      <c r="PFK49" s="971"/>
      <c r="PFL49" s="971"/>
      <c r="PFM49" s="971"/>
      <c r="PFN49" s="971"/>
      <c r="PFO49" s="971"/>
      <c r="PFP49" s="971"/>
      <c r="PFQ49" s="971"/>
      <c r="PFR49" s="971"/>
      <c r="PFS49" s="971"/>
      <c r="PFT49" s="971"/>
      <c r="PFU49" s="971"/>
      <c r="PFV49" s="971"/>
      <c r="PFW49" s="971"/>
      <c r="PFX49" s="971"/>
      <c r="PFY49" s="971"/>
      <c r="PFZ49" s="971"/>
      <c r="PGA49" s="971"/>
      <c r="PGB49" s="971"/>
      <c r="PGC49" s="971"/>
      <c r="PGD49" s="971"/>
      <c r="PGE49" s="971"/>
      <c r="PGF49" s="971"/>
      <c r="PGG49" s="971"/>
      <c r="PGH49" s="971"/>
      <c r="PGI49" s="971"/>
      <c r="PGJ49" s="971"/>
      <c r="PGK49" s="971"/>
      <c r="PGL49" s="971"/>
      <c r="PGM49" s="971"/>
      <c r="PGN49" s="971"/>
      <c r="PGO49" s="971"/>
      <c r="PGP49" s="971"/>
      <c r="PGQ49" s="971"/>
      <c r="PGR49" s="971"/>
      <c r="PGS49" s="971"/>
      <c r="PGT49" s="971"/>
      <c r="PGU49" s="971"/>
      <c r="PGV49" s="971"/>
      <c r="PGW49" s="971"/>
      <c r="PGX49" s="971"/>
      <c r="PGY49" s="971"/>
      <c r="PGZ49" s="971"/>
      <c r="PHA49" s="971"/>
      <c r="PHB49" s="971"/>
      <c r="PHC49" s="971"/>
      <c r="PHD49" s="971"/>
      <c r="PHE49" s="971"/>
      <c r="PHF49" s="971"/>
      <c r="PHG49" s="971"/>
      <c r="PHH49" s="971"/>
      <c r="PHI49" s="971"/>
      <c r="PHJ49" s="971"/>
      <c r="PHK49" s="971"/>
      <c r="PHL49" s="971"/>
      <c r="PHM49" s="971"/>
      <c r="PHN49" s="971"/>
      <c r="PHO49" s="971"/>
      <c r="PHP49" s="971"/>
      <c r="PHQ49" s="971"/>
      <c r="PHR49" s="971"/>
      <c r="PHS49" s="971"/>
      <c r="PHT49" s="971"/>
      <c r="PHU49" s="971"/>
      <c r="PHV49" s="971"/>
      <c r="PHW49" s="971"/>
      <c r="PHX49" s="971"/>
      <c r="PHY49" s="971"/>
      <c r="PHZ49" s="971"/>
      <c r="PIA49" s="971"/>
      <c r="PIB49" s="971"/>
      <c r="PIC49" s="971"/>
      <c r="PID49" s="971"/>
      <c r="PIE49" s="971"/>
      <c r="PIF49" s="971"/>
      <c r="PIG49" s="971"/>
      <c r="PIH49" s="971"/>
      <c r="PII49" s="971"/>
      <c r="PIJ49" s="971"/>
      <c r="PIK49" s="971"/>
      <c r="PIL49" s="971"/>
      <c r="PIM49" s="971"/>
      <c r="PIN49" s="971"/>
      <c r="PIO49" s="971"/>
      <c r="PIP49" s="971"/>
      <c r="PIQ49" s="971"/>
      <c r="PIR49" s="971"/>
      <c r="PIS49" s="971"/>
      <c r="PIT49" s="971"/>
      <c r="PIU49" s="971"/>
      <c r="PIV49" s="971"/>
      <c r="PIW49" s="971"/>
      <c r="PIX49" s="971"/>
      <c r="PIY49" s="971"/>
      <c r="PIZ49" s="971"/>
      <c r="PJA49" s="971"/>
      <c r="PJB49" s="971"/>
      <c r="PJC49" s="971"/>
      <c r="PJD49" s="971"/>
      <c r="PJE49" s="971"/>
      <c r="PJF49" s="971"/>
      <c r="PJG49" s="971"/>
      <c r="PJH49" s="971"/>
      <c r="PJI49" s="971"/>
      <c r="PJJ49" s="971"/>
      <c r="PJK49" s="971"/>
      <c r="PJL49" s="971"/>
      <c r="PJM49" s="971"/>
      <c r="PJN49" s="971"/>
      <c r="PJO49" s="971"/>
      <c r="PJP49" s="971"/>
      <c r="PJQ49" s="971"/>
      <c r="PJR49" s="971"/>
      <c r="PJS49" s="971"/>
      <c r="PJT49" s="971"/>
      <c r="PJU49" s="971"/>
      <c r="PJV49" s="971"/>
      <c r="PJW49" s="971"/>
      <c r="PJX49" s="971"/>
      <c r="PJY49" s="971"/>
      <c r="PJZ49" s="971"/>
      <c r="PKA49" s="971"/>
      <c r="PKB49" s="971"/>
      <c r="PKC49" s="971"/>
      <c r="PKD49" s="971"/>
      <c r="PKE49" s="971"/>
      <c r="PKF49" s="971"/>
      <c r="PKG49" s="971"/>
      <c r="PKH49" s="971"/>
      <c r="PKI49" s="971"/>
      <c r="PKJ49" s="971"/>
      <c r="PKK49" s="971"/>
      <c r="PKL49" s="971"/>
      <c r="PKM49" s="971"/>
      <c r="PKN49" s="971"/>
      <c r="PKO49" s="971"/>
      <c r="PKP49" s="971"/>
      <c r="PKQ49" s="971"/>
      <c r="PKR49" s="971"/>
      <c r="PKS49" s="971"/>
      <c r="PKT49" s="971"/>
      <c r="PKU49" s="971"/>
      <c r="PKV49" s="971"/>
      <c r="PKW49" s="971"/>
      <c r="PKX49" s="971"/>
      <c r="PKY49" s="971"/>
      <c r="PKZ49" s="971"/>
      <c r="PLA49" s="971"/>
      <c r="PLB49" s="971"/>
      <c r="PLC49" s="971"/>
      <c r="PLD49" s="971"/>
      <c r="PLE49" s="971"/>
      <c r="PLF49" s="971"/>
      <c r="PLG49" s="971"/>
      <c r="PLH49" s="971"/>
      <c r="PLI49" s="971"/>
      <c r="PLJ49" s="971"/>
      <c r="PLK49" s="971"/>
      <c r="PLL49" s="971"/>
      <c r="PLM49" s="971"/>
      <c r="PLN49" s="971"/>
      <c r="PLO49" s="971"/>
      <c r="PLP49" s="971"/>
      <c r="PLQ49" s="971"/>
      <c r="PLR49" s="971"/>
      <c r="PLS49" s="971"/>
      <c r="PLT49" s="971"/>
      <c r="PLU49" s="971"/>
      <c r="PLV49" s="971"/>
      <c r="PLW49" s="971"/>
      <c r="PLX49" s="971"/>
      <c r="PLY49" s="971"/>
      <c r="PLZ49" s="971"/>
      <c r="PMA49" s="971"/>
      <c r="PMB49" s="971"/>
      <c r="PMC49" s="971"/>
      <c r="PMD49" s="971"/>
      <c r="PME49" s="971"/>
      <c r="PMF49" s="971"/>
      <c r="PMG49" s="971"/>
      <c r="PMH49" s="971"/>
      <c r="PMI49" s="971"/>
      <c r="PMJ49" s="971"/>
      <c r="PMK49" s="971"/>
      <c r="PML49" s="971"/>
      <c r="PMM49" s="971"/>
      <c r="PMN49" s="971"/>
      <c r="PMO49" s="971"/>
      <c r="PMP49" s="971"/>
      <c r="PMQ49" s="971"/>
      <c r="PMR49" s="971"/>
      <c r="PMS49" s="971"/>
      <c r="PMT49" s="971"/>
      <c r="PMU49" s="971"/>
      <c r="PMV49" s="971"/>
      <c r="PMW49" s="971"/>
      <c r="PMX49" s="971"/>
      <c r="PMY49" s="971"/>
      <c r="PMZ49" s="971"/>
      <c r="PNA49" s="971"/>
      <c r="PNB49" s="971"/>
      <c r="PNC49" s="971"/>
      <c r="PND49" s="971"/>
      <c r="PNE49" s="971"/>
      <c r="PNF49" s="971"/>
      <c r="PNG49" s="971"/>
      <c r="PNH49" s="971"/>
      <c r="PNI49" s="971"/>
      <c r="PNJ49" s="971"/>
      <c r="PNK49" s="971"/>
      <c r="PNL49" s="971"/>
      <c r="PNM49" s="971"/>
      <c r="PNN49" s="971"/>
      <c r="PNO49" s="971"/>
      <c r="PNP49" s="971"/>
      <c r="PNQ49" s="971"/>
      <c r="PNR49" s="971"/>
      <c r="PNS49" s="971"/>
      <c r="PNT49" s="971"/>
      <c r="PNU49" s="971"/>
      <c r="PNV49" s="971"/>
      <c r="PNW49" s="971"/>
      <c r="PNX49" s="971"/>
      <c r="PNY49" s="971"/>
      <c r="PNZ49" s="971"/>
      <c r="POA49" s="971"/>
      <c r="POB49" s="971"/>
      <c r="POC49" s="971"/>
      <c r="POD49" s="971"/>
      <c r="POE49" s="971"/>
      <c r="POF49" s="971"/>
      <c r="POG49" s="971"/>
      <c r="POH49" s="971"/>
      <c r="POI49" s="971"/>
      <c r="POJ49" s="971"/>
      <c r="POK49" s="971"/>
      <c r="POL49" s="971"/>
      <c r="POM49" s="971"/>
      <c r="PON49" s="971"/>
      <c r="POO49" s="971"/>
      <c r="POP49" s="971"/>
      <c r="POQ49" s="971"/>
      <c r="POR49" s="971"/>
      <c r="POS49" s="971"/>
      <c r="POT49" s="971"/>
      <c r="POU49" s="971"/>
      <c r="POV49" s="971"/>
      <c r="POW49" s="971"/>
      <c r="POX49" s="971"/>
      <c r="POY49" s="971"/>
      <c r="POZ49" s="971"/>
      <c r="PPA49" s="971"/>
      <c r="PPB49" s="971"/>
      <c r="PPC49" s="971"/>
      <c r="PPD49" s="971"/>
      <c r="PPE49" s="971"/>
      <c r="PPF49" s="971"/>
      <c r="PPG49" s="971"/>
      <c r="PPH49" s="971"/>
      <c r="PPI49" s="971"/>
      <c r="PPJ49" s="971"/>
      <c r="PPK49" s="971"/>
      <c r="PPL49" s="971"/>
      <c r="PPM49" s="971"/>
      <c r="PPN49" s="971"/>
      <c r="PPO49" s="971"/>
      <c r="PPP49" s="971"/>
      <c r="PPQ49" s="971"/>
      <c r="PPR49" s="971"/>
      <c r="PPS49" s="971"/>
      <c r="PPT49" s="971"/>
      <c r="PPU49" s="971"/>
      <c r="PPV49" s="971"/>
      <c r="PPW49" s="971"/>
      <c r="PPX49" s="971"/>
      <c r="PPY49" s="971"/>
      <c r="PPZ49" s="971"/>
      <c r="PQA49" s="971"/>
      <c r="PQB49" s="971"/>
      <c r="PQC49" s="971"/>
      <c r="PQD49" s="971"/>
      <c r="PQE49" s="971"/>
      <c r="PQF49" s="971"/>
      <c r="PQG49" s="971"/>
      <c r="PQH49" s="971"/>
      <c r="PQI49" s="971"/>
      <c r="PQJ49" s="971"/>
      <c r="PQK49" s="971"/>
      <c r="PQL49" s="971"/>
      <c r="PQM49" s="971"/>
      <c r="PQN49" s="971"/>
      <c r="PQO49" s="971"/>
      <c r="PQP49" s="971"/>
      <c r="PQQ49" s="971"/>
      <c r="PQR49" s="971"/>
      <c r="PQS49" s="971"/>
      <c r="PQT49" s="971"/>
      <c r="PQU49" s="971"/>
      <c r="PQV49" s="971"/>
      <c r="PQW49" s="971"/>
      <c r="PQX49" s="971"/>
      <c r="PQY49" s="971"/>
      <c r="PQZ49" s="971"/>
      <c r="PRA49" s="971"/>
      <c r="PRB49" s="971"/>
      <c r="PRC49" s="971"/>
      <c r="PRD49" s="971"/>
      <c r="PRE49" s="971"/>
      <c r="PRF49" s="971"/>
      <c r="PRG49" s="971"/>
      <c r="PRH49" s="971"/>
      <c r="PRI49" s="971"/>
      <c r="PRJ49" s="971"/>
      <c r="PRK49" s="971"/>
      <c r="PRL49" s="971"/>
      <c r="PRM49" s="971"/>
      <c r="PRN49" s="971"/>
      <c r="PRO49" s="971"/>
      <c r="PRP49" s="971"/>
      <c r="PRQ49" s="971"/>
      <c r="PRR49" s="971"/>
      <c r="PRS49" s="971"/>
      <c r="PRT49" s="971"/>
      <c r="PRU49" s="971"/>
      <c r="PRV49" s="971"/>
      <c r="PRW49" s="971"/>
      <c r="PRX49" s="971"/>
      <c r="PRY49" s="971"/>
      <c r="PRZ49" s="971"/>
      <c r="PSA49" s="971"/>
      <c r="PSB49" s="971"/>
      <c r="PSC49" s="971"/>
      <c r="PSD49" s="971"/>
      <c r="PSE49" s="971"/>
      <c r="PSF49" s="971"/>
      <c r="PSG49" s="971"/>
      <c r="PSH49" s="971"/>
      <c r="PSI49" s="971"/>
      <c r="PSJ49" s="971"/>
      <c r="PSK49" s="971"/>
      <c r="PSL49" s="971"/>
      <c r="PSM49" s="971"/>
      <c r="PSN49" s="971"/>
      <c r="PSO49" s="971"/>
      <c r="PSP49" s="971"/>
      <c r="PSQ49" s="971"/>
      <c r="PSR49" s="971"/>
      <c r="PSS49" s="971"/>
      <c r="PST49" s="971"/>
      <c r="PSU49" s="971"/>
      <c r="PSV49" s="971"/>
      <c r="PSW49" s="971"/>
      <c r="PSX49" s="971"/>
      <c r="PSY49" s="971"/>
      <c r="PSZ49" s="971"/>
      <c r="PTA49" s="971"/>
      <c r="PTB49" s="971"/>
      <c r="PTC49" s="971"/>
      <c r="PTD49" s="971"/>
      <c r="PTE49" s="971"/>
      <c r="PTF49" s="971"/>
      <c r="PTG49" s="971"/>
      <c r="PTH49" s="971"/>
      <c r="PTI49" s="971"/>
      <c r="PTJ49" s="971"/>
      <c r="PTK49" s="971"/>
      <c r="PTL49" s="971"/>
      <c r="PTM49" s="971"/>
      <c r="PTN49" s="971"/>
      <c r="PTO49" s="971"/>
      <c r="PTP49" s="971"/>
      <c r="PTQ49" s="971"/>
      <c r="PTR49" s="971"/>
      <c r="PTS49" s="971"/>
      <c r="PTT49" s="971"/>
      <c r="PTU49" s="971"/>
      <c r="PTV49" s="971"/>
      <c r="PTW49" s="971"/>
      <c r="PTX49" s="971"/>
      <c r="PTY49" s="971"/>
      <c r="PTZ49" s="971"/>
      <c r="PUA49" s="971"/>
      <c r="PUB49" s="971"/>
      <c r="PUC49" s="971"/>
      <c r="PUD49" s="971"/>
      <c r="PUE49" s="971"/>
      <c r="PUF49" s="971"/>
      <c r="PUG49" s="971"/>
      <c r="PUH49" s="971"/>
      <c r="PUI49" s="971"/>
      <c r="PUJ49" s="971"/>
      <c r="PUK49" s="971"/>
      <c r="PUL49" s="971"/>
      <c r="PUM49" s="971"/>
      <c r="PUN49" s="971"/>
      <c r="PUO49" s="971"/>
      <c r="PUP49" s="971"/>
      <c r="PUQ49" s="971"/>
      <c r="PUR49" s="971"/>
      <c r="PUS49" s="971"/>
      <c r="PUT49" s="971"/>
      <c r="PUU49" s="971"/>
      <c r="PUV49" s="971"/>
      <c r="PUW49" s="971"/>
      <c r="PUX49" s="971"/>
      <c r="PUY49" s="971"/>
      <c r="PUZ49" s="971"/>
      <c r="PVA49" s="971"/>
      <c r="PVB49" s="971"/>
      <c r="PVC49" s="971"/>
      <c r="PVD49" s="971"/>
      <c r="PVE49" s="971"/>
      <c r="PVF49" s="971"/>
      <c r="PVG49" s="971"/>
      <c r="PVH49" s="971"/>
      <c r="PVI49" s="971"/>
      <c r="PVJ49" s="971"/>
      <c r="PVK49" s="971"/>
      <c r="PVL49" s="971"/>
      <c r="PVM49" s="971"/>
      <c r="PVN49" s="971"/>
      <c r="PVO49" s="971"/>
      <c r="PVP49" s="971"/>
      <c r="PVQ49" s="971"/>
      <c r="PVR49" s="971"/>
      <c r="PVS49" s="971"/>
      <c r="PVT49" s="971"/>
      <c r="PVU49" s="971"/>
      <c r="PVV49" s="971"/>
      <c r="PVW49" s="971"/>
      <c r="PVX49" s="971"/>
      <c r="PVY49" s="971"/>
      <c r="PVZ49" s="971"/>
      <c r="PWA49" s="971"/>
      <c r="PWB49" s="971"/>
      <c r="PWC49" s="971"/>
      <c r="PWD49" s="971"/>
      <c r="PWE49" s="971"/>
      <c r="PWF49" s="971"/>
      <c r="PWG49" s="971"/>
      <c r="PWH49" s="971"/>
      <c r="PWI49" s="971"/>
      <c r="PWJ49" s="971"/>
      <c r="PWK49" s="971"/>
      <c r="PWL49" s="971"/>
      <c r="PWM49" s="971"/>
      <c r="PWN49" s="971"/>
      <c r="PWO49" s="971"/>
      <c r="PWP49" s="971"/>
      <c r="PWQ49" s="971"/>
      <c r="PWR49" s="971"/>
      <c r="PWS49" s="971"/>
      <c r="PWT49" s="971"/>
      <c r="PWU49" s="971"/>
      <c r="PWV49" s="971"/>
      <c r="PWW49" s="971"/>
      <c r="PWX49" s="971"/>
      <c r="PWY49" s="971"/>
      <c r="PWZ49" s="971"/>
      <c r="PXA49" s="971"/>
      <c r="PXB49" s="971"/>
      <c r="PXC49" s="971"/>
      <c r="PXD49" s="971"/>
      <c r="PXE49" s="971"/>
      <c r="PXF49" s="971"/>
      <c r="PXG49" s="971"/>
      <c r="PXH49" s="971"/>
      <c r="PXI49" s="971"/>
      <c r="PXJ49" s="971"/>
      <c r="PXK49" s="971"/>
      <c r="PXL49" s="971"/>
      <c r="PXM49" s="971"/>
      <c r="PXN49" s="971"/>
      <c r="PXO49" s="971"/>
      <c r="PXP49" s="971"/>
      <c r="PXQ49" s="971"/>
      <c r="PXR49" s="971"/>
      <c r="PXS49" s="971"/>
      <c r="PXT49" s="971"/>
      <c r="PXU49" s="971"/>
      <c r="PXV49" s="971"/>
      <c r="PXW49" s="971"/>
      <c r="PXX49" s="971"/>
      <c r="PXY49" s="971"/>
      <c r="PXZ49" s="971"/>
      <c r="PYA49" s="971"/>
      <c r="PYB49" s="971"/>
      <c r="PYC49" s="971"/>
      <c r="PYD49" s="971"/>
      <c r="PYE49" s="971"/>
      <c r="PYF49" s="971"/>
      <c r="PYG49" s="971"/>
      <c r="PYH49" s="971"/>
      <c r="PYI49" s="971"/>
      <c r="PYJ49" s="971"/>
      <c r="PYK49" s="971"/>
      <c r="PYL49" s="971"/>
      <c r="PYM49" s="971"/>
      <c r="PYN49" s="971"/>
      <c r="PYO49" s="971"/>
      <c r="PYP49" s="971"/>
      <c r="PYQ49" s="971"/>
      <c r="PYR49" s="971"/>
      <c r="PYS49" s="971"/>
      <c r="PYT49" s="971"/>
      <c r="PYU49" s="971"/>
      <c r="PYV49" s="971"/>
      <c r="PYW49" s="971"/>
      <c r="PYX49" s="971"/>
      <c r="PYY49" s="971"/>
      <c r="PYZ49" s="971"/>
      <c r="PZA49" s="971"/>
      <c r="PZB49" s="971"/>
      <c r="PZC49" s="971"/>
      <c r="PZD49" s="971"/>
      <c r="PZE49" s="971"/>
      <c r="PZF49" s="971"/>
      <c r="PZG49" s="971"/>
      <c r="PZH49" s="971"/>
      <c r="PZI49" s="971"/>
      <c r="PZJ49" s="971"/>
      <c r="PZK49" s="971"/>
      <c r="PZL49" s="971"/>
      <c r="PZM49" s="971"/>
      <c r="PZN49" s="971"/>
      <c r="PZO49" s="971"/>
      <c r="PZP49" s="971"/>
      <c r="PZQ49" s="971"/>
      <c r="PZR49" s="971"/>
      <c r="PZS49" s="971"/>
      <c r="PZT49" s="971"/>
      <c r="PZU49" s="971"/>
      <c r="PZV49" s="971"/>
      <c r="PZW49" s="971"/>
      <c r="PZX49" s="971"/>
      <c r="PZY49" s="971"/>
      <c r="PZZ49" s="971"/>
      <c r="QAA49" s="971"/>
      <c r="QAB49" s="971"/>
      <c r="QAC49" s="971"/>
      <c r="QAD49" s="971"/>
      <c r="QAE49" s="971"/>
      <c r="QAF49" s="971"/>
      <c r="QAG49" s="971"/>
      <c r="QAH49" s="971"/>
      <c r="QAI49" s="971"/>
      <c r="QAJ49" s="971"/>
      <c r="QAK49" s="971"/>
      <c r="QAL49" s="971"/>
      <c r="QAM49" s="971"/>
      <c r="QAN49" s="971"/>
      <c r="QAO49" s="971"/>
      <c r="QAP49" s="971"/>
      <c r="QAQ49" s="971"/>
      <c r="QAR49" s="971"/>
      <c r="QAS49" s="971"/>
      <c r="QAT49" s="971"/>
      <c r="QAU49" s="971"/>
      <c r="QAV49" s="971"/>
      <c r="QAW49" s="971"/>
      <c r="QAX49" s="971"/>
      <c r="QAY49" s="971"/>
      <c r="QAZ49" s="971"/>
      <c r="QBA49" s="971"/>
      <c r="QBB49" s="971"/>
      <c r="QBC49" s="971"/>
      <c r="QBD49" s="971"/>
      <c r="QBE49" s="971"/>
      <c r="QBF49" s="971"/>
      <c r="QBG49" s="971"/>
      <c r="QBH49" s="971"/>
      <c r="QBI49" s="971"/>
      <c r="QBJ49" s="971"/>
      <c r="QBK49" s="971"/>
      <c r="QBL49" s="971"/>
      <c r="QBM49" s="971"/>
      <c r="QBN49" s="971"/>
      <c r="QBO49" s="971"/>
      <c r="QBP49" s="971"/>
      <c r="QBQ49" s="971"/>
      <c r="QBR49" s="971"/>
      <c r="QBS49" s="971"/>
      <c r="QBT49" s="971"/>
      <c r="QBU49" s="971"/>
      <c r="QBV49" s="971"/>
      <c r="QBW49" s="971"/>
      <c r="QBX49" s="971"/>
      <c r="QBY49" s="971"/>
      <c r="QBZ49" s="971"/>
      <c r="QCA49" s="971"/>
      <c r="QCB49" s="971"/>
      <c r="QCC49" s="971"/>
      <c r="QCD49" s="971"/>
      <c r="QCE49" s="971"/>
      <c r="QCF49" s="971"/>
      <c r="QCG49" s="971"/>
      <c r="QCH49" s="971"/>
      <c r="QCI49" s="971"/>
      <c r="QCJ49" s="971"/>
      <c r="QCK49" s="971"/>
      <c r="QCL49" s="971"/>
      <c r="QCM49" s="971"/>
      <c r="QCN49" s="971"/>
      <c r="QCO49" s="971"/>
      <c r="QCP49" s="971"/>
      <c r="QCQ49" s="971"/>
      <c r="QCR49" s="971"/>
      <c r="QCS49" s="971"/>
      <c r="QCT49" s="971"/>
      <c r="QCU49" s="971"/>
      <c r="QCV49" s="971"/>
      <c r="QCW49" s="971"/>
      <c r="QCX49" s="971"/>
      <c r="QCY49" s="971"/>
      <c r="QCZ49" s="971"/>
      <c r="QDA49" s="971"/>
      <c r="QDB49" s="971"/>
      <c r="QDC49" s="971"/>
      <c r="QDD49" s="971"/>
      <c r="QDE49" s="971"/>
      <c r="QDF49" s="971"/>
      <c r="QDG49" s="971"/>
      <c r="QDH49" s="971"/>
      <c r="QDI49" s="971"/>
      <c r="QDJ49" s="971"/>
      <c r="QDK49" s="971"/>
      <c r="QDL49" s="971"/>
      <c r="QDM49" s="971"/>
      <c r="QDN49" s="971"/>
      <c r="QDO49" s="971"/>
      <c r="QDP49" s="971"/>
      <c r="QDQ49" s="971"/>
      <c r="QDR49" s="971"/>
      <c r="QDS49" s="971"/>
      <c r="QDT49" s="971"/>
      <c r="QDU49" s="971"/>
      <c r="QDV49" s="971"/>
      <c r="QDW49" s="971"/>
      <c r="QDX49" s="971"/>
      <c r="QDY49" s="971"/>
      <c r="QDZ49" s="971"/>
      <c r="QEA49" s="971"/>
      <c r="QEB49" s="971"/>
      <c r="QEC49" s="971"/>
      <c r="QED49" s="971"/>
      <c r="QEE49" s="971"/>
      <c r="QEF49" s="971"/>
      <c r="QEG49" s="971"/>
      <c r="QEH49" s="971"/>
      <c r="QEI49" s="971"/>
      <c r="QEJ49" s="971"/>
      <c r="QEK49" s="971"/>
      <c r="QEL49" s="971"/>
      <c r="QEM49" s="971"/>
      <c r="QEN49" s="971"/>
      <c r="QEO49" s="971"/>
      <c r="QEP49" s="971"/>
      <c r="QEQ49" s="971"/>
      <c r="QER49" s="971"/>
      <c r="QES49" s="971"/>
      <c r="QET49" s="971"/>
      <c r="QEU49" s="971"/>
      <c r="QEV49" s="971"/>
      <c r="QEW49" s="971"/>
      <c r="QEX49" s="971"/>
      <c r="QEY49" s="971"/>
      <c r="QEZ49" s="971"/>
      <c r="QFA49" s="971"/>
      <c r="QFB49" s="971"/>
      <c r="QFC49" s="971"/>
      <c r="QFD49" s="971"/>
      <c r="QFE49" s="971"/>
      <c r="QFF49" s="971"/>
      <c r="QFG49" s="971"/>
      <c r="QFH49" s="971"/>
      <c r="QFI49" s="971"/>
      <c r="QFJ49" s="971"/>
      <c r="QFK49" s="971"/>
      <c r="QFL49" s="971"/>
      <c r="QFM49" s="971"/>
      <c r="QFN49" s="971"/>
      <c r="QFO49" s="971"/>
      <c r="QFP49" s="971"/>
      <c r="QFQ49" s="971"/>
      <c r="QFR49" s="971"/>
      <c r="QFS49" s="971"/>
      <c r="QFT49" s="971"/>
      <c r="QFU49" s="971"/>
      <c r="QFV49" s="971"/>
      <c r="QFW49" s="971"/>
      <c r="QFX49" s="971"/>
      <c r="QFY49" s="971"/>
      <c r="QFZ49" s="971"/>
      <c r="QGA49" s="971"/>
      <c r="QGB49" s="971"/>
      <c r="QGC49" s="971"/>
      <c r="QGD49" s="971"/>
      <c r="QGE49" s="971"/>
      <c r="QGF49" s="971"/>
      <c r="QGG49" s="971"/>
      <c r="QGH49" s="971"/>
      <c r="QGI49" s="971"/>
      <c r="QGJ49" s="971"/>
      <c r="QGK49" s="971"/>
      <c r="QGL49" s="971"/>
      <c r="QGM49" s="971"/>
      <c r="QGN49" s="971"/>
      <c r="QGO49" s="971"/>
      <c r="QGP49" s="971"/>
      <c r="QGQ49" s="971"/>
      <c r="QGR49" s="971"/>
      <c r="QGS49" s="971"/>
      <c r="QGT49" s="971"/>
      <c r="QGU49" s="971"/>
      <c r="QGV49" s="971"/>
      <c r="QGW49" s="971"/>
      <c r="QGX49" s="971"/>
      <c r="QGY49" s="971"/>
      <c r="QGZ49" s="971"/>
      <c r="QHA49" s="971"/>
      <c r="QHB49" s="971"/>
      <c r="QHC49" s="971"/>
      <c r="QHD49" s="971"/>
      <c r="QHE49" s="971"/>
      <c r="QHF49" s="971"/>
      <c r="QHG49" s="971"/>
      <c r="QHH49" s="971"/>
      <c r="QHI49" s="971"/>
      <c r="QHJ49" s="971"/>
      <c r="QHK49" s="971"/>
      <c r="QHL49" s="971"/>
      <c r="QHM49" s="971"/>
      <c r="QHN49" s="971"/>
      <c r="QHO49" s="971"/>
      <c r="QHP49" s="971"/>
      <c r="QHQ49" s="971"/>
      <c r="QHR49" s="971"/>
      <c r="QHS49" s="971"/>
      <c r="QHT49" s="971"/>
      <c r="QHU49" s="971"/>
      <c r="QHV49" s="971"/>
      <c r="QHW49" s="971"/>
      <c r="QHX49" s="971"/>
      <c r="QHY49" s="971"/>
      <c r="QHZ49" s="971"/>
      <c r="QIA49" s="971"/>
      <c r="QIB49" s="971"/>
      <c r="QIC49" s="971"/>
      <c r="QID49" s="971"/>
      <c r="QIE49" s="971"/>
      <c r="QIF49" s="971"/>
      <c r="QIG49" s="971"/>
      <c r="QIH49" s="971"/>
      <c r="QII49" s="971"/>
      <c r="QIJ49" s="971"/>
      <c r="QIK49" s="971"/>
      <c r="QIL49" s="971"/>
      <c r="QIM49" s="971"/>
      <c r="QIN49" s="971"/>
      <c r="QIO49" s="971"/>
      <c r="QIP49" s="971"/>
      <c r="QIQ49" s="971"/>
      <c r="QIR49" s="971"/>
      <c r="QIS49" s="971"/>
      <c r="QIT49" s="971"/>
      <c r="QIU49" s="971"/>
      <c r="QIV49" s="971"/>
      <c r="QIW49" s="971"/>
      <c r="QIX49" s="971"/>
      <c r="QIY49" s="971"/>
      <c r="QIZ49" s="971"/>
      <c r="QJA49" s="971"/>
      <c r="QJB49" s="971"/>
      <c r="QJC49" s="971"/>
      <c r="QJD49" s="971"/>
      <c r="QJE49" s="971"/>
      <c r="QJF49" s="971"/>
      <c r="QJG49" s="971"/>
      <c r="QJH49" s="971"/>
      <c r="QJI49" s="971"/>
      <c r="QJJ49" s="971"/>
      <c r="QJK49" s="971"/>
      <c r="QJL49" s="971"/>
      <c r="QJM49" s="971"/>
      <c r="QJN49" s="971"/>
      <c r="QJO49" s="971"/>
      <c r="QJP49" s="971"/>
      <c r="QJQ49" s="971"/>
      <c r="QJR49" s="971"/>
      <c r="QJS49" s="971"/>
      <c r="QJT49" s="971"/>
      <c r="QJU49" s="971"/>
      <c r="QJV49" s="971"/>
      <c r="QJW49" s="971"/>
      <c r="QJX49" s="971"/>
      <c r="QJY49" s="971"/>
      <c r="QJZ49" s="971"/>
      <c r="QKA49" s="971"/>
      <c r="QKB49" s="971"/>
      <c r="QKC49" s="971"/>
      <c r="QKD49" s="971"/>
      <c r="QKE49" s="971"/>
      <c r="QKF49" s="971"/>
      <c r="QKG49" s="971"/>
      <c r="QKH49" s="971"/>
      <c r="QKI49" s="971"/>
      <c r="QKJ49" s="971"/>
      <c r="QKK49" s="971"/>
      <c r="QKL49" s="971"/>
      <c r="QKM49" s="971"/>
      <c r="QKN49" s="971"/>
      <c r="QKO49" s="971"/>
      <c r="QKP49" s="971"/>
      <c r="QKQ49" s="971"/>
      <c r="QKR49" s="971"/>
      <c r="QKS49" s="971"/>
      <c r="QKT49" s="971"/>
      <c r="QKU49" s="971"/>
      <c r="QKV49" s="971"/>
      <c r="QKW49" s="971"/>
      <c r="QKX49" s="971"/>
      <c r="QKY49" s="971"/>
      <c r="QKZ49" s="971"/>
      <c r="QLA49" s="971"/>
      <c r="QLB49" s="971"/>
      <c r="QLC49" s="971"/>
      <c r="QLD49" s="971"/>
      <c r="QLE49" s="971"/>
      <c r="QLF49" s="971"/>
      <c r="QLG49" s="971"/>
      <c r="QLH49" s="971"/>
      <c r="QLI49" s="971"/>
      <c r="QLJ49" s="971"/>
      <c r="QLK49" s="971"/>
      <c r="QLL49" s="971"/>
      <c r="QLM49" s="971"/>
      <c r="QLN49" s="971"/>
      <c r="QLO49" s="971"/>
      <c r="QLP49" s="971"/>
      <c r="QLQ49" s="971"/>
      <c r="QLR49" s="971"/>
      <c r="QLS49" s="971"/>
      <c r="QLT49" s="971"/>
      <c r="QLU49" s="971"/>
      <c r="QLV49" s="971"/>
      <c r="QLW49" s="971"/>
      <c r="QLX49" s="971"/>
      <c r="QLY49" s="971"/>
      <c r="QLZ49" s="971"/>
      <c r="QMA49" s="971"/>
      <c r="QMB49" s="971"/>
      <c r="QMC49" s="971"/>
      <c r="QMD49" s="971"/>
      <c r="QME49" s="971"/>
      <c r="QMF49" s="971"/>
      <c r="QMG49" s="971"/>
      <c r="QMH49" s="971"/>
      <c r="QMI49" s="971"/>
      <c r="QMJ49" s="971"/>
      <c r="QMK49" s="971"/>
      <c r="QML49" s="971"/>
      <c r="QMM49" s="971"/>
      <c r="QMN49" s="971"/>
      <c r="QMO49" s="971"/>
      <c r="QMP49" s="971"/>
      <c r="QMQ49" s="971"/>
      <c r="QMR49" s="971"/>
      <c r="QMS49" s="971"/>
      <c r="QMT49" s="971"/>
      <c r="QMU49" s="971"/>
      <c r="QMV49" s="971"/>
      <c r="QMW49" s="971"/>
      <c r="QMX49" s="971"/>
      <c r="QMY49" s="971"/>
      <c r="QMZ49" s="971"/>
      <c r="QNA49" s="971"/>
      <c r="QNB49" s="971"/>
      <c r="QNC49" s="971"/>
      <c r="QND49" s="971"/>
      <c r="QNE49" s="971"/>
      <c r="QNF49" s="971"/>
      <c r="QNG49" s="971"/>
      <c r="QNH49" s="971"/>
      <c r="QNI49" s="971"/>
      <c r="QNJ49" s="971"/>
      <c r="QNK49" s="971"/>
      <c r="QNL49" s="971"/>
      <c r="QNM49" s="971"/>
      <c r="QNN49" s="971"/>
      <c r="QNO49" s="971"/>
      <c r="QNP49" s="971"/>
      <c r="QNQ49" s="971"/>
      <c r="QNR49" s="971"/>
      <c r="QNS49" s="971"/>
      <c r="QNT49" s="971"/>
      <c r="QNU49" s="971"/>
      <c r="QNV49" s="971"/>
      <c r="QNW49" s="971"/>
      <c r="QNX49" s="971"/>
      <c r="QNY49" s="971"/>
      <c r="QNZ49" s="971"/>
      <c r="QOA49" s="971"/>
      <c r="QOB49" s="971"/>
      <c r="QOC49" s="971"/>
      <c r="QOD49" s="971"/>
      <c r="QOE49" s="971"/>
      <c r="QOF49" s="971"/>
      <c r="QOG49" s="971"/>
      <c r="QOH49" s="971"/>
      <c r="QOI49" s="971"/>
      <c r="QOJ49" s="971"/>
      <c r="QOK49" s="971"/>
      <c r="QOL49" s="971"/>
      <c r="QOM49" s="971"/>
      <c r="QON49" s="971"/>
      <c r="QOO49" s="971"/>
      <c r="QOP49" s="971"/>
      <c r="QOQ49" s="971"/>
      <c r="QOR49" s="971"/>
      <c r="QOS49" s="971"/>
      <c r="QOT49" s="971"/>
      <c r="QOU49" s="971"/>
      <c r="QOV49" s="971"/>
      <c r="QOW49" s="971"/>
      <c r="QOX49" s="971"/>
      <c r="QOY49" s="971"/>
      <c r="QOZ49" s="971"/>
      <c r="QPA49" s="971"/>
      <c r="QPB49" s="971"/>
      <c r="QPC49" s="971"/>
      <c r="QPD49" s="971"/>
      <c r="QPE49" s="971"/>
      <c r="QPF49" s="971"/>
      <c r="QPG49" s="971"/>
      <c r="QPH49" s="971"/>
      <c r="QPI49" s="971"/>
      <c r="QPJ49" s="971"/>
      <c r="QPK49" s="971"/>
      <c r="QPL49" s="971"/>
      <c r="QPM49" s="971"/>
      <c r="QPN49" s="971"/>
      <c r="QPO49" s="971"/>
      <c r="QPP49" s="971"/>
      <c r="QPQ49" s="971"/>
      <c r="QPR49" s="971"/>
      <c r="QPS49" s="971"/>
      <c r="QPT49" s="971"/>
      <c r="QPU49" s="971"/>
      <c r="QPV49" s="971"/>
      <c r="QPW49" s="971"/>
      <c r="QPX49" s="971"/>
      <c r="QPY49" s="971"/>
      <c r="QPZ49" s="971"/>
      <c r="QQA49" s="971"/>
      <c r="QQB49" s="971"/>
      <c r="QQC49" s="971"/>
      <c r="QQD49" s="971"/>
      <c r="QQE49" s="971"/>
      <c r="QQF49" s="971"/>
      <c r="QQG49" s="971"/>
      <c r="QQH49" s="971"/>
      <c r="QQI49" s="971"/>
      <c r="QQJ49" s="971"/>
      <c r="QQK49" s="971"/>
      <c r="QQL49" s="971"/>
      <c r="QQM49" s="971"/>
      <c r="QQN49" s="971"/>
      <c r="QQO49" s="971"/>
      <c r="QQP49" s="971"/>
      <c r="QQQ49" s="971"/>
      <c r="QQR49" s="971"/>
      <c r="QQS49" s="971"/>
      <c r="QQT49" s="971"/>
      <c r="QQU49" s="971"/>
      <c r="QQV49" s="971"/>
      <c r="QQW49" s="971"/>
      <c r="QQX49" s="971"/>
      <c r="QQY49" s="971"/>
      <c r="QQZ49" s="971"/>
      <c r="QRA49" s="971"/>
      <c r="QRB49" s="971"/>
      <c r="QRC49" s="971"/>
      <c r="QRD49" s="971"/>
      <c r="QRE49" s="971"/>
      <c r="QRF49" s="971"/>
      <c r="QRG49" s="971"/>
      <c r="QRH49" s="971"/>
      <c r="QRI49" s="971"/>
      <c r="QRJ49" s="971"/>
      <c r="QRK49" s="971"/>
      <c r="QRL49" s="971"/>
      <c r="QRM49" s="971"/>
      <c r="QRN49" s="971"/>
      <c r="QRO49" s="971"/>
      <c r="QRP49" s="971"/>
      <c r="QRQ49" s="971"/>
      <c r="QRR49" s="971"/>
      <c r="QRS49" s="971"/>
      <c r="QRT49" s="971"/>
      <c r="QRU49" s="971"/>
      <c r="QRV49" s="971"/>
      <c r="QRW49" s="971"/>
      <c r="QRX49" s="971"/>
      <c r="QRY49" s="971"/>
      <c r="QRZ49" s="971"/>
      <c r="QSA49" s="971"/>
      <c r="QSB49" s="971"/>
      <c r="QSC49" s="971"/>
      <c r="QSD49" s="971"/>
      <c r="QSE49" s="971"/>
      <c r="QSF49" s="971"/>
      <c r="QSG49" s="971"/>
      <c r="QSH49" s="971"/>
      <c r="QSI49" s="971"/>
      <c r="QSJ49" s="971"/>
      <c r="QSK49" s="971"/>
      <c r="QSL49" s="971"/>
      <c r="QSM49" s="971"/>
      <c r="QSN49" s="971"/>
      <c r="QSO49" s="971"/>
      <c r="QSP49" s="971"/>
      <c r="QSQ49" s="971"/>
      <c r="QSR49" s="971"/>
      <c r="QSS49" s="971"/>
      <c r="QST49" s="971"/>
      <c r="QSU49" s="971"/>
      <c r="QSV49" s="971"/>
      <c r="QSW49" s="971"/>
      <c r="QSX49" s="971"/>
      <c r="QSY49" s="971"/>
      <c r="QSZ49" s="971"/>
      <c r="QTA49" s="971"/>
      <c r="QTB49" s="971"/>
      <c r="QTC49" s="971"/>
      <c r="QTD49" s="971"/>
      <c r="QTE49" s="971"/>
      <c r="QTF49" s="971"/>
      <c r="QTG49" s="971"/>
      <c r="QTH49" s="971"/>
      <c r="QTI49" s="971"/>
      <c r="QTJ49" s="971"/>
      <c r="QTK49" s="971"/>
      <c r="QTL49" s="971"/>
      <c r="QTM49" s="971"/>
      <c r="QTN49" s="971"/>
      <c r="QTO49" s="971"/>
      <c r="QTP49" s="971"/>
      <c r="QTQ49" s="971"/>
      <c r="QTR49" s="971"/>
      <c r="QTS49" s="971"/>
      <c r="QTT49" s="971"/>
      <c r="QTU49" s="971"/>
      <c r="QTV49" s="971"/>
      <c r="QTW49" s="971"/>
      <c r="QTX49" s="971"/>
      <c r="QTY49" s="971"/>
      <c r="QTZ49" s="971"/>
      <c r="QUA49" s="971"/>
      <c r="QUB49" s="971"/>
      <c r="QUC49" s="971"/>
      <c r="QUD49" s="971"/>
      <c r="QUE49" s="971"/>
      <c r="QUF49" s="971"/>
      <c r="QUG49" s="971"/>
      <c r="QUH49" s="971"/>
      <c r="QUI49" s="971"/>
      <c r="QUJ49" s="971"/>
      <c r="QUK49" s="971"/>
      <c r="QUL49" s="971"/>
      <c r="QUM49" s="971"/>
      <c r="QUN49" s="971"/>
      <c r="QUO49" s="971"/>
      <c r="QUP49" s="971"/>
      <c r="QUQ49" s="971"/>
      <c r="QUR49" s="971"/>
      <c r="QUS49" s="971"/>
      <c r="QUT49" s="971"/>
      <c r="QUU49" s="971"/>
      <c r="QUV49" s="971"/>
      <c r="QUW49" s="971"/>
      <c r="QUX49" s="971"/>
      <c r="QUY49" s="971"/>
      <c r="QUZ49" s="971"/>
      <c r="QVA49" s="971"/>
      <c r="QVB49" s="971"/>
      <c r="QVC49" s="971"/>
      <c r="QVD49" s="971"/>
      <c r="QVE49" s="971"/>
      <c r="QVF49" s="971"/>
      <c r="QVG49" s="971"/>
      <c r="QVH49" s="971"/>
      <c r="QVI49" s="971"/>
      <c r="QVJ49" s="971"/>
      <c r="QVK49" s="971"/>
      <c r="QVL49" s="971"/>
      <c r="QVM49" s="971"/>
      <c r="QVN49" s="971"/>
      <c r="QVO49" s="971"/>
      <c r="QVP49" s="971"/>
      <c r="QVQ49" s="971"/>
      <c r="QVR49" s="971"/>
      <c r="QVS49" s="971"/>
      <c r="QVT49" s="971"/>
      <c r="QVU49" s="971"/>
      <c r="QVV49" s="971"/>
      <c r="QVW49" s="971"/>
      <c r="QVX49" s="971"/>
      <c r="QVY49" s="971"/>
      <c r="QVZ49" s="971"/>
      <c r="QWA49" s="971"/>
      <c r="QWB49" s="971"/>
      <c r="QWC49" s="971"/>
      <c r="QWD49" s="971"/>
      <c r="QWE49" s="971"/>
      <c r="QWF49" s="971"/>
      <c r="QWG49" s="971"/>
      <c r="QWH49" s="971"/>
      <c r="QWI49" s="971"/>
      <c r="QWJ49" s="971"/>
      <c r="QWK49" s="971"/>
      <c r="QWL49" s="971"/>
      <c r="QWM49" s="971"/>
      <c r="QWN49" s="971"/>
      <c r="QWO49" s="971"/>
      <c r="QWP49" s="971"/>
      <c r="QWQ49" s="971"/>
      <c r="QWR49" s="971"/>
      <c r="QWS49" s="971"/>
      <c r="QWT49" s="971"/>
      <c r="QWU49" s="971"/>
      <c r="QWV49" s="971"/>
      <c r="QWW49" s="971"/>
      <c r="QWX49" s="971"/>
      <c r="QWY49" s="971"/>
      <c r="QWZ49" s="971"/>
      <c r="QXA49" s="971"/>
      <c r="QXB49" s="971"/>
      <c r="QXC49" s="971"/>
      <c r="QXD49" s="971"/>
      <c r="QXE49" s="971"/>
      <c r="QXF49" s="971"/>
      <c r="QXG49" s="971"/>
      <c r="QXH49" s="971"/>
      <c r="QXI49" s="971"/>
      <c r="QXJ49" s="971"/>
      <c r="QXK49" s="971"/>
      <c r="QXL49" s="971"/>
      <c r="QXM49" s="971"/>
      <c r="QXN49" s="971"/>
      <c r="QXO49" s="971"/>
      <c r="QXP49" s="971"/>
      <c r="QXQ49" s="971"/>
      <c r="QXR49" s="971"/>
      <c r="QXS49" s="971"/>
      <c r="QXT49" s="971"/>
      <c r="QXU49" s="971"/>
      <c r="QXV49" s="971"/>
      <c r="QXW49" s="971"/>
      <c r="QXX49" s="971"/>
      <c r="QXY49" s="971"/>
      <c r="QXZ49" s="971"/>
      <c r="QYA49" s="971"/>
      <c r="QYB49" s="971"/>
      <c r="QYC49" s="971"/>
      <c r="QYD49" s="971"/>
      <c r="QYE49" s="971"/>
      <c r="QYF49" s="971"/>
      <c r="QYG49" s="971"/>
      <c r="QYH49" s="971"/>
      <c r="QYI49" s="971"/>
      <c r="QYJ49" s="971"/>
      <c r="QYK49" s="971"/>
      <c r="QYL49" s="971"/>
      <c r="QYM49" s="971"/>
      <c r="QYN49" s="971"/>
      <c r="QYO49" s="971"/>
      <c r="QYP49" s="971"/>
      <c r="QYQ49" s="971"/>
      <c r="QYR49" s="971"/>
      <c r="QYS49" s="971"/>
      <c r="QYT49" s="971"/>
      <c r="QYU49" s="971"/>
      <c r="QYV49" s="971"/>
      <c r="QYW49" s="971"/>
      <c r="QYX49" s="971"/>
      <c r="QYY49" s="971"/>
      <c r="QYZ49" s="971"/>
      <c r="QZA49" s="971"/>
      <c r="QZB49" s="971"/>
      <c r="QZC49" s="971"/>
      <c r="QZD49" s="971"/>
      <c r="QZE49" s="971"/>
      <c r="QZF49" s="971"/>
      <c r="QZG49" s="971"/>
      <c r="QZH49" s="971"/>
      <c r="QZI49" s="971"/>
      <c r="QZJ49" s="971"/>
      <c r="QZK49" s="971"/>
      <c r="QZL49" s="971"/>
      <c r="QZM49" s="971"/>
      <c r="QZN49" s="971"/>
      <c r="QZO49" s="971"/>
      <c r="QZP49" s="971"/>
      <c r="QZQ49" s="971"/>
      <c r="QZR49" s="971"/>
      <c r="QZS49" s="971"/>
      <c r="QZT49" s="971"/>
      <c r="QZU49" s="971"/>
      <c r="QZV49" s="971"/>
      <c r="QZW49" s="971"/>
      <c r="QZX49" s="971"/>
      <c r="QZY49" s="971"/>
      <c r="QZZ49" s="971"/>
      <c r="RAA49" s="971"/>
      <c r="RAB49" s="971"/>
      <c r="RAC49" s="971"/>
      <c r="RAD49" s="971"/>
      <c r="RAE49" s="971"/>
      <c r="RAF49" s="971"/>
      <c r="RAG49" s="971"/>
      <c r="RAH49" s="971"/>
      <c r="RAI49" s="971"/>
      <c r="RAJ49" s="971"/>
      <c r="RAK49" s="971"/>
      <c r="RAL49" s="971"/>
      <c r="RAM49" s="971"/>
      <c r="RAN49" s="971"/>
      <c r="RAO49" s="971"/>
      <c r="RAP49" s="971"/>
      <c r="RAQ49" s="971"/>
      <c r="RAR49" s="971"/>
      <c r="RAS49" s="971"/>
      <c r="RAT49" s="971"/>
      <c r="RAU49" s="971"/>
      <c r="RAV49" s="971"/>
      <c r="RAW49" s="971"/>
      <c r="RAX49" s="971"/>
      <c r="RAY49" s="971"/>
      <c r="RAZ49" s="971"/>
      <c r="RBA49" s="971"/>
      <c r="RBB49" s="971"/>
      <c r="RBC49" s="971"/>
      <c r="RBD49" s="971"/>
      <c r="RBE49" s="971"/>
      <c r="RBF49" s="971"/>
      <c r="RBG49" s="971"/>
      <c r="RBH49" s="971"/>
      <c r="RBI49" s="971"/>
      <c r="RBJ49" s="971"/>
      <c r="RBK49" s="971"/>
      <c r="RBL49" s="971"/>
      <c r="RBM49" s="971"/>
      <c r="RBN49" s="971"/>
      <c r="RBO49" s="971"/>
      <c r="RBP49" s="971"/>
      <c r="RBQ49" s="971"/>
      <c r="RBR49" s="971"/>
      <c r="RBS49" s="971"/>
      <c r="RBT49" s="971"/>
      <c r="RBU49" s="971"/>
      <c r="RBV49" s="971"/>
      <c r="RBW49" s="971"/>
      <c r="RBX49" s="971"/>
      <c r="RBY49" s="971"/>
      <c r="RBZ49" s="971"/>
      <c r="RCA49" s="971"/>
      <c r="RCB49" s="971"/>
      <c r="RCC49" s="971"/>
      <c r="RCD49" s="971"/>
      <c r="RCE49" s="971"/>
      <c r="RCF49" s="971"/>
      <c r="RCG49" s="971"/>
      <c r="RCH49" s="971"/>
      <c r="RCI49" s="971"/>
      <c r="RCJ49" s="971"/>
      <c r="RCK49" s="971"/>
      <c r="RCL49" s="971"/>
      <c r="RCM49" s="971"/>
      <c r="RCN49" s="971"/>
      <c r="RCO49" s="971"/>
      <c r="RCP49" s="971"/>
      <c r="RCQ49" s="971"/>
      <c r="RCR49" s="971"/>
      <c r="RCS49" s="971"/>
      <c r="RCT49" s="971"/>
      <c r="RCU49" s="971"/>
      <c r="RCV49" s="971"/>
      <c r="RCW49" s="971"/>
      <c r="RCX49" s="971"/>
      <c r="RCY49" s="971"/>
      <c r="RCZ49" s="971"/>
      <c r="RDA49" s="971"/>
      <c r="RDB49" s="971"/>
      <c r="RDC49" s="971"/>
      <c r="RDD49" s="971"/>
      <c r="RDE49" s="971"/>
      <c r="RDF49" s="971"/>
      <c r="RDG49" s="971"/>
      <c r="RDH49" s="971"/>
      <c r="RDI49" s="971"/>
      <c r="RDJ49" s="971"/>
      <c r="RDK49" s="971"/>
      <c r="RDL49" s="971"/>
      <c r="RDM49" s="971"/>
      <c r="RDN49" s="971"/>
      <c r="RDO49" s="971"/>
      <c r="RDP49" s="971"/>
      <c r="RDQ49" s="971"/>
      <c r="RDR49" s="971"/>
      <c r="RDS49" s="971"/>
      <c r="RDT49" s="971"/>
      <c r="RDU49" s="971"/>
      <c r="RDV49" s="971"/>
      <c r="RDW49" s="971"/>
      <c r="RDX49" s="971"/>
      <c r="RDY49" s="971"/>
      <c r="RDZ49" s="971"/>
      <c r="REA49" s="971"/>
      <c r="REB49" s="971"/>
      <c r="REC49" s="971"/>
      <c r="RED49" s="971"/>
      <c r="REE49" s="971"/>
      <c r="REF49" s="971"/>
      <c r="REG49" s="971"/>
      <c r="REH49" s="971"/>
      <c r="REI49" s="971"/>
      <c r="REJ49" s="971"/>
      <c r="REK49" s="971"/>
      <c r="REL49" s="971"/>
      <c r="REM49" s="971"/>
      <c r="REN49" s="971"/>
      <c r="REO49" s="971"/>
      <c r="REP49" s="971"/>
      <c r="REQ49" s="971"/>
      <c r="RER49" s="971"/>
      <c r="RES49" s="971"/>
      <c r="RET49" s="971"/>
      <c r="REU49" s="971"/>
      <c r="REV49" s="971"/>
      <c r="REW49" s="971"/>
      <c r="REX49" s="971"/>
      <c r="REY49" s="971"/>
      <c r="REZ49" s="971"/>
      <c r="RFA49" s="971"/>
      <c r="RFB49" s="971"/>
      <c r="RFC49" s="971"/>
      <c r="RFD49" s="971"/>
      <c r="RFE49" s="971"/>
      <c r="RFF49" s="971"/>
      <c r="RFG49" s="971"/>
      <c r="RFH49" s="971"/>
      <c r="RFI49" s="971"/>
      <c r="RFJ49" s="971"/>
      <c r="RFK49" s="971"/>
      <c r="RFL49" s="971"/>
      <c r="RFM49" s="971"/>
      <c r="RFN49" s="971"/>
      <c r="RFO49" s="971"/>
      <c r="RFP49" s="971"/>
      <c r="RFQ49" s="971"/>
      <c r="RFR49" s="971"/>
      <c r="RFS49" s="971"/>
      <c r="RFT49" s="971"/>
      <c r="RFU49" s="971"/>
      <c r="RFV49" s="971"/>
      <c r="RFW49" s="971"/>
      <c r="RFX49" s="971"/>
      <c r="RFY49" s="971"/>
      <c r="RFZ49" s="971"/>
      <c r="RGA49" s="971"/>
      <c r="RGB49" s="971"/>
      <c r="RGC49" s="971"/>
      <c r="RGD49" s="971"/>
      <c r="RGE49" s="971"/>
      <c r="RGF49" s="971"/>
      <c r="RGG49" s="971"/>
      <c r="RGH49" s="971"/>
      <c r="RGI49" s="971"/>
      <c r="RGJ49" s="971"/>
      <c r="RGK49" s="971"/>
      <c r="RGL49" s="971"/>
      <c r="RGM49" s="971"/>
      <c r="RGN49" s="971"/>
      <c r="RGO49" s="971"/>
      <c r="RGP49" s="971"/>
      <c r="RGQ49" s="971"/>
      <c r="RGR49" s="971"/>
      <c r="RGS49" s="971"/>
      <c r="RGT49" s="971"/>
      <c r="RGU49" s="971"/>
      <c r="RGV49" s="971"/>
      <c r="RGW49" s="971"/>
      <c r="RGX49" s="971"/>
      <c r="RGY49" s="971"/>
      <c r="RGZ49" s="971"/>
      <c r="RHA49" s="971"/>
      <c r="RHB49" s="971"/>
      <c r="RHC49" s="971"/>
      <c r="RHD49" s="971"/>
      <c r="RHE49" s="971"/>
      <c r="RHF49" s="971"/>
      <c r="RHG49" s="971"/>
      <c r="RHH49" s="971"/>
      <c r="RHI49" s="971"/>
      <c r="RHJ49" s="971"/>
      <c r="RHK49" s="971"/>
      <c r="RHL49" s="971"/>
      <c r="RHM49" s="971"/>
      <c r="RHN49" s="971"/>
      <c r="RHO49" s="971"/>
      <c r="RHP49" s="971"/>
      <c r="RHQ49" s="971"/>
      <c r="RHR49" s="971"/>
      <c r="RHS49" s="971"/>
      <c r="RHT49" s="971"/>
      <c r="RHU49" s="971"/>
      <c r="RHV49" s="971"/>
      <c r="RHW49" s="971"/>
      <c r="RHX49" s="971"/>
      <c r="RHY49" s="971"/>
      <c r="RHZ49" s="971"/>
      <c r="RIA49" s="971"/>
      <c r="RIB49" s="971"/>
      <c r="RIC49" s="971"/>
      <c r="RID49" s="971"/>
      <c r="RIE49" s="971"/>
      <c r="RIF49" s="971"/>
      <c r="RIG49" s="971"/>
      <c r="RIH49" s="971"/>
      <c r="RII49" s="971"/>
      <c r="RIJ49" s="971"/>
      <c r="RIK49" s="971"/>
      <c r="RIL49" s="971"/>
      <c r="RIM49" s="971"/>
      <c r="RIN49" s="971"/>
      <c r="RIO49" s="971"/>
      <c r="RIP49" s="971"/>
      <c r="RIQ49" s="971"/>
      <c r="RIR49" s="971"/>
      <c r="RIS49" s="971"/>
      <c r="RIT49" s="971"/>
      <c r="RIU49" s="971"/>
      <c r="RIV49" s="971"/>
      <c r="RIW49" s="971"/>
      <c r="RIX49" s="971"/>
      <c r="RIY49" s="971"/>
      <c r="RIZ49" s="971"/>
      <c r="RJA49" s="971"/>
      <c r="RJB49" s="971"/>
      <c r="RJC49" s="971"/>
      <c r="RJD49" s="971"/>
      <c r="RJE49" s="971"/>
      <c r="RJF49" s="971"/>
      <c r="RJG49" s="971"/>
      <c r="RJH49" s="971"/>
      <c r="RJI49" s="971"/>
      <c r="RJJ49" s="971"/>
      <c r="RJK49" s="971"/>
      <c r="RJL49" s="971"/>
      <c r="RJM49" s="971"/>
      <c r="RJN49" s="971"/>
      <c r="RJO49" s="971"/>
      <c r="RJP49" s="971"/>
      <c r="RJQ49" s="971"/>
      <c r="RJR49" s="971"/>
      <c r="RJS49" s="971"/>
      <c r="RJT49" s="971"/>
      <c r="RJU49" s="971"/>
      <c r="RJV49" s="971"/>
      <c r="RJW49" s="971"/>
      <c r="RJX49" s="971"/>
      <c r="RJY49" s="971"/>
      <c r="RJZ49" s="971"/>
      <c r="RKA49" s="971"/>
      <c r="RKB49" s="971"/>
      <c r="RKC49" s="971"/>
      <c r="RKD49" s="971"/>
      <c r="RKE49" s="971"/>
      <c r="RKF49" s="971"/>
      <c r="RKG49" s="971"/>
      <c r="RKH49" s="971"/>
      <c r="RKI49" s="971"/>
      <c r="RKJ49" s="971"/>
      <c r="RKK49" s="971"/>
      <c r="RKL49" s="971"/>
      <c r="RKM49" s="971"/>
      <c r="RKN49" s="971"/>
      <c r="RKO49" s="971"/>
      <c r="RKP49" s="971"/>
      <c r="RKQ49" s="971"/>
      <c r="RKR49" s="971"/>
      <c r="RKS49" s="971"/>
      <c r="RKT49" s="971"/>
      <c r="RKU49" s="971"/>
      <c r="RKV49" s="971"/>
      <c r="RKW49" s="971"/>
      <c r="RKX49" s="971"/>
      <c r="RKY49" s="971"/>
      <c r="RKZ49" s="971"/>
      <c r="RLA49" s="971"/>
      <c r="RLB49" s="971"/>
      <c r="RLC49" s="971"/>
      <c r="RLD49" s="971"/>
      <c r="RLE49" s="971"/>
      <c r="RLF49" s="971"/>
      <c r="RLG49" s="971"/>
      <c r="RLH49" s="971"/>
      <c r="RLI49" s="971"/>
      <c r="RLJ49" s="971"/>
      <c r="RLK49" s="971"/>
      <c r="RLL49" s="971"/>
      <c r="RLM49" s="971"/>
      <c r="RLN49" s="971"/>
      <c r="RLO49" s="971"/>
      <c r="RLP49" s="971"/>
      <c r="RLQ49" s="971"/>
      <c r="RLR49" s="971"/>
      <c r="RLS49" s="971"/>
      <c r="RLT49" s="971"/>
      <c r="RLU49" s="971"/>
      <c r="RLV49" s="971"/>
      <c r="RLW49" s="971"/>
      <c r="RLX49" s="971"/>
      <c r="RLY49" s="971"/>
      <c r="RLZ49" s="971"/>
      <c r="RMA49" s="971"/>
      <c r="RMB49" s="971"/>
      <c r="RMC49" s="971"/>
      <c r="RMD49" s="971"/>
      <c r="RME49" s="971"/>
      <c r="RMF49" s="971"/>
      <c r="RMG49" s="971"/>
      <c r="RMH49" s="971"/>
      <c r="RMI49" s="971"/>
      <c r="RMJ49" s="971"/>
      <c r="RMK49" s="971"/>
      <c r="RML49" s="971"/>
      <c r="RMM49" s="971"/>
      <c r="RMN49" s="971"/>
      <c r="RMO49" s="971"/>
      <c r="RMP49" s="971"/>
      <c r="RMQ49" s="971"/>
      <c r="RMR49" s="971"/>
      <c r="RMS49" s="971"/>
      <c r="RMT49" s="971"/>
      <c r="RMU49" s="971"/>
      <c r="RMV49" s="971"/>
      <c r="RMW49" s="971"/>
      <c r="RMX49" s="971"/>
      <c r="RMY49" s="971"/>
      <c r="RMZ49" s="971"/>
      <c r="RNA49" s="971"/>
      <c r="RNB49" s="971"/>
      <c r="RNC49" s="971"/>
      <c r="RND49" s="971"/>
      <c r="RNE49" s="971"/>
      <c r="RNF49" s="971"/>
      <c r="RNG49" s="971"/>
      <c r="RNH49" s="971"/>
      <c r="RNI49" s="971"/>
      <c r="RNJ49" s="971"/>
      <c r="RNK49" s="971"/>
      <c r="RNL49" s="971"/>
      <c r="RNM49" s="971"/>
      <c r="RNN49" s="971"/>
      <c r="RNO49" s="971"/>
      <c r="RNP49" s="971"/>
      <c r="RNQ49" s="971"/>
      <c r="RNR49" s="971"/>
      <c r="RNS49" s="971"/>
      <c r="RNT49" s="971"/>
      <c r="RNU49" s="971"/>
      <c r="RNV49" s="971"/>
      <c r="RNW49" s="971"/>
      <c r="RNX49" s="971"/>
      <c r="RNY49" s="971"/>
      <c r="RNZ49" s="971"/>
      <c r="ROA49" s="971"/>
      <c r="ROB49" s="971"/>
      <c r="ROC49" s="971"/>
      <c r="ROD49" s="971"/>
      <c r="ROE49" s="971"/>
      <c r="ROF49" s="971"/>
      <c r="ROG49" s="971"/>
      <c r="ROH49" s="971"/>
      <c r="ROI49" s="971"/>
      <c r="ROJ49" s="971"/>
      <c r="ROK49" s="971"/>
      <c r="ROL49" s="971"/>
      <c r="ROM49" s="971"/>
      <c r="RON49" s="971"/>
      <c r="ROO49" s="971"/>
      <c r="ROP49" s="971"/>
      <c r="ROQ49" s="971"/>
      <c r="ROR49" s="971"/>
      <c r="ROS49" s="971"/>
      <c r="ROT49" s="971"/>
      <c r="ROU49" s="971"/>
      <c r="ROV49" s="971"/>
      <c r="ROW49" s="971"/>
      <c r="ROX49" s="971"/>
      <c r="ROY49" s="971"/>
      <c r="ROZ49" s="971"/>
      <c r="RPA49" s="971"/>
      <c r="RPB49" s="971"/>
      <c r="RPC49" s="971"/>
      <c r="RPD49" s="971"/>
      <c r="RPE49" s="971"/>
      <c r="RPF49" s="971"/>
      <c r="RPG49" s="971"/>
      <c r="RPH49" s="971"/>
      <c r="RPI49" s="971"/>
      <c r="RPJ49" s="971"/>
      <c r="RPK49" s="971"/>
      <c r="RPL49" s="971"/>
      <c r="RPM49" s="971"/>
      <c r="RPN49" s="971"/>
      <c r="RPO49" s="971"/>
      <c r="RPP49" s="971"/>
      <c r="RPQ49" s="971"/>
      <c r="RPR49" s="971"/>
      <c r="RPS49" s="971"/>
      <c r="RPT49" s="971"/>
      <c r="RPU49" s="971"/>
      <c r="RPV49" s="971"/>
      <c r="RPW49" s="971"/>
      <c r="RPX49" s="971"/>
      <c r="RPY49" s="971"/>
      <c r="RPZ49" s="971"/>
      <c r="RQA49" s="971"/>
      <c r="RQB49" s="971"/>
      <c r="RQC49" s="971"/>
      <c r="RQD49" s="971"/>
      <c r="RQE49" s="971"/>
      <c r="RQF49" s="971"/>
      <c r="RQG49" s="971"/>
      <c r="RQH49" s="971"/>
      <c r="RQI49" s="971"/>
      <c r="RQJ49" s="971"/>
      <c r="RQK49" s="971"/>
      <c r="RQL49" s="971"/>
      <c r="RQM49" s="971"/>
      <c r="RQN49" s="971"/>
      <c r="RQO49" s="971"/>
      <c r="RQP49" s="971"/>
      <c r="RQQ49" s="971"/>
      <c r="RQR49" s="971"/>
      <c r="RQS49" s="971"/>
      <c r="RQT49" s="971"/>
      <c r="RQU49" s="971"/>
      <c r="RQV49" s="971"/>
      <c r="RQW49" s="971"/>
      <c r="RQX49" s="971"/>
      <c r="RQY49" s="971"/>
      <c r="RQZ49" s="971"/>
      <c r="RRA49" s="971"/>
      <c r="RRB49" s="971"/>
      <c r="RRC49" s="971"/>
      <c r="RRD49" s="971"/>
      <c r="RRE49" s="971"/>
      <c r="RRF49" s="971"/>
      <c r="RRG49" s="971"/>
      <c r="RRH49" s="971"/>
      <c r="RRI49" s="971"/>
      <c r="RRJ49" s="971"/>
      <c r="RRK49" s="971"/>
      <c r="RRL49" s="971"/>
      <c r="RRM49" s="971"/>
      <c r="RRN49" s="971"/>
      <c r="RRO49" s="971"/>
      <c r="RRP49" s="971"/>
      <c r="RRQ49" s="971"/>
      <c r="RRR49" s="971"/>
      <c r="RRS49" s="971"/>
      <c r="RRT49" s="971"/>
      <c r="RRU49" s="971"/>
      <c r="RRV49" s="971"/>
      <c r="RRW49" s="971"/>
      <c r="RRX49" s="971"/>
      <c r="RRY49" s="971"/>
      <c r="RRZ49" s="971"/>
      <c r="RSA49" s="971"/>
      <c r="RSB49" s="971"/>
      <c r="RSC49" s="971"/>
      <c r="RSD49" s="971"/>
      <c r="RSE49" s="971"/>
      <c r="RSF49" s="971"/>
      <c r="RSG49" s="971"/>
      <c r="RSH49" s="971"/>
      <c r="RSI49" s="971"/>
      <c r="RSJ49" s="971"/>
      <c r="RSK49" s="971"/>
      <c r="RSL49" s="971"/>
      <c r="RSM49" s="971"/>
      <c r="RSN49" s="971"/>
      <c r="RSO49" s="971"/>
      <c r="RSP49" s="971"/>
      <c r="RSQ49" s="971"/>
      <c r="RSR49" s="971"/>
      <c r="RSS49" s="971"/>
      <c r="RST49" s="971"/>
      <c r="RSU49" s="971"/>
      <c r="RSV49" s="971"/>
      <c r="RSW49" s="971"/>
      <c r="RSX49" s="971"/>
      <c r="RSY49" s="971"/>
      <c r="RSZ49" s="971"/>
      <c r="RTA49" s="971"/>
      <c r="RTB49" s="971"/>
      <c r="RTC49" s="971"/>
      <c r="RTD49" s="971"/>
      <c r="RTE49" s="971"/>
      <c r="RTF49" s="971"/>
      <c r="RTG49" s="971"/>
      <c r="RTH49" s="971"/>
      <c r="RTI49" s="971"/>
      <c r="RTJ49" s="971"/>
      <c r="RTK49" s="971"/>
      <c r="RTL49" s="971"/>
      <c r="RTM49" s="971"/>
      <c r="RTN49" s="971"/>
      <c r="RTO49" s="971"/>
      <c r="RTP49" s="971"/>
      <c r="RTQ49" s="971"/>
      <c r="RTR49" s="971"/>
      <c r="RTS49" s="971"/>
      <c r="RTT49" s="971"/>
      <c r="RTU49" s="971"/>
      <c r="RTV49" s="971"/>
      <c r="RTW49" s="971"/>
      <c r="RTX49" s="971"/>
      <c r="RTY49" s="971"/>
      <c r="RTZ49" s="971"/>
      <c r="RUA49" s="971"/>
      <c r="RUB49" s="971"/>
      <c r="RUC49" s="971"/>
      <c r="RUD49" s="971"/>
      <c r="RUE49" s="971"/>
      <c r="RUF49" s="971"/>
      <c r="RUG49" s="971"/>
      <c r="RUH49" s="971"/>
      <c r="RUI49" s="971"/>
      <c r="RUJ49" s="971"/>
      <c r="RUK49" s="971"/>
      <c r="RUL49" s="971"/>
      <c r="RUM49" s="971"/>
      <c r="RUN49" s="971"/>
      <c r="RUO49" s="971"/>
      <c r="RUP49" s="971"/>
      <c r="RUQ49" s="971"/>
      <c r="RUR49" s="971"/>
      <c r="RUS49" s="971"/>
      <c r="RUT49" s="971"/>
      <c r="RUU49" s="971"/>
      <c r="RUV49" s="971"/>
      <c r="RUW49" s="971"/>
      <c r="RUX49" s="971"/>
      <c r="RUY49" s="971"/>
      <c r="RUZ49" s="971"/>
      <c r="RVA49" s="971"/>
      <c r="RVB49" s="971"/>
      <c r="RVC49" s="971"/>
      <c r="RVD49" s="971"/>
      <c r="RVE49" s="971"/>
      <c r="RVF49" s="971"/>
      <c r="RVG49" s="971"/>
      <c r="RVH49" s="971"/>
      <c r="RVI49" s="971"/>
      <c r="RVJ49" s="971"/>
      <c r="RVK49" s="971"/>
      <c r="RVL49" s="971"/>
      <c r="RVM49" s="971"/>
      <c r="RVN49" s="971"/>
      <c r="RVO49" s="971"/>
      <c r="RVP49" s="971"/>
      <c r="RVQ49" s="971"/>
      <c r="RVR49" s="971"/>
      <c r="RVS49" s="971"/>
      <c r="RVT49" s="971"/>
      <c r="RVU49" s="971"/>
      <c r="RVV49" s="971"/>
      <c r="RVW49" s="971"/>
      <c r="RVX49" s="971"/>
      <c r="RVY49" s="971"/>
      <c r="RVZ49" s="971"/>
      <c r="RWA49" s="971"/>
      <c r="RWB49" s="971"/>
      <c r="RWC49" s="971"/>
      <c r="RWD49" s="971"/>
      <c r="RWE49" s="971"/>
      <c r="RWF49" s="971"/>
      <c r="RWG49" s="971"/>
      <c r="RWH49" s="971"/>
      <c r="RWI49" s="971"/>
      <c r="RWJ49" s="971"/>
      <c r="RWK49" s="971"/>
      <c r="RWL49" s="971"/>
      <c r="RWM49" s="971"/>
      <c r="RWN49" s="971"/>
      <c r="RWO49" s="971"/>
      <c r="RWP49" s="971"/>
      <c r="RWQ49" s="971"/>
      <c r="RWR49" s="971"/>
      <c r="RWS49" s="971"/>
      <c r="RWT49" s="971"/>
      <c r="RWU49" s="971"/>
      <c r="RWV49" s="971"/>
      <c r="RWW49" s="971"/>
      <c r="RWX49" s="971"/>
      <c r="RWY49" s="971"/>
      <c r="RWZ49" s="971"/>
      <c r="RXA49" s="971"/>
      <c r="RXB49" s="971"/>
      <c r="RXC49" s="971"/>
      <c r="RXD49" s="971"/>
      <c r="RXE49" s="971"/>
      <c r="RXF49" s="971"/>
      <c r="RXG49" s="971"/>
      <c r="RXH49" s="971"/>
      <c r="RXI49" s="971"/>
      <c r="RXJ49" s="971"/>
      <c r="RXK49" s="971"/>
      <c r="RXL49" s="971"/>
      <c r="RXM49" s="971"/>
      <c r="RXN49" s="971"/>
      <c r="RXO49" s="971"/>
      <c r="RXP49" s="971"/>
      <c r="RXQ49" s="971"/>
      <c r="RXR49" s="971"/>
      <c r="RXS49" s="971"/>
      <c r="RXT49" s="971"/>
      <c r="RXU49" s="971"/>
      <c r="RXV49" s="971"/>
      <c r="RXW49" s="971"/>
      <c r="RXX49" s="971"/>
      <c r="RXY49" s="971"/>
      <c r="RXZ49" s="971"/>
      <c r="RYA49" s="971"/>
      <c r="RYB49" s="971"/>
      <c r="RYC49" s="971"/>
      <c r="RYD49" s="971"/>
      <c r="RYE49" s="971"/>
      <c r="RYF49" s="971"/>
      <c r="RYG49" s="971"/>
      <c r="RYH49" s="971"/>
      <c r="RYI49" s="971"/>
      <c r="RYJ49" s="971"/>
      <c r="RYK49" s="971"/>
      <c r="RYL49" s="971"/>
      <c r="RYM49" s="971"/>
      <c r="RYN49" s="971"/>
      <c r="RYO49" s="971"/>
      <c r="RYP49" s="971"/>
      <c r="RYQ49" s="971"/>
      <c r="RYR49" s="971"/>
      <c r="RYS49" s="971"/>
      <c r="RYT49" s="971"/>
      <c r="RYU49" s="971"/>
      <c r="RYV49" s="971"/>
      <c r="RYW49" s="971"/>
      <c r="RYX49" s="971"/>
      <c r="RYY49" s="971"/>
      <c r="RYZ49" s="971"/>
      <c r="RZA49" s="971"/>
      <c r="RZB49" s="971"/>
      <c r="RZC49" s="971"/>
      <c r="RZD49" s="971"/>
      <c r="RZE49" s="971"/>
      <c r="RZF49" s="971"/>
      <c r="RZG49" s="971"/>
      <c r="RZH49" s="971"/>
      <c r="RZI49" s="971"/>
      <c r="RZJ49" s="971"/>
      <c r="RZK49" s="971"/>
      <c r="RZL49" s="971"/>
      <c r="RZM49" s="971"/>
      <c r="RZN49" s="971"/>
      <c r="RZO49" s="971"/>
      <c r="RZP49" s="971"/>
      <c r="RZQ49" s="971"/>
      <c r="RZR49" s="971"/>
      <c r="RZS49" s="971"/>
      <c r="RZT49" s="971"/>
      <c r="RZU49" s="971"/>
      <c r="RZV49" s="971"/>
      <c r="RZW49" s="971"/>
      <c r="RZX49" s="971"/>
      <c r="RZY49" s="971"/>
      <c r="RZZ49" s="971"/>
      <c r="SAA49" s="971"/>
      <c r="SAB49" s="971"/>
      <c r="SAC49" s="971"/>
      <c r="SAD49" s="971"/>
      <c r="SAE49" s="971"/>
      <c r="SAF49" s="971"/>
      <c r="SAG49" s="971"/>
      <c r="SAH49" s="971"/>
      <c r="SAI49" s="971"/>
      <c r="SAJ49" s="971"/>
      <c r="SAK49" s="971"/>
      <c r="SAL49" s="971"/>
      <c r="SAM49" s="971"/>
      <c r="SAN49" s="971"/>
      <c r="SAO49" s="971"/>
      <c r="SAP49" s="971"/>
      <c r="SAQ49" s="971"/>
      <c r="SAR49" s="971"/>
      <c r="SAS49" s="971"/>
      <c r="SAT49" s="971"/>
      <c r="SAU49" s="971"/>
      <c r="SAV49" s="971"/>
      <c r="SAW49" s="971"/>
      <c r="SAX49" s="971"/>
      <c r="SAY49" s="971"/>
      <c r="SAZ49" s="971"/>
      <c r="SBA49" s="971"/>
      <c r="SBB49" s="971"/>
      <c r="SBC49" s="971"/>
      <c r="SBD49" s="971"/>
      <c r="SBE49" s="971"/>
      <c r="SBF49" s="971"/>
      <c r="SBG49" s="971"/>
      <c r="SBH49" s="971"/>
      <c r="SBI49" s="971"/>
      <c r="SBJ49" s="971"/>
      <c r="SBK49" s="971"/>
      <c r="SBL49" s="971"/>
      <c r="SBM49" s="971"/>
      <c r="SBN49" s="971"/>
      <c r="SBO49" s="971"/>
      <c r="SBP49" s="971"/>
      <c r="SBQ49" s="971"/>
      <c r="SBR49" s="971"/>
      <c r="SBS49" s="971"/>
      <c r="SBT49" s="971"/>
      <c r="SBU49" s="971"/>
      <c r="SBV49" s="971"/>
      <c r="SBW49" s="971"/>
      <c r="SBX49" s="971"/>
      <c r="SBY49" s="971"/>
      <c r="SBZ49" s="971"/>
      <c r="SCA49" s="971"/>
      <c r="SCB49" s="971"/>
      <c r="SCC49" s="971"/>
      <c r="SCD49" s="971"/>
      <c r="SCE49" s="971"/>
      <c r="SCF49" s="971"/>
      <c r="SCG49" s="971"/>
      <c r="SCH49" s="971"/>
      <c r="SCI49" s="971"/>
      <c r="SCJ49" s="971"/>
      <c r="SCK49" s="971"/>
      <c r="SCL49" s="971"/>
      <c r="SCM49" s="971"/>
      <c r="SCN49" s="971"/>
      <c r="SCO49" s="971"/>
      <c r="SCP49" s="971"/>
      <c r="SCQ49" s="971"/>
      <c r="SCR49" s="971"/>
      <c r="SCS49" s="971"/>
      <c r="SCT49" s="971"/>
      <c r="SCU49" s="971"/>
      <c r="SCV49" s="971"/>
      <c r="SCW49" s="971"/>
      <c r="SCX49" s="971"/>
      <c r="SCY49" s="971"/>
      <c r="SCZ49" s="971"/>
      <c r="SDA49" s="971"/>
      <c r="SDB49" s="971"/>
      <c r="SDC49" s="971"/>
      <c r="SDD49" s="971"/>
      <c r="SDE49" s="971"/>
      <c r="SDF49" s="971"/>
      <c r="SDG49" s="971"/>
      <c r="SDH49" s="971"/>
      <c r="SDI49" s="971"/>
      <c r="SDJ49" s="971"/>
      <c r="SDK49" s="971"/>
      <c r="SDL49" s="971"/>
      <c r="SDM49" s="971"/>
      <c r="SDN49" s="971"/>
      <c r="SDO49" s="971"/>
      <c r="SDP49" s="971"/>
      <c r="SDQ49" s="971"/>
      <c r="SDR49" s="971"/>
      <c r="SDS49" s="971"/>
      <c r="SDT49" s="971"/>
      <c r="SDU49" s="971"/>
      <c r="SDV49" s="971"/>
      <c r="SDW49" s="971"/>
      <c r="SDX49" s="971"/>
      <c r="SDY49" s="971"/>
      <c r="SDZ49" s="971"/>
      <c r="SEA49" s="971"/>
      <c r="SEB49" s="971"/>
      <c r="SEC49" s="971"/>
      <c r="SED49" s="971"/>
      <c r="SEE49" s="971"/>
      <c r="SEF49" s="971"/>
      <c r="SEG49" s="971"/>
      <c r="SEH49" s="971"/>
      <c r="SEI49" s="971"/>
      <c r="SEJ49" s="971"/>
      <c r="SEK49" s="971"/>
      <c r="SEL49" s="971"/>
      <c r="SEM49" s="971"/>
      <c r="SEN49" s="971"/>
      <c r="SEO49" s="971"/>
      <c r="SEP49" s="971"/>
      <c r="SEQ49" s="971"/>
      <c r="SER49" s="971"/>
      <c r="SES49" s="971"/>
      <c r="SET49" s="971"/>
      <c r="SEU49" s="971"/>
      <c r="SEV49" s="971"/>
      <c r="SEW49" s="971"/>
      <c r="SEX49" s="971"/>
      <c r="SEY49" s="971"/>
      <c r="SEZ49" s="971"/>
      <c r="SFA49" s="971"/>
      <c r="SFB49" s="971"/>
      <c r="SFC49" s="971"/>
      <c r="SFD49" s="971"/>
      <c r="SFE49" s="971"/>
      <c r="SFF49" s="971"/>
      <c r="SFG49" s="971"/>
      <c r="SFH49" s="971"/>
      <c r="SFI49" s="971"/>
      <c r="SFJ49" s="971"/>
      <c r="SFK49" s="971"/>
      <c r="SFL49" s="971"/>
      <c r="SFM49" s="971"/>
      <c r="SFN49" s="971"/>
      <c r="SFO49" s="971"/>
      <c r="SFP49" s="971"/>
      <c r="SFQ49" s="971"/>
      <c r="SFR49" s="971"/>
      <c r="SFS49" s="971"/>
      <c r="SFT49" s="971"/>
      <c r="SFU49" s="971"/>
      <c r="SFV49" s="971"/>
      <c r="SFW49" s="971"/>
      <c r="SFX49" s="971"/>
      <c r="SFY49" s="971"/>
      <c r="SFZ49" s="971"/>
      <c r="SGA49" s="971"/>
      <c r="SGB49" s="971"/>
      <c r="SGC49" s="971"/>
      <c r="SGD49" s="971"/>
      <c r="SGE49" s="971"/>
      <c r="SGF49" s="971"/>
      <c r="SGG49" s="971"/>
      <c r="SGH49" s="971"/>
      <c r="SGI49" s="971"/>
      <c r="SGJ49" s="971"/>
      <c r="SGK49" s="971"/>
      <c r="SGL49" s="971"/>
      <c r="SGM49" s="971"/>
      <c r="SGN49" s="971"/>
      <c r="SGO49" s="971"/>
      <c r="SGP49" s="971"/>
      <c r="SGQ49" s="971"/>
      <c r="SGR49" s="971"/>
      <c r="SGS49" s="971"/>
      <c r="SGT49" s="971"/>
      <c r="SGU49" s="971"/>
      <c r="SGV49" s="971"/>
      <c r="SGW49" s="971"/>
      <c r="SGX49" s="971"/>
      <c r="SGY49" s="971"/>
      <c r="SGZ49" s="971"/>
      <c r="SHA49" s="971"/>
      <c r="SHB49" s="971"/>
      <c r="SHC49" s="971"/>
      <c r="SHD49" s="971"/>
      <c r="SHE49" s="971"/>
      <c r="SHF49" s="971"/>
      <c r="SHG49" s="971"/>
      <c r="SHH49" s="971"/>
      <c r="SHI49" s="971"/>
      <c r="SHJ49" s="971"/>
      <c r="SHK49" s="971"/>
      <c r="SHL49" s="971"/>
      <c r="SHM49" s="971"/>
      <c r="SHN49" s="971"/>
      <c r="SHO49" s="971"/>
      <c r="SHP49" s="971"/>
      <c r="SHQ49" s="971"/>
      <c r="SHR49" s="971"/>
      <c r="SHS49" s="971"/>
      <c r="SHT49" s="971"/>
      <c r="SHU49" s="971"/>
      <c r="SHV49" s="971"/>
      <c r="SHW49" s="971"/>
      <c r="SHX49" s="971"/>
      <c r="SHY49" s="971"/>
      <c r="SHZ49" s="971"/>
      <c r="SIA49" s="971"/>
      <c r="SIB49" s="971"/>
      <c r="SIC49" s="971"/>
      <c r="SID49" s="971"/>
      <c r="SIE49" s="971"/>
      <c r="SIF49" s="971"/>
      <c r="SIG49" s="971"/>
      <c r="SIH49" s="971"/>
      <c r="SII49" s="971"/>
      <c r="SIJ49" s="971"/>
      <c r="SIK49" s="971"/>
      <c r="SIL49" s="971"/>
      <c r="SIM49" s="971"/>
      <c r="SIN49" s="971"/>
      <c r="SIO49" s="971"/>
      <c r="SIP49" s="971"/>
      <c r="SIQ49" s="971"/>
      <c r="SIR49" s="971"/>
      <c r="SIS49" s="971"/>
      <c r="SIT49" s="971"/>
      <c r="SIU49" s="971"/>
      <c r="SIV49" s="971"/>
      <c r="SIW49" s="971"/>
      <c r="SIX49" s="971"/>
      <c r="SIY49" s="971"/>
      <c r="SIZ49" s="971"/>
      <c r="SJA49" s="971"/>
      <c r="SJB49" s="971"/>
      <c r="SJC49" s="971"/>
      <c r="SJD49" s="971"/>
      <c r="SJE49" s="971"/>
      <c r="SJF49" s="971"/>
      <c r="SJG49" s="971"/>
      <c r="SJH49" s="971"/>
      <c r="SJI49" s="971"/>
      <c r="SJJ49" s="971"/>
      <c r="SJK49" s="971"/>
      <c r="SJL49" s="971"/>
      <c r="SJM49" s="971"/>
      <c r="SJN49" s="971"/>
      <c r="SJO49" s="971"/>
      <c r="SJP49" s="971"/>
      <c r="SJQ49" s="971"/>
      <c r="SJR49" s="971"/>
      <c r="SJS49" s="971"/>
      <c r="SJT49" s="971"/>
      <c r="SJU49" s="971"/>
      <c r="SJV49" s="971"/>
      <c r="SJW49" s="971"/>
      <c r="SJX49" s="971"/>
      <c r="SJY49" s="971"/>
      <c r="SJZ49" s="971"/>
      <c r="SKA49" s="971"/>
      <c r="SKB49" s="971"/>
      <c r="SKC49" s="971"/>
      <c r="SKD49" s="971"/>
      <c r="SKE49" s="971"/>
      <c r="SKF49" s="971"/>
      <c r="SKG49" s="971"/>
      <c r="SKH49" s="971"/>
      <c r="SKI49" s="971"/>
      <c r="SKJ49" s="971"/>
      <c r="SKK49" s="971"/>
      <c r="SKL49" s="971"/>
      <c r="SKM49" s="971"/>
      <c r="SKN49" s="971"/>
      <c r="SKO49" s="971"/>
      <c r="SKP49" s="971"/>
      <c r="SKQ49" s="971"/>
      <c r="SKR49" s="971"/>
      <c r="SKS49" s="971"/>
      <c r="SKT49" s="971"/>
      <c r="SKU49" s="971"/>
      <c r="SKV49" s="971"/>
      <c r="SKW49" s="971"/>
      <c r="SKX49" s="971"/>
      <c r="SKY49" s="971"/>
      <c r="SKZ49" s="971"/>
      <c r="SLA49" s="971"/>
      <c r="SLB49" s="971"/>
      <c r="SLC49" s="971"/>
      <c r="SLD49" s="971"/>
      <c r="SLE49" s="971"/>
      <c r="SLF49" s="971"/>
      <c r="SLG49" s="971"/>
      <c r="SLH49" s="971"/>
      <c r="SLI49" s="971"/>
      <c r="SLJ49" s="971"/>
      <c r="SLK49" s="971"/>
      <c r="SLL49" s="971"/>
      <c r="SLM49" s="971"/>
      <c r="SLN49" s="971"/>
      <c r="SLO49" s="971"/>
      <c r="SLP49" s="971"/>
      <c r="SLQ49" s="971"/>
      <c r="SLR49" s="971"/>
      <c r="SLS49" s="971"/>
      <c r="SLT49" s="971"/>
      <c r="SLU49" s="971"/>
      <c r="SLV49" s="971"/>
      <c r="SLW49" s="971"/>
      <c r="SLX49" s="971"/>
      <c r="SLY49" s="971"/>
      <c r="SLZ49" s="971"/>
      <c r="SMA49" s="971"/>
      <c r="SMB49" s="971"/>
      <c r="SMC49" s="971"/>
      <c r="SMD49" s="971"/>
      <c r="SME49" s="971"/>
      <c r="SMF49" s="971"/>
      <c r="SMG49" s="971"/>
      <c r="SMH49" s="971"/>
      <c r="SMI49" s="971"/>
      <c r="SMJ49" s="971"/>
      <c r="SMK49" s="971"/>
      <c r="SML49" s="971"/>
      <c r="SMM49" s="971"/>
      <c r="SMN49" s="971"/>
      <c r="SMO49" s="971"/>
      <c r="SMP49" s="971"/>
      <c r="SMQ49" s="971"/>
      <c r="SMR49" s="971"/>
      <c r="SMS49" s="971"/>
      <c r="SMT49" s="971"/>
      <c r="SMU49" s="971"/>
      <c r="SMV49" s="971"/>
      <c r="SMW49" s="971"/>
      <c r="SMX49" s="971"/>
      <c r="SMY49" s="971"/>
      <c r="SMZ49" s="971"/>
      <c r="SNA49" s="971"/>
      <c r="SNB49" s="971"/>
      <c r="SNC49" s="971"/>
      <c r="SND49" s="971"/>
      <c r="SNE49" s="971"/>
      <c r="SNF49" s="971"/>
      <c r="SNG49" s="971"/>
      <c r="SNH49" s="971"/>
      <c r="SNI49" s="971"/>
      <c r="SNJ49" s="971"/>
      <c r="SNK49" s="971"/>
      <c r="SNL49" s="971"/>
      <c r="SNM49" s="971"/>
      <c r="SNN49" s="971"/>
      <c r="SNO49" s="971"/>
      <c r="SNP49" s="971"/>
      <c r="SNQ49" s="971"/>
      <c r="SNR49" s="971"/>
      <c r="SNS49" s="971"/>
      <c r="SNT49" s="971"/>
      <c r="SNU49" s="971"/>
      <c r="SNV49" s="971"/>
      <c r="SNW49" s="971"/>
      <c r="SNX49" s="971"/>
      <c r="SNY49" s="971"/>
      <c r="SNZ49" s="971"/>
      <c r="SOA49" s="971"/>
      <c r="SOB49" s="971"/>
      <c r="SOC49" s="971"/>
      <c r="SOD49" s="971"/>
      <c r="SOE49" s="971"/>
      <c r="SOF49" s="971"/>
      <c r="SOG49" s="971"/>
      <c r="SOH49" s="971"/>
      <c r="SOI49" s="971"/>
      <c r="SOJ49" s="971"/>
      <c r="SOK49" s="971"/>
      <c r="SOL49" s="971"/>
      <c r="SOM49" s="971"/>
      <c r="SON49" s="971"/>
      <c r="SOO49" s="971"/>
      <c r="SOP49" s="971"/>
      <c r="SOQ49" s="971"/>
      <c r="SOR49" s="971"/>
      <c r="SOS49" s="971"/>
      <c r="SOT49" s="971"/>
      <c r="SOU49" s="971"/>
      <c r="SOV49" s="971"/>
      <c r="SOW49" s="971"/>
      <c r="SOX49" s="971"/>
      <c r="SOY49" s="971"/>
      <c r="SOZ49" s="971"/>
      <c r="SPA49" s="971"/>
      <c r="SPB49" s="971"/>
      <c r="SPC49" s="971"/>
      <c r="SPD49" s="971"/>
      <c r="SPE49" s="971"/>
      <c r="SPF49" s="971"/>
      <c r="SPG49" s="971"/>
      <c r="SPH49" s="971"/>
      <c r="SPI49" s="971"/>
      <c r="SPJ49" s="971"/>
      <c r="SPK49" s="971"/>
      <c r="SPL49" s="971"/>
      <c r="SPM49" s="971"/>
      <c r="SPN49" s="971"/>
      <c r="SPO49" s="971"/>
      <c r="SPP49" s="971"/>
      <c r="SPQ49" s="971"/>
      <c r="SPR49" s="971"/>
      <c r="SPS49" s="971"/>
      <c r="SPT49" s="971"/>
      <c r="SPU49" s="971"/>
      <c r="SPV49" s="971"/>
      <c r="SPW49" s="971"/>
      <c r="SPX49" s="971"/>
      <c r="SPY49" s="971"/>
      <c r="SPZ49" s="971"/>
      <c r="SQA49" s="971"/>
      <c r="SQB49" s="971"/>
      <c r="SQC49" s="971"/>
      <c r="SQD49" s="971"/>
      <c r="SQE49" s="971"/>
      <c r="SQF49" s="971"/>
      <c r="SQG49" s="971"/>
      <c r="SQH49" s="971"/>
      <c r="SQI49" s="971"/>
      <c r="SQJ49" s="971"/>
      <c r="SQK49" s="971"/>
      <c r="SQL49" s="971"/>
      <c r="SQM49" s="971"/>
      <c r="SQN49" s="971"/>
      <c r="SQO49" s="971"/>
      <c r="SQP49" s="971"/>
      <c r="SQQ49" s="971"/>
      <c r="SQR49" s="971"/>
      <c r="SQS49" s="971"/>
      <c r="SQT49" s="971"/>
      <c r="SQU49" s="971"/>
      <c r="SQV49" s="971"/>
      <c r="SQW49" s="971"/>
      <c r="SQX49" s="971"/>
      <c r="SQY49" s="971"/>
      <c r="SQZ49" s="971"/>
      <c r="SRA49" s="971"/>
      <c r="SRB49" s="971"/>
      <c r="SRC49" s="971"/>
      <c r="SRD49" s="971"/>
      <c r="SRE49" s="971"/>
      <c r="SRF49" s="971"/>
      <c r="SRG49" s="971"/>
      <c r="SRH49" s="971"/>
      <c r="SRI49" s="971"/>
      <c r="SRJ49" s="971"/>
      <c r="SRK49" s="971"/>
      <c r="SRL49" s="971"/>
      <c r="SRM49" s="971"/>
      <c r="SRN49" s="971"/>
      <c r="SRO49" s="971"/>
      <c r="SRP49" s="971"/>
      <c r="SRQ49" s="971"/>
      <c r="SRR49" s="971"/>
      <c r="SRS49" s="971"/>
      <c r="SRT49" s="971"/>
      <c r="SRU49" s="971"/>
      <c r="SRV49" s="971"/>
      <c r="SRW49" s="971"/>
      <c r="SRX49" s="971"/>
      <c r="SRY49" s="971"/>
      <c r="SRZ49" s="971"/>
      <c r="SSA49" s="971"/>
      <c r="SSB49" s="971"/>
      <c r="SSC49" s="971"/>
      <c r="SSD49" s="971"/>
      <c r="SSE49" s="971"/>
      <c r="SSF49" s="971"/>
      <c r="SSG49" s="971"/>
      <c r="SSH49" s="971"/>
      <c r="SSI49" s="971"/>
      <c r="SSJ49" s="971"/>
      <c r="SSK49" s="971"/>
      <c r="SSL49" s="971"/>
      <c r="SSM49" s="971"/>
      <c r="SSN49" s="971"/>
      <c r="SSO49" s="971"/>
      <c r="SSP49" s="971"/>
      <c r="SSQ49" s="971"/>
      <c r="SSR49" s="971"/>
      <c r="SSS49" s="971"/>
      <c r="SST49" s="971"/>
      <c r="SSU49" s="971"/>
      <c r="SSV49" s="971"/>
      <c r="SSW49" s="971"/>
      <c r="SSX49" s="971"/>
      <c r="SSY49" s="971"/>
      <c r="SSZ49" s="971"/>
      <c r="STA49" s="971"/>
      <c r="STB49" s="971"/>
      <c r="STC49" s="971"/>
      <c r="STD49" s="971"/>
      <c r="STE49" s="971"/>
      <c r="STF49" s="971"/>
      <c r="STG49" s="971"/>
      <c r="STH49" s="971"/>
      <c r="STI49" s="971"/>
      <c r="STJ49" s="971"/>
      <c r="STK49" s="971"/>
      <c r="STL49" s="971"/>
      <c r="STM49" s="971"/>
      <c r="STN49" s="971"/>
      <c r="STO49" s="971"/>
      <c r="STP49" s="971"/>
      <c r="STQ49" s="971"/>
      <c r="STR49" s="971"/>
      <c r="STS49" s="971"/>
      <c r="STT49" s="971"/>
      <c r="STU49" s="971"/>
      <c r="STV49" s="971"/>
      <c r="STW49" s="971"/>
      <c r="STX49" s="971"/>
      <c r="STY49" s="971"/>
      <c r="STZ49" s="971"/>
      <c r="SUA49" s="971"/>
      <c r="SUB49" s="971"/>
      <c r="SUC49" s="971"/>
      <c r="SUD49" s="971"/>
      <c r="SUE49" s="971"/>
      <c r="SUF49" s="971"/>
      <c r="SUG49" s="971"/>
      <c r="SUH49" s="971"/>
      <c r="SUI49" s="971"/>
      <c r="SUJ49" s="971"/>
      <c r="SUK49" s="971"/>
      <c r="SUL49" s="971"/>
      <c r="SUM49" s="971"/>
      <c r="SUN49" s="971"/>
      <c r="SUO49" s="971"/>
      <c r="SUP49" s="971"/>
      <c r="SUQ49" s="971"/>
      <c r="SUR49" s="971"/>
      <c r="SUS49" s="971"/>
      <c r="SUT49" s="971"/>
      <c r="SUU49" s="971"/>
      <c r="SUV49" s="971"/>
      <c r="SUW49" s="971"/>
      <c r="SUX49" s="971"/>
      <c r="SUY49" s="971"/>
      <c r="SUZ49" s="971"/>
      <c r="SVA49" s="971"/>
      <c r="SVB49" s="971"/>
      <c r="SVC49" s="971"/>
      <c r="SVD49" s="971"/>
      <c r="SVE49" s="971"/>
      <c r="SVF49" s="971"/>
      <c r="SVG49" s="971"/>
      <c r="SVH49" s="971"/>
      <c r="SVI49" s="971"/>
      <c r="SVJ49" s="971"/>
      <c r="SVK49" s="971"/>
      <c r="SVL49" s="971"/>
      <c r="SVM49" s="971"/>
      <c r="SVN49" s="971"/>
      <c r="SVO49" s="971"/>
      <c r="SVP49" s="971"/>
      <c r="SVQ49" s="971"/>
      <c r="SVR49" s="971"/>
      <c r="SVS49" s="971"/>
      <c r="SVT49" s="971"/>
      <c r="SVU49" s="971"/>
      <c r="SVV49" s="971"/>
      <c r="SVW49" s="971"/>
      <c r="SVX49" s="971"/>
      <c r="SVY49" s="971"/>
      <c r="SVZ49" s="971"/>
      <c r="SWA49" s="971"/>
      <c r="SWB49" s="971"/>
      <c r="SWC49" s="971"/>
      <c r="SWD49" s="971"/>
      <c r="SWE49" s="971"/>
      <c r="SWF49" s="971"/>
      <c r="SWG49" s="971"/>
      <c r="SWH49" s="971"/>
      <c r="SWI49" s="971"/>
      <c r="SWJ49" s="971"/>
      <c r="SWK49" s="971"/>
      <c r="SWL49" s="971"/>
      <c r="SWM49" s="971"/>
      <c r="SWN49" s="971"/>
      <c r="SWO49" s="971"/>
      <c r="SWP49" s="971"/>
      <c r="SWQ49" s="971"/>
      <c r="SWR49" s="971"/>
      <c r="SWS49" s="971"/>
      <c r="SWT49" s="971"/>
      <c r="SWU49" s="971"/>
      <c r="SWV49" s="971"/>
      <c r="SWW49" s="971"/>
      <c r="SWX49" s="971"/>
      <c r="SWY49" s="971"/>
      <c r="SWZ49" s="971"/>
      <c r="SXA49" s="971"/>
      <c r="SXB49" s="971"/>
      <c r="SXC49" s="971"/>
      <c r="SXD49" s="971"/>
      <c r="SXE49" s="971"/>
      <c r="SXF49" s="971"/>
      <c r="SXG49" s="971"/>
      <c r="SXH49" s="971"/>
      <c r="SXI49" s="971"/>
      <c r="SXJ49" s="971"/>
      <c r="SXK49" s="971"/>
      <c r="SXL49" s="971"/>
      <c r="SXM49" s="971"/>
      <c r="SXN49" s="971"/>
      <c r="SXO49" s="971"/>
      <c r="SXP49" s="971"/>
      <c r="SXQ49" s="971"/>
      <c r="SXR49" s="971"/>
      <c r="SXS49" s="971"/>
      <c r="SXT49" s="971"/>
      <c r="SXU49" s="971"/>
      <c r="SXV49" s="971"/>
      <c r="SXW49" s="971"/>
      <c r="SXX49" s="971"/>
      <c r="SXY49" s="971"/>
      <c r="SXZ49" s="971"/>
      <c r="SYA49" s="971"/>
      <c r="SYB49" s="971"/>
      <c r="SYC49" s="971"/>
      <c r="SYD49" s="971"/>
      <c r="SYE49" s="971"/>
      <c r="SYF49" s="971"/>
      <c r="SYG49" s="971"/>
      <c r="SYH49" s="971"/>
      <c r="SYI49" s="971"/>
      <c r="SYJ49" s="971"/>
      <c r="SYK49" s="971"/>
      <c r="SYL49" s="971"/>
      <c r="SYM49" s="971"/>
      <c r="SYN49" s="971"/>
      <c r="SYO49" s="971"/>
      <c r="SYP49" s="971"/>
      <c r="SYQ49" s="971"/>
      <c r="SYR49" s="971"/>
      <c r="SYS49" s="971"/>
      <c r="SYT49" s="971"/>
      <c r="SYU49" s="971"/>
      <c r="SYV49" s="971"/>
      <c r="SYW49" s="971"/>
      <c r="SYX49" s="971"/>
      <c r="SYY49" s="971"/>
      <c r="SYZ49" s="971"/>
      <c r="SZA49" s="971"/>
      <c r="SZB49" s="971"/>
      <c r="SZC49" s="971"/>
      <c r="SZD49" s="971"/>
      <c r="SZE49" s="971"/>
      <c r="SZF49" s="971"/>
      <c r="SZG49" s="971"/>
      <c r="SZH49" s="971"/>
      <c r="SZI49" s="971"/>
      <c r="SZJ49" s="971"/>
      <c r="SZK49" s="971"/>
      <c r="SZL49" s="971"/>
      <c r="SZM49" s="971"/>
      <c r="SZN49" s="971"/>
      <c r="SZO49" s="971"/>
      <c r="SZP49" s="971"/>
      <c r="SZQ49" s="971"/>
      <c r="SZR49" s="971"/>
      <c r="SZS49" s="971"/>
      <c r="SZT49" s="971"/>
      <c r="SZU49" s="971"/>
      <c r="SZV49" s="971"/>
      <c r="SZW49" s="971"/>
      <c r="SZX49" s="971"/>
      <c r="SZY49" s="971"/>
      <c r="SZZ49" s="971"/>
      <c r="TAA49" s="971"/>
      <c r="TAB49" s="971"/>
      <c r="TAC49" s="971"/>
      <c r="TAD49" s="971"/>
      <c r="TAE49" s="971"/>
      <c r="TAF49" s="971"/>
      <c r="TAG49" s="971"/>
      <c r="TAH49" s="971"/>
      <c r="TAI49" s="971"/>
      <c r="TAJ49" s="971"/>
      <c r="TAK49" s="971"/>
      <c r="TAL49" s="971"/>
      <c r="TAM49" s="971"/>
      <c r="TAN49" s="971"/>
      <c r="TAO49" s="971"/>
      <c r="TAP49" s="971"/>
      <c r="TAQ49" s="971"/>
      <c r="TAR49" s="971"/>
      <c r="TAS49" s="971"/>
      <c r="TAT49" s="971"/>
      <c r="TAU49" s="971"/>
      <c r="TAV49" s="971"/>
      <c r="TAW49" s="971"/>
      <c r="TAX49" s="971"/>
      <c r="TAY49" s="971"/>
      <c r="TAZ49" s="971"/>
      <c r="TBA49" s="971"/>
      <c r="TBB49" s="971"/>
      <c r="TBC49" s="971"/>
      <c r="TBD49" s="971"/>
      <c r="TBE49" s="971"/>
      <c r="TBF49" s="971"/>
      <c r="TBG49" s="971"/>
      <c r="TBH49" s="971"/>
      <c r="TBI49" s="971"/>
      <c r="TBJ49" s="971"/>
      <c r="TBK49" s="971"/>
      <c r="TBL49" s="971"/>
      <c r="TBM49" s="971"/>
      <c r="TBN49" s="971"/>
      <c r="TBO49" s="971"/>
      <c r="TBP49" s="971"/>
      <c r="TBQ49" s="971"/>
      <c r="TBR49" s="971"/>
      <c r="TBS49" s="971"/>
      <c r="TBT49" s="971"/>
      <c r="TBU49" s="971"/>
      <c r="TBV49" s="971"/>
      <c r="TBW49" s="971"/>
      <c r="TBX49" s="971"/>
      <c r="TBY49" s="971"/>
      <c r="TBZ49" s="971"/>
      <c r="TCA49" s="971"/>
      <c r="TCB49" s="971"/>
      <c r="TCC49" s="971"/>
      <c r="TCD49" s="971"/>
      <c r="TCE49" s="971"/>
      <c r="TCF49" s="971"/>
      <c r="TCG49" s="971"/>
      <c r="TCH49" s="971"/>
      <c r="TCI49" s="971"/>
      <c r="TCJ49" s="971"/>
      <c r="TCK49" s="971"/>
      <c r="TCL49" s="971"/>
      <c r="TCM49" s="971"/>
      <c r="TCN49" s="971"/>
      <c r="TCO49" s="971"/>
      <c r="TCP49" s="971"/>
      <c r="TCQ49" s="971"/>
      <c r="TCR49" s="971"/>
      <c r="TCS49" s="971"/>
      <c r="TCT49" s="971"/>
      <c r="TCU49" s="971"/>
      <c r="TCV49" s="971"/>
      <c r="TCW49" s="971"/>
      <c r="TCX49" s="971"/>
      <c r="TCY49" s="971"/>
      <c r="TCZ49" s="971"/>
      <c r="TDA49" s="971"/>
      <c r="TDB49" s="971"/>
      <c r="TDC49" s="971"/>
      <c r="TDD49" s="971"/>
      <c r="TDE49" s="971"/>
      <c r="TDF49" s="971"/>
      <c r="TDG49" s="971"/>
      <c r="TDH49" s="971"/>
      <c r="TDI49" s="971"/>
      <c r="TDJ49" s="971"/>
      <c r="TDK49" s="971"/>
      <c r="TDL49" s="971"/>
      <c r="TDM49" s="971"/>
      <c r="TDN49" s="971"/>
      <c r="TDO49" s="971"/>
      <c r="TDP49" s="971"/>
      <c r="TDQ49" s="971"/>
      <c r="TDR49" s="971"/>
      <c r="TDS49" s="971"/>
      <c r="TDT49" s="971"/>
      <c r="TDU49" s="971"/>
      <c r="TDV49" s="971"/>
      <c r="TDW49" s="971"/>
      <c r="TDX49" s="971"/>
      <c r="TDY49" s="971"/>
      <c r="TDZ49" s="971"/>
      <c r="TEA49" s="971"/>
      <c r="TEB49" s="971"/>
      <c r="TEC49" s="971"/>
      <c r="TED49" s="971"/>
      <c r="TEE49" s="971"/>
      <c r="TEF49" s="971"/>
      <c r="TEG49" s="971"/>
      <c r="TEH49" s="971"/>
      <c r="TEI49" s="971"/>
      <c r="TEJ49" s="971"/>
      <c r="TEK49" s="971"/>
      <c r="TEL49" s="971"/>
      <c r="TEM49" s="971"/>
      <c r="TEN49" s="971"/>
      <c r="TEO49" s="971"/>
      <c r="TEP49" s="971"/>
      <c r="TEQ49" s="971"/>
      <c r="TER49" s="971"/>
      <c r="TES49" s="971"/>
      <c r="TET49" s="971"/>
      <c r="TEU49" s="971"/>
      <c r="TEV49" s="971"/>
      <c r="TEW49" s="971"/>
      <c r="TEX49" s="971"/>
      <c r="TEY49" s="971"/>
      <c r="TEZ49" s="971"/>
      <c r="TFA49" s="971"/>
      <c r="TFB49" s="971"/>
      <c r="TFC49" s="971"/>
      <c r="TFD49" s="971"/>
      <c r="TFE49" s="971"/>
      <c r="TFF49" s="971"/>
      <c r="TFG49" s="971"/>
      <c r="TFH49" s="971"/>
      <c r="TFI49" s="971"/>
      <c r="TFJ49" s="971"/>
      <c r="TFK49" s="971"/>
      <c r="TFL49" s="971"/>
      <c r="TFM49" s="971"/>
      <c r="TFN49" s="971"/>
      <c r="TFO49" s="971"/>
      <c r="TFP49" s="971"/>
      <c r="TFQ49" s="971"/>
      <c r="TFR49" s="971"/>
      <c r="TFS49" s="971"/>
      <c r="TFT49" s="971"/>
      <c r="TFU49" s="971"/>
      <c r="TFV49" s="971"/>
      <c r="TFW49" s="971"/>
      <c r="TFX49" s="971"/>
      <c r="TFY49" s="971"/>
      <c r="TFZ49" s="971"/>
      <c r="TGA49" s="971"/>
      <c r="TGB49" s="971"/>
      <c r="TGC49" s="971"/>
      <c r="TGD49" s="971"/>
      <c r="TGE49" s="971"/>
      <c r="TGF49" s="971"/>
      <c r="TGG49" s="971"/>
      <c r="TGH49" s="971"/>
      <c r="TGI49" s="971"/>
      <c r="TGJ49" s="971"/>
      <c r="TGK49" s="971"/>
      <c r="TGL49" s="971"/>
      <c r="TGM49" s="971"/>
      <c r="TGN49" s="971"/>
      <c r="TGO49" s="971"/>
      <c r="TGP49" s="971"/>
      <c r="TGQ49" s="971"/>
      <c r="TGR49" s="971"/>
      <c r="TGS49" s="971"/>
      <c r="TGT49" s="971"/>
      <c r="TGU49" s="971"/>
      <c r="TGV49" s="971"/>
      <c r="TGW49" s="971"/>
      <c r="TGX49" s="971"/>
      <c r="TGY49" s="971"/>
      <c r="TGZ49" s="971"/>
      <c r="THA49" s="971"/>
      <c r="THB49" s="971"/>
      <c r="THC49" s="971"/>
      <c r="THD49" s="971"/>
      <c r="THE49" s="971"/>
      <c r="THF49" s="971"/>
      <c r="THG49" s="971"/>
      <c r="THH49" s="971"/>
      <c r="THI49" s="971"/>
      <c r="THJ49" s="971"/>
      <c r="THK49" s="971"/>
      <c r="THL49" s="971"/>
      <c r="THM49" s="971"/>
      <c r="THN49" s="971"/>
      <c r="THO49" s="971"/>
      <c r="THP49" s="971"/>
      <c r="THQ49" s="971"/>
      <c r="THR49" s="971"/>
      <c r="THS49" s="971"/>
      <c r="THT49" s="971"/>
      <c r="THU49" s="971"/>
      <c r="THV49" s="971"/>
      <c r="THW49" s="971"/>
      <c r="THX49" s="971"/>
      <c r="THY49" s="971"/>
      <c r="THZ49" s="971"/>
      <c r="TIA49" s="971"/>
      <c r="TIB49" s="971"/>
      <c r="TIC49" s="971"/>
      <c r="TID49" s="971"/>
      <c r="TIE49" s="971"/>
      <c r="TIF49" s="971"/>
      <c r="TIG49" s="971"/>
      <c r="TIH49" s="971"/>
      <c r="TII49" s="971"/>
      <c r="TIJ49" s="971"/>
      <c r="TIK49" s="971"/>
      <c r="TIL49" s="971"/>
      <c r="TIM49" s="971"/>
      <c r="TIN49" s="971"/>
      <c r="TIO49" s="971"/>
      <c r="TIP49" s="971"/>
      <c r="TIQ49" s="971"/>
      <c r="TIR49" s="971"/>
      <c r="TIS49" s="971"/>
      <c r="TIT49" s="971"/>
      <c r="TIU49" s="971"/>
      <c r="TIV49" s="971"/>
      <c r="TIW49" s="971"/>
      <c r="TIX49" s="971"/>
      <c r="TIY49" s="971"/>
      <c r="TIZ49" s="971"/>
      <c r="TJA49" s="971"/>
      <c r="TJB49" s="971"/>
      <c r="TJC49" s="971"/>
      <c r="TJD49" s="971"/>
      <c r="TJE49" s="971"/>
      <c r="TJF49" s="971"/>
      <c r="TJG49" s="971"/>
      <c r="TJH49" s="971"/>
      <c r="TJI49" s="971"/>
      <c r="TJJ49" s="971"/>
      <c r="TJK49" s="971"/>
      <c r="TJL49" s="971"/>
      <c r="TJM49" s="971"/>
      <c r="TJN49" s="971"/>
      <c r="TJO49" s="971"/>
      <c r="TJP49" s="971"/>
      <c r="TJQ49" s="971"/>
      <c r="TJR49" s="971"/>
      <c r="TJS49" s="971"/>
      <c r="TJT49" s="971"/>
      <c r="TJU49" s="971"/>
      <c r="TJV49" s="971"/>
      <c r="TJW49" s="971"/>
      <c r="TJX49" s="971"/>
      <c r="TJY49" s="971"/>
      <c r="TJZ49" s="971"/>
      <c r="TKA49" s="971"/>
      <c r="TKB49" s="971"/>
      <c r="TKC49" s="971"/>
      <c r="TKD49" s="971"/>
      <c r="TKE49" s="971"/>
      <c r="TKF49" s="971"/>
      <c r="TKG49" s="971"/>
      <c r="TKH49" s="971"/>
      <c r="TKI49" s="971"/>
      <c r="TKJ49" s="971"/>
      <c r="TKK49" s="971"/>
      <c r="TKL49" s="971"/>
      <c r="TKM49" s="971"/>
      <c r="TKN49" s="971"/>
      <c r="TKO49" s="971"/>
      <c r="TKP49" s="971"/>
      <c r="TKQ49" s="971"/>
      <c r="TKR49" s="971"/>
      <c r="TKS49" s="971"/>
      <c r="TKT49" s="971"/>
      <c r="TKU49" s="971"/>
      <c r="TKV49" s="971"/>
      <c r="TKW49" s="971"/>
      <c r="TKX49" s="971"/>
      <c r="TKY49" s="971"/>
      <c r="TKZ49" s="971"/>
      <c r="TLA49" s="971"/>
      <c r="TLB49" s="971"/>
      <c r="TLC49" s="971"/>
      <c r="TLD49" s="971"/>
      <c r="TLE49" s="971"/>
      <c r="TLF49" s="971"/>
      <c r="TLG49" s="971"/>
      <c r="TLH49" s="971"/>
      <c r="TLI49" s="971"/>
      <c r="TLJ49" s="971"/>
      <c r="TLK49" s="971"/>
      <c r="TLL49" s="971"/>
      <c r="TLM49" s="971"/>
      <c r="TLN49" s="971"/>
      <c r="TLO49" s="971"/>
      <c r="TLP49" s="971"/>
      <c r="TLQ49" s="971"/>
      <c r="TLR49" s="971"/>
      <c r="TLS49" s="971"/>
      <c r="TLT49" s="971"/>
      <c r="TLU49" s="971"/>
      <c r="TLV49" s="971"/>
      <c r="TLW49" s="971"/>
      <c r="TLX49" s="971"/>
      <c r="TLY49" s="971"/>
      <c r="TLZ49" s="971"/>
      <c r="TMA49" s="971"/>
      <c r="TMB49" s="971"/>
      <c r="TMC49" s="971"/>
      <c r="TMD49" s="971"/>
      <c r="TME49" s="971"/>
      <c r="TMF49" s="971"/>
      <c r="TMG49" s="971"/>
      <c r="TMH49" s="971"/>
      <c r="TMI49" s="971"/>
      <c r="TMJ49" s="971"/>
      <c r="TMK49" s="971"/>
      <c r="TML49" s="971"/>
      <c r="TMM49" s="971"/>
      <c r="TMN49" s="971"/>
      <c r="TMO49" s="971"/>
      <c r="TMP49" s="971"/>
      <c r="TMQ49" s="971"/>
      <c r="TMR49" s="971"/>
      <c r="TMS49" s="971"/>
      <c r="TMT49" s="971"/>
      <c r="TMU49" s="971"/>
      <c r="TMV49" s="971"/>
      <c r="TMW49" s="971"/>
      <c r="TMX49" s="971"/>
      <c r="TMY49" s="971"/>
      <c r="TMZ49" s="971"/>
      <c r="TNA49" s="971"/>
      <c r="TNB49" s="971"/>
      <c r="TNC49" s="971"/>
      <c r="TND49" s="971"/>
      <c r="TNE49" s="971"/>
      <c r="TNF49" s="971"/>
      <c r="TNG49" s="971"/>
      <c r="TNH49" s="971"/>
      <c r="TNI49" s="971"/>
      <c r="TNJ49" s="971"/>
      <c r="TNK49" s="971"/>
      <c r="TNL49" s="971"/>
      <c r="TNM49" s="971"/>
      <c r="TNN49" s="971"/>
      <c r="TNO49" s="971"/>
      <c r="TNP49" s="971"/>
      <c r="TNQ49" s="971"/>
      <c r="TNR49" s="971"/>
      <c r="TNS49" s="971"/>
      <c r="TNT49" s="971"/>
      <c r="TNU49" s="971"/>
      <c r="TNV49" s="971"/>
      <c r="TNW49" s="971"/>
      <c r="TNX49" s="971"/>
      <c r="TNY49" s="971"/>
      <c r="TNZ49" s="971"/>
      <c r="TOA49" s="971"/>
      <c r="TOB49" s="971"/>
      <c r="TOC49" s="971"/>
      <c r="TOD49" s="971"/>
      <c r="TOE49" s="971"/>
      <c r="TOF49" s="971"/>
      <c r="TOG49" s="971"/>
      <c r="TOH49" s="971"/>
      <c r="TOI49" s="971"/>
      <c r="TOJ49" s="971"/>
      <c r="TOK49" s="971"/>
      <c r="TOL49" s="971"/>
      <c r="TOM49" s="971"/>
      <c r="TON49" s="971"/>
      <c r="TOO49" s="971"/>
      <c r="TOP49" s="971"/>
      <c r="TOQ49" s="971"/>
      <c r="TOR49" s="971"/>
      <c r="TOS49" s="971"/>
      <c r="TOT49" s="971"/>
      <c r="TOU49" s="971"/>
      <c r="TOV49" s="971"/>
      <c r="TOW49" s="971"/>
      <c r="TOX49" s="971"/>
      <c r="TOY49" s="971"/>
      <c r="TOZ49" s="971"/>
      <c r="TPA49" s="971"/>
      <c r="TPB49" s="971"/>
      <c r="TPC49" s="971"/>
      <c r="TPD49" s="971"/>
      <c r="TPE49" s="971"/>
      <c r="TPF49" s="971"/>
      <c r="TPG49" s="971"/>
      <c r="TPH49" s="971"/>
      <c r="TPI49" s="971"/>
      <c r="TPJ49" s="971"/>
      <c r="TPK49" s="971"/>
      <c r="TPL49" s="971"/>
      <c r="TPM49" s="971"/>
      <c r="TPN49" s="971"/>
      <c r="TPO49" s="971"/>
      <c r="TPP49" s="971"/>
      <c r="TPQ49" s="971"/>
      <c r="TPR49" s="971"/>
      <c r="TPS49" s="971"/>
      <c r="TPT49" s="971"/>
      <c r="TPU49" s="971"/>
      <c r="TPV49" s="971"/>
      <c r="TPW49" s="971"/>
      <c r="TPX49" s="971"/>
      <c r="TPY49" s="971"/>
      <c r="TPZ49" s="971"/>
      <c r="TQA49" s="971"/>
      <c r="TQB49" s="971"/>
      <c r="TQC49" s="971"/>
      <c r="TQD49" s="971"/>
      <c r="TQE49" s="971"/>
      <c r="TQF49" s="971"/>
      <c r="TQG49" s="971"/>
      <c r="TQH49" s="971"/>
      <c r="TQI49" s="971"/>
      <c r="TQJ49" s="971"/>
      <c r="TQK49" s="971"/>
      <c r="TQL49" s="971"/>
      <c r="TQM49" s="971"/>
      <c r="TQN49" s="971"/>
      <c r="TQO49" s="971"/>
      <c r="TQP49" s="971"/>
      <c r="TQQ49" s="971"/>
      <c r="TQR49" s="971"/>
      <c r="TQS49" s="971"/>
      <c r="TQT49" s="971"/>
      <c r="TQU49" s="971"/>
      <c r="TQV49" s="971"/>
      <c r="TQW49" s="971"/>
      <c r="TQX49" s="971"/>
      <c r="TQY49" s="971"/>
      <c r="TQZ49" s="971"/>
      <c r="TRA49" s="971"/>
      <c r="TRB49" s="971"/>
      <c r="TRC49" s="971"/>
      <c r="TRD49" s="971"/>
      <c r="TRE49" s="971"/>
      <c r="TRF49" s="971"/>
      <c r="TRG49" s="971"/>
      <c r="TRH49" s="971"/>
      <c r="TRI49" s="971"/>
      <c r="TRJ49" s="971"/>
      <c r="TRK49" s="971"/>
      <c r="TRL49" s="971"/>
      <c r="TRM49" s="971"/>
      <c r="TRN49" s="971"/>
      <c r="TRO49" s="971"/>
      <c r="TRP49" s="971"/>
      <c r="TRQ49" s="971"/>
      <c r="TRR49" s="971"/>
      <c r="TRS49" s="971"/>
      <c r="TRT49" s="971"/>
      <c r="TRU49" s="971"/>
      <c r="TRV49" s="971"/>
      <c r="TRW49" s="971"/>
      <c r="TRX49" s="971"/>
      <c r="TRY49" s="971"/>
      <c r="TRZ49" s="971"/>
      <c r="TSA49" s="971"/>
      <c r="TSB49" s="971"/>
      <c r="TSC49" s="971"/>
      <c r="TSD49" s="971"/>
      <c r="TSE49" s="971"/>
      <c r="TSF49" s="971"/>
      <c r="TSG49" s="971"/>
      <c r="TSH49" s="971"/>
      <c r="TSI49" s="971"/>
      <c r="TSJ49" s="971"/>
      <c r="TSK49" s="971"/>
      <c r="TSL49" s="971"/>
      <c r="TSM49" s="971"/>
      <c r="TSN49" s="971"/>
      <c r="TSO49" s="971"/>
      <c r="TSP49" s="971"/>
      <c r="TSQ49" s="971"/>
      <c r="TSR49" s="971"/>
      <c r="TSS49" s="971"/>
      <c r="TST49" s="971"/>
      <c r="TSU49" s="971"/>
      <c r="TSV49" s="971"/>
      <c r="TSW49" s="971"/>
      <c r="TSX49" s="971"/>
      <c r="TSY49" s="971"/>
      <c r="TSZ49" s="971"/>
      <c r="TTA49" s="971"/>
      <c r="TTB49" s="971"/>
      <c r="TTC49" s="971"/>
      <c r="TTD49" s="971"/>
      <c r="TTE49" s="971"/>
      <c r="TTF49" s="971"/>
      <c r="TTG49" s="971"/>
      <c r="TTH49" s="971"/>
      <c r="TTI49" s="971"/>
      <c r="TTJ49" s="971"/>
      <c r="TTK49" s="971"/>
      <c r="TTL49" s="971"/>
      <c r="TTM49" s="971"/>
      <c r="TTN49" s="971"/>
      <c r="TTO49" s="971"/>
      <c r="TTP49" s="971"/>
      <c r="TTQ49" s="971"/>
      <c r="TTR49" s="971"/>
      <c r="TTS49" s="971"/>
      <c r="TTT49" s="971"/>
      <c r="TTU49" s="971"/>
      <c r="TTV49" s="971"/>
      <c r="TTW49" s="971"/>
      <c r="TTX49" s="971"/>
      <c r="TTY49" s="971"/>
      <c r="TTZ49" s="971"/>
      <c r="TUA49" s="971"/>
      <c r="TUB49" s="971"/>
      <c r="TUC49" s="971"/>
      <c r="TUD49" s="971"/>
      <c r="TUE49" s="971"/>
      <c r="TUF49" s="971"/>
      <c r="TUG49" s="971"/>
      <c r="TUH49" s="971"/>
      <c r="TUI49" s="971"/>
      <c r="TUJ49" s="971"/>
      <c r="TUK49" s="971"/>
      <c r="TUL49" s="971"/>
      <c r="TUM49" s="971"/>
      <c r="TUN49" s="971"/>
      <c r="TUO49" s="971"/>
      <c r="TUP49" s="971"/>
      <c r="TUQ49" s="971"/>
      <c r="TUR49" s="971"/>
      <c r="TUS49" s="971"/>
      <c r="TUT49" s="971"/>
      <c r="TUU49" s="971"/>
      <c r="TUV49" s="971"/>
      <c r="TUW49" s="971"/>
      <c r="TUX49" s="971"/>
      <c r="TUY49" s="971"/>
      <c r="TUZ49" s="971"/>
      <c r="TVA49" s="971"/>
      <c r="TVB49" s="971"/>
      <c r="TVC49" s="971"/>
      <c r="TVD49" s="971"/>
      <c r="TVE49" s="971"/>
      <c r="TVF49" s="971"/>
      <c r="TVG49" s="971"/>
      <c r="TVH49" s="971"/>
      <c r="TVI49" s="971"/>
      <c r="TVJ49" s="971"/>
      <c r="TVK49" s="971"/>
      <c r="TVL49" s="971"/>
      <c r="TVM49" s="971"/>
      <c r="TVN49" s="971"/>
      <c r="TVO49" s="971"/>
      <c r="TVP49" s="971"/>
      <c r="TVQ49" s="971"/>
      <c r="TVR49" s="971"/>
      <c r="TVS49" s="971"/>
      <c r="TVT49" s="971"/>
      <c r="TVU49" s="971"/>
      <c r="TVV49" s="971"/>
      <c r="TVW49" s="971"/>
      <c r="TVX49" s="971"/>
      <c r="TVY49" s="971"/>
      <c r="TVZ49" s="971"/>
      <c r="TWA49" s="971"/>
      <c r="TWB49" s="971"/>
      <c r="TWC49" s="971"/>
      <c r="TWD49" s="971"/>
      <c r="TWE49" s="971"/>
      <c r="TWF49" s="971"/>
      <c r="TWG49" s="971"/>
      <c r="TWH49" s="971"/>
      <c r="TWI49" s="971"/>
      <c r="TWJ49" s="971"/>
      <c r="TWK49" s="971"/>
      <c r="TWL49" s="971"/>
      <c r="TWM49" s="971"/>
      <c r="TWN49" s="971"/>
      <c r="TWO49" s="971"/>
      <c r="TWP49" s="971"/>
      <c r="TWQ49" s="971"/>
      <c r="TWR49" s="971"/>
      <c r="TWS49" s="971"/>
      <c r="TWT49" s="971"/>
      <c r="TWU49" s="971"/>
      <c r="TWV49" s="971"/>
      <c r="TWW49" s="971"/>
      <c r="TWX49" s="971"/>
      <c r="TWY49" s="971"/>
      <c r="TWZ49" s="971"/>
      <c r="TXA49" s="971"/>
      <c r="TXB49" s="971"/>
      <c r="TXC49" s="971"/>
      <c r="TXD49" s="971"/>
      <c r="TXE49" s="971"/>
      <c r="TXF49" s="971"/>
      <c r="TXG49" s="971"/>
      <c r="TXH49" s="971"/>
      <c r="TXI49" s="971"/>
      <c r="TXJ49" s="971"/>
      <c r="TXK49" s="971"/>
      <c r="TXL49" s="971"/>
      <c r="TXM49" s="971"/>
      <c r="TXN49" s="971"/>
      <c r="TXO49" s="971"/>
      <c r="TXP49" s="971"/>
      <c r="TXQ49" s="971"/>
      <c r="TXR49" s="971"/>
      <c r="TXS49" s="971"/>
      <c r="TXT49" s="971"/>
      <c r="TXU49" s="971"/>
      <c r="TXV49" s="971"/>
      <c r="TXW49" s="971"/>
      <c r="TXX49" s="971"/>
      <c r="TXY49" s="971"/>
      <c r="TXZ49" s="971"/>
      <c r="TYA49" s="971"/>
      <c r="TYB49" s="971"/>
      <c r="TYC49" s="971"/>
      <c r="TYD49" s="971"/>
      <c r="TYE49" s="971"/>
      <c r="TYF49" s="971"/>
      <c r="TYG49" s="971"/>
      <c r="TYH49" s="971"/>
      <c r="TYI49" s="971"/>
      <c r="TYJ49" s="971"/>
      <c r="TYK49" s="971"/>
      <c r="TYL49" s="971"/>
      <c r="TYM49" s="971"/>
      <c r="TYN49" s="971"/>
      <c r="TYO49" s="971"/>
      <c r="TYP49" s="971"/>
      <c r="TYQ49" s="971"/>
      <c r="TYR49" s="971"/>
      <c r="TYS49" s="971"/>
      <c r="TYT49" s="971"/>
      <c r="TYU49" s="971"/>
      <c r="TYV49" s="971"/>
      <c r="TYW49" s="971"/>
      <c r="TYX49" s="971"/>
      <c r="TYY49" s="971"/>
      <c r="TYZ49" s="971"/>
      <c r="TZA49" s="971"/>
      <c r="TZB49" s="971"/>
      <c r="TZC49" s="971"/>
      <c r="TZD49" s="971"/>
      <c r="TZE49" s="971"/>
      <c r="TZF49" s="971"/>
      <c r="TZG49" s="971"/>
      <c r="TZH49" s="971"/>
      <c r="TZI49" s="971"/>
      <c r="TZJ49" s="971"/>
      <c r="TZK49" s="971"/>
      <c r="TZL49" s="971"/>
      <c r="TZM49" s="971"/>
      <c r="TZN49" s="971"/>
      <c r="TZO49" s="971"/>
      <c r="TZP49" s="971"/>
      <c r="TZQ49" s="971"/>
      <c r="TZR49" s="971"/>
      <c r="TZS49" s="971"/>
      <c r="TZT49" s="971"/>
      <c r="TZU49" s="971"/>
      <c r="TZV49" s="971"/>
      <c r="TZW49" s="971"/>
      <c r="TZX49" s="971"/>
      <c r="TZY49" s="971"/>
      <c r="TZZ49" s="971"/>
      <c r="UAA49" s="971"/>
      <c r="UAB49" s="971"/>
      <c r="UAC49" s="971"/>
      <c r="UAD49" s="971"/>
      <c r="UAE49" s="971"/>
      <c r="UAF49" s="971"/>
      <c r="UAG49" s="971"/>
      <c r="UAH49" s="971"/>
      <c r="UAI49" s="971"/>
      <c r="UAJ49" s="971"/>
      <c r="UAK49" s="971"/>
      <c r="UAL49" s="971"/>
      <c r="UAM49" s="971"/>
      <c r="UAN49" s="971"/>
      <c r="UAO49" s="971"/>
      <c r="UAP49" s="971"/>
      <c r="UAQ49" s="971"/>
      <c r="UAR49" s="971"/>
      <c r="UAS49" s="971"/>
      <c r="UAT49" s="971"/>
      <c r="UAU49" s="971"/>
      <c r="UAV49" s="971"/>
      <c r="UAW49" s="971"/>
      <c r="UAX49" s="971"/>
      <c r="UAY49" s="971"/>
      <c r="UAZ49" s="971"/>
      <c r="UBA49" s="971"/>
      <c r="UBB49" s="971"/>
      <c r="UBC49" s="971"/>
      <c r="UBD49" s="971"/>
      <c r="UBE49" s="971"/>
      <c r="UBF49" s="971"/>
      <c r="UBG49" s="971"/>
      <c r="UBH49" s="971"/>
      <c r="UBI49" s="971"/>
      <c r="UBJ49" s="971"/>
      <c r="UBK49" s="971"/>
      <c r="UBL49" s="971"/>
      <c r="UBM49" s="971"/>
      <c r="UBN49" s="971"/>
      <c r="UBO49" s="971"/>
      <c r="UBP49" s="971"/>
      <c r="UBQ49" s="971"/>
      <c r="UBR49" s="971"/>
      <c r="UBS49" s="971"/>
      <c r="UBT49" s="971"/>
      <c r="UBU49" s="971"/>
      <c r="UBV49" s="971"/>
      <c r="UBW49" s="971"/>
      <c r="UBX49" s="971"/>
      <c r="UBY49" s="971"/>
      <c r="UBZ49" s="971"/>
      <c r="UCA49" s="971"/>
      <c r="UCB49" s="971"/>
      <c r="UCC49" s="971"/>
      <c r="UCD49" s="971"/>
      <c r="UCE49" s="971"/>
      <c r="UCF49" s="971"/>
      <c r="UCG49" s="971"/>
      <c r="UCH49" s="971"/>
      <c r="UCI49" s="971"/>
      <c r="UCJ49" s="971"/>
      <c r="UCK49" s="971"/>
      <c r="UCL49" s="971"/>
      <c r="UCM49" s="971"/>
      <c r="UCN49" s="971"/>
      <c r="UCO49" s="971"/>
      <c r="UCP49" s="971"/>
      <c r="UCQ49" s="971"/>
      <c r="UCR49" s="971"/>
      <c r="UCS49" s="971"/>
      <c r="UCT49" s="971"/>
      <c r="UCU49" s="971"/>
      <c r="UCV49" s="971"/>
      <c r="UCW49" s="971"/>
      <c r="UCX49" s="971"/>
      <c r="UCY49" s="971"/>
      <c r="UCZ49" s="971"/>
      <c r="UDA49" s="971"/>
      <c r="UDB49" s="971"/>
      <c r="UDC49" s="971"/>
      <c r="UDD49" s="971"/>
      <c r="UDE49" s="971"/>
      <c r="UDF49" s="971"/>
      <c r="UDG49" s="971"/>
      <c r="UDH49" s="971"/>
      <c r="UDI49" s="971"/>
      <c r="UDJ49" s="971"/>
      <c r="UDK49" s="971"/>
      <c r="UDL49" s="971"/>
      <c r="UDM49" s="971"/>
      <c r="UDN49" s="971"/>
      <c r="UDO49" s="971"/>
      <c r="UDP49" s="971"/>
      <c r="UDQ49" s="971"/>
      <c r="UDR49" s="971"/>
      <c r="UDS49" s="971"/>
      <c r="UDT49" s="971"/>
      <c r="UDU49" s="971"/>
      <c r="UDV49" s="971"/>
      <c r="UDW49" s="971"/>
      <c r="UDX49" s="971"/>
      <c r="UDY49" s="971"/>
      <c r="UDZ49" s="971"/>
      <c r="UEA49" s="971"/>
      <c r="UEB49" s="971"/>
      <c r="UEC49" s="971"/>
      <c r="UED49" s="971"/>
      <c r="UEE49" s="971"/>
      <c r="UEF49" s="971"/>
      <c r="UEG49" s="971"/>
      <c r="UEH49" s="971"/>
      <c r="UEI49" s="971"/>
      <c r="UEJ49" s="971"/>
      <c r="UEK49" s="971"/>
      <c r="UEL49" s="971"/>
      <c r="UEM49" s="971"/>
      <c r="UEN49" s="971"/>
      <c r="UEO49" s="971"/>
      <c r="UEP49" s="971"/>
      <c r="UEQ49" s="971"/>
      <c r="UER49" s="971"/>
      <c r="UES49" s="971"/>
      <c r="UET49" s="971"/>
      <c r="UEU49" s="971"/>
      <c r="UEV49" s="971"/>
      <c r="UEW49" s="971"/>
      <c r="UEX49" s="971"/>
      <c r="UEY49" s="971"/>
      <c r="UEZ49" s="971"/>
      <c r="UFA49" s="971"/>
      <c r="UFB49" s="971"/>
      <c r="UFC49" s="971"/>
      <c r="UFD49" s="971"/>
      <c r="UFE49" s="971"/>
      <c r="UFF49" s="971"/>
      <c r="UFG49" s="971"/>
      <c r="UFH49" s="971"/>
      <c r="UFI49" s="971"/>
      <c r="UFJ49" s="971"/>
      <c r="UFK49" s="971"/>
      <c r="UFL49" s="971"/>
      <c r="UFM49" s="971"/>
      <c r="UFN49" s="971"/>
      <c r="UFO49" s="971"/>
      <c r="UFP49" s="971"/>
      <c r="UFQ49" s="971"/>
      <c r="UFR49" s="971"/>
      <c r="UFS49" s="971"/>
      <c r="UFT49" s="971"/>
      <c r="UFU49" s="971"/>
      <c r="UFV49" s="971"/>
      <c r="UFW49" s="971"/>
      <c r="UFX49" s="971"/>
      <c r="UFY49" s="971"/>
      <c r="UFZ49" s="971"/>
      <c r="UGA49" s="971"/>
      <c r="UGB49" s="971"/>
      <c r="UGC49" s="971"/>
      <c r="UGD49" s="971"/>
      <c r="UGE49" s="971"/>
      <c r="UGF49" s="971"/>
      <c r="UGG49" s="971"/>
      <c r="UGH49" s="971"/>
      <c r="UGI49" s="971"/>
      <c r="UGJ49" s="971"/>
      <c r="UGK49" s="971"/>
      <c r="UGL49" s="971"/>
      <c r="UGM49" s="971"/>
      <c r="UGN49" s="971"/>
      <c r="UGO49" s="971"/>
      <c r="UGP49" s="971"/>
      <c r="UGQ49" s="971"/>
      <c r="UGR49" s="971"/>
      <c r="UGS49" s="971"/>
      <c r="UGT49" s="971"/>
      <c r="UGU49" s="971"/>
      <c r="UGV49" s="971"/>
      <c r="UGW49" s="971"/>
      <c r="UGX49" s="971"/>
      <c r="UGY49" s="971"/>
      <c r="UGZ49" s="971"/>
      <c r="UHA49" s="971"/>
      <c r="UHB49" s="971"/>
      <c r="UHC49" s="971"/>
      <c r="UHD49" s="971"/>
      <c r="UHE49" s="971"/>
      <c r="UHF49" s="971"/>
      <c r="UHG49" s="971"/>
      <c r="UHH49" s="971"/>
      <c r="UHI49" s="971"/>
      <c r="UHJ49" s="971"/>
      <c r="UHK49" s="971"/>
      <c r="UHL49" s="971"/>
      <c r="UHM49" s="971"/>
      <c r="UHN49" s="971"/>
      <c r="UHO49" s="971"/>
      <c r="UHP49" s="971"/>
      <c r="UHQ49" s="971"/>
      <c r="UHR49" s="971"/>
      <c r="UHS49" s="971"/>
      <c r="UHT49" s="971"/>
      <c r="UHU49" s="971"/>
      <c r="UHV49" s="971"/>
      <c r="UHW49" s="971"/>
      <c r="UHX49" s="971"/>
      <c r="UHY49" s="971"/>
      <c r="UHZ49" s="971"/>
      <c r="UIA49" s="971"/>
      <c r="UIB49" s="971"/>
      <c r="UIC49" s="971"/>
      <c r="UID49" s="971"/>
      <c r="UIE49" s="971"/>
      <c r="UIF49" s="971"/>
      <c r="UIG49" s="971"/>
      <c r="UIH49" s="971"/>
      <c r="UII49" s="971"/>
      <c r="UIJ49" s="971"/>
      <c r="UIK49" s="971"/>
      <c r="UIL49" s="971"/>
      <c r="UIM49" s="971"/>
      <c r="UIN49" s="971"/>
      <c r="UIO49" s="971"/>
      <c r="UIP49" s="971"/>
      <c r="UIQ49" s="971"/>
      <c r="UIR49" s="971"/>
      <c r="UIS49" s="971"/>
      <c r="UIT49" s="971"/>
      <c r="UIU49" s="971"/>
      <c r="UIV49" s="971"/>
      <c r="UIW49" s="971"/>
      <c r="UIX49" s="971"/>
      <c r="UIY49" s="971"/>
      <c r="UIZ49" s="971"/>
      <c r="UJA49" s="971"/>
      <c r="UJB49" s="971"/>
      <c r="UJC49" s="971"/>
      <c r="UJD49" s="971"/>
      <c r="UJE49" s="971"/>
      <c r="UJF49" s="971"/>
      <c r="UJG49" s="971"/>
      <c r="UJH49" s="971"/>
      <c r="UJI49" s="971"/>
      <c r="UJJ49" s="971"/>
      <c r="UJK49" s="971"/>
      <c r="UJL49" s="971"/>
      <c r="UJM49" s="971"/>
      <c r="UJN49" s="971"/>
      <c r="UJO49" s="971"/>
      <c r="UJP49" s="971"/>
      <c r="UJQ49" s="971"/>
      <c r="UJR49" s="971"/>
      <c r="UJS49" s="971"/>
      <c r="UJT49" s="971"/>
      <c r="UJU49" s="971"/>
      <c r="UJV49" s="971"/>
      <c r="UJW49" s="971"/>
      <c r="UJX49" s="971"/>
      <c r="UJY49" s="971"/>
      <c r="UJZ49" s="971"/>
      <c r="UKA49" s="971"/>
      <c r="UKB49" s="971"/>
      <c r="UKC49" s="971"/>
      <c r="UKD49" s="971"/>
      <c r="UKE49" s="971"/>
      <c r="UKF49" s="971"/>
      <c r="UKG49" s="971"/>
      <c r="UKH49" s="971"/>
      <c r="UKI49" s="971"/>
      <c r="UKJ49" s="971"/>
      <c r="UKK49" s="971"/>
      <c r="UKL49" s="971"/>
      <c r="UKM49" s="971"/>
      <c r="UKN49" s="971"/>
      <c r="UKO49" s="971"/>
      <c r="UKP49" s="971"/>
      <c r="UKQ49" s="971"/>
      <c r="UKR49" s="971"/>
      <c r="UKS49" s="971"/>
      <c r="UKT49" s="971"/>
      <c r="UKU49" s="971"/>
      <c r="UKV49" s="971"/>
      <c r="UKW49" s="971"/>
      <c r="UKX49" s="971"/>
      <c r="UKY49" s="971"/>
      <c r="UKZ49" s="971"/>
      <c r="ULA49" s="971"/>
      <c r="ULB49" s="971"/>
      <c r="ULC49" s="971"/>
      <c r="ULD49" s="971"/>
      <c r="ULE49" s="971"/>
      <c r="ULF49" s="971"/>
      <c r="ULG49" s="971"/>
      <c r="ULH49" s="971"/>
      <c r="ULI49" s="971"/>
      <c r="ULJ49" s="971"/>
      <c r="ULK49" s="971"/>
      <c r="ULL49" s="971"/>
      <c r="ULM49" s="971"/>
      <c r="ULN49" s="971"/>
      <c r="ULO49" s="971"/>
      <c r="ULP49" s="971"/>
      <c r="ULQ49" s="971"/>
      <c r="ULR49" s="971"/>
      <c r="ULS49" s="971"/>
      <c r="ULT49" s="971"/>
      <c r="ULU49" s="971"/>
      <c r="ULV49" s="971"/>
      <c r="ULW49" s="971"/>
      <c r="ULX49" s="971"/>
      <c r="ULY49" s="971"/>
      <c r="ULZ49" s="971"/>
      <c r="UMA49" s="971"/>
      <c r="UMB49" s="971"/>
      <c r="UMC49" s="971"/>
      <c r="UMD49" s="971"/>
      <c r="UME49" s="971"/>
      <c r="UMF49" s="971"/>
      <c r="UMG49" s="971"/>
      <c r="UMH49" s="971"/>
      <c r="UMI49" s="971"/>
      <c r="UMJ49" s="971"/>
      <c r="UMK49" s="971"/>
      <c r="UML49" s="971"/>
      <c r="UMM49" s="971"/>
      <c r="UMN49" s="971"/>
      <c r="UMO49" s="971"/>
      <c r="UMP49" s="971"/>
      <c r="UMQ49" s="971"/>
      <c r="UMR49" s="971"/>
      <c r="UMS49" s="971"/>
      <c r="UMT49" s="971"/>
      <c r="UMU49" s="971"/>
      <c r="UMV49" s="971"/>
      <c r="UMW49" s="971"/>
      <c r="UMX49" s="971"/>
      <c r="UMY49" s="971"/>
      <c r="UMZ49" s="971"/>
      <c r="UNA49" s="971"/>
      <c r="UNB49" s="971"/>
      <c r="UNC49" s="971"/>
      <c r="UND49" s="971"/>
      <c r="UNE49" s="971"/>
      <c r="UNF49" s="971"/>
      <c r="UNG49" s="971"/>
      <c r="UNH49" s="971"/>
      <c r="UNI49" s="971"/>
      <c r="UNJ49" s="971"/>
      <c r="UNK49" s="971"/>
      <c r="UNL49" s="971"/>
      <c r="UNM49" s="971"/>
      <c r="UNN49" s="971"/>
      <c r="UNO49" s="971"/>
      <c r="UNP49" s="971"/>
      <c r="UNQ49" s="971"/>
      <c r="UNR49" s="971"/>
      <c r="UNS49" s="971"/>
      <c r="UNT49" s="971"/>
      <c r="UNU49" s="971"/>
      <c r="UNV49" s="971"/>
      <c r="UNW49" s="971"/>
      <c r="UNX49" s="971"/>
      <c r="UNY49" s="971"/>
      <c r="UNZ49" s="971"/>
      <c r="UOA49" s="971"/>
      <c r="UOB49" s="971"/>
      <c r="UOC49" s="971"/>
      <c r="UOD49" s="971"/>
      <c r="UOE49" s="971"/>
      <c r="UOF49" s="971"/>
      <c r="UOG49" s="971"/>
      <c r="UOH49" s="971"/>
      <c r="UOI49" s="971"/>
      <c r="UOJ49" s="971"/>
      <c r="UOK49" s="971"/>
      <c r="UOL49" s="971"/>
      <c r="UOM49" s="971"/>
      <c r="UON49" s="971"/>
      <c r="UOO49" s="971"/>
      <c r="UOP49" s="971"/>
      <c r="UOQ49" s="971"/>
      <c r="UOR49" s="971"/>
      <c r="UOS49" s="971"/>
      <c r="UOT49" s="971"/>
      <c r="UOU49" s="971"/>
      <c r="UOV49" s="971"/>
      <c r="UOW49" s="971"/>
      <c r="UOX49" s="971"/>
      <c r="UOY49" s="971"/>
      <c r="UOZ49" s="971"/>
      <c r="UPA49" s="971"/>
      <c r="UPB49" s="971"/>
      <c r="UPC49" s="971"/>
      <c r="UPD49" s="971"/>
      <c r="UPE49" s="971"/>
      <c r="UPF49" s="971"/>
      <c r="UPG49" s="971"/>
      <c r="UPH49" s="971"/>
      <c r="UPI49" s="971"/>
      <c r="UPJ49" s="971"/>
      <c r="UPK49" s="971"/>
      <c r="UPL49" s="971"/>
      <c r="UPM49" s="971"/>
      <c r="UPN49" s="971"/>
      <c r="UPO49" s="971"/>
      <c r="UPP49" s="971"/>
      <c r="UPQ49" s="971"/>
      <c r="UPR49" s="971"/>
      <c r="UPS49" s="971"/>
      <c r="UPT49" s="971"/>
      <c r="UPU49" s="971"/>
      <c r="UPV49" s="971"/>
      <c r="UPW49" s="971"/>
      <c r="UPX49" s="971"/>
      <c r="UPY49" s="971"/>
      <c r="UPZ49" s="971"/>
      <c r="UQA49" s="971"/>
      <c r="UQB49" s="971"/>
      <c r="UQC49" s="971"/>
      <c r="UQD49" s="971"/>
      <c r="UQE49" s="971"/>
      <c r="UQF49" s="971"/>
      <c r="UQG49" s="971"/>
      <c r="UQH49" s="971"/>
      <c r="UQI49" s="971"/>
      <c r="UQJ49" s="971"/>
      <c r="UQK49" s="971"/>
      <c r="UQL49" s="971"/>
      <c r="UQM49" s="971"/>
      <c r="UQN49" s="971"/>
      <c r="UQO49" s="971"/>
      <c r="UQP49" s="971"/>
      <c r="UQQ49" s="971"/>
      <c r="UQR49" s="971"/>
      <c r="UQS49" s="971"/>
      <c r="UQT49" s="971"/>
      <c r="UQU49" s="971"/>
      <c r="UQV49" s="971"/>
      <c r="UQW49" s="971"/>
      <c r="UQX49" s="971"/>
      <c r="UQY49" s="971"/>
      <c r="UQZ49" s="971"/>
      <c r="URA49" s="971"/>
      <c r="URB49" s="971"/>
      <c r="URC49" s="971"/>
      <c r="URD49" s="971"/>
      <c r="URE49" s="971"/>
      <c r="URF49" s="971"/>
      <c r="URG49" s="971"/>
      <c r="URH49" s="971"/>
      <c r="URI49" s="971"/>
      <c r="URJ49" s="971"/>
      <c r="URK49" s="971"/>
      <c r="URL49" s="971"/>
      <c r="URM49" s="971"/>
      <c r="URN49" s="971"/>
      <c r="URO49" s="971"/>
      <c r="URP49" s="971"/>
      <c r="URQ49" s="971"/>
      <c r="URR49" s="971"/>
      <c r="URS49" s="971"/>
      <c r="URT49" s="971"/>
      <c r="URU49" s="971"/>
      <c r="URV49" s="971"/>
      <c r="URW49" s="971"/>
      <c r="URX49" s="971"/>
      <c r="URY49" s="971"/>
      <c r="URZ49" s="971"/>
      <c r="USA49" s="971"/>
      <c r="USB49" s="971"/>
      <c r="USC49" s="971"/>
      <c r="USD49" s="971"/>
      <c r="USE49" s="971"/>
      <c r="USF49" s="971"/>
      <c r="USG49" s="971"/>
      <c r="USH49" s="971"/>
      <c r="USI49" s="971"/>
      <c r="USJ49" s="971"/>
      <c r="USK49" s="971"/>
      <c r="USL49" s="971"/>
      <c r="USM49" s="971"/>
      <c r="USN49" s="971"/>
      <c r="USO49" s="971"/>
      <c r="USP49" s="971"/>
      <c r="USQ49" s="971"/>
      <c r="USR49" s="971"/>
      <c r="USS49" s="971"/>
      <c r="UST49" s="971"/>
      <c r="USU49" s="971"/>
      <c r="USV49" s="971"/>
      <c r="USW49" s="971"/>
      <c r="USX49" s="971"/>
      <c r="USY49" s="971"/>
      <c r="USZ49" s="971"/>
      <c r="UTA49" s="971"/>
      <c r="UTB49" s="971"/>
      <c r="UTC49" s="971"/>
      <c r="UTD49" s="971"/>
      <c r="UTE49" s="971"/>
      <c r="UTF49" s="971"/>
      <c r="UTG49" s="971"/>
      <c r="UTH49" s="971"/>
      <c r="UTI49" s="971"/>
      <c r="UTJ49" s="971"/>
      <c r="UTK49" s="971"/>
      <c r="UTL49" s="971"/>
      <c r="UTM49" s="971"/>
      <c r="UTN49" s="971"/>
      <c r="UTO49" s="971"/>
      <c r="UTP49" s="971"/>
      <c r="UTQ49" s="971"/>
      <c r="UTR49" s="971"/>
      <c r="UTS49" s="971"/>
      <c r="UTT49" s="971"/>
      <c r="UTU49" s="971"/>
      <c r="UTV49" s="971"/>
      <c r="UTW49" s="971"/>
      <c r="UTX49" s="971"/>
      <c r="UTY49" s="971"/>
      <c r="UTZ49" s="971"/>
      <c r="UUA49" s="971"/>
      <c r="UUB49" s="971"/>
      <c r="UUC49" s="971"/>
      <c r="UUD49" s="971"/>
      <c r="UUE49" s="971"/>
      <c r="UUF49" s="971"/>
      <c r="UUG49" s="971"/>
      <c r="UUH49" s="971"/>
      <c r="UUI49" s="971"/>
      <c r="UUJ49" s="971"/>
      <c r="UUK49" s="971"/>
      <c r="UUL49" s="971"/>
      <c r="UUM49" s="971"/>
      <c r="UUN49" s="971"/>
      <c r="UUO49" s="971"/>
      <c r="UUP49" s="971"/>
      <c r="UUQ49" s="971"/>
      <c r="UUR49" s="971"/>
      <c r="UUS49" s="971"/>
      <c r="UUT49" s="971"/>
      <c r="UUU49" s="971"/>
      <c r="UUV49" s="971"/>
      <c r="UUW49" s="971"/>
      <c r="UUX49" s="971"/>
      <c r="UUY49" s="971"/>
      <c r="UUZ49" s="971"/>
      <c r="UVA49" s="971"/>
      <c r="UVB49" s="971"/>
      <c r="UVC49" s="971"/>
      <c r="UVD49" s="971"/>
      <c r="UVE49" s="971"/>
      <c r="UVF49" s="971"/>
      <c r="UVG49" s="971"/>
      <c r="UVH49" s="971"/>
      <c r="UVI49" s="971"/>
      <c r="UVJ49" s="971"/>
      <c r="UVK49" s="971"/>
      <c r="UVL49" s="971"/>
      <c r="UVM49" s="971"/>
      <c r="UVN49" s="971"/>
      <c r="UVO49" s="971"/>
      <c r="UVP49" s="971"/>
      <c r="UVQ49" s="971"/>
      <c r="UVR49" s="971"/>
      <c r="UVS49" s="971"/>
      <c r="UVT49" s="971"/>
      <c r="UVU49" s="971"/>
      <c r="UVV49" s="971"/>
      <c r="UVW49" s="971"/>
      <c r="UVX49" s="971"/>
      <c r="UVY49" s="971"/>
      <c r="UVZ49" s="971"/>
      <c r="UWA49" s="971"/>
      <c r="UWB49" s="971"/>
      <c r="UWC49" s="971"/>
      <c r="UWD49" s="971"/>
      <c r="UWE49" s="971"/>
      <c r="UWF49" s="971"/>
      <c r="UWG49" s="971"/>
      <c r="UWH49" s="971"/>
      <c r="UWI49" s="971"/>
      <c r="UWJ49" s="971"/>
      <c r="UWK49" s="971"/>
      <c r="UWL49" s="971"/>
      <c r="UWM49" s="971"/>
      <c r="UWN49" s="971"/>
      <c r="UWO49" s="971"/>
      <c r="UWP49" s="971"/>
      <c r="UWQ49" s="971"/>
      <c r="UWR49" s="971"/>
      <c r="UWS49" s="971"/>
      <c r="UWT49" s="971"/>
      <c r="UWU49" s="971"/>
      <c r="UWV49" s="971"/>
      <c r="UWW49" s="971"/>
      <c r="UWX49" s="971"/>
      <c r="UWY49" s="971"/>
      <c r="UWZ49" s="971"/>
      <c r="UXA49" s="971"/>
      <c r="UXB49" s="971"/>
      <c r="UXC49" s="971"/>
      <c r="UXD49" s="971"/>
      <c r="UXE49" s="971"/>
      <c r="UXF49" s="971"/>
      <c r="UXG49" s="971"/>
      <c r="UXH49" s="971"/>
      <c r="UXI49" s="971"/>
      <c r="UXJ49" s="971"/>
      <c r="UXK49" s="971"/>
      <c r="UXL49" s="971"/>
      <c r="UXM49" s="971"/>
      <c r="UXN49" s="971"/>
      <c r="UXO49" s="971"/>
      <c r="UXP49" s="971"/>
      <c r="UXQ49" s="971"/>
      <c r="UXR49" s="971"/>
      <c r="UXS49" s="971"/>
      <c r="UXT49" s="971"/>
      <c r="UXU49" s="971"/>
      <c r="UXV49" s="971"/>
      <c r="UXW49" s="971"/>
      <c r="UXX49" s="971"/>
      <c r="UXY49" s="971"/>
      <c r="UXZ49" s="971"/>
      <c r="UYA49" s="971"/>
      <c r="UYB49" s="971"/>
      <c r="UYC49" s="971"/>
      <c r="UYD49" s="971"/>
      <c r="UYE49" s="971"/>
      <c r="UYF49" s="971"/>
      <c r="UYG49" s="971"/>
      <c r="UYH49" s="971"/>
      <c r="UYI49" s="971"/>
      <c r="UYJ49" s="971"/>
      <c r="UYK49" s="971"/>
      <c r="UYL49" s="971"/>
      <c r="UYM49" s="971"/>
      <c r="UYN49" s="971"/>
      <c r="UYO49" s="971"/>
      <c r="UYP49" s="971"/>
      <c r="UYQ49" s="971"/>
      <c r="UYR49" s="971"/>
      <c r="UYS49" s="971"/>
      <c r="UYT49" s="971"/>
      <c r="UYU49" s="971"/>
      <c r="UYV49" s="971"/>
      <c r="UYW49" s="971"/>
      <c r="UYX49" s="971"/>
      <c r="UYY49" s="971"/>
      <c r="UYZ49" s="971"/>
      <c r="UZA49" s="971"/>
      <c r="UZB49" s="971"/>
      <c r="UZC49" s="971"/>
      <c r="UZD49" s="971"/>
      <c r="UZE49" s="971"/>
      <c r="UZF49" s="971"/>
      <c r="UZG49" s="971"/>
      <c r="UZH49" s="971"/>
      <c r="UZI49" s="971"/>
      <c r="UZJ49" s="971"/>
      <c r="UZK49" s="971"/>
      <c r="UZL49" s="971"/>
      <c r="UZM49" s="971"/>
      <c r="UZN49" s="971"/>
      <c r="UZO49" s="971"/>
      <c r="UZP49" s="971"/>
      <c r="UZQ49" s="971"/>
      <c r="UZR49" s="971"/>
      <c r="UZS49" s="971"/>
      <c r="UZT49" s="971"/>
      <c r="UZU49" s="971"/>
      <c r="UZV49" s="971"/>
      <c r="UZW49" s="971"/>
      <c r="UZX49" s="971"/>
      <c r="UZY49" s="971"/>
      <c r="UZZ49" s="971"/>
      <c r="VAA49" s="971"/>
      <c r="VAB49" s="971"/>
      <c r="VAC49" s="971"/>
      <c r="VAD49" s="971"/>
      <c r="VAE49" s="971"/>
      <c r="VAF49" s="971"/>
      <c r="VAG49" s="971"/>
      <c r="VAH49" s="971"/>
      <c r="VAI49" s="971"/>
      <c r="VAJ49" s="971"/>
      <c r="VAK49" s="971"/>
      <c r="VAL49" s="971"/>
      <c r="VAM49" s="971"/>
      <c r="VAN49" s="971"/>
      <c r="VAO49" s="971"/>
      <c r="VAP49" s="971"/>
      <c r="VAQ49" s="971"/>
      <c r="VAR49" s="971"/>
      <c r="VAS49" s="971"/>
      <c r="VAT49" s="971"/>
      <c r="VAU49" s="971"/>
      <c r="VAV49" s="971"/>
      <c r="VAW49" s="971"/>
      <c r="VAX49" s="971"/>
      <c r="VAY49" s="971"/>
      <c r="VAZ49" s="971"/>
      <c r="VBA49" s="971"/>
      <c r="VBB49" s="971"/>
      <c r="VBC49" s="971"/>
      <c r="VBD49" s="971"/>
      <c r="VBE49" s="971"/>
      <c r="VBF49" s="971"/>
      <c r="VBG49" s="971"/>
      <c r="VBH49" s="971"/>
      <c r="VBI49" s="971"/>
      <c r="VBJ49" s="971"/>
      <c r="VBK49" s="971"/>
      <c r="VBL49" s="971"/>
      <c r="VBM49" s="971"/>
      <c r="VBN49" s="971"/>
      <c r="VBO49" s="971"/>
      <c r="VBP49" s="971"/>
      <c r="VBQ49" s="971"/>
      <c r="VBR49" s="971"/>
      <c r="VBS49" s="971"/>
      <c r="VBT49" s="971"/>
      <c r="VBU49" s="971"/>
      <c r="VBV49" s="971"/>
      <c r="VBW49" s="971"/>
      <c r="VBX49" s="971"/>
      <c r="VBY49" s="971"/>
      <c r="VBZ49" s="971"/>
      <c r="VCA49" s="971"/>
      <c r="VCB49" s="971"/>
      <c r="VCC49" s="971"/>
      <c r="VCD49" s="971"/>
      <c r="VCE49" s="971"/>
      <c r="VCF49" s="971"/>
      <c r="VCG49" s="971"/>
      <c r="VCH49" s="971"/>
      <c r="VCI49" s="971"/>
      <c r="VCJ49" s="971"/>
      <c r="VCK49" s="971"/>
      <c r="VCL49" s="971"/>
      <c r="VCM49" s="971"/>
      <c r="VCN49" s="971"/>
      <c r="VCO49" s="971"/>
      <c r="VCP49" s="971"/>
      <c r="VCQ49" s="971"/>
      <c r="VCR49" s="971"/>
      <c r="VCS49" s="971"/>
      <c r="VCT49" s="971"/>
      <c r="VCU49" s="971"/>
      <c r="VCV49" s="971"/>
      <c r="VCW49" s="971"/>
      <c r="VCX49" s="971"/>
      <c r="VCY49" s="971"/>
      <c r="VCZ49" s="971"/>
      <c r="VDA49" s="971"/>
      <c r="VDB49" s="971"/>
      <c r="VDC49" s="971"/>
      <c r="VDD49" s="971"/>
      <c r="VDE49" s="971"/>
      <c r="VDF49" s="971"/>
      <c r="VDG49" s="971"/>
      <c r="VDH49" s="971"/>
      <c r="VDI49" s="971"/>
      <c r="VDJ49" s="971"/>
      <c r="VDK49" s="971"/>
      <c r="VDL49" s="971"/>
      <c r="VDM49" s="971"/>
      <c r="VDN49" s="971"/>
      <c r="VDO49" s="971"/>
      <c r="VDP49" s="971"/>
      <c r="VDQ49" s="971"/>
      <c r="VDR49" s="971"/>
      <c r="VDS49" s="971"/>
      <c r="VDT49" s="971"/>
      <c r="VDU49" s="971"/>
      <c r="VDV49" s="971"/>
      <c r="VDW49" s="971"/>
      <c r="VDX49" s="971"/>
      <c r="VDY49" s="971"/>
      <c r="VDZ49" s="971"/>
      <c r="VEA49" s="971"/>
      <c r="VEB49" s="971"/>
      <c r="VEC49" s="971"/>
      <c r="VED49" s="971"/>
      <c r="VEE49" s="971"/>
      <c r="VEF49" s="971"/>
      <c r="VEG49" s="971"/>
      <c r="VEH49" s="971"/>
      <c r="VEI49" s="971"/>
      <c r="VEJ49" s="971"/>
      <c r="VEK49" s="971"/>
      <c r="VEL49" s="971"/>
      <c r="VEM49" s="971"/>
      <c r="VEN49" s="971"/>
      <c r="VEO49" s="971"/>
      <c r="VEP49" s="971"/>
      <c r="VEQ49" s="971"/>
      <c r="VER49" s="971"/>
      <c r="VES49" s="971"/>
      <c r="VET49" s="971"/>
      <c r="VEU49" s="971"/>
      <c r="VEV49" s="971"/>
      <c r="VEW49" s="971"/>
      <c r="VEX49" s="971"/>
      <c r="VEY49" s="971"/>
      <c r="VEZ49" s="971"/>
      <c r="VFA49" s="971"/>
      <c r="VFB49" s="971"/>
      <c r="VFC49" s="971"/>
      <c r="VFD49" s="971"/>
      <c r="VFE49" s="971"/>
      <c r="VFF49" s="971"/>
      <c r="VFG49" s="971"/>
      <c r="VFH49" s="971"/>
      <c r="VFI49" s="971"/>
      <c r="VFJ49" s="971"/>
      <c r="VFK49" s="971"/>
      <c r="VFL49" s="971"/>
      <c r="VFM49" s="971"/>
      <c r="VFN49" s="971"/>
      <c r="VFO49" s="971"/>
      <c r="VFP49" s="971"/>
      <c r="VFQ49" s="971"/>
      <c r="VFR49" s="971"/>
      <c r="VFS49" s="971"/>
      <c r="VFT49" s="971"/>
      <c r="VFU49" s="971"/>
      <c r="VFV49" s="971"/>
      <c r="VFW49" s="971"/>
      <c r="VFX49" s="971"/>
      <c r="VFY49" s="971"/>
      <c r="VFZ49" s="971"/>
      <c r="VGA49" s="971"/>
      <c r="VGB49" s="971"/>
      <c r="VGC49" s="971"/>
      <c r="VGD49" s="971"/>
      <c r="VGE49" s="971"/>
      <c r="VGF49" s="971"/>
      <c r="VGG49" s="971"/>
      <c r="VGH49" s="971"/>
      <c r="VGI49" s="971"/>
      <c r="VGJ49" s="971"/>
      <c r="VGK49" s="971"/>
      <c r="VGL49" s="971"/>
      <c r="VGM49" s="971"/>
      <c r="VGN49" s="971"/>
      <c r="VGO49" s="971"/>
      <c r="VGP49" s="971"/>
      <c r="VGQ49" s="971"/>
      <c r="VGR49" s="971"/>
      <c r="VGS49" s="971"/>
      <c r="VGT49" s="971"/>
      <c r="VGU49" s="971"/>
      <c r="VGV49" s="971"/>
      <c r="VGW49" s="971"/>
      <c r="VGX49" s="971"/>
      <c r="VGY49" s="971"/>
      <c r="VGZ49" s="971"/>
      <c r="VHA49" s="971"/>
      <c r="VHB49" s="971"/>
      <c r="VHC49" s="971"/>
      <c r="VHD49" s="971"/>
      <c r="VHE49" s="971"/>
      <c r="VHF49" s="971"/>
      <c r="VHG49" s="971"/>
      <c r="VHH49" s="971"/>
      <c r="VHI49" s="971"/>
      <c r="VHJ49" s="971"/>
      <c r="VHK49" s="971"/>
      <c r="VHL49" s="971"/>
      <c r="VHM49" s="971"/>
      <c r="VHN49" s="971"/>
      <c r="VHO49" s="971"/>
      <c r="VHP49" s="971"/>
      <c r="VHQ49" s="971"/>
      <c r="VHR49" s="971"/>
      <c r="VHS49" s="971"/>
      <c r="VHT49" s="971"/>
      <c r="VHU49" s="971"/>
      <c r="VHV49" s="971"/>
      <c r="VHW49" s="971"/>
      <c r="VHX49" s="971"/>
      <c r="VHY49" s="971"/>
      <c r="VHZ49" s="971"/>
      <c r="VIA49" s="971"/>
      <c r="VIB49" s="971"/>
      <c r="VIC49" s="971"/>
      <c r="VID49" s="971"/>
      <c r="VIE49" s="971"/>
      <c r="VIF49" s="971"/>
      <c r="VIG49" s="971"/>
      <c r="VIH49" s="971"/>
      <c r="VII49" s="971"/>
      <c r="VIJ49" s="971"/>
      <c r="VIK49" s="971"/>
      <c r="VIL49" s="971"/>
      <c r="VIM49" s="971"/>
      <c r="VIN49" s="971"/>
      <c r="VIO49" s="971"/>
      <c r="VIP49" s="971"/>
      <c r="VIQ49" s="971"/>
      <c r="VIR49" s="971"/>
      <c r="VIS49" s="971"/>
      <c r="VIT49" s="971"/>
      <c r="VIU49" s="971"/>
      <c r="VIV49" s="971"/>
      <c r="VIW49" s="971"/>
      <c r="VIX49" s="971"/>
      <c r="VIY49" s="971"/>
      <c r="VIZ49" s="971"/>
      <c r="VJA49" s="971"/>
      <c r="VJB49" s="971"/>
      <c r="VJC49" s="971"/>
      <c r="VJD49" s="971"/>
      <c r="VJE49" s="971"/>
      <c r="VJF49" s="971"/>
      <c r="VJG49" s="971"/>
      <c r="VJH49" s="971"/>
      <c r="VJI49" s="971"/>
      <c r="VJJ49" s="971"/>
      <c r="VJK49" s="971"/>
      <c r="VJL49" s="971"/>
      <c r="VJM49" s="971"/>
      <c r="VJN49" s="971"/>
      <c r="VJO49" s="971"/>
      <c r="VJP49" s="971"/>
      <c r="VJQ49" s="971"/>
      <c r="VJR49" s="971"/>
      <c r="VJS49" s="971"/>
      <c r="VJT49" s="971"/>
      <c r="VJU49" s="971"/>
      <c r="VJV49" s="971"/>
      <c r="VJW49" s="971"/>
      <c r="VJX49" s="971"/>
      <c r="VJY49" s="971"/>
      <c r="VJZ49" s="971"/>
      <c r="VKA49" s="971"/>
      <c r="VKB49" s="971"/>
      <c r="VKC49" s="971"/>
      <c r="VKD49" s="971"/>
      <c r="VKE49" s="971"/>
      <c r="VKF49" s="971"/>
      <c r="VKG49" s="971"/>
      <c r="VKH49" s="971"/>
      <c r="VKI49" s="971"/>
      <c r="VKJ49" s="971"/>
      <c r="VKK49" s="971"/>
      <c r="VKL49" s="971"/>
      <c r="VKM49" s="971"/>
      <c r="VKN49" s="971"/>
      <c r="VKO49" s="971"/>
      <c r="VKP49" s="971"/>
      <c r="VKQ49" s="971"/>
      <c r="VKR49" s="971"/>
      <c r="VKS49" s="971"/>
      <c r="VKT49" s="971"/>
      <c r="VKU49" s="971"/>
      <c r="VKV49" s="971"/>
      <c r="VKW49" s="971"/>
      <c r="VKX49" s="971"/>
      <c r="VKY49" s="971"/>
      <c r="VKZ49" s="971"/>
      <c r="VLA49" s="971"/>
      <c r="VLB49" s="971"/>
      <c r="VLC49" s="971"/>
      <c r="VLD49" s="971"/>
      <c r="VLE49" s="971"/>
      <c r="VLF49" s="971"/>
      <c r="VLG49" s="971"/>
      <c r="VLH49" s="971"/>
      <c r="VLI49" s="971"/>
      <c r="VLJ49" s="971"/>
      <c r="VLK49" s="971"/>
      <c r="VLL49" s="971"/>
      <c r="VLM49" s="971"/>
      <c r="VLN49" s="971"/>
      <c r="VLO49" s="971"/>
      <c r="VLP49" s="971"/>
      <c r="VLQ49" s="971"/>
      <c r="VLR49" s="971"/>
      <c r="VLS49" s="971"/>
      <c r="VLT49" s="971"/>
      <c r="VLU49" s="971"/>
      <c r="VLV49" s="971"/>
      <c r="VLW49" s="971"/>
      <c r="VLX49" s="971"/>
      <c r="VLY49" s="971"/>
      <c r="VLZ49" s="971"/>
      <c r="VMA49" s="971"/>
      <c r="VMB49" s="971"/>
      <c r="VMC49" s="971"/>
      <c r="VMD49" s="971"/>
      <c r="VME49" s="971"/>
      <c r="VMF49" s="971"/>
      <c r="VMG49" s="971"/>
      <c r="VMH49" s="971"/>
      <c r="VMI49" s="971"/>
      <c r="VMJ49" s="971"/>
      <c r="VMK49" s="971"/>
      <c r="VML49" s="971"/>
      <c r="VMM49" s="971"/>
      <c r="VMN49" s="971"/>
      <c r="VMO49" s="971"/>
      <c r="VMP49" s="971"/>
      <c r="VMQ49" s="971"/>
      <c r="VMR49" s="971"/>
      <c r="VMS49" s="971"/>
      <c r="VMT49" s="971"/>
      <c r="VMU49" s="971"/>
      <c r="VMV49" s="971"/>
      <c r="VMW49" s="971"/>
      <c r="VMX49" s="971"/>
      <c r="VMY49" s="971"/>
      <c r="VMZ49" s="971"/>
      <c r="VNA49" s="971"/>
      <c r="VNB49" s="971"/>
      <c r="VNC49" s="971"/>
      <c r="VND49" s="971"/>
      <c r="VNE49" s="971"/>
      <c r="VNF49" s="971"/>
      <c r="VNG49" s="971"/>
      <c r="VNH49" s="971"/>
      <c r="VNI49" s="971"/>
      <c r="VNJ49" s="971"/>
      <c r="VNK49" s="971"/>
      <c r="VNL49" s="971"/>
      <c r="VNM49" s="971"/>
      <c r="VNN49" s="971"/>
      <c r="VNO49" s="971"/>
      <c r="VNP49" s="971"/>
      <c r="VNQ49" s="971"/>
      <c r="VNR49" s="971"/>
      <c r="VNS49" s="971"/>
      <c r="VNT49" s="971"/>
      <c r="VNU49" s="971"/>
      <c r="VNV49" s="971"/>
      <c r="VNW49" s="971"/>
      <c r="VNX49" s="971"/>
      <c r="VNY49" s="971"/>
      <c r="VNZ49" s="971"/>
      <c r="VOA49" s="971"/>
      <c r="VOB49" s="971"/>
      <c r="VOC49" s="971"/>
      <c r="VOD49" s="971"/>
      <c r="VOE49" s="971"/>
      <c r="VOF49" s="971"/>
      <c r="VOG49" s="971"/>
      <c r="VOH49" s="971"/>
      <c r="VOI49" s="971"/>
      <c r="VOJ49" s="971"/>
      <c r="VOK49" s="971"/>
      <c r="VOL49" s="971"/>
      <c r="VOM49" s="971"/>
      <c r="VON49" s="971"/>
      <c r="VOO49" s="971"/>
      <c r="VOP49" s="971"/>
      <c r="VOQ49" s="971"/>
      <c r="VOR49" s="971"/>
      <c r="VOS49" s="971"/>
      <c r="VOT49" s="971"/>
      <c r="VOU49" s="971"/>
      <c r="VOV49" s="971"/>
      <c r="VOW49" s="971"/>
      <c r="VOX49" s="971"/>
      <c r="VOY49" s="971"/>
      <c r="VOZ49" s="971"/>
      <c r="VPA49" s="971"/>
      <c r="VPB49" s="971"/>
      <c r="VPC49" s="971"/>
      <c r="VPD49" s="971"/>
      <c r="VPE49" s="971"/>
      <c r="VPF49" s="971"/>
      <c r="VPG49" s="971"/>
      <c r="VPH49" s="971"/>
      <c r="VPI49" s="971"/>
      <c r="VPJ49" s="971"/>
      <c r="VPK49" s="971"/>
      <c r="VPL49" s="971"/>
      <c r="VPM49" s="971"/>
      <c r="VPN49" s="971"/>
      <c r="VPO49" s="971"/>
      <c r="VPP49" s="971"/>
      <c r="VPQ49" s="971"/>
      <c r="VPR49" s="971"/>
      <c r="VPS49" s="971"/>
      <c r="VPT49" s="971"/>
      <c r="VPU49" s="971"/>
      <c r="VPV49" s="971"/>
      <c r="VPW49" s="971"/>
      <c r="VPX49" s="971"/>
      <c r="VPY49" s="971"/>
      <c r="VPZ49" s="971"/>
      <c r="VQA49" s="971"/>
      <c r="VQB49" s="971"/>
      <c r="VQC49" s="971"/>
      <c r="VQD49" s="971"/>
      <c r="VQE49" s="971"/>
      <c r="VQF49" s="971"/>
      <c r="VQG49" s="971"/>
      <c r="VQH49" s="971"/>
      <c r="VQI49" s="971"/>
      <c r="VQJ49" s="971"/>
      <c r="VQK49" s="971"/>
      <c r="VQL49" s="971"/>
      <c r="VQM49" s="971"/>
      <c r="VQN49" s="971"/>
      <c r="VQO49" s="971"/>
      <c r="VQP49" s="971"/>
      <c r="VQQ49" s="971"/>
      <c r="VQR49" s="971"/>
      <c r="VQS49" s="971"/>
      <c r="VQT49" s="971"/>
      <c r="VQU49" s="971"/>
      <c r="VQV49" s="971"/>
      <c r="VQW49" s="971"/>
      <c r="VQX49" s="971"/>
      <c r="VQY49" s="971"/>
      <c r="VQZ49" s="971"/>
      <c r="VRA49" s="971"/>
      <c r="VRB49" s="971"/>
      <c r="VRC49" s="971"/>
      <c r="VRD49" s="971"/>
      <c r="VRE49" s="971"/>
      <c r="VRF49" s="971"/>
      <c r="VRG49" s="971"/>
      <c r="VRH49" s="971"/>
      <c r="VRI49" s="971"/>
      <c r="VRJ49" s="971"/>
      <c r="VRK49" s="971"/>
      <c r="VRL49" s="971"/>
      <c r="VRM49" s="971"/>
      <c r="VRN49" s="971"/>
      <c r="VRO49" s="971"/>
      <c r="VRP49" s="971"/>
      <c r="VRQ49" s="971"/>
      <c r="VRR49" s="971"/>
      <c r="VRS49" s="971"/>
      <c r="VRT49" s="971"/>
      <c r="VRU49" s="971"/>
      <c r="VRV49" s="971"/>
      <c r="VRW49" s="971"/>
      <c r="VRX49" s="971"/>
      <c r="VRY49" s="971"/>
      <c r="VRZ49" s="971"/>
      <c r="VSA49" s="971"/>
      <c r="VSB49" s="971"/>
      <c r="VSC49" s="971"/>
      <c r="VSD49" s="971"/>
      <c r="VSE49" s="971"/>
      <c r="VSF49" s="971"/>
      <c r="VSG49" s="971"/>
      <c r="VSH49" s="971"/>
      <c r="VSI49" s="971"/>
      <c r="VSJ49" s="971"/>
      <c r="VSK49" s="971"/>
      <c r="VSL49" s="971"/>
      <c r="VSM49" s="971"/>
      <c r="VSN49" s="971"/>
      <c r="VSO49" s="971"/>
      <c r="VSP49" s="971"/>
      <c r="VSQ49" s="971"/>
      <c r="VSR49" s="971"/>
      <c r="VSS49" s="971"/>
      <c r="VST49" s="971"/>
      <c r="VSU49" s="971"/>
      <c r="VSV49" s="971"/>
      <c r="VSW49" s="971"/>
      <c r="VSX49" s="971"/>
      <c r="VSY49" s="971"/>
      <c r="VSZ49" s="971"/>
      <c r="VTA49" s="971"/>
      <c r="VTB49" s="971"/>
      <c r="VTC49" s="971"/>
      <c r="VTD49" s="971"/>
      <c r="VTE49" s="971"/>
      <c r="VTF49" s="971"/>
      <c r="VTG49" s="971"/>
      <c r="VTH49" s="971"/>
      <c r="VTI49" s="971"/>
      <c r="VTJ49" s="971"/>
      <c r="VTK49" s="971"/>
      <c r="VTL49" s="971"/>
      <c r="VTM49" s="971"/>
      <c r="VTN49" s="971"/>
      <c r="VTO49" s="971"/>
      <c r="VTP49" s="971"/>
      <c r="VTQ49" s="971"/>
      <c r="VTR49" s="971"/>
      <c r="VTS49" s="971"/>
      <c r="VTT49" s="971"/>
      <c r="VTU49" s="971"/>
      <c r="VTV49" s="971"/>
      <c r="VTW49" s="971"/>
      <c r="VTX49" s="971"/>
      <c r="VTY49" s="971"/>
      <c r="VTZ49" s="971"/>
      <c r="VUA49" s="971"/>
      <c r="VUB49" s="971"/>
      <c r="VUC49" s="971"/>
      <c r="VUD49" s="971"/>
      <c r="VUE49" s="971"/>
      <c r="VUF49" s="971"/>
      <c r="VUG49" s="971"/>
      <c r="VUH49" s="971"/>
      <c r="VUI49" s="971"/>
      <c r="VUJ49" s="971"/>
      <c r="VUK49" s="971"/>
      <c r="VUL49" s="971"/>
      <c r="VUM49" s="971"/>
      <c r="VUN49" s="971"/>
      <c r="VUO49" s="971"/>
      <c r="VUP49" s="971"/>
      <c r="VUQ49" s="971"/>
      <c r="VUR49" s="971"/>
      <c r="VUS49" s="971"/>
      <c r="VUT49" s="971"/>
      <c r="VUU49" s="971"/>
      <c r="VUV49" s="971"/>
      <c r="VUW49" s="971"/>
      <c r="VUX49" s="971"/>
      <c r="VUY49" s="971"/>
      <c r="VUZ49" s="971"/>
      <c r="VVA49" s="971"/>
      <c r="VVB49" s="971"/>
      <c r="VVC49" s="971"/>
      <c r="VVD49" s="971"/>
      <c r="VVE49" s="971"/>
      <c r="VVF49" s="971"/>
      <c r="VVG49" s="971"/>
      <c r="VVH49" s="971"/>
      <c r="VVI49" s="971"/>
      <c r="VVJ49" s="971"/>
      <c r="VVK49" s="971"/>
      <c r="VVL49" s="971"/>
      <c r="VVM49" s="971"/>
      <c r="VVN49" s="971"/>
      <c r="VVO49" s="971"/>
      <c r="VVP49" s="971"/>
      <c r="VVQ49" s="971"/>
      <c r="VVR49" s="971"/>
      <c r="VVS49" s="971"/>
      <c r="VVT49" s="971"/>
      <c r="VVU49" s="971"/>
      <c r="VVV49" s="971"/>
      <c r="VVW49" s="971"/>
      <c r="VVX49" s="971"/>
      <c r="VVY49" s="971"/>
      <c r="VVZ49" s="971"/>
      <c r="VWA49" s="971"/>
      <c r="VWB49" s="971"/>
      <c r="VWC49" s="971"/>
      <c r="VWD49" s="971"/>
      <c r="VWE49" s="971"/>
      <c r="VWF49" s="971"/>
      <c r="VWG49" s="971"/>
      <c r="VWH49" s="971"/>
      <c r="VWI49" s="971"/>
      <c r="VWJ49" s="971"/>
      <c r="VWK49" s="971"/>
      <c r="VWL49" s="971"/>
      <c r="VWM49" s="971"/>
      <c r="VWN49" s="971"/>
      <c r="VWO49" s="971"/>
      <c r="VWP49" s="971"/>
      <c r="VWQ49" s="971"/>
      <c r="VWR49" s="971"/>
      <c r="VWS49" s="971"/>
      <c r="VWT49" s="971"/>
      <c r="VWU49" s="971"/>
      <c r="VWV49" s="971"/>
      <c r="VWW49" s="971"/>
      <c r="VWX49" s="971"/>
      <c r="VWY49" s="971"/>
      <c r="VWZ49" s="971"/>
      <c r="VXA49" s="971"/>
      <c r="VXB49" s="971"/>
      <c r="VXC49" s="971"/>
      <c r="VXD49" s="971"/>
      <c r="VXE49" s="971"/>
      <c r="VXF49" s="971"/>
      <c r="VXG49" s="971"/>
      <c r="VXH49" s="971"/>
      <c r="VXI49" s="971"/>
      <c r="VXJ49" s="971"/>
      <c r="VXK49" s="971"/>
      <c r="VXL49" s="971"/>
      <c r="VXM49" s="971"/>
      <c r="VXN49" s="971"/>
      <c r="VXO49" s="971"/>
      <c r="VXP49" s="971"/>
      <c r="VXQ49" s="971"/>
      <c r="VXR49" s="971"/>
      <c r="VXS49" s="971"/>
      <c r="VXT49" s="971"/>
      <c r="VXU49" s="971"/>
      <c r="VXV49" s="971"/>
      <c r="VXW49" s="971"/>
      <c r="VXX49" s="971"/>
      <c r="VXY49" s="971"/>
      <c r="VXZ49" s="971"/>
      <c r="VYA49" s="971"/>
      <c r="VYB49" s="971"/>
      <c r="VYC49" s="971"/>
      <c r="VYD49" s="971"/>
      <c r="VYE49" s="971"/>
      <c r="VYF49" s="971"/>
      <c r="VYG49" s="971"/>
      <c r="VYH49" s="971"/>
      <c r="VYI49" s="971"/>
      <c r="VYJ49" s="971"/>
      <c r="VYK49" s="971"/>
      <c r="VYL49" s="971"/>
      <c r="VYM49" s="971"/>
      <c r="VYN49" s="971"/>
      <c r="VYO49" s="971"/>
      <c r="VYP49" s="971"/>
      <c r="VYQ49" s="971"/>
      <c r="VYR49" s="971"/>
      <c r="VYS49" s="971"/>
      <c r="VYT49" s="971"/>
      <c r="VYU49" s="971"/>
      <c r="VYV49" s="971"/>
      <c r="VYW49" s="971"/>
      <c r="VYX49" s="971"/>
      <c r="VYY49" s="971"/>
      <c r="VYZ49" s="971"/>
      <c r="VZA49" s="971"/>
      <c r="VZB49" s="971"/>
      <c r="VZC49" s="971"/>
      <c r="VZD49" s="971"/>
      <c r="VZE49" s="971"/>
      <c r="VZF49" s="971"/>
      <c r="VZG49" s="971"/>
      <c r="VZH49" s="971"/>
      <c r="VZI49" s="971"/>
      <c r="VZJ49" s="971"/>
      <c r="VZK49" s="971"/>
      <c r="VZL49" s="971"/>
      <c r="VZM49" s="971"/>
      <c r="VZN49" s="971"/>
      <c r="VZO49" s="971"/>
      <c r="VZP49" s="971"/>
      <c r="VZQ49" s="971"/>
      <c r="VZR49" s="971"/>
      <c r="VZS49" s="971"/>
      <c r="VZT49" s="971"/>
      <c r="VZU49" s="971"/>
      <c r="VZV49" s="971"/>
      <c r="VZW49" s="971"/>
      <c r="VZX49" s="971"/>
      <c r="VZY49" s="971"/>
      <c r="VZZ49" s="971"/>
      <c r="WAA49" s="971"/>
      <c r="WAB49" s="971"/>
      <c r="WAC49" s="971"/>
      <c r="WAD49" s="971"/>
      <c r="WAE49" s="971"/>
      <c r="WAF49" s="971"/>
      <c r="WAG49" s="971"/>
      <c r="WAH49" s="971"/>
      <c r="WAI49" s="971"/>
      <c r="WAJ49" s="971"/>
      <c r="WAK49" s="971"/>
      <c r="WAL49" s="971"/>
      <c r="WAM49" s="971"/>
      <c r="WAN49" s="971"/>
      <c r="WAO49" s="971"/>
      <c r="WAP49" s="971"/>
      <c r="WAQ49" s="971"/>
      <c r="WAR49" s="971"/>
      <c r="WAS49" s="971"/>
      <c r="WAT49" s="971"/>
      <c r="WAU49" s="971"/>
      <c r="WAV49" s="971"/>
      <c r="WAW49" s="971"/>
      <c r="WAX49" s="971"/>
      <c r="WAY49" s="971"/>
      <c r="WAZ49" s="971"/>
      <c r="WBA49" s="971"/>
      <c r="WBB49" s="971"/>
      <c r="WBC49" s="971"/>
      <c r="WBD49" s="971"/>
      <c r="WBE49" s="971"/>
      <c r="WBF49" s="971"/>
      <c r="WBG49" s="971"/>
      <c r="WBH49" s="971"/>
      <c r="WBI49" s="971"/>
      <c r="WBJ49" s="971"/>
      <c r="WBK49" s="971"/>
      <c r="WBL49" s="971"/>
      <c r="WBM49" s="971"/>
      <c r="WBN49" s="971"/>
      <c r="WBO49" s="971"/>
      <c r="WBP49" s="971"/>
      <c r="WBQ49" s="971"/>
      <c r="WBR49" s="971"/>
      <c r="WBS49" s="971"/>
      <c r="WBT49" s="971"/>
      <c r="WBU49" s="971"/>
      <c r="WBV49" s="971"/>
      <c r="WBW49" s="971"/>
      <c r="WBX49" s="971"/>
      <c r="WBY49" s="971"/>
      <c r="WBZ49" s="971"/>
      <c r="WCA49" s="971"/>
      <c r="WCB49" s="971"/>
      <c r="WCC49" s="971"/>
      <c r="WCD49" s="971"/>
      <c r="WCE49" s="971"/>
      <c r="WCF49" s="971"/>
      <c r="WCG49" s="971"/>
      <c r="WCH49" s="971"/>
      <c r="WCI49" s="971"/>
      <c r="WCJ49" s="971"/>
      <c r="WCK49" s="971"/>
      <c r="WCL49" s="971"/>
      <c r="WCM49" s="971"/>
      <c r="WCN49" s="971"/>
      <c r="WCO49" s="971"/>
      <c r="WCP49" s="971"/>
      <c r="WCQ49" s="971"/>
      <c r="WCR49" s="971"/>
      <c r="WCS49" s="971"/>
      <c r="WCT49" s="971"/>
      <c r="WCU49" s="971"/>
      <c r="WCV49" s="971"/>
      <c r="WCW49" s="971"/>
      <c r="WCX49" s="971"/>
      <c r="WCY49" s="971"/>
      <c r="WCZ49" s="971"/>
      <c r="WDA49" s="971"/>
      <c r="WDB49" s="971"/>
      <c r="WDC49" s="971"/>
      <c r="WDD49" s="971"/>
      <c r="WDE49" s="971"/>
      <c r="WDF49" s="971"/>
      <c r="WDG49" s="971"/>
      <c r="WDH49" s="971"/>
      <c r="WDI49" s="971"/>
      <c r="WDJ49" s="971"/>
      <c r="WDK49" s="971"/>
      <c r="WDL49" s="971"/>
      <c r="WDM49" s="971"/>
      <c r="WDN49" s="971"/>
      <c r="WDO49" s="971"/>
      <c r="WDP49" s="971"/>
      <c r="WDQ49" s="971"/>
      <c r="WDR49" s="971"/>
      <c r="WDS49" s="971"/>
      <c r="WDT49" s="971"/>
      <c r="WDU49" s="971"/>
      <c r="WDV49" s="971"/>
      <c r="WDW49" s="971"/>
      <c r="WDX49" s="971"/>
      <c r="WDY49" s="971"/>
      <c r="WDZ49" s="971"/>
      <c r="WEA49" s="971"/>
      <c r="WEB49" s="971"/>
      <c r="WEC49" s="971"/>
      <c r="WED49" s="971"/>
      <c r="WEE49" s="971"/>
      <c r="WEF49" s="971"/>
      <c r="WEG49" s="971"/>
      <c r="WEH49" s="971"/>
      <c r="WEI49" s="971"/>
      <c r="WEJ49" s="971"/>
      <c r="WEK49" s="971"/>
      <c r="WEL49" s="971"/>
      <c r="WEM49" s="971"/>
      <c r="WEN49" s="971"/>
      <c r="WEO49" s="971"/>
      <c r="WEP49" s="971"/>
      <c r="WEQ49" s="971"/>
      <c r="WER49" s="971"/>
      <c r="WES49" s="971"/>
      <c r="WET49" s="971"/>
      <c r="WEU49" s="971"/>
      <c r="WEV49" s="971"/>
      <c r="WEW49" s="971"/>
      <c r="WEX49" s="971"/>
      <c r="WEY49" s="971"/>
      <c r="WEZ49" s="971"/>
      <c r="WFA49" s="971"/>
      <c r="WFB49" s="971"/>
      <c r="WFC49" s="971"/>
      <c r="WFD49" s="971"/>
      <c r="WFE49" s="971"/>
      <c r="WFF49" s="971"/>
      <c r="WFG49" s="971"/>
      <c r="WFH49" s="971"/>
      <c r="WFI49" s="971"/>
      <c r="WFJ49" s="971"/>
      <c r="WFK49" s="971"/>
      <c r="WFL49" s="971"/>
      <c r="WFM49" s="971"/>
      <c r="WFN49" s="971"/>
      <c r="WFO49" s="971"/>
      <c r="WFP49" s="971"/>
      <c r="WFQ49" s="971"/>
      <c r="WFR49" s="971"/>
      <c r="WFS49" s="971"/>
      <c r="WFT49" s="971"/>
      <c r="WFU49" s="971"/>
      <c r="WFV49" s="971"/>
      <c r="WFW49" s="971"/>
      <c r="WFX49" s="971"/>
      <c r="WFY49" s="971"/>
      <c r="WFZ49" s="971"/>
      <c r="WGA49" s="971"/>
      <c r="WGB49" s="971"/>
      <c r="WGC49" s="971"/>
      <c r="WGD49" s="971"/>
      <c r="WGE49" s="971"/>
      <c r="WGF49" s="971"/>
      <c r="WGG49" s="971"/>
      <c r="WGH49" s="971"/>
      <c r="WGI49" s="971"/>
      <c r="WGJ49" s="971"/>
      <c r="WGK49" s="971"/>
      <c r="WGL49" s="971"/>
      <c r="WGM49" s="971"/>
      <c r="WGN49" s="971"/>
      <c r="WGO49" s="971"/>
      <c r="WGP49" s="971"/>
      <c r="WGQ49" s="971"/>
      <c r="WGR49" s="971"/>
      <c r="WGS49" s="971"/>
      <c r="WGT49" s="971"/>
      <c r="WGU49" s="971"/>
      <c r="WGV49" s="971"/>
      <c r="WGW49" s="971"/>
      <c r="WGX49" s="971"/>
      <c r="WGY49" s="971"/>
      <c r="WGZ49" s="971"/>
      <c r="WHA49" s="971"/>
      <c r="WHB49" s="971"/>
      <c r="WHC49" s="971"/>
      <c r="WHD49" s="971"/>
      <c r="WHE49" s="971"/>
      <c r="WHF49" s="971"/>
      <c r="WHG49" s="971"/>
      <c r="WHH49" s="971"/>
      <c r="WHI49" s="971"/>
      <c r="WHJ49" s="971"/>
      <c r="WHK49" s="971"/>
      <c r="WHL49" s="971"/>
      <c r="WHM49" s="971"/>
      <c r="WHN49" s="971"/>
      <c r="WHO49" s="971"/>
      <c r="WHP49" s="971"/>
      <c r="WHQ49" s="971"/>
      <c r="WHR49" s="971"/>
      <c r="WHS49" s="971"/>
      <c r="WHT49" s="971"/>
      <c r="WHU49" s="971"/>
      <c r="WHV49" s="971"/>
      <c r="WHW49" s="971"/>
      <c r="WHX49" s="971"/>
      <c r="WHY49" s="971"/>
      <c r="WHZ49" s="971"/>
      <c r="WIA49" s="971"/>
      <c r="WIB49" s="971"/>
      <c r="WIC49" s="971"/>
      <c r="WID49" s="971"/>
      <c r="WIE49" s="971"/>
      <c r="WIF49" s="971"/>
      <c r="WIG49" s="971"/>
      <c r="WIH49" s="971"/>
      <c r="WII49" s="971"/>
      <c r="WIJ49" s="971"/>
      <c r="WIK49" s="971"/>
      <c r="WIL49" s="971"/>
      <c r="WIM49" s="971"/>
      <c r="WIN49" s="971"/>
      <c r="WIO49" s="971"/>
      <c r="WIP49" s="971"/>
      <c r="WIQ49" s="971"/>
      <c r="WIR49" s="971"/>
      <c r="WIS49" s="971"/>
      <c r="WIT49" s="971"/>
      <c r="WIU49" s="971"/>
      <c r="WIV49" s="971"/>
      <c r="WIW49" s="971"/>
      <c r="WIX49" s="971"/>
      <c r="WIY49" s="971"/>
      <c r="WIZ49" s="971"/>
      <c r="WJA49" s="971"/>
      <c r="WJB49" s="971"/>
      <c r="WJC49" s="971"/>
      <c r="WJD49" s="971"/>
      <c r="WJE49" s="971"/>
      <c r="WJF49" s="971"/>
      <c r="WJG49" s="971"/>
      <c r="WJH49" s="971"/>
      <c r="WJI49" s="971"/>
      <c r="WJJ49" s="971"/>
      <c r="WJK49" s="971"/>
      <c r="WJL49" s="971"/>
      <c r="WJM49" s="971"/>
      <c r="WJN49" s="971"/>
      <c r="WJO49" s="971"/>
      <c r="WJP49" s="971"/>
      <c r="WJQ49" s="971"/>
      <c r="WJR49" s="971"/>
      <c r="WJS49" s="971"/>
      <c r="WJT49" s="971"/>
      <c r="WJU49" s="971"/>
      <c r="WJV49" s="971"/>
      <c r="WJW49" s="971"/>
      <c r="WJX49" s="971"/>
      <c r="WJY49" s="971"/>
      <c r="WJZ49" s="971"/>
      <c r="WKA49" s="971"/>
      <c r="WKB49" s="971"/>
      <c r="WKC49" s="971"/>
      <c r="WKD49" s="971"/>
      <c r="WKE49" s="971"/>
      <c r="WKF49" s="971"/>
      <c r="WKG49" s="971"/>
      <c r="WKH49" s="971"/>
      <c r="WKI49" s="971"/>
      <c r="WKJ49" s="971"/>
      <c r="WKK49" s="971"/>
      <c r="WKL49" s="971"/>
      <c r="WKM49" s="971"/>
      <c r="WKN49" s="971"/>
      <c r="WKO49" s="971"/>
      <c r="WKP49" s="971"/>
      <c r="WKQ49" s="971"/>
      <c r="WKR49" s="971"/>
      <c r="WKS49" s="971"/>
      <c r="WKT49" s="971"/>
      <c r="WKU49" s="971"/>
      <c r="WKV49" s="971"/>
      <c r="WKW49" s="971"/>
      <c r="WKX49" s="971"/>
      <c r="WKY49" s="971"/>
      <c r="WKZ49" s="971"/>
      <c r="WLA49" s="971"/>
      <c r="WLB49" s="971"/>
      <c r="WLC49" s="971"/>
      <c r="WLD49" s="971"/>
      <c r="WLE49" s="971"/>
      <c r="WLF49" s="971"/>
      <c r="WLG49" s="971"/>
      <c r="WLH49" s="971"/>
      <c r="WLI49" s="971"/>
      <c r="WLJ49" s="971"/>
      <c r="WLK49" s="971"/>
      <c r="WLL49" s="971"/>
      <c r="WLM49" s="971"/>
      <c r="WLN49" s="971"/>
      <c r="WLO49" s="971"/>
      <c r="WLP49" s="971"/>
      <c r="WLQ49" s="971"/>
      <c r="WLR49" s="971"/>
      <c r="WLS49" s="971"/>
      <c r="WLT49" s="971"/>
      <c r="WLU49" s="971"/>
      <c r="WLV49" s="971"/>
      <c r="WLW49" s="971"/>
      <c r="WLX49" s="971"/>
      <c r="WLY49" s="971"/>
      <c r="WLZ49" s="971"/>
      <c r="WMA49" s="971"/>
      <c r="WMB49" s="971"/>
      <c r="WMC49" s="971"/>
      <c r="WMD49" s="971"/>
      <c r="WME49" s="971"/>
      <c r="WMF49" s="971"/>
      <c r="WMG49" s="971"/>
      <c r="WMH49" s="971"/>
      <c r="WMI49" s="971"/>
      <c r="WMJ49" s="971"/>
      <c r="WMK49" s="971"/>
      <c r="WML49" s="971"/>
      <c r="WMM49" s="971"/>
      <c r="WMN49" s="971"/>
      <c r="WMO49" s="971"/>
      <c r="WMP49" s="971"/>
      <c r="WMQ49" s="971"/>
      <c r="WMR49" s="971"/>
      <c r="WMS49" s="971"/>
      <c r="WMT49" s="971"/>
      <c r="WMU49" s="971"/>
      <c r="WMV49" s="971"/>
      <c r="WMW49" s="971"/>
      <c r="WMX49" s="971"/>
      <c r="WMY49" s="971"/>
      <c r="WMZ49" s="971"/>
      <c r="WNA49" s="971"/>
      <c r="WNB49" s="971"/>
      <c r="WNC49" s="971"/>
      <c r="WND49" s="971"/>
      <c r="WNE49" s="971"/>
      <c r="WNF49" s="971"/>
      <c r="WNG49" s="971"/>
      <c r="WNH49" s="971"/>
      <c r="WNI49" s="971"/>
      <c r="WNJ49" s="971"/>
      <c r="WNK49" s="971"/>
      <c r="WNL49" s="971"/>
      <c r="WNM49" s="971"/>
      <c r="WNN49" s="971"/>
      <c r="WNO49" s="971"/>
      <c r="WNP49" s="971"/>
      <c r="WNQ49" s="971"/>
      <c r="WNR49" s="971"/>
      <c r="WNS49" s="971"/>
      <c r="WNT49" s="971"/>
      <c r="WNU49" s="971"/>
      <c r="WNV49" s="971"/>
      <c r="WNW49" s="971"/>
      <c r="WNX49" s="971"/>
      <c r="WNY49" s="971"/>
      <c r="WNZ49" s="971"/>
      <c r="WOA49" s="971"/>
      <c r="WOB49" s="971"/>
      <c r="WOC49" s="971"/>
      <c r="WOD49" s="971"/>
      <c r="WOE49" s="971"/>
      <c r="WOF49" s="971"/>
      <c r="WOG49" s="971"/>
      <c r="WOH49" s="971"/>
      <c r="WOI49" s="971"/>
      <c r="WOJ49" s="971"/>
      <c r="WOK49" s="971"/>
      <c r="WOL49" s="971"/>
      <c r="WOM49" s="971"/>
      <c r="WON49" s="971"/>
      <c r="WOO49" s="971"/>
      <c r="WOP49" s="971"/>
      <c r="WOQ49" s="971"/>
      <c r="WOR49" s="971"/>
      <c r="WOS49" s="971"/>
      <c r="WOT49" s="971"/>
      <c r="WOU49" s="971"/>
      <c r="WOV49" s="971"/>
      <c r="WOW49" s="971"/>
      <c r="WOX49" s="971"/>
      <c r="WOY49" s="971"/>
      <c r="WOZ49" s="971"/>
      <c r="WPA49" s="971"/>
      <c r="WPB49" s="971"/>
      <c r="WPC49" s="971"/>
      <c r="WPD49" s="971"/>
      <c r="WPE49" s="971"/>
      <c r="WPF49" s="971"/>
      <c r="WPG49" s="971"/>
      <c r="WPH49" s="971"/>
      <c r="WPI49" s="971"/>
      <c r="WPJ49" s="971"/>
      <c r="WPK49" s="971"/>
      <c r="WPL49" s="971"/>
      <c r="WPM49" s="971"/>
      <c r="WPN49" s="971"/>
      <c r="WPO49" s="971"/>
      <c r="WPP49" s="971"/>
      <c r="WPQ49" s="971"/>
      <c r="WPR49" s="971"/>
      <c r="WPS49" s="971"/>
      <c r="WPT49" s="971"/>
      <c r="WPU49" s="971"/>
      <c r="WPV49" s="971"/>
      <c r="WPW49" s="971"/>
      <c r="WPX49" s="971"/>
      <c r="WPY49" s="971"/>
      <c r="WPZ49" s="971"/>
      <c r="WQA49" s="971"/>
      <c r="WQB49" s="971"/>
      <c r="WQC49" s="971"/>
      <c r="WQD49" s="971"/>
      <c r="WQE49" s="971"/>
      <c r="WQF49" s="971"/>
      <c r="WQG49" s="971"/>
      <c r="WQH49" s="971"/>
      <c r="WQI49" s="971"/>
      <c r="WQJ49" s="971"/>
      <c r="WQK49" s="971"/>
      <c r="WQL49" s="971"/>
      <c r="WQM49" s="971"/>
      <c r="WQN49" s="971"/>
      <c r="WQO49" s="971"/>
      <c r="WQP49" s="971"/>
      <c r="WQQ49" s="971"/>
      <c r="WQR49" s="971"/>
      <c r="WQS49" s="971"/>
      <c r="WQT49" s="971"/>
      <c r="WQU49" s="971"/>
      <c r="WQV49" s="971"/>
      <c r="WQW49" s="971"/>
      <c r="WQX49" s="971"/>
      <c r="WQY49" s="971"/>
      <c r="WQZ49" s="971"/>
      <c r="WRA49" s="971"/>
      <c r="WRB49" s="971"/>
      <c r="WRC49" s="971"/>
      <c r="WRD49" s="971"/>
      <c r="WRE49" s="971"/>
      <c r="WRF49" s="971"/>
      <c r="WRG49" s="971"/>
      <c r="WRH49" s="971"/>
      <c r="WRI49" s="971"/>
      <c r="WRJ49" s="971"/>
      <c r="WRK49" s="971"/>
      <c r="WRL49" s="971"/>
      <c r="WRM49" s="971"/>
      <c r="WRN49" s="971"/>
      <c r="WRO49" s="971"/>
      <c r="WRP49" s="971"/>
      <c r="WRQ49" s="971"/>
      <c r="WRR49" s="971"/>
      <c r="WRS49" s="971"/>
      <c r="WRT49" s="971"/>
      <c r="WRU49" s="971"/>
      <c r="WRV49" s="971"/>
      <c r="WRW49" s="971"/>
      <c r="WRX49" s="971"/>
      <c r="WRY49" s="971"/>
      <c r="WRZ49" s="971"/>
      <c r="WSA49" s="971"/>
      <c r="WSB49" s="971"/>
      <c r="WSC49" s="971"/>
      <c r="WSD49" s="971"/>
      <c r="WSE49" s="971"/>
      <c r="WSF49" s="971"/>
      <c r="WSG49" s="971"/>
      <c r="WSH49" s="971"/>
      <c r="WSI49" s="971"/>
      <c r="WSJ49" s="971"/>
      <c r="WSK49" s="971"/>
      <c r="WSL49" s="971"/>
      <c r="WSM49" s="971"/>
      <c r="WSN49" s="971"/>
      <c r="WSO49" s="971"/>
      <c r="WSP49" s="971"/>
      <c r="WSQ49" s="971"/>
      <c r="WSR49" s="971"/>
      <c r="WSS49" s="971"/>
      <c r="WST49" s="971"/>
      <c r="WSU49" s="971"/>
      <c r="WSV49" s="971"/>
      <c r="WSW49" s="971"/>
      <c r="WSX49" s="971"/>
      <c r="WSY49" s="971"/>
      <c r="WSZ49" s="971"/>
      <c r="WTA49" s="971"/>
      <c r="WTB49" s="971"/>
      <c r="WTC49" s="971"/>
      <c r="WTD49" s="971"/>
      <c r="WTE49" s="971"/>
      <c r="WTF49" s="971"/>
      <c r="WTG49" s="971"/>
      <c r="WTH49" s="971"/>
      <c r="WTI49" s="971"/>
      <c r="WTJ49" s="971"/>
      <c r="WTK49" s="971"/>
      <c r="WTL49" s="971"/>
      <c r="WTM49" s="971"/>
      <c r="WTN49" s="971"/>
      <c r="WTO49" s="971"/>
      <c r="WTP49" s="971"/>
      <c r="WTQ49" s="971"/>
      <c r="WTR49" s="971"/>
      <c r="WTS49" s="971"/>
      <c r="WTT49" s="971"/>
      <c r="WTU49" s="971"/>
      <c r="WTV49" s="971"/>
      <c r="WTW49" s="971"/>
      <c r="WTX49" s="971"/>
      <c r="WTY49" s="971"/>
      <c r="WTZ49" s="971"/>
      <c r="WUA49" s="971"/>
      <c r="WUB49" s="971"/>
      <c r="WUC49" s="971"/>
      <c r="WUD49" s="971"/>
      <c r="WUE49" s="971"/>
      <c r="WUF49" s="971"/>
      <c r="WUG49" s="971"/>
      <c r="WUH49" s="971"/>
      <c r="WUI49" s="971"/>
      <c r="WUJ49" s="971"/>
      <c r="WUK49" s="971"/>
      <c r="WUL49" s="971"/>
      <c r="WUM49" s="971"/>
      <c r="WUN49" s="971"/>
      <c r="WUO49" s="971"/>
      <c r="WUP49" s="971"/>
      <c r="WUQ49" s="971"/>
      <c r="WUR49" s="971"/>
      <c r="WUS49" s="971"/>
      <c r="WUT49" s="971"/>
      <c r="WUU49" s="971"/>
      <c r="WUV49" s="971"/>
      <c r="WUW49" s="971"/>
      <c r="WUX49" s="971"/>
      <c r="WUY49" s="971"/>
      <c r="WUZ49" s="971"/>
      <c r="WVA49" s="971"/>
      <c r="WVB49" s="971"/>
      <c r="WVC49" s="971"/>
      <c r="WVD49" s="971"/>
      <c r="WVE49" s="971"/>
      <c r="WVF49" s="971"/>
      <c r="WVG49" s="971"/>
      <c r="WVH49" s="971"/>
      <c r="WVI49" s="971"/>
      <c r="WVJ49" s="971"/>
      <c r="WVK49" s="971"/>
      <c r="WVL49" s="971"/>
      <c r="WVM49" s="971"/>
      <c r="WVN49" s="971"/>
      <c r="WVO49" s="971"/>
      <c r="WVP49" s="971"/>
      <c r="WVQ49" s="971"/>
      <c r="WVR49" s="971"/>
      <c r="WVS49" s="971"/>
      <c r="WVT49" s="971"/>
      <c r="WVU49" s="971"/>
      <c r="WVV49" s="971"/>
      <c r="WVW49" s="971"/>
      <c r="WVX49" s="971"/>
      <c r="WVY49" s="971"/>
      <c r="WVZ49" s="971"/>
      <c r="WWA49" s="971"/>
      <c r="WWB49" s="971"/>
      <c r="WWC49" s="971"/>
      <c r="WWD49" s="971"/>
      <c r="WWE49" s="971"/>
      <c r="WWF49" s="971"/>
      <c r="WWG49" s="971"/>
      <c r="WWH49" s="971"/>
      <c r="WWI49" s="971"/>
      <c r="WWJ49" s="971"/>
      <c r="WWK49" s="971"/>
      <c r="WWL49" s="971"/>
      <c r="WWM49" s="971"/>
      <c r="WWN49" s="971"/>
      <c r="WWO49" s="971"/>
      <c r="WWP49" s="971"/>
      <c r="WWQ49" s="971"/>
      <c r="WWR49" s="971"/>
      <c r="WWS49" s="971"/>
      <c r="WWT49" s="971"/>
      <c r="WWU49" s="971"/>
      <c r="WWV49" s="971"/>
      <c r="WWW49" s="971"/>
      <c r="WWX49" s="971"/>
      <c r="WWY49" s="971"/>
      <c r="WWZ49" s="971"/>
      <c r="WXA49" s="971"/>
      <c r="WXB49" s="971"/>
      <c r="WXC49" s="971"/>
      <c r="WXD49" s="971"/>
      <c r="WXE49" s="971"/>
      <c r="WXF49" s="971"/>
      <c r="WXG49" s="971"/>
      <c r="WXH49" s="971"/>
      <c r="WXI49" s="971"/>
      <c r="WXJ49" s="971"/>
      <c r="WXK49" s="971"/>
      <c r="WXL49" s="971"/>
      <c r="WXM49" s="971"/>
      <c r="WXN49" s="971"/>
      <c r="WXO49" s="971"/>
      <c r="WXP49" s="971"/>
      <c r="WXQ49" s="971"/>
      <c r="WXR49" s="971"/>
      <c r="WXS49" s="971"/>
      <c r="WXT49" s="971"/>
      <c r="WXU49" s="971"/>
      <c r="WXV49" s="971"/>
      <c r="WXW49" s="971"/>
      <c r="WXX49" s="971"/>
      <c r="WXY49" s="971"/>
      <c r="WXZ49" s="971"/>
      <c r="WYA49" s="971"/>
      <c r="WYB49" s="971"/>
      <c r="WYC49" s="971"/>
      <c r="WYD49" s="971"/>
      <c r="WYE49" s="971"/>
      <c r="WYF49" s="971"/>
      <c r="WYG49" s="971"/>
      <c r="WYH49" s="971"/>
      <c r="WYI49" s="971"/>
      <c r="WYJ49" s="971"/>
      <c r="WYK49" s="971"/>
      <c r="WYL49" s="971"/>
      <c r="WYM49" s="971"/>
      <c r="WYN49" s="971"/>
      <c r="WYO49" s="971"/>
      <c r="WYP49" s="971"/>
      <c r="WYQ49" s="971"/>
      <c r="WYR49" s="971"/>
      <c r="WYS49" s="971"/>
      <c r="WYT49" s="971"/>
      <c r="WYU49" s="971"/>
      <c r="WYV49" s="971"/>
      <c r="WYW49" s="971"/>
      <c r="WYX49" s="971"/>
      <c r="WYY49" s="971"/>
      <c r="WYZ49" s="971"/>
      <c r="WZA49" s="971"/>
      <c r="WZB49" s="971"/>
      <c r="WZC49" s="971"/>
      <c r="WZD49" s="971"/>
      <c r="WZE49" s="971"/>
      <c r="WZF49" s="971"/>
      <c r="WZG49" s="971"/>
      <c r="WZH49" s="971"/>
      <c r="WZI49" s="971"/>
      <c r="WZJ49" s="971"/>
      <c r="WZK49" s="971"/>
      <c r="WZL49" s="971"/>
      <c r="WZM49" s="971"/>
      <c r="WZN49" s="971"/>
      <c r="WZO49" s="971"/>
      <c r="WZP49" s="971"/>
      <c r="WZQ49" s="971"/>
      <c r="WZR49" s="971"/>
      <c r="WZS49" s="971"/>
      <c r="WZT49" s="971"/>
      <c r="WZU49" s="971"/>
      <c r="WZV49" s="971"/>
      <c r="WZW49" s="971"/>
      <c r="WZX49" s="971"/>
      <c r="WZY49" s="971"/>
      <c r="WZZ49" s="971"/>
      <c r="XAA49" s="971"/>
      <c r="XAB49" s="971"/>
      <c r="XAC49" s="971"/>
      <c r="XAD49" s="971"/>
      <c r="XAE49" s="971"/>
      <c r="XAF49" s="971"/>
      <c r="XAG49" s="971"/>
      <c r="XAH49" s="971"/>
      <c r="XAI49" s="971"/>
      <c r="XAJ49" s="971"/>
      <c r="XAK49" s="971"/>
      <c r="XAL49" s="971"/>
      <c r="XAM49" s="971"/>
      <c r="XAN49" s="971"/>
      <c r="XAO49" s="971"/>
      <c r="XAP49" s="971"/>
      <c r="XAQ49" s="971"/>
      <c r="XAR49" s="971"/>
      <c r="XAS49" s="971"/>
      <c r="XAT49" s="971"/>
      <c r="XAU49" s="971"/>
      <c r="XAV49" s="971"/>
      <c r="XAW49" s="971"/>
      <c r="XAX49" s="971"/>
      <c r="XAY49" s="971"/>
      <c r="XAZ49" s="971"/>
      <c r="XBA49" s="971"/>
      <c r="XBB49" s="971"/>
      <c r="XBC49" s="971"/>
      <c r="XBD49" s="971"/>
      <c r="XBE49" s="971"/>
      <c r="XBF49" s="971"/>
      <c r="XBG49" s="971"/>
      <c r="XBH49" s="971"/>
      <c r="XBI49" s="971"/>
      <c r="XBJ49" s="971"/>
      <c r="XBK49" s="971"/>
      <c r="XBL49" s="971"/>
      <c r="XBM49" s="971"/>
      <c r="XBN49" s="971"/>
      <c r="XBO49" s="971"/>
      <c r="XBP49" s="971"/>
      <c r="XBQ49" s="971"/>
      <c r="XBR49" s="971"/>
      <c r="XBS49" s="971"/>
      <c r="XBT49" s="971"/>
      <c r="XBU49" s="971"/>
      <c r="XBV49" s="971"/>
      <c r="XBW49" s="971"/>
      <c r="XBX49" s="971"/>
      <c r="XBY49" s="971"/>
      <c r="XBZ49" s="971"/>
      <c r="XCA49" s="971"/>
      <c r="XCB49" s="971"/>
      <c r="XCC49" s="971"/>
      <c r="XCD49" s="971"/>
      <c r="XCE49" s="971"/>
      <c r="XCF49" s="971"/>
      <c r="XCG49" s="971"/>
      <c r="XCH49" s="971"/>
      <c r="XCI49" s="971"/>
      <c r="XCJ49" s="971"/>
      <c r="XCK49" s="971"/>
      <c r="XCL49" s="971"/>
      <c r="XCM49" s="971"/>
      <c r="XCN49" s="971"/>
      <c r="XCO49" s="971"/>
      <c r="XCP49" s="971"/>
      <c r="XCQ49" s="971"/>
      <c r="XCR49" s="971"/>
      <c r="XCS49" s="971"/>
      <c r="XCT49" s="971"/>
      <c r="XCU49" s="971"/>
      <c r="XCV49" s="971"/>
      <c r="XCW49" s="971"/>
      <c r="XCX49" s="971"/>
      <c r="XCY49" s="971"/>
      <c r="XCZ49" s="971"/>
      <c r="XDA49" s="971"/>
      <c r="XDB49" s="971"/>
      <c r="XDC49" s="971"/>
      <c r="XDD49" s="971"/>
      <c r="XDE49" s="971"/>
      <c r="XDF49" s="971"/>
      <c r="XDG49" s="971"/>
      <c r="XDH49" s="971"/>
      <c r="XDI49" s="971"/>
      <c r="XDJ49" s="971"/>
      <c r="XDK49" s="971"/>
      <c r="XDL49" s="971"/>
      <c r="XDM49" s="971"/>
      <c r="XDN49" s="971"/>
      <c r="XDO49" s="971"/>
      <c r="XDP49" s="971"/>
      <c r="XDQ49" s="971"/>
      <c r="XDR49" s="971"/>
      <c r="XDS49" s="971"/>
      <c r="XDT49" s="971"/>
      <c r="XDU49" s="971"/>
      <c r="XDV49" s="971"/>
      <c r="XDW49" s="971"/>
      <c r="XDX49" s="971"/>
      <c r="XDY49" s="971"/>
      <c r="XDZ49" s="971"/>
      <c r="XEA49" s="971"/>
      <c r="XEB49" s="971"/>
      <c r="XEC49" s="971"/>
    </row>
    <row r="50" spans="1:16357" ht="30" customHeight="1">
      <c r="A50" s="97" t="s">
        <v>104</v>
      </c>
      <c r="B50" s="101" t="s">
        <v>105</v>
      </c>
      <c r="C50" s="100"/>
      <c r="D50" s="100"/>
      <c r="E50" s="100"/>
      <c r="F50" s="100"/>
      <c r="G50" s="100"/>
      <c r="H50" s="100"/>
      <c r="I50" s="100"/>
      <c r="J50" s="100"/>
      <c r="K50" s="100"/>
      <c r="L50" s="100"/>
      <c r="M50" s="100"/>
      <c r="N50" s="100"/>
      <c r="O50" s="5"/>
      <c r="P50" s="5"/>
      <c r="Q50" s="5"/>
      <c r="R50" s="5"/>
      <c r="S50" s="5"/>
      <c r="T50" s="5"/>
      <c r="U50" s="7"/>
      <c r="V50" s="7"/>
      <c r="W50" s="7"/>
      <c r="X50" s="7"/>
      <c r="Y50" s="35"/>
      <c r="Z50" s="7"/>
      <c r="AA50" s="7"/>
      <c r="AB50" s="7"/>
      <c r="AC50" s="7"/>
      <c r="AD50" s="35"/>
      <c r="AE50" s="7"/>
      <c r="AF50" s="7"/>
      <c r="AG50" s="7"/>
      <c r="AH50" s="7"/>
      <c r="AI50" s="35"/>
      <c r="AJ50" s="7"/>
      <c r="AK50" s="90"/>
      <c r="AL50" s="5"/>
      <c r="AM50" s="168"/>
      <c r="AN50" s="168"/>
      <c r="AO50" s="168"/>
      <c r="AP50" s="168"/>
      <c r="AQ50" s="168"/>
      <c r="AR50" s="168"/>
      <c r="AS50" s="168"/>
      <c r="AT50" s="168"/>
      <c r="AU50" s="168"/>
      <c r="AV50" s="168"/>
      <c r="AW50" s="168"/>
      <c r="AX50" s="168"/>
      <c r="AY50" s="168"/>
      <c r="AZ50" s="168"/>
      <c r="BA50" s="168"/>
      <c r="BB50" s="168"/>
      <c r="BC50" s="168"/>
      <c r="BD50" s="168"/>
      <c r="BE50" s="168"/>
      <c r="BF50" s="633"/>
      <c r="BG50" s="168"/>
      <c r="BH50" s="168"/>
      <c r="BI50" s="168"/>
      <c r="BJ50" s="168"/>
      <c r="BK50" s="628"/>
      <c r="BL50" s="168"/>
      <c r="BM50" s="168"/>
      <c r="BN50" s="168"/>
      <c r="BO50" s="168"/>
      <c r="BP50" s="628"/>
      <c r="BQ50" s="168"/>
      <c r="BR50" s="168"/>
      <c r="BS50" s="168"/>
      <c r="BT50" s="168"/>
      <c r="BV50" s="168"/>
      <c r="BW50" s="168"/>
      <c r="BX50" s="168"/>
      <c r="CA50" s="168"/>
      <c r="CB50" s="168"/>
      <c r="CC50" s="168"/>
    </row>
    <row r="51" spans="1:16357" ht="91.2" customHeight="1">
      <c r="A51" s="112" t="s">
        <v>779</v>
      </c>
      <c r="B51" s="112" t="s">
        <v>780</v>
      </c>
      <c r="U51" s="6"/>
      <c r="V51" s="6"/>
      <c r="W51" s="6"/>
      <c r="X51" s="6"/>
      <c r="Y51" s="38"/>
      <c r="Z51" s="6"/>
      <c r="AA51" s="6"/>
      <c r="AB51" s="6"/>
      <c r="AC51" s="6"/>
      <c r="AD51" s="38"/>
      <c r="AE51" s="6"/>
      <c r="AF51" s="6"/>
      <c r="AG51" s="6"/>
      <c r="AH51" s="6"/>
      <c r="AI51" s="38"/>
      <c r="AJ51" s="6"/>
      <c r="AK51" s="89"/>
      <c r="AL51" s="5"/>
      <c r="AM51" s="6"/>
      <c r="AN51" s="6"/>
      <c r="AO51" s="38"/>
      <c r="AP51" s="6"/>
      <c r="AQ51" s="6"/>
      <c r="AR51" s="6"/>
      <c r="AS51" s="6"/>
      <c r="AT51" s="38"/>
      <c r="AU51" s="6"/>
      <c r="AV51" s="6"/>
      <c r="AW51" s="6"/>
      <c r="AX51" s="6"/>
      <c r="AY51" s="38"/>
      <c r="AZ51" s="6"/>
      <c r="BA51" s="6"/>
      <c r="BB51" s="6"/>
      <c r="BC51" s="6"/>
      <c r="BD51" s="38"/>
      <c r="BE51" s="6"/>
      <c r="BF51" s="634"/>
      <c r="BG51" s="6"/>
      <c r="BH51" s="6"/>
      <c r="BI51" s="38"/>
      <c r="BJ51" s="6"/>
      <c r="BK51" s="629"/>
      <c r="BL51" s="6"/>
      <c r="BM51" s="6"/>
      <c r="BN51" s="38"/>
      <c r="BO51" s="6"/>
      <c r="BP51" s="629"/>
      <c r="BQ51" s="6"/>
      <c r="BR51" s="6"/>
      <c r="BS51" s="38"/>
      <c r="BT51" s="6"/>
    </row>
    <row r="52" spans="1:16357" ht="108" customHeight="1">
      <c r="A52" s="112" t="s">
        <v>819</v>
      </c>
      <c r="B52" s="959" t="s">
        <v>820</v>
      </c>
      <c r="U52" s="6"/>
      <c r="V52" s="6"/>
      <c r="W52" s="6"/>
      <c r="X52" s="6"/>
      <c r="Y52" s="38"/>
      <c r="Z52" s="6"/>
      <c r="AA52" s="6"/>
      <c r="AB52" s="6"/>
      <c r="AC52" s="6"/>
      <c r="AD52" s="38"/>
      <c r="AE52" s="6"/>
      <c r="AF52" s="6"/>
      <c r="AG52" s="6"/>
      <c r="AH52" s="6"/>
      <c r="AI52" s="38"/>
      <c r="AJ52" s="6"/>
      <c r="AK52" s="89"/>
      <c r="AL52" s="5"/>
      <c r="AM52" s="6"/>
      <c r="AN52" s="6"/>
      <c r="AO52" s="38"/>
      <c r="AP52" s="6"/>
      <c r="AQ52" s="6"/>
      <c r="AR52" s="6"/>
      <c r="AS52" s="6"/>
      <c r="AT52" s="38"/>
      <c r="AU52" s="6"/>
      <c r="AV52" s="6"/>
      <c r="AW52" s="6"/>
      <c r="AX52" s="6"/>
      <c r="AY52" s="38"/>
      <c r="AZ52" s="6"/>
      <c r="BA52" s="6"/>
      <c r="BB52" s="6"/>
      <c r="BC52" s="6"/>
      <c r="BD52" s="38"/>
      <c r="BE52" s="6"/>
      <c r="BF52" s="634"/>
      <c r="BG52" s="6"/>
      <c r="BH52" s="6"/>
      <c r="BI52" s="38"/>
      <c r="BJ52" s="6"/>
      <c r="BK52" s="629"/>
      <c r="BL52" s="6"/>
      <c r="BM52" s="6"/>
      <c r="BN52" s="38"/>
      <c r="BO52" s="6"/>
      <c r="BP52" s="629"/>
      <c r="BQ52" s="6"/>
      <c r="BR52" s="6"/>
      <c r="BS52" s="38"/>
      <c r="BT52" s="6"/>
    </row>
    <row r="53" spans="1:16357" ht="28.5" customHeight="1">
      <c r="U53" s="6"/>
      <c r="V53" s="6"/>
      <c r="W53" s="6"/>
      <c r="X53" s="6"/>
      <c r="Y53" s="38"/>
      <c r="Z53" s="6"/>
      <c r="AA53" s="6"/>
      <c r="AB53" s="6"/>
      <c r="AC53" s="6"/>
      <c r="AD53" s="38"/>
      <c r="AE53" s="6"/>
      <c r="AF53" s="6"/>
      <c r="AG53" s="6"/>
      <c r="AH53" s="6"/>
      <c r="AI53" s="38"/>
      <c r="AJ53" s="6"/>
      <c r="AK53" s="89"/>
      <c r="AL53" s="5"/>
      <c r="AM53" s="6"/>
      <c r="AN53" s="6"/>
      <c r="AO53" s="38"/>
      <c r="AP53" s="6"/>
      <c r="AQ53" s="6"/>
      <c r="AR53" s="6"/>
      <c r="AS53" s="6"/>
      <c r="AT53" s="38"/>
      <c r="AU53" s="6"/>
      <c r="AV53" s="6"/>
      <c r="AW53" s="6"/>
      <c r="AX53" s="6"/>
      <c r="AY53" s="38"/>
      <c r="AZ53" s="6"/>
      <c r="BA53" s="6"/>
      <c r="BB53" s="6"/>
      <c r="BC53" s="6"/>
      <c r="BD53" s="38"/>
      <c r="BE53" s="6"/>
      <c r="BF53" s="634"/>
      <c r="BG53" s="6"/>
      <c r="BH53" s="6"/>
      <c r="BI53" s="38"/>
      <c r="BJ53" s="6"/>
      <c r="BK53" s="629"/>
      <c r="BL53" s="6"/>
      <c r="BM53" s="6"/>
      <c r="BN53" s="38"/>
      <c r="BO53" s="6"/>
      <c r="BP53" s="629"/>
      <c r="BQ53" s="6"/>
      <c r="BR53" s="6"/>
      <c r="BS53" s="38"/>
      <c r="BT53" s="6"/>
    </row>
    <row r="54" spans="1:16357" ht="28.5" customHeight="1">
      <c r="U54" s="6"/>
      <c r="V54" s="6"/>
      <c r="W54" s="6"/>
      <c r="X54" s="6"/>
      <c r="Y54" s="38"/>
      <c r="Z54" s="6"/>
      <c r="AA54" s="6"/>
      <c r="AB54" s="6"/>
      <c r="AC54" s="6"/>
      <c r="AD54" s="38"/>
      <c r="AE54" s="6"/>
      <c r="AF54" s="6"/>
      <c r="AG54" s="6"/>
      <c r="AH54" s="6"/>
      <c r="AI54" s="38"/>
      <c r="AJ54" s="6"/>
      <c r="AK54" s="89"/>
      <c r="AL54" s="5"/>
      <c r="AM54" s="6"/>
      <c r="AN54" s="6"/>
      <c r="AO54" s="38"/>
      <c r="AP54" s="6"/>
      <c r="AQ54" s="6"/>
      <c r="AR54" s="6"/>
      <c r="AS54" s="6"/>
      <c r="AT54" s="38"/>
      <c r="AU54" s="6"/>
      <c r="AV54" s="6"/>
      <c r="AW54" s="6"/>
      <c r="AX54" s="6"/>
      <c r="AY54" s="38"/>
      <c r="AZ54" s="6"/>
      <c r="BA54" s="6"/>
      <c r="BB54" s="6"/>
      <c r="BC54" s="6"/>
      <c r="BD54" s="38"/>
      <c r="BE54" s="6"/>
      <c r="BF54" s="634"/>
      <c r="BG54" s="6"/>
      <c r="BH54" s="6"/>
      <c r="BI54" s="38"/>
      <c r="BJ54" s="6"/>
      <c r="BK54" s="629"/>
      <c r="BL54" s="6"/>
      <c r="BM54" s="6"/>
      <c r="BN54" s="38"/>
      <c r="BO54" s="6"/>
      <c r="BP54" s="629"/>
      <c r="BQ54" s="6"/>
      <c r="BR54" s="6"/>
      <c r="BS54" s="38"/>
      <c r="BT54" s="6"/>
    </row>
    <row r="55" spans="1:16357" ht="28.5" customHeight="1">
      <c r="U55" s="6"/>
      <c r="V55" s="6"/>
      <c r="W55" s="6"/>
      <c r="X55" s="6"/>
      <c r="Y55" s="38"/>
      <c r="Z55" s="6"/>
      <c r="AA55" s="6"/>
      <c r="AB55" s="6"/>
      <c r="AC55" s="6"/>
      <c r="AD55" s="38"/>
      <c r="AE55" s="6"/>
      <c r="AF55" s="6"/>
      <c r="AG55" s="6"/>
      <c r="AH55" s="6"/>
      <c r="AI55" s="38"/>
      <c r="AJ55" s="6"/>
      <c r="AK55" s="89"/>
      <c r="AL55" s="5"/>
      <c r="AM55" s="6"/>
      <c r="AN55" s="6"/>
      <c r="AO55" s="38"/>
      <c r="AP55" s="6"/>
      <c r="AQ55" s="6"/>
      <c r="AR55" s="6"/>
      <c r="AS55" s="6"/>
      <c r="AT55" s="38"/>
      <c r="AU55" s="6"/>
      <c r="AV55" s="6"/>
      <c r="AW55" s="6"/>
      <c r="AX55" s="6"/>
      <c r="AY55" s="38"/>
      <c r="AZ55" s="6"/>
      <c r="BA55" s="6"/>
      <c r="BB55" s="6"/>
      <c r="BC55" s="6"/>
      <c r="BD55" s="38"/>
      <c r="BE55" s="6"/>
      <c r="BF55" s="634"/>
      <c r="BG55" s="6"/>
      <c r="BH55" s="6"/>
      <c r="BI55" s="38"/>
      <c r="BJ55" s="6"/>
      <c r="BK55" s="629"/>
      <c r="BL55" s="6"/>
      <c r="BM55" s="6"/>
      <c r="BN55" s="38"/>
      <c r="BO55" s="6"/>
      <c r="BP55" s="629"/>
      <c r="BQ55" s="6"/>
      <c r="BR55" s="6"/>
      <c r="BS55" s="38"/>
      <c r="BT55" s="6"/>
    </row>
    <row r="56" spans="1:16357" ht="28.5" customHeight="1">
      <c r="U56" s="6"/>
      <c r="V56" s="6"/>
      <c r="W56" s="6"/>
      <c r="X56" s="6"/>
      <c r="Y56" s="38"/>
      <c r="Z56" s="6"/>
      <c r="AA56" s="6"/>
      <c r="AB56" s="6"/>
      <c r="AC56" s="6"/>
      <c r="AD56" s="38"/>
      <c r="AE56" s="6"/>
      <c r="AF56" s="6"/>
      <c r="AG56" s="6"/>
      <c r="AH56" s="6"/>
      <c r="AI56" s="38"/>
      <c r="AJ56" s="6"/>
      <c r="AK56" s="89"/>
      <c r="AL56" s="5"/>
      <c r="AM56" s="6"/>
      <c r="AN56" s="6"/>
      <c r="AO56" s="38"/>
      <c r="AP56" s="6"/>
      <c r="AQ56" s="6"/>
      <c r="AR56" s="6"/>
      <c r="AS56" s="6"/>
      <c r="AT56" s="38"/>
      <c r="AU56" s="6"/>
      <c r="AV56" s="6"/>
      <c r="AW56" s="6"/>
      <c r="AX56" s="6"/>
      <c r="AY56" s="38"/>
      <c r="AZ56" s="6"/>
      <c r="BA56" s="6"/>
      <c r="BB56" s="6"/>
      <c r="BC56" s="6"/>
      <c r="BD56" s="38"/>
      <c r="BE56" s="6"/>
      <c r="BF56" s="634"/>
      <c r="BG56" s="6"/>
      <c r="BH56" s="6"/>
      <c r="BI56" s="38"/>
      <c r="BJ56" s="6"/>
      <c r="BK56" s="629"/>
      <c r="BL56" s="6"/>
      <c r="BM56" s="6"/>
      <c r="BN56" s="38"/>
      <c r="BO56" s="6"/>
      <c r="BP56" s="629"/>
      <c r="BQ56" s="6"/>
      <c r="BR56" s="6"/>
      <c r="BS56" s="38"/>
      <c r="BT56" s="6"/>
    </row>
    <row r="57" spans="1:16357" ht="28.5" customHeight="1">
      <c r="U57" s="6"/>
      <c r="V57" s="6"/>
      <c r="W57" s="6"/>
      <c r="X57" s="6"/>
      <c r="Y57" s="38"/>
      <c r="Z57" s="6"/>
      <c r="AA57" s="6"/>
      <c r="AB57" s="6"/>
      <c r="AC57" s="6"/>
      <c r="AD57" s="38"/>
      <c r="AE57" s="6"/>
      <c r="AF57" s="6"/>
      <c r="AG57" s="6"/>
      <c r="AH57" s="6"/>
      <c r="AI57" s="38"/>
      <c r="AJ57" s="6"/>
      <c r="AK57" s="89"/>
      <c r="AL57" s="5"/>
      <c r="AM57" s="6"/>
      <c r="AN57" s="6"/>
      <c r="AO57" s="38"/>
      <c r="AP57" s="6"/>
      <c r="AQ57" s="6"/>
      <c r="AR57" s="6"/>
      <c r="AS57" s="6"/>
      <c r="AT57" s="38"/>
      <c r="AU57" s="6"/>
      <c r="AV57" s="6"/>
      <c r="AW57" s="6"/>
      <c r="AX57" s="6"/>
      <c r="AY57" s="38"/>
      <c r="AZ57" s="6"/>
      <c r="BA57" s="6"/>
      <c r="BB57" s="6"/>
      <c r="BC57" s="6"/>
      <c r="BD57" s="38"/>
      <c r="BE57" s="6"/>
      <c r="BF57" s="634"/>
      <c r="BG57" s="6"/>
      <c r="BH57" s="6"/>
      <c r="BI57" s="38"/>
      <c r="BJ57" s="6"/>
      <c r="BK57" s="629"/>
      <c r="BL57" s="6"/>
      <c r="BM57" s="6"/>
      <c r="BN57" s="38"/>
      <c r="BO57" s="6"/>
      <c r="BP57" s="629"/>
      <c r="BQ57" s="6"/>
      <c r="BR57" s="6"/>
      <c r="BS57" s="38"/>
      <c r="BT57" s="6"/>
    </row>
    <row r="58" spans="1:16357" ht="28.5" customHeight="1">
      <c r="U58" s="6"/>
      <c r="V58" s="6"/>
      <c r="W58" s="6"/>
      <c r="X58" s="6"/>
      <c r="Y58" s="38"/>
      <c r="Z58" s="6"/>
      <c r="AA58" s="6"/>
      <c r="AB58" s="6"/>
      <c r="AC58" s="6"/>
      <c r="AD58" s="38"/>
      <c r="AE58" s="6"/>
      <c r="AF58" s="6"/>
      <c r="AG58" s="6"/>
      <c r="AH58" s="6"/>
      <c r="AI58" s="38"/>
      <c r="AJ58" s="6"/>
      <c r="AK58" s="89"/>
      <c r="AL58" s="5"/>
      <c r="AM58" s="6"/>
      <c r="AN58" s="6"/>
      <c r="AO58" s="38"/>
      <c r="AP58" s="6"/>
      <c r="AQ58" s="6"/>
      <c r="AR58" s="6"/>
      <c r="AS58" s="6"/>
      <c r="AT58" s="38"/>
      <c r="AU58" s="6"/>
      <c r="AV58" s="6"/>
      <c r="AW58" s="6"/>
      <c r="AX58" s="6"/>
      <c r="AY58" s="38"/>
      <c r="AZ58" s="6"/>
      <c r="BA58" s="6"/>
      <c r="BB58" s="6"/>
      <c r="BC58" s="6"/>
      <c r="BD58" s="38"/>
      <c r="BE58" s="6"/>
      <c r="BF58" s="634"/>
      <c r="BG58" s="6"/>
      <c r="BH58" s="6"/>
      <c r="BI58" s="38"/>
      <c r="BJ58" s="6"/>
      <c r="BK58" s="629"/>
      <c r="BL58" s="6"/>
      <c r="BM58" s="6"/>
      <c r="BN58" s="38"/>
      <c r="BO58" s="6"/>
      <c r="BP58" s="629"/>
      <c r="BQ58" s="6"/>
      <c r="BR58" s="6"/>
      <c r="BS58" s="38"/>
      <c r="BT58" s="6"/>
    </row>
    <row r="59" spans="1:16357" ht="28.5" customHeight="1">
      <c r="U59" s="6"/>
      <c r="V59" s="6"/>
      <c r="W59" s="6"/>
      <c r="X59" s="6"/>
      <c r="Y59" s="38"/>
      <c r="Z59" s="6"/>
      <c r="AA59" s="6"/>
      <c r="AB59" s="6"/>
      <c r="AC59" s="6"/>
      <c r="AD59" s="38"/>
      <c r="AE59" s="6"/>
      <c r="AF59" s="6"/>
      <c r="AG59" s="6"/>
      <c r="AH59" s="6"/>
      <c r="AI59" s="38"/>
      <c r="AJ59" s="6"/>
      <c r="AK59" s="89"/>
      <c r="AL59" s="5"/>
      <c r="AM59" s="6"/>
      <c r="AN59" s="6"/>
      <c r="AO59" s="38"/>
      <c r="AP59" s="6"/>
      <c r="AQ59" s="6"/>
      <c r="AR59" s="6"/>
      <c r="AS59" s="6"/>
      <c r="AT59" s="38"/>
      <c r="AU59" s="6"/>
      <c r="AV59" s="6"/>
      <c r="AW59" s="6"/>
      <c r="AX59" s="6"/>
      <c r="AY59" s="38"/>
      <c r="AZ59" s="6"/>
      <c r="BA59" s="6"/>
      <c r="BB59" s="6"/>
      <c r="BC59" s="6"/>
      <c r="BD59" s="38"/>
      <c r="BE59" s="6"/>
      <c r="BF59" s="634"/>
      <c r="BG59" s="6"/>
      <c r="BH59" s="6"/>
      <c r="BI59" s="38"/>
      <c r="BJ59" s="6"/>
      <c r="BK59" s="629"/>
      <c r="BL59" s="6"/>
      <c r="BM59" s="6"/>
      <c r="BN59" s="38"/>
      <c r="BO59" s="6"/>
      <c r="BP59" s="629"/>
      <c r="BQ59" s="6"/>
      <c r="BR59" s="6"/>
      <c r="BS59" s="38"/>
      <c r="BT59" s="6"/>
    </row>
    <row r="60" spans="1:16357" ht="28.5" customHeight="1">
      <c r="U60" s="6"/>
      <c r="V60" s="6"/>
      <c r="W60" s="6"/>
      <c r="X60" s="6"/>
      <c r="Y60" s="38"/>
      <c r="Z60" s="6"/>
      <c r="AA60" s="6"/>
      <c r="AB60" s="6"/>
      <c r="AC60" s="6"/>
      <c r="AD60" s="38"/>
      <c r="AE60" s="6"/>
      <c r="AF60" s="6"/>
      <c r="AG60" s="6"/>
      <c r="AH60" s="6"/>
      <c r="AI60" s="38"/>
      <c r="AJ60" s="6"/>
      <c r="AK60" s="89"/>
      <c r="AL60" s="5"/>
      <c r="AM60" s="6"/>
      <c r="AN60" s="6"/>
      <c r="AO60" s="38"/>
      <c r="AP60" s="6"/>
      <c r="AQ60" s="6"/>
      <c r="AR60" s="6"/>
      <c r="AS60" s="6"/>
      <c r="AT60" s="38"/>
      <c r="AU60" s="6"/>
      <c r="AV60" s="6"/>
      <c r="AW60" s="6"/>
      <c r="AX60" s="6"/>
      <c r="AY60" s="38"/>
      <c r="AZ60" s="6"/>
      <c r="BA60" s="6"/>
      <c r="BB60" s="6"/>
      <c r="BC60" s="6"/>
      <c r="BD60" s="38"/>
      <c r="BE60" s="6"/>
      <c r="BF60" s="634"/>
      <c r="BG60" s="6"/>
      <c r="BH60" s="6"/>
      <c r="BI60" s="38"/>
      <c r="BJ60" s="6"/>
      <c r="BK60" s="629"/>
      <c r="BL60" s="6"/>
      <c r="BM60" s="6"/>
      <c r="BN60" s="38"/>
      <c r="BO60" s="6"/>
      <c r="BP60" s="629"/>
      <c r="BQ60" s="6"/>
      <c r="BR60" s="6"/>
      <c r="BS60" s="38"/>
      <c r="BT60" s="6"/>
    </row>
    <row r="61" spans="1:16357" ht="28.5" customHeight="1">
      <c r="U61" s="6"/>
      <c r="V61" s="6"/>
      <c r="W61" s="6"/>
      <c r="X61" s="6"/>
      <c r="Y61" s="38"/>
      <c r="Z61" s="6"/>
      <c r="AA61" s="6"/>
      <c r="AB61" s="6"/>
      <c r="AC61" s="6"/>
      <c r="AD61" s="38"/>
      <c r="AE61" s="6"/>
      <c r="AF61" s="6"/>
      <c r="AG61" s="6"/>
      <c r="AH61" s="6"/>
      <c r="AI61" s="38"/>
      <c r="AJ61" s="6"/>
      <c r="AK61" s="89"/>
      <c r="AL61" s="5"/>
      <c r="AM61" s="6"/>
      <c r="AN61" s="6"/>
      <c r="AO61" s="38"/>
      <c r="AP61" s="6"/>
      <c r="AQ61" s="6"/>
      <c r="AR61" s="6"/>
      <c r="AS61" s="6"/>
      <c r="AT61" s="38"/>
      <c r="AU61" s="6"/>
      <c r="AV61" s="6"/>
      <c r="AW61" s="6"/>
      <c r="AX61" s="6"/>
      <c r="AY61" s="38"/>
      <c r="AZ61" s="6"/>
      <c r="BA61" s="6"/>
      <c r="BB61" s="6"/>
      <c r="BC61" s="6"/>
      <c r="BD61" s="38"/>
      <c r="BE61" s="6"/>
      <c r="BF61" s="634"/>
      <c r="BG61" s="6"/>
      <c r="BH61" s="6"/>
      <c r="BI61" s="38"/>
      <c r="BJ61" s="6"/>
      <c r="BK61" s="629"/>
      <c r="BL61" s="6"/>
      <c r="BM61" s="6"/>
      <c r="BN61" s="38"/>
      <c r="BO61" s="6"/>
      <c r="BP61" s="629"/>
      <c r="BQ61" s="6"/>
      <c r="BR61" s="6"/>
      <c r="BS61" s="38"/>
      <c r="BT61" s="6"/>
    </row>
    <row r="62" spans="1:16357" ht="28.5" customHeight="1">
      <c r="AL62" s="5"/>
    </row>
    <row r="63" spans="1:16357" ht="28.5" customHeight="1">
      <c r="AL63" s="5"/>
    </row>
    <row r="64" spans="1:16357" s="4" customFormat="1" ht="28.5" customHeight="1">
      <c r="A64" s="5"/>
      <c r="B64" s="5"/>
      <c r="I64" s="58"/>
      <c r="Y64" s="39"/>
      <c r="AD64" s="39"/>
      <c r="AI64" s="39"/>
      <c r="AK64" s="91"/>
      <c r="AL64" s="5"/>
      <c r="AO64" s="39"/>
      <c r="AT64" s="39"/>
      <c r="AY64" s="39"/>
      <c r="BD64" s="39"/>
      <c r="BF64" s="635"/>
      <c r="BI64" s="39"/>
      <c r="BK64" s="630"/>
      <c r="BN64" s="39"/>
      <c r="BP64" s="630"/>
      <c r="BS64" s="39"/>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c r="GK64" s="5"/>
      <c r="GL64" s="5"/>
      <c r="GM64" s="5"/>
      <c r="GN64" s="5"/>
      <c r="GO64" s="5"/>
      <c r="GP64" s="5"/>
      <c r="GQ64" s="5"/>
      <c r="GR64" s="5"/>
      <c r="GS64" s="5"/>
      <c r="GT64" s="5"/>
      <c r="GU64" s="5"/>
      <c r="GV64" s="5"/>
      <c r="GW64" s="5"/>
      <c r="GX64" s="5"/>
      <c r="GY64" s="5"/>
      <c r="GZ64" s="5"/>
      <c r="HA64" s="5"/>
      <c r="HB64" s="5"/>
      <c r="HC64" s="5"/>
      <c r="HD64" s="5"/>
      <c r="HE64" s="5"/>
      <c r="HF64" s="5"/>
      <c r="HG64" s="5"/>
      <c r="HH64" s="5"/>
      <c r="HI64" s="5"/>
      <c r="HJ64" s="5"/>
      <c r="HK64" s="5"/>
      <c r="HL64" s="5"/>
      <c r="HM64" s="5"/>
      <c r="HN64" s="5"/>
      <c r="HO64" s="5"/>
      <c r="HP64" s="5"/>
      <c r="HQ64" s="5"/>
      <c r="HR64" s="5"/>
      <c r="HS64" s="5"/>
      <c r="HT64" s="5"/>
      <c r="HU64" s="5"/>
      <c r="HV64" s="5"/>
      <c r="HW64" s="5"/>
      <c r="HX64" s="5"/>
      <c r="HY64" s="5"/>
      <c r="HZ64" s="5"/>
      <c r="IA64" s="5"/>
      <c r="IB64" s="5"/>
      <c r="IC64" s="5"/>
      <c r="ID64" s="5"/>
      <c r="IE64" s="5"/>
      <c r="IF64" s="5"/>
      <c r="IG64" s="5"/>
      <c r="IH64" s="5"/>
      <c r="II64" s="5"/>
      <c r="IJ64" s="5"/>
      <c r="IK64" s="5"/>
      <c r="IL64" s="5"/>
      <c r="IM64" s="5"/>
      <c r="IN64" s="5"/>
      <c r="IO64" s="5"/>
      <c r="IP64" s="5"/>
      <c r="IQ64" s="5"/>
      <c r="IR64" s="5"/>
      <c r="IS64" s="5"/>
      <c r="IT64" s="5"/>
      <c r="IU64" s="5"/>
      <c r="IV64" s="5"/>
      <c r="IW64" s="5"/>
      <c r="IX64" s="5"/>
      <c r="IY64" s="5"/>
      <c r="IZ64" s="5"/>
      <c r="JA64" s="5"/>
      <c r="JB64" s="5"/>
      <c r="JC64" s="5"/>
      <c r="JD64" s="5"/>
      <c r="JE64" s="5"/>
      <c r="JF64" s="5"/>
      <c r="JG64" s="5"/>
      <c r="JH64" s="5"/>
      <c r="JI64" s="5"/>
      <c r="JJ64" s="5"/>
      <c r="JK64" s="5"/>
      <c r="JL64" s="5"/>
      <c r="JM64" s="5"/>
      <c r="JN64" s="5"/>
      <c r="JO64" s="5"/>
      <c r="JP64" s="5"/>
      <c r="JQ64" s="5"/>
      <c r="JR64" s="5"/>
      <c r="JS64" s="5"/>
      <c r="JT64" s="5"/>
      <c r="JU64" s="5"/>
      <c r="JV64" s="5"/>
      <c r="JW64" s="5"/>
      <c r="JX64" s="5"/>
      <c r="JY64" s="5"/>
      <c r="JZ64" s="5"/>
      <c r="KA64" s="5"/>
      <c r="KB64" s="5"/>
      <c r="KC64" s="5"/>
      <c r="KD64" s="5"/>
      <c r="KE64" s="5"/>
      <c r="KF64" s="5"/>
      <c r="KG64" s="5"/>
      <c r="KH64" s="5"/>
      <c r="KI64" s="5"/>
      <c r="KJ64" s="5"/>
      <c r="KK64" s="5"/>
      <c r="KL64" s="5"/>
      <c r="KM64" s="5"/>
      <c r="KN64" s="5"/>
      <c r="KO64" s="5"/>
      <c r="KP64" s="5"/>
      <c r="KQ64" s="5"/>
      <c r="KR64" s="5"/>
      <c r="KS64" s="5"/>
      <c r="KT64" s="5"/>
      <c r="KU64" s="5"/>
      <c r="KV64" s="5"/>
      <c r="KW64" s="5"/>
      <c r="KX64" s="5"/>
      <c r="KY64" s="5"/>
      <c r="KZ64" s="5"/>
      <c r="LA64" s="5"/>
      <c r="LB64" s="5"/>
      <c r="LC64" s="5"/>
      <c r="LD64" s="5"/>
      <c r="LE64" s="5"/>
      <c r="LF64" s="5"/>
      <c r="LG64" s="5"/>
      <c r="LH64" s="5"/>
      <c r="LI64" s="5"/>
      <c r="LJ64" s="5"/>
      <c r="LK64" s="5"/>
      <c r="LL64" s="5"/>
      <c r="LM64" s="5"/>
      <c r="LN64" s="5"/>
      <c r="LO64" s="5"/>
      <c r="LP64" s="5"/>
      <c r="LQ64" s="5"/>
      <c r="LR64" s="5"/>
      <c r="LS64" s="5"/>
      <c r="LT64" s="5"/>
      <c r="LU64" s="5"/>
      <c r="LV64" s="5"/>
      <c r="LW64" s="5"/>
      <c r="LX64" s="5"/>
      <c r="LY64" s="5"/>
      <c r="LZ64" s="5"/>
      <c r="MA64" s="5"/>
      <c r="MB64" s="5"/>
      <c r="MC64" s="5"/>
      <c r="MD64" s="5"/>
      <c r="ME64" s="5"/>
      <c r="MF64" s="5"/>
      <c r="MG64" s="5"/>
      <c r="MH64" s="5"/>
      <c r="MI64" s="5"/>
      <c r="MJ64" s="5"/>
      <c r="MK64" s="5"/>
      <c r="ML64" s="5"/>
      <c r="MM64" s="5"/>
      <c r="MN64" s="5"/>
      <c r="MO64" s="5"/>
      <c r="MP64" s="5"/>
      <c r="MQ64" s="5"/>
      <c r="MR64" s="5"/>
      <c r="MS64" s="5"/>
      <c r="MT64" s="5"/>
      <c r="MU64" s="5"/>
      <c r="MV64" s="5"/>
      <c r="MW64" s="5"/>
      <c r="MX64" s="5"/>
      <c r="MY64" s="5"/>
      <c r="MZ64" s="5"/>
      <c r="NA64" s="5"/>
      <c r="NB64" s="5"/>
      <c r="NC64" s="5"/>
      <c r="ND64" s="5"/>
      <c r="NE64" s="5"/>
      <c r="NF64" s="5"/>
      <c r="NG64" s="5"/>
      <c r="NH64" s="5"/>
      <c r="NI64" s="5"/>
      <c r="NJ64" s="5"/>
      <c r="NK64" s="5"/>
      <c r="NL64" s="5"/>
      <c r="NM64" s="5"/>
      <c r="NN64" s="5"/>
      <c r="NO64" s="5"/>
      <c r="NP64" s="5"/>
      <c r="NQ64" s="5"/>
      <c r="NR64" s="5"/>
      <c r="NS64" s="5"/>
      <c r="NT64" s="5"/>
      <c r="NU64" s="5"/>
      <c r="NV64" s="5"/>
      <c r="NW64" s="5"/>
      <c r="NX64" s="5"/>
      <c r="NY64" s="5"/>
      <c r="NZ64" s="5"/>
      <c r="OA64" s="5"/>
      <c r="OB64" s="5"/>
      <c r="OC64" s="5"/>
      <c r="OD64" s="5"/>
      <c r="OE64" s="5"/>
      <c r="OF64" s="5"/>
      <c r="OG64" s="5"/>
      <c r="OH64" s="5"/>
      <c r="OI64" s="5"/>
      <c r="OJ64" s="5"/>
      <c r="OK64" s="5"/>
      <c r="OL64" s="5"/>
      <c r="OM64" s="5"/>
      <c r="ON64" s="5"/>
      <c r="OO64" s="5"/>
      <c r="OP64" s="5"/>
      <c r="OQ64" s="5"/>
      <c r="OR64" s="5"/>
      <c r="OS64" s="5"/>
      <c r="OT64" s="5"/>
      <c r="OU64" s="5"/>
      <c r="OV64" s="5"/>
      <c r="OW64" s="5"/>
      <c r="OX64" s="5"/>
      <c r="OY64" s="5"/>
      <c r="OZ64" s="5"/>
      <c r="PA64" s="5"/>
      <c r="PB64" s="5"/>
      <c r="PC64" s="5"/>
      <c r="PD64" s="5"/>
      <c r="PE64" s="5"/>
      <c r="PF64" s="5"/>
      <c r="PG64" s="5"/>
      <c r="PH64" s="5"/>
      <c r="PI64" s="5"/>
      <c r="PJ64" s="5"/>
      <c r="PK64" s="5"/>
      <c r="PL64" s="5"/>
      <c r="PM64" s="5"/>
      <c r="PN64" s="5"/>
      <c r="PO64" s="5"/>
      <c r="PP64" s="5"/>
      <c r="PQ64" s="5"/>
      <c r="PR64" s="5"/>
      <c r="PS64" s="5"/>
      <c r="PT64" s="5"/>
      <c r="PU64" s="5"/>
      <c r="PV64" s="5"/>
      <c r="PW64" s="5"/>
      <c r="PX64" s="5"/>
      <c r="PY64" s="5"/>
      <c r="PZ64" s="5"/>
      <c r="QA64" s="5"/>
      <c r="QB64" s="5"/>
      <c r="QC64" s="5"/>
      <c r="QD64" s="5"/>
      <c r="QE64" s="5"/>
      <c r="QF64" s="5"/>
      <c r="QG64" s="5"/>
      <c r="QH64" s="5"/>
      <c r="QI64" s="5"/>
      <c r="QJ64" s="5"/>
      <c r="QK64" s="5"/>
      <c r="QL64" s="5"/>
      <c r="QM64" s="5"/>
      <c r="QN64" s="5"/>
      <c r="QO64" s="5"/>
      <c r="QP64" s="5"/>
      <c r="QQ64" s="5"/>
      <c r="QR64" s="5"/>
      <c r="QS64" s="5"/>
      <c r="QT64" s="5"/>
      <c r="QU64" s="5"/>
      <c r="QV64" s="5"/>
      <c r="QW64" s="5"/>
      <c r="QX64" s="5"/>
      <c r="QY64" s="5"/>
      <c r="QZ64" s="5"/>
      <c r="RA64" s="5"/>
      <c r="RB64" s="5"/>
      <c r="RC64" s="5"/>
      <c r="RD64" s="5"/>
      <c r="RE64" s="5"/>
      <c r="RF64" s="5"/>
      <c r="RG64" s="5"/>
      <c r="RH64" s="5"/>
      <c r="RI64" s="5"/>
      <c r="RJ64" s="5"/>
      <c r="RK64" s="5"/>
      <c r="RL64" s="5"/>
      <c r="RM64" s="5"/>
      <c r="RN64" s="5"/>
      <c r="RO64" s="5"/>
      <c r="RP64" s="5"/>
      <c r="RQ64" s="5"/>
      <c r="RR64" s="5"/>
      <c r="RS64" s="5"/>
      <c r="RT64" s="5"/>
      <c r="RU64" s="5"/>
      <c r="RV64" s="5"/>
      <c r="RW64" s="5"/>
      <c r="RX64" s="5"/>
      <c r="RY64" s="5"/>
      <c r="RZ64" s="5"/>
      <c r="SA64" s="5"/>
      <c r="SB64" s="5"/>
      <c r="SC64" s="5"/>
      <c r="SD64" s="5"/>
      <c r="SE64" s="5"/>
      <c r="SF64" s="5"/>
      <c r="SG64" s="5"/>
      <c r="SH64" s="5"/>
      <c r="SI64" s="5"/>
      <c r="SJ64" s="5"/>
      <c r="SK64" s="5"/>
      <c r="SL64" s="5"/>
      <c r="SM64" s="5"/>
      <c r="SN64" s="5"/>
      <c r="SO64" s="5"/>
      <c r="SP64" s="5"/>
      <c r="SQ64" s="5"/>
      <c r="SR64" s="5"/>
      <c r="SS64" s="5"/>
      <c r="ST64" s="5"/>
      <c r="SU64" s="5"/>
      <c r="SV64" s="5"/>
      <c r="SW64" s="5"/>
      <c r="SX64" s="5"/>
      <c r="SY64" s="5"/>
      <c r="SZ64" s="5"/>
      <c r="TA64" s="5"/>
      <c r="TB64" s="5"/>
      <c r="TC64" s="5"/>
      <c r="TD64" s="5"/>
      <c r="TE64" s="5"/>
      <c r="TF64" s="5"/>
      <c r="TG64" s="5"/>
      <c r="TH64" s="5"/>
      <c r="TI64" s="5"/>
      <c r="TJ64" s="5"/>
      <c r="TK64" s="5"/>
      <c r="TL64" s="5"/>
      <c r="TM64" s="5"/>
      <c r="TN64" s="5"/>
      <c r="TO64" s="5"/>
      <c r="TP64" s="5"/>
      <c r="TQ64" s="5"/>
      <c r="TR64" s="5"/>
      <c r="TS64" s="5"/>
      <c r="TT64" s="5"/>
      <c r="TU64" s="5"/>
      <c r="TV64" s="5"/>
      <c r="TW64" s="5"/>
      <c r="TX64" s="5"/>
      <c r="TY64" s="5"/>
      <c r="TZ64" s="5"/>
      <c r="UA64" s="5"/>
      <c r="UB64" s="5"/>
      <c r="UC64" s="5"/>
      <c r="UD64" s="5"/>
      <c r="UE64" s="5"/>
      <c r="UF64" s="5"/>
      <c r="UG64" s="5"/>
      <c r="UH64" s="5"/>
      <c r="UI64" s="5"/>
      <c r="UJ64" s="5"/>
      <c r="UK64" s="5"/>
      <c r="UL64" s="5"/>
      <c r="UM64" s="5"/>
      <c r="UN64" s="5"/>
      <c r="UO64" s="5"/>
      <c r="UP64" s="5"/>
      <c r="UQ64" s="5"/>
      <c r="UR64" s="5"/>
      <c r="US64" s="5"/>
      <c r="UT64" s="5"/>
      <c r="UU64" s="5"/>
      <c r="UV64" s="5"/>
      <c r="UW64" s="5"/>
      <c r="UX64" s="5"/>
      <c r="UY64" s="5"/>
      <c r="UZ64" s="5"/>
      <c r="VA64" s="5"/>
      <c r="VB64" s="5"/>
      <c r="VC64" s="5"/>
      <c r="VD64" s="5"/>
      <c r="VE64" s="5"/>
      <c r="VF64" s="5"/>
      <c r="VG64" s="5"/>
      <c r="VH64" s="5"/>
      <c r="VI64" s="5"/>
      <c r="VJ64" s="5"/>
      <c r="VK64" s="5"/>
      <c r="VL64" s="5"/>
      <c r="VM64" s="5"/>
      <c r="VN64" s="5"/>
      <c r="VO64" s="5"/>
      <c r="VP64" s="5"/>
      <c r="VQ64" s="5"/>
      <c r="VR64" s="5"/>
      <c r="VS64" s="5"/>
      <c r="VT64" s="5"/>
      <c r="VU64" s="5"/>
      <c r="VV64" s="5"/>
      <c r="VW64" s="5"/>
      <c r="VX64" s="5"/>
      <c r="VY64" s="5"/>
      <c r="VZ64" s="5"/>
      <c r="WA64" s="5"/>
      <c r="WB64" s="5"/>
      <c r="WC64" s="5"/>
      <c r="WD64" s="5"/>
      <c r="WE64" s="5"/>
      <c r="WF64" s="5"/>
      <c r="WG64" s="5"/>
      <c r="WH64" s="5"/>
      <c r="WI64" s="5"/>
      <c r="WJ64" s="5"/>
      <c r="WK64" s="5"/>
      <c r="WL64" s="5"/>
      <c r="WM64" s="5"/>
      <c r="WN64" s="5"/>
      <c r="WO64" s="5"/>
      <c r="WP64" s="5"/>
      <c r="WQ64" s="5"/>
      <c r="WR64" s="5"/>
      <c r="WS64" s="5"/>
      <c r="WT64" s="5"/>
      <c r="WU64" s="5"/>
      <c r="WV64" s="5"/>
      <c r="WW64" s="5"/>
      <c r="WX64" s="5"/>
      <c r="WY64" s="5"/>
      <c r="WZ64" s="5"/>
      <c r="XA64" s="5"/>
      <c r="XB64" s="5"/>
      <c r="XC64" s="5"/>
      <c r="XD64" s="5"/>
      <c r="XE64" s="5"/>
      <c r="XF64" s="5"/>
      <c r="XG64" s="5"/>
      <c r="XH64" s="5"/>
      <c r="XI64" s="5"/>
      <c r="XJ64" s="5"/>
      <c r="XK64" s="5"/>
      <c r="XL64" s="5"/>
      <c r="XM64" s="5"/>
      <c r="XN64" s="5"/>
      <c r="XO64" s="5"/>
      <c r="XP64" s="5"/>
      <c r="XQ64" s="5"/>
      <c r="XR64" s="5"/>
      <c r="XS64" s="5"/>
      <c r="XT64" s="5"/>
      <c r="XU64" s="5"/>
      <c r="XV64" s="5"/>
      <c r="XW64" s="5"/>
      <c r="XX64" s="5"/>
      <c r="XY64" s="5"/>
      <c r="XZ64" s="5"/>
      <c r="YA64" s="5"/>
      <c r="YB64" s="5"/>
      <c r="YC64" s="5"/>
      <c r="YD64" s="5"/>
      <c r="YE64" s="5"/>
      <c r="YF64" s="5"/>
      <c r="YG64" s="5"/>
      <c r="YH64" s="5"/>
      <c r="YI64" s="5"/>
      <c r="YJ64" s="5"/>
      <c r="YK64" s="5"/>
      <c r="YL64" s="5"/>
      <c r="YM64" s="5"/>
      <c r="YN64" s="5"/>
      <c r="YO64" s="5"/>
      <c r="YP64" s="5"/>
      <c r="YQ64" s="5"/>
      <c r="YR64" s="5"/>
      <c r="YS64" s="5"/>
      <c r="YT64" s="5"/>
      <c r="YU64" s="5"/>
      <c r="YV64" s="5"/>
      <c r="YW64" s="5"/>
      <c r="YX64" s="5"/>
      <c r="YY64" s="5"/>
      <c r="YZ64" s="5"/>
      <c r="ZA64" s="5"/>
      <c r="ZB64" s="5"/>
      <c r="ZC64" s="5"/>
      <c r="ZD64" s="5"/>
      <c r="ZE64" s="5"/>
      <c r="ZF64" s="5"/>
      <c r="ZG64" s="5"/>
      <c r="ZH64" s="5"/>
      <c r="ZI64" s="5"/>
      <c r="ZJ64" s="5"/>
      <c r="ZK64" s="5"/>
      <c r="ZL64" s="5"/>
      <c r="ZM64" s="5"/>
      <c r="ZN64" s="5"/>
      <c r="ZO64" s="5"/>
      <c r="ZP64" s="5"/>
      <c r="ZQ64" s="5"/>
      <c r="ZR64" s="5"/>
      <c r="ZS64" s="5"/>
      <c r="ZT64" s="5"/>
      <c r="ZU64" s="5"/>
      <c r="ZV64" s="5"/>
      <c r="ZW64" s="5"/>
      <c r="ZX64" s="5"/>
      <c r="ZY64" s="5"/>
      <c r="ZZ64" s="5"/>
      <c r="AAA64" s="5"/>
      <c r="AAB64" s="5"/>
      <c r="AAC64" s="5"/>
      <c r="AAD64" s="5"/>
      <c r="AAE64" s="5"/>
      <c r="AAF64" s="5"/>
      <c r="AAG64" s="5"/>
      <c r="AAH64" s="5"/>
      <c r="AAI64" s="5"/>
      <c r="AAJ64" s="5"/>
      <c r="AAK64" s="5"/>
      <c r="AAL64" s="5"/>
      <c r="AAM64" s="5"/>
      <c r="AAN64" s="5"/>
      <c r="AAO64" s="5"/>
      <c r="AAP64" s="5"/>
      <c r="AAQ64" s="5"/>
      <c r="AAR64" s="5"/>
      <c r="AAS64" s="5"/>
      <c r="AAT64" s="5"/>
      <c r="AAU64" s="5"/>
      <c r="AAV64" s="5"/>
      <c r="AAW64" s="5"/>
      <c r="AAX64" s="5"/>
      <c r="AAY64" s="5"/>
      <c r="AAZ64" s="5"/>
      <c r="ABA64" s="5"/>
      <c r="ABB64" s="5"/>
      <c r="ABC64" s="5"/>
      <c r="ABD64" s="5"/>
      <c r="ABE64" s="5"/>
      <c r="ABF64" s="5"/>
      <c r="ABG64" s="5"/>
      <c r="ABH64" s="5"/>
      <c r="ABI64" s="5"/>
      <c r="ABJ64" s="5"/>
      <c r="ABK64" s="5"/>
      <c r="ABL64" s="5"/>
      <c r="ABM64" s="5"/>
      <c r="ABN64" s="5"/>
      <c r="ABO64" s="5"/>
      <c r="ABP64" s="5"/>
      <c r="ABQ64" s="5"/>
      <c r="ABR64" s="5"/>
      <c r="ABS64" s="5"/>
      <c r="ABT64" s="5"/>
      <c r="ABU64" s="5"/>
      <c r="ABV64" s="5"/>
      <c r="ABW64" s="5"/>
      <c r="ABX64" s="5"/>
      <c r="ABY64" s="5"/>
      <c r="ABZ64" s="5"/>
      <c r="ACA64" s="5"/>
      <c r="ACB64" s="5"/>
      <c r="ACC64" s="5"/>
      <c r="ACD64" s="5"/>
      <c r="ACE64" s="5"/>
      <c r="ACF64" s="5"/>
      <c r="ACG64" s="5"/>
      <c r="ACH64" s="5"/>
      <c r="ACI64" s="5"/>
      <c r="ACJ64" s="5"/>
      <c r="ACK64" s="5"/>
      <c r="ACL64" s="5"/>
      <c r="ACM64" s="5"/>
      <c r="ACN64" s="5"/>
      <c r="ACO64" s="5"/>
      <c r="ACP64" s="5"/>
      <c r="ACQ64" s="5"/>
      <c r="ACR64" s="5"/>
      <c r="ACS64" s="5"/>
      <c r="ACT64" s="5"/>
      <c r="ACU64" s="5"/>
      <c r="ACV64" s="5"/>
      <c r="ACW64" s="5"/>
      <c r="ACX64" s="5"/>
      <c r="ACY64" s="5"/>
      <c r="ACZ64" s="5"/>
      <c r="ADA64" s="5"/>
      <c r="ADB64" s="5"/>
      <c r="ADC64" s="5"/>
      <c r="ADD64" s="5"/>
      <c r="ADE64" s="5"/>
      <c r="ADF64" s="5"/>
      <c r="ADG64" s="5"/>
      <c r="ADH64" s="5"/>
      <c r="ADI64" s="5"/>
      <c r="ADJ64" s="5"/>
      <c r="ADK64" s="5"/>
      <c r="ADL64" s="5"/>
      <c r="ADM64" s="5"/>
      <c r="ADN64" s="5"/>
      <c r="ADO64" s="5"/>
      <c r="ADP64" s="5"/>
      <c r="ADQ64" s="5"/>
      <c r="ADR64" s="5"/>
      <c r="ADS64" s="5"/>
      <c r="ADT64" s="5"/>
      <c r="ADU64" s="5"/>
      <c r="ADV64" s="5"/>
      <c r="ADW64" s="5"/>
      <c r="ADX64" s="5"/>
      <c r="ADY64" s="5"/>
      <c r="ADZ64" s="5"/>
      <c r="AEA64" s="5"/>
      <c r="AEB64" s="5"/>
      <c r="AEC64" s="5"/>
      <c r="AED64" s="5"/>
      <c r="AEE64" s="5"/>
      <c r="AEF64" s="5"/>
      <c r="AEG64" s="5"/>
      <c r="AEH64" s="5"/>
      <c r="AEI64" s="5"/>
      <c r="AEJ64" s="5"/>
      <c r="AEK64" s="5"/>
      <c r="AEL64" s="5"/>
      <c r="AEM64" s="5"/>
      <c r="AEN64" s="5"/>
      <c r="AEO64" s="5"/>
      <c r="AEP64" s="5"/>
      <c r="AEQ64" s="5"/>
      <c r="AER64" s="5"/>
      <c r="AES64" s="5"/>
      <c r="AET64" s="5"/>
      <c r="AEU64" s="5"/>
      <c r="AEV64" s="5"/>
      <c r="AEW64" s="5"/>
      <c r="AEX64" s="5"/>
      <c r="AEY64" s="5"/>
      <c r="AEZ64" s="5"/>
      <c r="AFA64" s="5"/>
      <c r="AFB64" s="5"/>
      <c r="AFC64" s="5"/>
      <c r="AFD64" s="5"/>
      <c r="AFE64" s="5"/>
      <c r="AFF64" s="5"/>
      <c r="AFG64" s="5"/>
      <c r="AFH64" s="5"/>
      <c r="AFI64" s="5"/>
      <c r="AFJ64" s="5"/>
      <c r="AFK64" s="5"/>
      <c r="AFL64" s="5"/>
      <c r="AFM64" s="5"/>
      <c r="AFN64" s="5"/>
      <c r="AFO64" s="5"/>
      <c r="AFP64" s="5"/>
      <c r="AFQ64" s="5"/>
      <c r="AFR64" s="5"/>
      <c r="AFS64" s="5"/>
      <c r="AFT64" s="5"/>
      <c r="AFU64" s="5"/>
      <c r="AFV64" s="5"/>
      <c r="AFW64" s="5"/>
      <c r="AFX64" s="5"/>
      <c r="AFY64" s="5"/>
      <c r="AFZ64" s="5"/>
      <c r="AGA64" s="5"/>
      <c r="AGB64" s="5"/>
      <c r="AGC64" s="5"/>
      <c r="AGD64" s="5"/>
      <c r="AGE64" s="5"/>
      <c r="AGF64" s="5"/>
      <c r="AGG64" s="5"/>
      <c r="AGH64" s="5"/>
      <c r="AGI64" s="5"/>
      <c r="AGJ64" s="5"/>
      <c r="AGK64" s="5"/>
      <c r="AGL64" s="5"/>
      <c r="AGM64" s="5"/>
      <c r="AGN64" s="5"/>
      <c r="AGO64" s="5"/>
      <c r="AGP64" s="5"/>
      <c r="AGQ64" s="5"/>
      <c r="AGR64" s="5"/>
      <c r="AGS64" s="5"/>
      <c r="AGT64" s="5"/>
      <c r="AGU64" s="5"/>
      <c r="AGV64" s="5"/>
      <c r="AGW64" s="5"/>
      <c r="AGX64" s="5"/>
      <c r="AGY64" s="5"/>
      <c r="AGZ64" s="5"/>
      <c r="AHA64" s="5"/>
      <c r="AHB64" s="5"/>
      <c r="AHC64" s="5"/>
      <c r="AHD64" s="5"/>
      <c r="AHE64" s="5"/>
      <c r="AHF64" s="5"/>
      <c r="AHG64" s="5"/>
      <c r="AHH64" s="5"/>
      <c r="AHI64" s="5"/>
      <c r="AHJ64" s="5"/>
      <c r="AHK64" s="5"/>
      <c r="AHL64" s="5"/>
      <c r="AHM64" s="5"/>
      <c r="AHN64" s="5"/>
      <c r="AHO64" s="5"/>
      <c r="AHP64" s="5"/>
      <c r="AHQ64" s="5"/>
      <c r="AHR64" s="5"/>
      <c r="AHS64" s="5"/>
      <c r="AHT64" s="5"/>
      <c r="AHU64" s="5"/>
      <c r="AHV64" s="5"/>
      <c r="AHW64" s="5"/>
      <c r="AHX64" s="5"/>
      <c r="AHY64" s="5"/>
      <c r="AHZ64" s="5"/>
      <c r="AIA64" s="5"/>
      <c r="AIB64" s="5"/>
      <c r="AIC64" s="5"/>
      <c r="AID64" s="5"/>
      <c r="AIE64" s="5"/>
      <c r="AIF64" s="5"/>
      <c r="AIG64" s="5"/>
      <c r="AIH64" s="5"/>
      <c r="AII64" s="5"/>
      <c r="AIJ64" s="5"/>
      <c r="AIK64" s="5"/>
      <c r="AIL64" s="5"/>
      <c r="AIM64" s="5"/>
      <c r="AIN64" s="5"/>
      <c r="AIO64" s="5"/>
      <c r="AIP64" s="5"/>
      <c r="AIQ64" s="5"/>
      <c r="AIR64" s="5"/>
      <c r="AIS64" s="5"/>
      <c r="AIT64" s="5"/>
      <c r="AIU64" s="5"/>
      <c r="AIV64" s="5"/>
      <c r="AIW64" s="5"/>
      <c r="AIX64" s="5"/>
      <c r="AIY64" s="5"/>
      <c r="AIZ64" s="5"/>
      <c r="AJA64" s="5"/>
      <c r="AJB64" s="5"/>
      <c r="AJC64" s="5"/>
      <c r="AJD64" s="5"/>
      <c r="AJE64" s="5"/>
      <c r="AJF64" s="5"/>
      <c r="AJG64" s="5"/>
      <c r="AJH64" s="5"/>
      <c r="AJI64" s="5"/>
      <c r="AJJ64" s="5"/>
      <c r="AJK64" s="5"/>
      <c r="AJL64" s="5"/>
      <c r="AJM64" s="5"/>
      <c r="AJN64" s="5"/>
      <c r="AJO64" s="5"/>
      <c r="AJP64" s="5"/>
      <c r="AJQ64" s="5"/>
      <c r="AJR64" s="5"/>
      <c r="AJS64" s="5"/>
      <c r="AJT64" s="5"/>
      <c r="AJU64" s="5"/>
      <c r="AJV64" s="5"/>
      <c r="AJW64" s="5"/>
      <c r="AJX64" s="5"/>
      <c r="AJY64" s="5"/>
      <c r="AJZ64" s="5"/>
      <c r="AKA64" s="5"/>
      <c r="AKB64" s="5"/>
      <c r="AKC64" s="5"/>
      <c r="AKD64" s="5"/>
      <c r="AKE64" s="5"/>
      <c r="AKF64" s="5"/>
      <c r="AKG64" s="5"/>
      <c r="AKH64" s="5"/>
      <c r="AKI64" s="5"/>
      <c r="AKJ64" s="5"/>
      <c r="AKK64" s="5"/>
      <c r="AKL64" s="5"/>
      <c r="AKM64" s="5"/>
      <c r="AKN64" s="5"/>
      <c r="AKO64" s="5"/>
      <c r="AKP64" s="5"/>
      <c r="AKQ64" s="5"/>
      <c r="AKR64" s="5"/>
      <c r="AKS64" s="5"/>
      <c r="AKT64" s="5"/>
      <c r="AKU64" s="5"/>
      <c r="AKV64" s="5"/>
      <c r="AKW64" s="5"/>
      <c r="AKX64" s="5"/>
      <c r="AKY64" s="5"/>
      <c r="AKZ64" s="5"/>
      <c r="ALA64" s="5"/>
      <c r="ALB64" s="5"/>
      <c r="ALC64" s="5"/>
      <c r="ALD64" s="5"/>
      <c r="ALE64" s="5"/>
      <c r="ALF64" s="5"/>
      <c r="ALG64" s="5"/>
      <c r="ALH64" s="5"/>
      <c r="ALI64" s="5"/>
      <c r="ALJ64" s="5"/>
      <c r="ALK64" s="5"/>
      <c r="ALL64" s="5"/>
      <c r="ALM64" s="5"/>
      <c r="ALN64" s="5"/>
      <c r="ALO64" s="5"/>
      <c r="ALP64" s="5"/>
      <c r="ALQ64" s="5"/>
      <c r="ALR64" s="5"/>
      <c r="ALS64" s="5"/>
      <c r="ALT64" s="5"/>
      <c r="ALU64" s="5"/>
      <c r="ALV64" s="5"/>
      <c r="ALW64" s="5"/>
      <c r="ALX64" s="5"/>
      <c r="ALY64" s="5"/>
      <c r="ALZ64" s="5"/>
      <c r="AMA64" s="5"/>
      <c r="AMB64" s="5"/>
      <c r="AMC64" s="5"/>
      <c r="AMD64" s="5"/>
      <c r="AME64" s="5"/>
      <c r="AMF64" s="5"/>
      <c r="AMG64" s="5"/>
      <c r="AMH64" s="5"/>
      <c r="AMI64" s="5"/>
      <c r="AMJ64" s="5"/>
      <c r="AMK64" s="5"/>
      <c r="AML64" s="5"/>
      <c r="AMM64" s="5"/>
      <c r="AMN64" s="5"/>
      <c r="AMO64" s="5"/>
      <c r="AMP64" s="5"/>
      <c r="AMQ64" s="5"/>
      <c r="AMR64" s="5"/>
      <c r="AMS64" s="5"/>
      <c r="AMT64" s="5"/>
      <c r="AMU64" s="5"/>
      <c r="AMV64" s="5"/>
      <c r="AMW64" s="5"/>
      <c r="AMX64" s="5"/>
      <c r="AMY64" s="5"/>
      <c r="AMZ64" s="5"/>
      <c r="ANA64" s="5"/>
      <c r="ANB64" s="5"/>
      <c r="ANC64" s="5"/>
      <c r="AND64" s="5"/>
      <c r="ANE64" s="5"/>
      <c r="ANF64" s="5"/>
      <c r="ANG64" s="5"/>
      <c r="ANH64" s="5"/>
      <c r="ANI64" s="5"/>
      <c r="ANJ64" s="5"/>
      <c r="ANK64" s="5"/>
      <c r="ANL64" s="5"/>
      <c r="ANM64" s="5"/>
      <c r="ANN64" s="5"/>
      <c r="ANO64" s="5"/>
      <c r="ANP64" s="5"/>
      <c r="ANQ64" s="5"/>
      <c r="ANR64" s="5"/>
      <c r="ANS64" s="5"/>
      <c r="ANT64" s="5"/>
      <c r="ANU64" s="5"/>
      <c r="ANV64" s="5"/>
      <c r="ANW64" s="5"/>
      <c r="ANX64" s="5"/>
      <c r="ANY64" s="5"/>
      <c r="ANZ64" s="5"/>
      <c r="AOA64" s="5"/>
      <c r="AOB64" s="5"/>
      <c r="AOC64" s="5"/>
      <c r="AOD64" s="5"/>
      <c r="AOE64" s="5"/>
      <c r="AOF64" s="5"/>
      <c r="AOG64" s="5"/>
      <c r="AOH64" s="5"/>
      <c r="AOI64" s="5"/>
      <c r="AOJ64" s="5"/>
      <c r="AOK64" s="5"/>
      <c r="AOL64" s="5"/>
      <c r="AOM64" s="5"/>
      <c r="AON64" s="5"/>
      <c r="AOO64" s="5"/>
      <c r="AOP64" s="5"/>
      <c r="AOQ64" s="5"/>
      <c r="AOR64" s="5"/>
      <c r="AOS64" s="5"/>
      <c r="AOT64" s="5"/>
      <c r="AOU64" s="5"/>
      <c r="AOV64" s="5"/>
      <c r="AOW64" s="5"/>
      <c r="AOX64" s="5"/>
      <c r="AOY64" s="5"/>
      <c r="AOZ64" s="5"/>
      <c r="APA64" s="5"/>
      <c r="APB64" s="5"/>
      <c r="APC64" s="5"/>
      <c r="APD64" s="5"/>
      <c r="APE64" s="5"/>
      <c r="APF64" s="5"/>
      <c r="APG64" s="5"/>
      <c r="APH64" s="5"/>
      <c r="API64" s="5"/>
      <c r="APJ64" s="5"/>
      <c r="APK64" s="5"/>
      <c r="APL64" s="5"/>
      <c r="APM64" s="5"/>
      <c r="APN64" s="5"/>
      <c r="APO64" s="5"/>
      <c r="APP64" s="5"/>
      <c r="APQ64" s="5"/>
      <c r="APR64" s="5"/>
      <c r="APS64" s="5"/>
      <c r="APT64" s="5"/>
      <c r="APU64" s="5"/>
      <c r="APV64" s="5"/>
      <c r="APW64" s="5"/>
      <c r="APX64" s="5"/>
      <c r="APY64" s="5"/>
      <c r="APZ64" s="5"/>
      <c r="AQA64" s="5"/>
      <c r="AQB64" s="5"/>
      <c r="AQC64" s="5"/>
      <c r="AQD64" s="5"/>
      <c r="AQE64" s="5"/>
      <c r="AQF64" s="5"/>
      <c r="AQG64" s="5"/>
      <c r="AQH64" s="5"/>
      <c r="AQI64" s="5"/>
      <c r="AQJ64" s="5"/>
      <c r="AQK64" s="5"/>
      <c r="AQL64" s="5"/>
      <c r="AQM64" s="5"/>
      <c r="AQN64" s="5"/>
      <c r="AQO64" s="5"/>
      <c r="AQP64" s="5"/>
      <c r="AQQ64" s="5"/>
      <c r="AQR64" s="5"/>
      <c r="AQS64" s="5"/>
      <c r="AQT64" s="5"/>
      <c r="AQU64" s="5"/>
      <c r="AQV64" s="5"/>
      <c r="AQW64" s="5"/>
      <c r="AQX64" s="5"/>
      <c r="AQY64" s="5"/>
      <c r="AQZ64" s="5"/>
      <c r="ARA64" s="5"/>
      <c r="ARB64" s="5"/>
      <c r="ARC64" s="5"/>
      <c r="ARD64" s="5"/>
      <c r="ARE64" s="5"/>
      <c r="ARF64" s="5"/>
      <c r="ARG64" s="5"/>
      <c r="ARH64" s="5"/>
      <c r="ARI64" s="5"/>
      <c r="ARJ64" s="5"/>
      <c r="ARK64" s="5"/>
      <c r="ARL64" s="5"/>
      <c r="ARM64" s="5"/>
      <c r="ARN64" s="5"/>
      <c r="ARO64" s="5"/>
      <c r="ARP64" s="5"/>
      <c r="ARQ64" s="5"/>
      <c r="ARR64" s="5"/>
      <c r="ARS64" s="5"/>
      <c r="ART64" s="5"/>
      <c r="ARU64" s="5"/>
      <c r="ARV64" s="5"/>
      <c r="ARW64" s="5"/>
      <c r="ARX64" s="5"/>
      <c r="ARY64" s="5"/>
      <c r="ARZ64" s="5"/>
      <c r="ASA64" s="5"/>
      <c r="ASB64" s="5"/>
      <c r="ASC64" s="5"/>
      <c r="ASD64" s="5"/>
      <c r="ASE64" s="5"/>
      <c r="ASF64" s="5"/>
      <c r="ASG64" s="5"/>
      <c r="ASH64" s="5"/>
      <c r="ASI64" s="5"/>
      <c r="ASJ64" s="5"/>
      <c r="ASK64" s="5"/>
      <c r="ASL64" s="5"/>
      <c r="ASM64" s="5"/>
      <c r="ASN64" s="5"/>
      <c r="ASO64" s="5"/>
      <c r="ASP64" s="5"/>
      <c r="ASQ64" s="5"/>
      <c r="ASR64" s="5"/>
      <c r="ASS64" s="5"/>
      <c r="AST64" s="5"/>
      <c r="ASU64" s="5"/>
      <c r="ASV64" s="5"/>
      <c r="ASW64" s="5"/>
      <c r="ASX64" s="5"/>
      <c r="ASY64" s="5"/>
      <c r="ASZ64" s="5"/>
      <c r="ATA64" s="5"/>
      <c r="ATB64" s="5"/>
      <c r="ATC64" s="5"/>
      <c r="ATD64" s="5"/>
      <c r="ATE64" s="5"/>
      <c r="ATF64" s="5"/>
      <c r="ATG64" s="5"/>
      <c r="ATH64" s="5"/>
      <c r="ATI64" s="5"/>
      <c r="ATJ64" s="5"/>
      <c r="ATK64" s="5"/>
      <c r="ATL64" s="5"/>
      <c r="ATM64" s="5"/>
      <c r="ATN64" s="5"/>
      <c r="ATO64" s="5"/>
      <c r="ATP64" s="5"/>
      <c r="ATQ64" s="5"/>
      <c r="ATR64" s="5"/>
      <c r="ATS64" s="5"/>
      <c r="ATT64" s="5"/>
      <c r="ATU64" s="5"/>
      <c r="ATV64" s="5"/>
      <c r="ATW64" s="5"/>
      <c r="ATX64" s="5"/>
      <c r="ATY64" s="5"/>
      <c r="ATZ64" s="5"/>
      <c r="AUA64" s="5"/>
      <c r="AUB64" s="5"/>
      <c r="AUC64" s="5"/>
      <c r="AUD64" s="5"/>
      <c r="AUE64" s="5"/>
      <c r="AUF64" s="5"/>
      <c r="AUG64" s="5"/>
      <c r="AUH64" s="5"/>
      <c r="AUI64" s="5"/>
      <c r="AUJ64" s="5"/>
      <c r="AUK64" s="5"/>
      <c r="AUL64" s="5"/>
      <c r="AUM64" s="5"/>
      <c r="AUN64" s="5"/>
      <c r="AUO64" s="5"/>
      <c r="AUP64" s="5"/>
      <c r="AUQ64" s="5"/>
      <c r="AUR64" s="5"/>
      <c r="AUS64" s="5"/>
      <c r="AUT64" s="5"/>
      <c r="AUU64" s="5"/>
      <c r="AUV64" s="5"/>
      <c r="AUW64" s="5"/>
      <c r="AUX64" s="5"/>
      <c r="AUY64" s="5"/>
      <c r="AUZ64" s="5"/>
      <c r="AVA64" s="5"/>
      <c r="AVB64" s="5"/>
      <c r="AVC64" s="5"/>
      <c r="AVD64" s="5"/>
      <c r="AVE64" s="5"/>
      <c r="AVF64" s="5"/>
      <c r="AVG64" s="5"/>
      <c r="AVH64" s="5"/>
      <c r="AVI64" s="5"/>
      <c r="AVJ64" s="5"/>
      <c r="AVK64" s="5"/>
      <c r="AVL64" s="5"/>
      <c r="AVM64" s="5"/>
      <c r="AVN64" s="5"/>
      <c r="AVO64" s="5"/>
      <c r="AVP64" s="5"/>
      <c r="AVQ64" s="5"/>
      <c r="AVR64" s="5"/>
      <c r="AVS64" s="5"/>
      <c r="AVT64" s="5"/>
      <c r="AVU64" s="5"/>
      <c r="AVV64" s="5"/>
      <c r="AVW64" s="5"/>
      <c r="AVX64" s="5"/>
      <c r="AVY64" s="5"/>
      <c r="AVZ64" s="5"/>
      <c r="AWA64" s="5"/>
      <c r="AWB64" s="5"/>
      <c r="AWC64" s="5"/>
      <c r="AWD64" s="5"/>
      <c r="AWE64" s="5"/>
      <c r="AWF64" s="5"/>
      <c r="AWG64" s="5"/>
      <c r="AWH64" s="5"/>
      <c r="AWI64" s="5"/>
      <c r="AWJ64" s="5"/>
      <c r="AWK64" s="5"/>
      <c r="AWL64" s="5"/>
      <c r="AWM64" s="5"/>
      <c r="AWN64" s="5"/>
      <c r="AWO64" s="5"/>
      <c r="AWP64" s="5"/>
      <c r="AWQ64" s="5"/>
      <c r="AWR64" s="5"/>
      <c r="AWS64" s="5"/>
      <c r="AWT64" s="5"/>
      <c r="AWU64" s="5"/>
      <c r="AWV64" s="5"/>
      <c r="AWW64" s="5"/>
      <c r="AWX64" s="5"/>
      <c r="AWY64" s="5"/>
      <c r="AWZ64" s="5"/>
      <c r="AXA64" s="5"/>
      <c r="AXB64" s="5"/>
      <c r="AXC64" s="5"/>
      <c r="AXD64" s="5"/>
      <c r="AXE64" s="5"/>
      <c r="AXF64" s="5"/>
      <c r="AXG64" s="5"/>
      <c r="AXH64" s="5"/>
      <c r="AXI64" s="5"/>
      <c r="AXJ64" s="5"/>
      <c r="AXK64" s="5"/>
      <c r="AXL64" s="5"/>
      <c r="AXM64" s="5"/>
      <c r="AXN64" s="5"/>
      <c r="AXO64" s="5"/>
      <c r="AXP64" s="5"/>
      <c r="AXQ64" s="5"/>
      <c r="AXR64" s="5"/>
      <c r="AXS64" s="5"/>
      <c r="AXT64" s="5"/>
      <c r="AXU64" s="5"/>
      <c r="AXV64" s="5"/>
      <c r="AXW64" s="5"/>
      <c r="AXX64" s="5"/>
      <c r="AXY64" s="5"/>
      <c r="AXZ64" s="5"/>
      <c r="AYA64" s="5"/>
      <c r="AYB64" s="5"/>
      <c r="AYC64" s="5"/>
      <c r="AYD64" s="5"/>
      <c r="AYE64" s="5"/>
      <c r="AYF64" s="5"/>
      <c r="AYG64" s="5"/>
      <c r="AYH64" s="5"/>
      <c r="AYI64" s="5"/>
      <c r="AYJ64" s="5"/>
      <c r="AYK64" s="5"/>
      <c r="AYL64" s="5"/>
      <c r="AYM64" s="5"/>
      <c r="AYN64" s="5"/>
      <c r="AYO64" s="5"/>
      <c r="AYP64" s="5"/>
      <c r="AYQ64" s="5"/>
      <c r="AYR64" s="5"/>
      <c r="AYS64" s="5"/>
      <c r="AYT64" s="5"/>
      <c r="AYU64" s="5"/>
      <c r="AYV64" s="5"/>
      <c r="AYW64" s="5"/>
      <c r="AYX64" s="5"/>
      <c r="AYY64" s="5"/>
      <c r="AYZ64" s="5"/>
      <c r="AZA64" s="5"/>
      <c r="AZB64" s="5"/>
      <c r="AZC64" s="5"/>
      <c r="AZD64" s="5"/>
      <c r="AZE64" s="5"/>
      <c r="AZF64" s="5"/>
      <c r="AZG64" s="5"/>
      <c r="AZH64" s="5"/>
      <c r="AZI64" s="5"/>
      <c r="AZJ64" s="5"/>
      <c r="AZK64" s="5"/>
      <c r="AZL64" s="5"/>
      <c r="AZM64" s="5"/>
      <c r="AZN64" s="5"/>
      <c r="AZO64" s="5"/>
      <c r="AZP64" s="5"/>
      <c r="AZQ64" s="5"/>
      <c r="AZR64" s="5"/>
      <c r="AZS64" s="5"/>
      <c r="AZT64" s="5"/>
      <c r="AZU64" s="5"/>
      <c r="AZV64" s="5"/>
      <c r="AZW64" s="5"/>
      <c r="AZX64" s="5"/>
      <c r="AZY64" s="5"/>
      <c r="AZZ64" s="5"/>
      <c r="BAA64" s="5"/>
      <c r="BAB64" s="5"/>
      <c r="BAC64" s="5"/>
      <c r="BAD64" s="5"/>
      <c r="BAE64" s="5"/>
      <c r="BAF64" s="5"/>
      <c r="BAG64" s="5"/>
      <c r="BAH64" s="5"/>
      <c r="BAI64" s="5"/>
      <c r="BAJ64" s="5"/>
      <c r="BAK64" s="5"/>
      <c r="BAL64" s="5"/>
      <c r="BAM64" s="5"/>
      <c r="BAN64" s="5"/>
      <c r="BAO64" s="5"/>
      <c r="BAP64" s="5"/>
      <c r="BAQ64" s="5"/>
      <c r="BAR64" s="5"/>
      <c r="BAS64" s="5"/>
      <c r="BAT64" s="5"/>
      <c r="BAU64" s="5"/>
      <c r="BAV64" s="5"/>
      <c r="BAW64" s="5"/>
      <c r="BAX64" s="5"/>
      <c r="BAY64" s="5"/>
      <c r="BAZ64" s="5"/>
      <c r="BBA64" s="5"/>
      <c r="BBB64" s="5"/>
      <c r="BBC64" s="5"/>
      <c r="BBD64" s="5"/>
      <c r="BBE64" s="5"/>
      <c r="BBF64" s="5"/>
      <c r="BBG64" s="5"/>
      <c r="BBH64" s="5"/>
      <c r="BBI64" s="5"/>
      <c r="BBJ64" s="5"/>
      <c r="BBK64" s="5"/>
      <c r="BBL64" s="5"/>
      <c r="BBM64" s="5"/>
      <c r="BBN64" s="5"/>
      <c r="BBO64" s="5"/>
      <c r="BBP64" s="5"/>
      <c r="BBQ64" s="5"/>
      <c r="BBR64" s="5"/>
      <c r="BBS64" s="5"/>
      <c r="BBT64" s="5"/>
      <c r="BBU64" s="5"/>
      <c r="BBV64" s="5"/>
      <c r="BBW64" s="5"/>
      <c r="BBX64" s="5"/>
      <c r="BBY64" s="5"/>
      <c r="BBZ64" s="5"/>
      <c r="BCA64" s="5"/>
      <c r="BCB64" s="5"/>
      <c r="BCC64" s="5"/>
      <c r="BCD64" s="5"/>
      <c r="BCE64" s="5"/>
      <c r="BCF64" s="5"/>
      <c r="BCG64" s="5"/>
      <c r="BCH64" s="5"/>
      <c r="BCI64" s="5"/>
      <c r="BCJ64" s="5"/>
      <c r="BCK64" s="5"/>
      <c r="BCL64" s="5"/>
      <c r="BCM64" s="5"/>
      <c r="BCN64" s="5"/>
      <c r="BCO64" s="5"/>
      <c r="BCP64" s="5"/>
      <c r="BCQ64" s="5"/>
      <c r="BCR64" s="5"/>
      <c r="BCS64" s="5"/>
      <c r="BCT64" s="5"/>
      <c r="BCU64" s="5"/>
      <c r="BCV64" s="5"/>
      <c r="BCW64" s="5"/>
      <c r="BCX64" s="5"/>
      <c r="BCY64" s="5"/>
      <c r="BCZ64" s="5"/>
      <c r="BDA64" s="5"/>
      <c r="BDB64" s="5"/>
      <c r="BDC64" s="5"/>
      <c r="BDD64" s="5"/>
      <c r="BDE64" s="5"/>
      <c r="BDF64" s="5"/>
      <c r="BDG64" s="5"/>
      <c r="BDH64" s="5"/>
      <c r="BDI64" s="5"/>
      <c r="BDJ64" s="5"/>
      <c r="BDK64" s="5"/>
      <c r="BDL64" s="5"/>
      <c r="BDM64" s="5"/>
      <c r="BDN64" s="5"/>
      <c r="BDO64" s="5"/>
      <c r="BDP64" s="5"/>
      <c r="BDQ64" s="5"/>
      <c r="BDR64" s="5"/>
      <c r="BDS64" s="5"/>
      <c r="BDT64" s="5"/>
      <c r="BDU64" s="5"/>
      <c r="BDV64" s="5"/>
      <c r="BDW64" s="5"/>
      <c r="BDX64" s="5"/>
      <c r="BDY64" s="5"/>
      <c r="BDZ64" s="5"/>
      <c r="BEA64" s="5"/>
      <c r="BEB64" s="5"/>
      <c r="BEC64" s="5"/>
      <c r="BED64" s="5"/>
      <c r="BEE64" s="5"/>
      <c r="BEF64" s="5"/>
      <c r="BEG64" s="5"/>
      <c r="BEH64" s="5"/>
      <c r="BEI64" s="5"/>
      <c r="BEJ64" s="5"/>
      <c r="BEK64" s="5"/>
      <c r="BEL64" s="5"/>
      <c r="BEM64" s="5"/>
      <c r="BEN64" s="5"/>
      <c r="BEO64" s="5"/>
      <c r="BEP64" s="5"/>
      <c r="BEQ64" s="5"/>
      <c r="BER64" s="5"/>
      <c r="BES64" s="5"/>
      <c r="BET64" s="5"/>
      <c r="BEU64" s="5"/>
      <c r="BEV64" s="5"/>
      <c r="BEW64" s="5"/>
      <c r="BEX64" s="5"/>
      <c r="BEY64" s="5"/>
      <c r="BEZ64" s="5"/>
      <c r="BFA64" s="5"/>
      <c r="BFB64" s="5"/>
      <c r="BFC64" s="5"/>
      <c r="BFD64" s="5"/>
      <c r="BFE64" s="5"/>
      <c r="BFF64" s="5"/>
      <c r="BFG64" s="5"/>
      <c r="BFH64" s="5"/>
      <c r="BFI64" s="5"/>
      <c r="BFJ64" s="5"/>
      <c r="BFK64" s="5"/>
      <c r="BFL64" s="5"/>
      <c r="BFM64" s="5"/>
      <c r="BFN64" s="5"/>
      <c r="BFO64" s="5"/>
      <c r="BFP64" s="5"/>
      <c r="BFQ64" s="5"/>
      <c r="BFR64" s="5"/>
      <c r="BFS64" s="5"/>
      <c r="BFT64" s="5"/>
      <c r="BFU64" s="5"/>
      <c r="BFV64" s="5"/>
      <c r="BFW64" s="5"/>
      <c r="BFX64" s="5"/>
      <c r="BFY64" s="5"/>
      <c r="BFZ64" s="5"/>
      <c r="BGA64" s="5"/>
      <c r="BGB64" s="5"/>
      <c r="BGC64" s="5"/>
      <c r="BGD64" s="5"/>
      <c r="BGE64" s="5"/>
      <c r="BGF64" s="5"/>
      <c r="BGG64" s="5"/>
      <c r="BGH64" s="5"/>
      <c r="BGI64" s="5"/>
      <c r="BGJ64" s="5"/>
      <c r="BGK64" s="5"/>
      <c r="BGL64" s="5"/>
      <c r="BGM64" s="5"/>
      <c r="BGN64" s="5"/>
      <c r="BGO64" s="5"/>
      <c r="BGP64" s="5"/>
      <c r="BGQ64" s="5"/>
      <c r="BGR64" s="5"/>
      <c r="BGS64" s="5"/>
      <c r="BGT64" s="5"/>
      <c r="BGU64" s="5"/>
      <c r="BGV64" s="5"/>
      <c r="BGW64" s="5"/>
      <c r="BGX64" s="5"/>
      <c r="BGY64" s="5"/>
      <c r="BGZ64" s="5"/>
      <c r="BHA64" s="5"/>
      <c r="BHB64" s="5"/>
      <c r="BHC64" s="5"/>
      <c r="BHD64" s="5"/>
      <c r="BHE64" s="5"/>
      <c r="BHF64" s="5"/>
      <c r="BHG64" s="5"/>
      <c r="BHH64" s="5"/>
      <c r="BHI64" s="5"/>
      <c r="BHJ64" s="5"/>
      <c r="BHK64" s="5"/>
      <c r="BHL64" s="5"/>
      <c r="BHM64" s="5"/>
      <c r="BHN64" s="5"/>
      <c r="BHO64" s="5"/>
      <c r="BHP64" s="5"/>
      <c r="BHQ64" s="5"/>
      <c r="BHR64" s="5"/>
      <c r="BHS64" s="5"/>
      <c r="BHT64" s="5"/>
      <c r="BHU64" s="5"/>
      <c r="BHV64" s="5"/>
      <c r="BHW64" s="5"/>
      <c r="BHX64" s="5"/>
      <c r="BHY64" s="5"/>
      <c r="BHZ64" s="5"/>
      <c r="BIA64" s="5"/>
      <c r="BIB64" s="5"/>
      <c r="BIC64" s="5"/>
      <c r="BID64" s="5"/>
      <c r="BIE64" s="5"/>
      <c r="BIF64" s="5"/>
      <c r="BIG64" s="5"/>
      <c r="BIH64" s="5"/>
      <c r="BII64" s="5"/>
      <c r="BIJ64" s="5"/>
      <c r="BIK64" s="5"/>
      <c r="BIL64" s="5"/>
      <c r="BIM64" s="5"/>
      <c r="BIN64" s="5"/>
      <c r="BIO64" s="5"/>
      <c r="BIP64" s="5"/>
      <c r="BIQ64" s="5"/>
      <c r="BIR64" s="5"/>
      <c r="BIS64" s="5"/>
      <c r="BIT64" s="5"/>
      <c r="BIU64" s="5"/>
      <c r="BIV64" s="5"/>
      <c r="BIW64" s="5"/>
      <c r="BIX64" s="5"/>
      <c r="BIY64" s="5"/>
      <c r="BIZ64" s="5"/>
      <c r="BJA64" s="5"/>
      <c r="BJB64" s="5"/>
      <c r="BJC64" s="5"/>
      <c r="BJD64" s="5"/>
      <c r="BJE64" s="5"/>
      <c r="BJF64" s="5"/>
      <c r="BJG64" s="5"/>
      <c r="BJH64" s="5"/>
      <c r="BJI64" s="5"/>
      <c r="BJJ64" s="5"/>
      <c r="BJK64" s="5"/>
      <c r="BJL64" s="5"/>
      <c r="BJM64" s="5"/>
      <c r="BJN64" s="5"/>
      <c r="BJO64" s="5"/>
      <c r="BJP64" s="5"/>
      <c r="BJQ64" s="5"/>
      <c r="BJR64" s="5"/>
      <c r="BJS64" s="5"/>
      <c r="BJT64" s="5"/>
      <c r="BJU64" s="5"/>
      <c r="BJV64" s="5"/>
      <c r="BJW64" s="5"/>
      <c r="BJX64" s="5"/>
      <c r="BJY64" s="5"/>
      <c r="BJZ64" s="5"/>
      <c r="BKA64" s="5"/>
      <c r="BKB64" s="5"/>
      <c r="BKC64" s="5"/>
      <c r="BKD64" s="5"/>
      <c r="BKE64" s="5"/>
      <c r="BKF64" s="5"/>
      <c r="BKG64" s="5"/>
      <c r="BKH64" s="5"/>
      <c r="BKI64" s="5"/>
      <c r="BKJ64" s="5"/>
      <c r="BKK64" s="5"/>
      <c r="BKL64" s="5"/>
      <c r="BKM64" s="5"/>
      <c r="BKN64" s="5"/>
      <c r="BKO64" s="5"/>
      <c r="BKP64" s="5"/>
      <c r="BKQ64" s="5"/>
      <c r="BKR64" s="5"/>
      <c r="BKS64" s="5"/>
      <c r="BKT64" s="5"/>
      <c r="BKU64" s="5"/>
      <c r="BKV64" s="5"/>
      <c r="BKW64" s="5"/>
      <c r="BKX64" s="5"/>
      <c r="BKY64" s="5"/>
      <c r="BKZ64" s="5"/>
      <c r="BLA64" s="5"/>
      <c r="BLB64" s="5"/>
      <c r="BLC64" s="5"/>
      <c r="BLD64" s="5"/>
      <c r="BLE64" s="5"/>
      <c r="BLF64" s="5"/>
      <c r="BLG64" s="5"/>
      <c r="BLH64" s="5"/>
      <c r="BLI64" s="5"/>
      <c r="BLJ64" s="5"/>
      <c r="BLK64" s="5"/>
      <c r="BLL64" s="5"/>
      <c r="BLM64" s="5"/>
      <c r="BLN64" s="5"/>
      <c r="BLO64" s="5"/>
      <c r="BLP64" s="5"/>
      <c r="BLQ64" s="5"/>
      <c r="BLR64" s="5"/>
      <c r="BLS64" s="5"/>
      <c r="BLT64" s="5"/>
      <c r="BLU64" s="5"/>
      <c r="BLV64" s="5"/>
      <c r="BLW64" s="5"/>
      <c r="BLX64" s="5"/>
      <c r="BLY64" s="5"/>
      <c r="BLZ64" s="5"/>
      <c r="BMA64" s="5"/>
      <c r="BMB64" s="5"/>
      <c r="BMC64" s="5"/>
      <c r="BMD64" s="5"/>
      <c r="BME64" s="5"/>
      <c r="BMF64" s="5"/>
      <c r="BMG64" s="5"/>
      <c r="BMH64" s="5"/>
      <c r="BMI64" s="5"/>
      <c r="BMJ64" s="5"/>
      <c r="BMK64" s="5"/>
      <c r="BML64" s="5"/>
      <c r="BMM64" s="5"/>
      <c r="BMN64" s="5"/>
      <c r="BMO64" s="5"/>
      <c r="BMP64" s="5"/>
      <c r="BMQ64" s="5"/>
      <c r="BMR64" s="5"/>
      <c r="BMS64" s="5"/>
      <c r="BMT64" s="5"/>
      <c r="BMU64" s="5"/>
      <c r="BMV64" s="5"/>
      <c r="BMW64" s="5"/>
      <c r="BMX64" s="5"/>
      <c r="BMY64" s="5"/>
      <c r="BMZ64" s="5"/>
      <c r="BNA64" s="5"/>
      <c r="BNB64" s="5"/>
      <c r="BNC64" s="5"/>
      <c r="BND64" s="5"/>
      <c r="BNE64" s="5"/>
      <c r="BNF64" s="5"/>
      <c r="BNG64" s="5"/>
      <c r="BNH64" s="5"/>
      <c r="BNI64" s="5"/>
      <c r="BNJ64" s="5"/>
      <c r="BNK64" s="5"/>
      <c r="BNL64" s="5"/>
      <c r="BNM64" s="5"/>
      <c r="BNN64" s="5"/>
      <c r="BNO64" s="5"/>
      <c r="BNP64" s="5"/>
      <c r="BNQ64" s="5"/>
      <c r="BNR64" s="5"/>
      <c r="BNS64" s="5"/>
      <c r="BNT64" s="5"/>
      <c r="BNU64" s="5"/>
      <c r="BNV64" s="5"/>
      <c r="BNW64" s="5"/>
      <c r="BNX64" s="5"/>
      <c r="BNY64" s="5"/>
      <c r="BNZ64" s="5"/>
      <c r="BOA64" s="5"/>
      <c r="BOB64" s="5"/>
      <c r="BOC64" s="5"/>
      <c r="BOD64" s="5"/>
      <c r="BOE64" s="5"/>
      <c r="BOF64" s="5"/>
      <c r="BOG64" s="5"/>
      <c r="BOH64" s="5"/>
      <c r="BOI64" s="5"/>
      <c r="BOJ64" s="5"/>
      <c r="BOK64" s="5"/>
      <c r="BOL64" s="5"/>
      <c r="BOM64" s="5"/>
      <c r="BON64" s="5"/>
      <c r="BOO64" s="5"/>
      <c r="BOP64" s="5"/>
      <c r="BOQ64" s="5"/>
      <c r="BOR64" s="5"/>
      <c r="BOS64" s="5"/>
      <c r="BOT64" s="5"/>
      <c r="BOU64" s="5"/>
      <c r="BOV64" s="5"/>
      <c r="BOW64" s="5"/>
      <c r="BOX64" s="5"/>
      <c r="BOY64" s="5"/>
      <c r="BOZ64" s="5"/>
      <c r="BPA64" s="5"/>
      <c r="BPB64" s="5"/>
      <c r="BPC64" s="5"/>
      <c r="BPD64" s="5"/>
      <c r="BPE64" s="5"/>
      <c r="BPF64" s="5"/>
      <c r="BPG64" s="5"/>
      <c r="BPH64" s="5"/>
      <c r="BPI64" s="5"/>
      <c r="BPJ64" s="5"/>
      <c r="BPK64" s="5"/>
      <c r="BPL64" s="5"/>
      <c r="BPM64" s="5"/>
      <c r="BPN64" s="5"/>
      <c r="BPO64" s="5"/>
      <c r="BPP64" s="5"/>
      <c r="BPQ64" s="5"/>
      <c r="BPR64" s="5"/>
      <c r="BPS64" s="5"/>
      <c r="BPT64" s="5"/>
      <c r="BPU64" s="5"/>
      <c r="BPV64" s="5"/>
      <c r="BPW64" s="5"/>
      <c r="BPX64" s="5"/>
      <c r="BPY64" s="5"/>
      <c r="BPZ64" s="5"/>
      <c r="BQA64" s="5"/>
      <c r="BQB64" s="5"/>
      <c r="BQC64" s="5"/>
      <c r="BQD64" s="5"/>
      <c r="BQE64" s="5"/>
      <c r="BQF64" s="5"/>
      <c r="BQG64" s="5"/>
      <c r="BQH64" s="5"/>
      <c r="BQI64" s="5"/>
      <c r="BQJ64" s="5"/>
      <c r="BQK64" s="5"/>
      <c r="BQL64" s="5"/>
      <c r="BQM64" s="5"/>
      <c r="BQN64" s="5"/>
      <c r="BQO64" s="5"/>
      <c r="BQP64" s="5"/>
      <c r="BQQ64" s="5"/>
      <c r="BQR64" s="5"/>
      <c r="BQS64" s="5"/>
      <c r="BQT64" s="5"/>
      <c r="BQU64" s="5"/>
      <c r="BQV64" s="5"/>
      <c r="BQW64" s="5"/>
      <c r="BQX64" s="5"/>
      <c r="BQY64" s="5"/>
      <c r="BQZ64" s="5"/>
      <c r="BRA64" s="5"/>
      <c r="BRB64" s="5"/>
      <c r="BRC64" s="5"/>
      <c r="BRD64" s="5"/>
      <c r="BRE64" s="5"/>
      <c r="BRF64" s="5"/>
      <c r="BRG64" s="5"/>
      <c r="BRH64" s="5"/>
      <c r="BRI64" s="5"/>
      <c r="BRJ64" s="5"/>
      <c r="BRK64" s="5"/>
      <c r="BRL64" s="5"/>
      <c r="BRM64" s="5"/>
      <c r="BRN64" s="5"/>
      <c r="BRO64" s="5"/>
      <c r="BRP64" s="5"/>
      <c r="BRQ64" s="5"/>
      <c r="BRR64" s="5"/>
      <c r="BRS64" s="5"/>
      <c r="BRT64" s="5"/>
      <c r="BRU64" s="5"/>
      <c r="BRV64" s="5"/>
      <c r="BRW64" s="5"/>
      <c r="BRX64" s="5"/>
      <c r="BRY64" s="5"/>
      <c r="BRZ64" s="5"/>
      <c r="BSA64" s="5"/>
      <c r="BSB64" s="5"/>
      <c r="BSC64" s="5"/>
      <c r="BSD64" s="5"/>
      <c r="BSE64" s="5"/>
      <c r="BSF64" s="5"/>
      <c r="BSG64" s="5"/>
      <c r="BSH64" s="5"/>
      <c r="BSI64" s="5"/>
      <c r="BSJ64" s="5"/>
      <c r="BSK64" s="5"/>
      <c r="BSL64" s="5"/>
      <c r="BSM64" s="5"/>
      <c r="BSN64" s="5"/>
      <c r="BSO64" s="5"/>
      <c r="BSP64" s="5"/>
      <c r="BSQ64" s="5"/>
      <c r="BSR64" s="5"/>
      <c r="BSS64" s="5"/>
      <c r="BST64" s="5"/>
      <c r="BSU64" s="5"/>
      <c r="BSV64" s="5"/>
      <c r="BSW64" s="5"/>
      <c r="BSX64" s="5"/>
      <c r="BSY64" s="5"/>
      <c r="BSZ64" s="5"/>
      <c r="BTA64" s="5"/>
      <c r="BTB64" s="5"/>
      <c r="BTC64" s="5"/>
      <c r="BTD64" s="5"/>
      <c r="BTE64" s="5"/>
      <c r="BTF64" s="5"/>
      <c r="BTG64" s="5"/>
      <c r="BTH64" s="5"/>
      <c r="BTI64" s="5"/>
      <c r="BTJ64" s="5"/>
      <c r="BTK64" s="5"/>
      <c r="BTL64" s="5"/>
      <c r="BTM64" s="5"/>
      <c r="BTN64" s="5"/>
      <c r="BTO64" s="5"/>
      <c r="BTP64" s="5"/>
      <c r="BTQ64" s="5"/>
      <c r="BTR64" s="5"/>
      <c r="BTS64" s="5"/>
      <c r="BTT64" s="5"/>
      <c r="BTU64" s="5"/>
      <c r="BTV64" s="5"/>
      <c r="BTW64" s="5"/>
      <c r="BTX64" s="5"/>
      <c r="BTY64" s="5"/>
      <c r="BTZ64" s="5"/>
      <c r="BUA64" s="5"/>
      <c r="BUB64" s="5"/>
      <c r="BUC64" s="5"/>
      <c r="BUD64" s="5"/>
      <c r="BUE64" s="5"/>
      <c r="BUF64" s="5"/>
      <c r="BUG64" s="5"/>
      <c r="BUH64" s="5"/>
      <c r="BUI64" s="5"/>
      <c r="BUJ64" s="5"/>
      <c r="BUK64" s="5"/>
      <c r="BUL64" s="5"/>
      <c r="BUM64" s="5"/>
      <c r="BUN64" s="5"/>
      <c r="BUO64" s="5"/>
      <c r="BUP64" s="5"/>
      <c r="BUQ64" s="5"/>
      <c r="BUR64" s="5"/>
      <c r="BUS64" s="5"/>
      <c r="BUT64" s="5"/>
      <c r="BUU64" s="5"/>
      <c r="BUV64" s="5"/>
      <c r="BUW64" s="5"/>
      <c r="BUX64" s="5"/>
      <c r="BUY64" s="5"/>
      <c r="BUZ64" s="5"/>
      <c r="BVA64" s="5"/>
      <c r="BVB64" s="5"/>
      <c r="BVC64" s="5"/>
      <c r="BVD64" s="5"/>
      <c r="BVE64" s="5"/>
      <c r="BVF64" s="5"/>
      <c r="BVG64" s="5"/>
      <c r="BVH64" s="5"/>
      <c r="BVI64" s="5"/>
      <c r="BVJ64" s="5"/>
      <c r="BVK64" s="5"/>
      <c r="BVL64" s="5"/>
      <c r="BVM64" s="5"/>
      <c r="BVN64" s="5"/>
      <c r="BVO64" s="5"/>
      <c r="BVP64" s="5"/>
      <c r="BVQ64" s="5"/>
      <c r="BVR64" s="5"/>
      <c r="BVS64" s="5"/>
      <c r="BVT64" s="5"/>
      <c r="BVU64" s="5"/>
      <c r="BVV64" s="5"/>
      <c r="BVW64" s="5"/>
      <c r="BVX64" s="5"/>
      <c r="BVY64" s="5"/>
      <c r="BVZ64" s="5"/>
      <c r="BWA64" s="5"/>
      <c r="BWB64" s="5"/>
      <c r="BWC64" s="5"/>
      <c r="BWD64" s="5"/>
      <c r="BWE64" s="5"/>
      <c r="BWF64" s="5"/>
      <c r="BWG64" s="5"/>
      <c r="BWH64" s="5"/>
      <c r="BWI64" s="5"/>
      <c r="BWJ64" s="5"/>
      <c r="BWK64" s="5"/>
      <c r="BWL64" s="5"/>
      <c r="BWM64" s="5"/>
      <c r="BWN64" s="5"/>
      <c r="BWO64" s="5"/>
      <c r="BWP64" s="5"/>
      <c r="BWQ64" s="5"/>
      <c r="BWR64" s="5"/>
      <c r="BWS64" s="5"/>
      <c r="BWT64" s="5"/>
      <c r="BWU64" s="5"/>
      <c r="BWV64" s="5"/>
      <c r="BWW64" s="5"/>
      <c r="BWX64" s="5"/>
      <c r="BWY64" s="5"/>
      <c r="BWZ64" s="5"/>
      <c r="BXA64" s="5"/>
      <c r="BXB64" s="5"/>
      <c r="BXC64" s="5"/>
      <c r="BXD64" s="5"/>
      <c r="BXE64" s="5"/>
      <c r="BXF64" s="5"/>
      <c r="BXG64" s="5"/>
      <c r="BXH64" s="5"/>
      <c r="BXI64" s="5"/>
      <c r="BXJ64" s="5"/>
      <c r="BXK64" s="5"/>
      <c r="BXL64" s="5"/>
      <c r="BXM64" s="5"/>
      <c r="BXN64" s="5"/>
      <c r="BXO64" s="5"/>
      <c r="BXP64" s="5"/>
      <c r="BXQ64" s="5"/>
      <c r="BXR64" s="5"/>
      <c r="BXS64" s="5"/>
      <c r="BXT64" s="5"/>
      <c r="BXU64" s="5"/>
      <c r="BXV64" s="5"/>
      <c r="BXW64" s="5"/>
      <c r="BXX64" s="5"/>
      <c r="BXY64" s="5"/>
      <c r="BXZ64" s="5"/>
      <c r="BYA64" s="5"/>
      <c r="BYB64" s="5"/>
      <c r="BYC64" s="5"/>
      <c r="BYD64" s="5"/>
      <c r="BYE64" s="5"/>
      <c r="BYF64" s="5"/>
      <c r="BYG64" s="5"/>
      <c r="BYH64" s="5"/>
      <c r="BYI64" s="5"/>
      <c r="BYJ64" s="5"/>
      <c r="BYK64" s="5"/>
      <c r="BYL64" s="5"/>
      <c r="BYM64" s="5"/>
      <c r="BYN64" s="5"/>
      <c r="BYO64" s="5"/>
      <c r="BYP64" s="5"/>
      <c r="BYQ64" s="5"/>
      <c r="BYR64" s="5"/>
      <c r="BYS64" s="5"/>
      <c r="BYT64" s="5"/>
      <c r="BYU64" s="5"/>
      <c r="BYV64" s="5"/>
      <c r="BYW64" s="5"/>
      <c r="BYX64" s="5"/>
      <c r="BYY64" s="5"/>
      <c r="BYZ64" s="5"/>
      <c r="BZA64" s="5"/>
      <c r="BZB64" s="5"/>
      <c r="BZC64" s="5"/>
      <c r="BZD64" s="5"/>
      <c r="BZE64" s="5"/>
      <c r="BZF64" s="5"/>
      <c r="BZG64" s="5"/>
      <c r="BZH64" s="5"/>
      <c r="BZI64" s="5"/>
      <c r="BZJ64" s="5"/>
      <c r="BZK64" s="5"/>
      <c r="BZL64" s="5"/>
      <c r="BZM64" s="5"/>
      <c r="BZN64" s="5"/>
      <c r="BZO64" s="5"/>
      <c r="BZP64" s="5"/>
      <c r="BZQ64" s="5"/>
      <c r="BZR64" s="5"/>
      <c r="BZS64" s="5"/>
      <c r="BZT64" s="5"/>
      <c r="BZU64" s="5"/>
      <c r="BZV64" s="5"/>
      <c r="BZW64" s="5"/>
      <c r="BZX64" s="5"/>
      <c r="BZY64" s="5"/>
      <c r="BZZ64" s="5"/>
      <c r="CAA64" s="5"/>
      <c r="CAB64" s="5"/>
      <c r="CAC64" s="5"/>
      <c r="CAD64" s="5"/>
      <c r="CAE64" s="5"/>
      <c r="CAF64" s="5"/>
      <c r="CAG64" s="5"/>
      <c r="CAH64" s="5"/>
      <c r="CAI64" s="5"/>
      <c r="CAJ64" s="5"/>
      <c r="CAK64" s="5"/>
      <c r="CAL64" s="5"/>
      <c r="CAM64" s="5"/>
      <c r="CAN64" s="5"/>
      <c r="CAO64" s="5"/>
      <c r="CAP64" s="5"/>
      <c r="CAQ64" s="5"/>
      <c r="CAR64" s="5"/>
      <c r="CAS64" s="5"/>
      <c r="CAT64" s="5"/>
      <c r="CAU64" s="5"/>
      <c r="CAV64" s="5"/>
      <c r="CAW64" s="5"/>
      <c r="CAX64" s="5"/>
      <c r="CAY64" s="5"/>
      <c r="CAZ64" s="5"/>
      <c r="CBA64" s="5"/>
      <c r="CBB64" s="5"/>
      <c r="CBC64" s="5"/>
      <c r="CBD64" s="5"/>
      <c r="CBE64" s="5"/>
      <c r="CBF64" s="5"/>
      <c r="CBG64" s="5"/>
      <c r="CBH64" s="5"/>
      <c r="CBI64" s="5"/>
      <c r="CBJ64" s="5"/>
      <c r="CBK64" s="5"/>
      <c r="CBL64" s="5"/>
      <c r="CBM64" s="5"/>
      <c r="CBN64" s="5"/>
      <c r="CBO64" s="5"/>
      <c r="CBP64" s="5"/>
      <c r="CBQ64" s="5"/>
      <c r="CBR64" s="5"/>
      <c r="CBS64" s="5"/>
      <c r="CBT64" s="5"/>
      <c r="CBU64" s="5"/>
      <c r="CBV64" s="5"/>
      <c r="CBW64" s="5"/>
      <c r="CBX64" s="5"/>
      <c r="CBY64" s="5"/>
      <c r="CBZ64" s="5"/>
      <c r="CCA64" s="5"/>
      <c r="CCB64" s="5"/>
      <c r="CCC64" s="5"/>
      <c r="CCD64" s="5"/>
      <c r="CCE64" s="5"/>
      <c r="CCF64" s="5"/>
      <c r="CCG64" s="5"/>
      <c r="CCH64" s="5"/>
      <c r="CCI64" s="5"/>
      <c r="CCJ64" s="5"/>
      <c r="CCK64" s="5"/>
      <c r="CCL64" s="5"/>
      <c r="CCM64" s="5"/>
      <c r="CCN64" s="5"/>
      <c r="CCO64" s="5"/>
      <c r="CCP64" s="5"/>
      <c r="CCQ64" s="5"/>
      <c r="CCR64" s="5"/>
      <c r="CCS64" s="5"/>
      <c r="CCT64" s="5"/>
      <c r="CCU64" s="5"/>
      <c r="CCV64" s="5"/>
      <c r="CCW64" s="5"/>
      <c r="CCX64" s="5"/>
      <c r="CCY64" s="5"/>
      <c r="CCZ64" s="5"/>
      <c r="CDA64" s="5"/>
      <c r="CDB64" s="5"/>
      <c r="CDC64" s="5"/>
      <c r="CDD64" s="5"/>
      <c r="CDE64" s="5"/>
      <c r="CDF64" s="5"/>
      <c r="CDG64" s="5"/>
      <c r="CDH64" s="5"/>
      <c r="CDI64" s="5"/>
      <c r="CDJ64" s="5"/>
      <c r="CDK64" s="5"/>
      <c r="CDL64" s="5"/>
      <c r="CDM64" s="5"/>
      <c r="CDN64" s="5"/>
      <c r="CDO64" s="5"/>
      <c r="CDP64" s="5"/>
      <c r="CDQ64" s="5"/>
      <c r="CDR64" s="5"/>
      <c r="CDS64" s="5"/>
      <c r="CDT64" s="5"/>
      <c r="CDU64" s="5"/>
      <c r="CDV64" s="5"/>
      <c r="CDW64" s="5"/>
      <c r="CDX64" s="5"/>
      <c r="CDY64" s="5"/>
      <c r="CDZ64" s="5"/>
      <c r="CEA64" s="5"/>
      <c r="CEB64" s="5"/>
      <c r="CEC64" s="5"/>
      <c r="CED64" s="5"/>
      <c r="CEE64" s="5"/>
      <c r="CEF64" s="5"/>
      <c r="CEG64" s="5"/>
      <c r="CEH64" s="5"/>
      <c r="CEI64" s="5"/>
      <c r="CEJ64" s="5"/>
      <c r="CEK64" s="5"/>
      <c r="CEL64" s="5"/>
      <c r="CEM64" s="5"/>
      <c r="CEN64" s="5"/>
      <c r="CEO64" s="5"/>
      <c r="CEP64" s="5"/>
      <c r="CEQ64" s="5"/>
      <c r="CER64" s="5"/>
      <c r="CES64" s="5"/>
      <c r="CET64" s="5"/>
      <c r="CEU64" s="5"/>
      <c r="CEV64" s="5"/>
      <c r="CEW64" s="5"/>
      <c r="CEX64" s="5"/>
      <c r="CEY64" s="5"/>
      <c r="CEZ64" s="5"/>
      <c r="CFA64" s="5"/>
      <c r="CFB64" s="5"/>
      <c r="CFC64" s="5"/>
      <c r="CFD64" s="5"/>
      <c r="CFE64" s="5"/>
      <c r="CFF64" s="5"/>
      <c r="CFG64" s="5"/>
      <c r="CFH64" s="5"/>
      <c r="CFI64" s="5"/>
      <c r="CFJ64" s="5"/>
      <c r="CFK64" s="5"/>
      <c r="CFL64" s="5"/>
      <c r="CFM64" s="5"/>
      <c r="CFN64" s="5"/>
      <c r="CFO64" s="5"/>
      <c r="CFP64" s="5"/>
      <c r="CFQ64" s="5"/>
      <c r="CFR64" s="5"/>
      <c r="CFS64" s="5"/>
      <c r="CFT64" s="5"/>
      <c r="CFU64" s="5"/>
      <c r="CFV64" s="5"/>
      <c r="CFW64" s="5"/>
      <c r="CFX64" s="5"/>
      <c r="CFY64" s="5"/>
      <c r="CFZ64" s="5"/>
      <c r="CGA64" s="5"/>
      <c r="CGB64" s="5"/>
      <c r="CGC64" s="5"/>
      <c r="CGD64" s="5"/>
      <c r="CGE64" s="5"/>
      <c r="CGF64" s="5"/>
      <c r="CGG64" s="5"/>
      <c r="CGH64" s="5"/>
      <c r="CGI64" s="5"/>
      <c r="CGJ64" s="5"/>
      <c r="CGK64" s="5"/>
      <c r="CGL64" s="5"/>
      <c r="CGM64" s="5"/>
      <c r="CGN64" s="5"/>
      <c r="CGO64" s="5"/>
      <c r="CGP64" s="5"/>
      <c r="CGQ64" s="5"/>
      <c r="CGR64" s="5"/>
      <c r="CGS64" s="5"/>
      <c r="CGT64" s="5"/>
      <c r="CGU64" s="5"/>
      <c r="CGV64" s="5"/>
      <c r="CGW64" s="5"/>
      <c r="CGX64" s="5"/>
      <c r="CGY64" s="5"/>
      <c r="CGZ64" s="5"/>
      <c r="CHA64" s="5"/>
      <c r="CHB64" s="5"/>
      <c r="CHC64" s="5"/>
      <c r="CHD64" s="5"/>
      <c r="CHE64" s="5"/>
      <c r="CHF64" s="5"/>
      <c r="CHG64" s="5"/>
      <c r="CHH64" s="5"/>
      <c r="CHI64" s="5"/>
      <c r="CHJ64" s="5"/>
      <c r="CHK64" s="5"/>
      <c r="CHL64" s="5"/>
      <c r="CHM64" s="5"/>
      <c r="CHN64" s="5"/>
      <c r="CHO64" s="5"/>
      <c r="CHP64" s="5"/>
      <c r="CHQ64" s="5"/>
      <c r="CHR64" s="5"/>
      <c r="CHS64" s="5"/>
      <c r="CHT64" s="5"/>
      <c r="CHU64" s="5"/>
      <c r="CHV64" s="5"/>
      <c r="CHW64" s="5"/>
      <c r="CHX64" s="5"/>
      <c r="CHY64" s="5"/>
      <c r="CHZ64" s="5"/>
      <c r="CIA64" s="5"/>
      <c r="CIB64" s="5"/>
      <c r="CIC64" s="5"/>
      <c r="CID64" s="5"/>
      <c r="CIE64" s="5"/>
      <c r="CIF64" s="5"/>
      <c r="CIG64" s="5"/>
      <c r="CIH64" s="5"/>
      <c r="CII64" s="5"/>
      <c r="CIJ64" s="5"/>
      <c r="CIK64" s="5"/>
      <c r="CIL64" s="5"/>
      <c r="CIM64" s="5"/>
      <c r="CIN64" s="5"/>
      <c r="CIO64" s="5"/>
      <c r="CIP64" s="5"/>
      <c r="CIQ64" s="5"/>
      <c r="CIR64" s="5"/>
      <c r="CIS64" s="5"/>
      <c r="CIT64" s="5"/>
      <c r="CIU64" s="5"/>
      <c r="CIV64" s="5"/>
      <c r="CIW64" s="5"/>
      <c r="CIX64" s="5"/>
      <c r="CIY64" s="5"/>
      <c r="CIZ64" s="5"/>
      <c r="CJA64" s="5"/>
      <c r="CJB64" s="5"/>
      <c r="CJC64" s="5"/>
      <c r="CJD64" s="5"/>
      <c r="CJE64" s="5"/>
      <c r="CJF64" s="5"/>
      <c r="CJG64" s="5"/>
      <c r="CJH64" s="5"/>
      <c r="CJI64" s="5"/>
      <c r="CJJ64" s="5"/>
      <c r="CJK64" s="5"/>
      <c r="CJL64" s="5"/>
      <c r="CJM64" s="5"/>
      <c r="CJN64" s="5"/>
      <c r="CJO64" s="5"/>
      <c r="CJP64" s="5"/>
      <c r="CJQ64" s="5"/>
      <c r="CJR64" s="5"/>
      <c r="CJS64" s="5"/>
      <c r="CJT64" s="5"/>
      <c r="CJU64" s="5"/>
      <c r="CJV64" s="5"/>
      <c r="CJW64" s="5"/>
      <c r="CJX64" s="5"/>
      <c r="CJY64" s="5"/>
      <c r="CJZ64" s="5"/>
      <c r="CKA64" s="5"/>
      <c r="CKB64" s="5"/>
      <c r="CKC64" s="5"/>
      <c r="CKD64" s="5"/>
      <c r="CKE64" s="5"/>
      <c r="CKF64" s="5"/>
      <c r="CKG64" s="5"/>
      <c r="CKH64" s="5"/>
      <c r="CKI64" s="5"/>
      <c r="CKJ64" s="5"/>
      <c r="CKK64" s="5"/>
      <c r="CKL64" s="5"/>
      <c r="CKM64" s="5"/>
      <c r="CKN64" s="5"/>
      <c r="CKO64" s="5"/>
      <c r="CKP64" s="5"/>
      <c r="CKQ64" s="5"/>
      <c r="CKR64" s="5"/>
      <c r="CKS64" s="5"/>
      <c r="CKT64" s="5"/>
      <c r="CKU64" s="5"/>
      <c r="CKV64" s="5"/>
      <c r="CKW64" s="5"/>
      <c r="CKX64" s="5"/>
      <c r="CKY64" s="5"/>
      <c r="CKZ64" s="5"/>
      <c r="CLA64" s="5"/>
      <c r="CLB64" s="5"/>
      <c r="CLC64" s="5"/>
      <c r="CLD64" s="5"/>
      <c r="CLE64" s="5"/>
      <c r="CLF64" s="5"/>
      <c r="CLG64" s="5"/>
      <c r="CLH64" s="5"/>
      <c r="CLI64" s="5"/>
      <c r="CLJ64" s="5"/>
      <c r="CLK64" s="5"/>
      <c r="CLL64" s="5"/>
      <c r="CLM64" s="5"/>
      <c r="CLN64" s="5"/>
      <c r="CLO64" s="5"/>
      <c r="CLP64" s="5"/>
      <c r="CLQ64" s="5"/>
      <c r="CLR64" s="5"/>
      <c r="CLS64" s="5"/>
      <c r="CLT64" s="5"/>
      <c r="CLU64" s="5"/>
      <c r="CLV64" s="5"/>
      <c r="CLW64" s="5"/>
      <c r="CLX64" s="5"/>
      <c r="CLY64" s="5"/>
      <c r="CLZ64" s="5"/>
      <c r="CMA64" s="5"/>
      <c r="CMB64" s="5"/>
      <c r="CMC64" s="5"/>
      <c r="CMD64" s="5"/>
      <c r="CME64" s="5"/>
      <c r="CMF64" s="5"/>
      <c r="CMG64" s="5"/>
      <c r="CMH64" s="5"/>
      <c r="CMI64" s="5"/>
      <c r="CMJ64" s="5"/>
      <c r="CMK64" s="5"/>
      <c r="CML64" s="5"/>
      <c r="CMM64" s="5"/>
      <c r="CMN64" s="5"/>
      <c r="CMO64" s="5"/>
      <c r="CMP64" s="5"/>
      <c r="CMQ64" s="5"/>
      <c r="CMR64" s="5"/>
      <c r="CMS64" s="5"/>
      <c r="CMT64" s="5"/>
      <c r="CMU64" s="5"/>
      <c r="CMV64" s="5"/>
      <c r="CMW64" s="5"/>
      <c r="CMX64" s="5"/>
      <c r="CMY64" s="5"/>
      <c r="CMZ64" s="5"/>
      <c r="CNA64" s="5"/>
      <c r="CNB64" s="5"/>
      <c r="CNC64" s="5"/>
      <c r="CND64" s="5"/>
      <c r="CNE64" s="5"/>
      <c r="CNF64" s="5"/>
      <c r="CNG64" s="5"/>
      <c r="CNH64" s="5"/>
      <c r="CNI64" s="5"/>
      <c r="CNJ64" s="5"/>
      <c r="CNK64" s="5"/>
      <c r="CNL64" s="5"/>
      <c r="CNM64" s="5"/>
      <c r="CNN64" s="5"/>
      <c r="CNO64" s="5"/>
      <c r="CNP64" s="5"/>
      <c r="CNQ64" s="5"/>
      <c r="CNR64" s="5"/>
      <c r="CNS64" s="5"/>
      <c r="CNT64" s="5"/>
      <c r="CNU64" s="5"/>
      <c r="CNV64" s="5"/>
      <c r="CNW64" s="5"/>
      <c r="CNX64" s="5"/>
      <c r="CNY64" s="5"/>
      <c r="CNZ64" s="5"/>
      <c r="COA64" s="5"/>
      <c r="COB64" s="5"/>
      <c r="COC64" s="5"/>
      <c r="COD64" s="5"/>
      <c r="COE64" s="5"/>
      <c r="COF64" s="5"/>
      <c r="COG64" s="5"/>
      <c r="COH64" s="5"/>
      <c r="COI64" s="5"/>
      <c r="COJ64" s="5"/>
      <c r="COK64" s="5"/>
      <c r="COL64" s="5"/>
      <c r="COM64" s="5"/>
      <c r="CON64" s="5"/>
      <c r="COO64" s="5"/>
      <c r="COP64" s="5"/>
      <c r="COQ64" s="5"/>
      <c r="COR64" s="5"/>
      <c r="COS64" s="5"/>
      <c r="COT64" s="5"/>
      <c r="COU64" s="5"/>
      <c r="COV64" s="5"/>
      <c r="COW64" s="5"/>
      <c r="COX64" s="5"/>
      <c r="COY64" s="5"/>
      <c r="COZ64" s="5"/>
      <c r="CPA64" s="5"/>
      <c r="CPB64" s="5"/>
      <c r="CPC64" s="5"/>
      <c r="CPD64" s="5"/>
      <c r="CPE64" s="5"/>
      <c r="CPF64" s="5"/>
      <c r="CPG64" s="5"/>
      <c r="CPH64" s="5"/>
      <c r="CPI64" s="5"/>
      <c r="CPJ64" s="5"/>
      <c r="CPK64" s="5"/>
      <c r="CPL64" s="5"/>
      <c r="CPM64" s="5"/>
      <c r="CPN64" s="5"/>
      <c r="CPO64" s="5"/>
      <c r="CPP64" s="5"/>
      <c r="CPQ64" s="5"/>
      <c r="CPR64" s="5"/>
      <c r="CPS64" s="5"/>
      <c r="CPT64" s="5"/>
      <c r="CPU64" s="5"/>
      <c r="CPV64" s="5"/>
      <c r="CPW64" s="5"/>
      <c r="CPX64" s="5"/>
      <c r="CPY64" s="5"/>
      <c r="CPZ64" s="5"/>
      <c r="CQA64" s="5"/>
      <c r="CQB64" s="5"/>
      <c r="CQC64" s="5"/>
      <c r="CQD64" s="5"/>
      <c r="CQE64" s="5"/>
      <c r="CQF64" s="5"/>
      <c r="CQG64" s="5"/>
      <c r="CQH64" s="5"/>
      <c r="CQI64" s="5"/>
      <c r="CQJ64" s="5"/>
      <c r="CQK64" s="5"/>
      <c r="CQL64" s="5"/>
      <c r="CQM64" s="5"/>
      <c r="CQN64" s="5"/>
      <c r="CQO64" s="5"/>
      <c r="CQP64" s="5"/>
      <c r="CQQ64" s="5"/>
      <c r="CQR64" s="5"/>
      <c r="CQS64" s="5"/>
      <c r="CQT64" s="5"/>
      <c r="CQU64" s="5"/>
      <c r="CQV64" s="5"/>
      <c r="CQW64" s="5"/>
      <c r="CQX64" s="5"/>
      <c r="CQY64" s="5"/>
      <c r="CQZ64" s="5"/>
      <c r="CRA64" s="5"/>
      <c r="CRB64" s="5"/>
      <c r="CRC64" s="5"/>
      <c r="CRD64" s="5"/>
      <c r="CRE64" s="5"/>
      <c r="CRF64" s="5"/>
      <c r="CRG64" s="5"/>
      <c r="CRH64" s="5"/>
      <c r="CRI64" s="5"/>
      <c r="CRJ64" s="5"/>
      <c r="CRK64" s="5"/>
      <c r="CRL64" s="5"/>
      <c r="CRM64" s="5"/>
      <c r="CRN64" s="5"/>
      <c r="CRO64" s="5"/>
      <c r="CRP64" s="5"/>
      <c r="CRQ64" s="5"/>
      <c r="CRR64" s="5"/>
      <c r="CRS64" s="5"/>
      <c r="CRT64" s="5"/>
      <c r="CRU64" s="5"/>
      <c r="CRV64" s="5"/>
      <c r="CRW64" s="5"/>
      <c r="CRX64" s="5"/>
      <c r="CRY64" s="5"/>
      <c r="CRZ64" s="5"/>
      <c r="CSA64" s="5"/>
      <c r="CSB64" s="5"/>
      <c r="CSC64" s="5"/>
      <c r="CSD64" s="5"/>
      <c r="CSE64" s="5"/>
      <c r="CSF64" s="5"/>
      <c r="CSG64" s="5"/>
      <c r="CSH64" s="5"/>
      <c r="CSI64" s="5"/>
      <c r="CSJ64" s="5"/>
      <c r="CSK64" s="5"/>
      <c r="CSL64" s="5"/>
      <c r="CSM64" s="5"/>
      <c r="CSN64" s="5"/>
      <c r="CSO64" s="5"/>
      <c r="CSP64" s="5"/>
      <c r="CSQ64" s="5"/>
      <c r="CSR64" s="5"/>
      <c r="CSS64" s="5"/>
      <c r="CST64" s="5"/>
      <c r="CSU64" s="5"/>
      <c r="CSV64" s="5"/>
      <c r="CSW64" s="5"/>
      <c r="CSX64" s="5"/>
      <c r="CSY64" s="5"/>
      <c r="CSZ64" s="5"/>
      <c r="CTA64" s="5"/>
      <c r="CTB64" s="5"/>
      <c r="CTC64" s="5"/>
      <c r="CTD64" s="5"/>
      <c r="CTE64" s="5"/>
      <c r="CTF64" s="5"/>
      <c r="CTG64" s="5"/>
      <c r="CTH64" s="5"/>
      <c r="CTI64" s="5"/>
      <c r="CTJ64" s="5"/>
      <c r="CTK64" s="5"/>
      <c r="CTL64" s="5"/>
      <c r="CTM64" s="5"/>
      <c r="CTN64" s="5"/>
      <c r="CTO64" s="5"/>
      <c r="CTP64" s="5"/>
      <c r="CTQ64" s="5"/>
      <c r="CTR64" s="5"/>
      <c r="CTS64" s="5"/>
      <c r="CTT64" s="5"/>
      <c r="CTU64" s="5"/>
      <c r="CTV64" s="5"/>
      <c r="CTW64" s="5"/>
      <c r="CTX64" s="5"/>
      <c r="CTY64" s="5"/>
      <c r="CTZ64" s="5"/>
      <c r="CUA64" s="5"/>
      <c r="CUB64" s="5"/>
      <c r="CUC64" s="5"/>
      <c r="CUD64" s="5"/>
      <c r="CUE64" s="5"/>
      <c r="CUF64" s="5"/>
      <c r="CUG64" s="5"/>
      <c r="CUH64" s="5"/>
      <c r="CUI64" s="5"/>
      <c r="CUJ64" s="5"/>
      <c r="CUK64" s="5"/>
      <c r="CUL64" s="5"/>
      <c r="CUM64" s="5"/>
      <c r="CUN64" s="5"/>
      <c r="CUO64" s="5"/>
      <c r="CUP64" s="5"/>
      <c r="CUQ64" s="5"/>
      <c r="CUR64" s="5"/>
      <c r="CUS64" s="5"/>
      <c r="CUT64" s="5"/>
      <c r="CUU64" s="5"/>
      <c r="CUV64" s="5"/>
      <c r="CUW64" s="5"/>
      <c r="CUX64" s="5"/>
      <c r="CUY64" s="5"/>
      <c r="CUZ64" s="5"/>
      <c r="CVA64" s="5"/>
      <c r="CVB64" s="5"/>
      <c r="CVC64" s="5"/>
      <c r="CVD64" s="5"/>
      <c r="CVE64" s="5"/>
      <c r="CVF64" s="5"/>
      <c r="CVG64" s="5"/>
      <c r="CVH64" s="5"/>
      <c r="CVI64" s="5"/>
      <c r="CVJ64" s="5"/>
      <c r="CVK64" s="5"/>
      <c r="CVL64" s="5"/>
      <c r="CVM64" s="5"/>
      <c r="CVN64" s="5"/>
      <c r="CVO64" s="5"/>
      <c r="CVP64" s="5"/>
      <c r="CVQ64" s="5"/>
      <c r="CVR64" s="5"/>
      <c r="CVS64" s="5"/>
      <c r="CVT64" s="5"/>
      <c r="CVU64" s="5"/>
      <c r="CVV64" s="5"/>
      <c r="CVW64" s="5"/>
      <c r="CVX64" s="5"/>
      <c r="CVY64" s="5"/>
      <c r="CVZ64" s="5"/>
      <c r="CWA64" s="5"/>
      <c r="CWB64" s="5"/>
      <c r="CWC64" s="5"/>
      <c r="CWD64" s="5"/>
      <c r="CWE64" s="5"/>
      <c r="CWF64" s="5"/>
      <c r="CWG64" s="5"/>
      <c r="CWH64" s="5"/>
      <c r="CWI64" s="5"/>
      <c r="CWJ64" s="5"/>
      <c r="CWK64" s="5"/>
      <c r="CWL64" s="5"/>
      <c r="CWM64" s="5"/>
      <c r="CWN64" s="5"/>
      <c r="CWO64" s="5"/>
      <c r="CWP64" s="5"/>
      <c r="CWQ64" s="5"/>
      <c r="CWR64" s="5"/>
      <c r="CWS64" s="5"/>
      <c r="CWT64" s="5"/>
      <c r="CWU64" s="5"/>
      <c r="CWV64" s="5"/>
      <c r="CWW64" s="5"/>
      <c r="CWX64" s="5"/>
      <c r="CWY64" s="5"/>
      <c r="CWZ64" s="5"/>
      <c r="CXA64" s="5"/>
      <c r="CXB64" s="5"/>
      <c r="CXC64" s="5"/>
      <c r="CXD64" s="5"/>
      <c r="CXE64" s="5"/>
      <c r="CXF64" s="5"/>
      <c r="CXG64" s="5"/>
      <c r="CXH64" s="5"/>
      <c r="CXI64" s="5"/>
      <c r="CXJ64" s="5"/>
      <c r="CXK64" s="5"/>
      <c r="CXL64" s="5"/>
      <c r="CXM64" s="5"/>
      <c r="CXN64" s="5"/>
      <c r="CXO64" s="5"/>
      <c r="CXP64" s="5"/>
      <c r="CXQ64" s="5"/>
      <c r="CXR64" s="5"/>
      <c r="CXS64" s="5"/>
      <c r="CXT64" s="5"/>
      <c r="CXU64" s="5"/>
      <c r="CXV64" s="5"/>
      <c r="CXW64" s="5"/>
      <c r="CXX64" s="5"/>
      <c r="CXY64" s="5"/>
      <c r="CXZ64" s="5"/>
      <c r="CYA64" s="5"/>
      <c r="CYB64" s="5"/>
      <c r="CYC64" s="5"/>
      <c r="CYD64" s="5"/>
      <c r="CYE64" s="5"/>
      <c r="CYF64" s="5"/>
      <c r="CYG64" s="5"/>
      <c r="CYH64" s="5"/>
      <c r="CYI64" s="5"/>
      <c r="CYJ64" s="5"/>
      <c r="CYK64" s="5"/>
      <c r="CYL64" s="5"/>
      <c r="CYM64" s="5"/>
      <c r="CYN64" s="5"/>
      <c r="CYO64" s="5"/>
      <c r="CYP64" s="5"/>
      <c r="CYQ64" s="5"/>
      <c r="CYR64" s="5"/>
      <c r="CYS64" s="5"/>
      <c r="CYT64" s="5"/>
      <c r="CYU64" s="5"/>
      <c r="CYV64" s="5"/>
      <c r="CYW64" s="5"/>
      <c r="CYX64" s="5"/>
      <c r="CYY64" s="5"/>
      <c r="CYZ64" s="5"/>
      <c r="CZA64" s="5"/>
      <c r="CZB64" s="5"/>
      <c r="CZC64" s="5"/>
      <c r="CZD64" s="5"/>
      <c r="CZE64" s="5"/>
      <c r="CZF64" s="5"/>
      <c r="CZG64" s="5"/>
      <c r="CZH64" s="5"/>
      <c r="CZI64" s="5"/>
      <c r="CZJ64" s="5"/>
      <c r="CZK64" s="5"/>
      <c r="CZL64" s="5"/>
      <c r="CZM64" s="5"/>
      <c r="CZN64" s="5"/>
      <c r="CZO64" s="5"/>
      <c r="CZP64" s="5"/>
      <c r="CZQ64" s="5"/>
      <c r="CZR64" s="5"/>
      <c r="CZS64" s="5"/>
      <c r="CZT64" s="5"/>
      <c r="CZU64" s="5"/>
      <c r="CZV64" s="5"/>
      <c r="CZW64" s="5"/>
      <c r="CZX64" s="5"/>
      <c r="CZY64" s="5"/>
      <c r="CZZ64" s="5"/>
      <c r="DAA64" s="5"/>
      <c r="DAB64" s="5"/>
      <c r="DAC64" s="5"/>
      <c r="DAD64" s="5"/>
      <c r="DAE64" s="5"/>
      <c r="DAF64" s="5"/>
      <c r="DAG64" s="5"/>
      <c r="DAH64" s="5"/>
      <c r="DAI64" s="5"/>
      <c r="DAJ64" s="5"/>
      <c r="DAK64" s="5"/>
      <c r="DAL64" s="5"/>
      <c r="DAM64" s="5"/>
      <c r="DAN64" s="5"/>
      <c r="DAO64" s="5"/>
      <c r="DAP64" s="5"/>
      <c r="DAQ64" s="5"/>
      <c r="DAR64" s="5"/>
      <c r="DAS64" s="5"/>
      <c r="DAT64" s="5"/>
      <c r="DAU64" s="5"/>
      <c r="DAV64" s="5"/>
      <c r="DAW64" s="5"/>
      <c r="DAX64" s="5"/>
      <c r="DAY64" s="5"/>
      <c r="DAZ64" s="5"/>
      <c r="DBA64" s="5"/>
      <c r="DBB64" s="5"/>
      <c r="DBC64" s="5"/>
      <c r="DBD64" s="5"/>
      <c r="DBE64" s="5"/>
      <c r="DBF64" s="5"/>
      <c r="DBG64" s="5"/>
      <c r="DBH64" s="5"/>
      <c r="DBI64" s="5"/>
      <c r="DBJ64" s="5"/>
      <c r="DBK64" s="5"/>
      <c r="DBL64" s="5"/>
      <c r="DBM64" s="5"/>
      <c r="DBN64" s="5"/>
      <c r="DBO64" s="5"/>
      <c r="DBP64" s="5"/>
      <c r="DBQ64" s="5"/>
      <c r="DBR64" s="5"/>
      <c r="DBS64" s="5"/>
      <c r="DBT64" s="5"/>
      <c r="DBU64" s="5"/>
      <c r="DBV64" s="5"/>
      <c r="DBW64" s="5"/>
      <c r="DBX64" s="5"/>
      <c r="DBY64" s="5"/>
      <c r="DBZ64" s="5"/>
      <c r="DCA64" s="5"/>
      <c r="DCB64" s="5"/>
      <c r="DCC64" s="5"/>
      <c r="DCD64" s="5"/>
      <c r="DCE64" s="5"/>
      <c r="DCF64" s="5"/>
      <c r="DCG64" s="5"/>
      <c r="DCH64" s="5"/>
      <c r="DCI64" s="5"/>
      <c r="DCJ64" s="5"/>
      <c r="DCK64" s="5"/>
      <c r="DCL64" s="5"/>
      <c r="DCM64" s="5"/>
      <c r="DCN64" s="5"/>
      <c r="DCO64" s="5"/>
      <c r="DCP64" s="5"/>
      <c r="DCQ64" s="5"/>
      <c r="DCR64" s="5"/>
      <c r="DCS64" s="5"/>
      <c r="DCT64" s="5"/>
      <c r="DCU64" s="5"/>
      <c r="DCV64" s="5"/>
      <c r="DCW64" s="5"/>
      <c r="DCX64" s="5"/>
      <c r="DCY64" s="5"/>
      <c r="DCZ64" s="5"/>
      <c r="DDA64" s="5"/>
      <c r="DDB64" s="5"/>
      <c r="DDC64" s="5"/>
      <c r="DDD64" s="5"/>
      <c r="DDE64" s="5"/>
      <c r="DDF64" s="5"/>
      <c r="DDG64" s="5"/>
      <c r="DDH64" s="5"/>
      <c r="DDI64" s="5"/>
      <c r="DDJ64" s="5"/>
      <c r="DDK64" s="5"/>
      <c r="DDL64" s="5"/>
      <c r="DDM64" s="5"/>
      <c r="DDN64" s="5"/>
      <c r="DDO64" s="5"/>
      <c r="DDP64" s="5"/>
      <c r="DDQ64" s="5"/>
      <c r="DDR64" s="5"/>
      <c r="DDS64" s="5"/>
      <c r="DDT64" s="5"/>
      <c r="DDU64" s="5"/>
      <c r="DDV64" s="5"/>
      <c r="DDW64" s="5"/>
      <c r="DDX64" s="5"/>
      <c r="DDY64" s="5"/>
      <c r="DDZ64" s="5"/>
      <c r="DEA64" s="5"/>
      <c r="DEB64" s="5"/>
      <c r="DEC64" s="5"/>
      <c r="DED64" s="5"/>
      <c r="DEE64" s="5"/>
      <c r="DEF64" s="5"/>
      <c r="DEG64" s="5"/>
      <c r="DEH64" s="5"/>
      <c r="DEI64" s="5"/>
      <c r="DEJ64" s="5"/>
      <c r="DEK64" s="5"/>
      <c r="DEL64" s="5"/>
      <c r="DEM64" s="5"/>
      <c r="DEN64" s="5"/>
      <c r="DEO64" s="5"/>
      <c r="DEP64" s="5"/>
      <c r="DEQ64" s="5"/>
      <c r="DER64" s="5"/>
      <c r="DES64" s="5"/>
      <c r="DET64" s="5"/>
      <c r="DEU64" s="5"/>
      <c r="DEV64" s="5"/>
      <c r="DEW64" s="5"/>
      <c r="DEX64" s="5"/>
      <c r="DEY64" s="5"/>
      <c r="DEZ64" s="5"/>
      <c r="DFA64" s="5"/>
      <c r="DFB64" s="5"/>
      <c r="DFC64" s="5"/>
      <c r="DFD64" s="5"/>
      <c r="DFE64" s="5"/>
      <c r="DFF64" s="5"/>
      <c r="DFG64" s="5"/>
      <c r="DFH64" s="5"/>
      <c r="DFI64" s="5"/>
      <c r="DFJ64" s="5"/>
      <c r="DFK64" s="5"/>
      <c r="DFL64" s="5"/>
      <c r="DFM64" s="5"/>
      <c r="DFN64" s="5"/>
      <c r="DFO64" s="5"/>
      <c r="DFP64" s="5"/>
      <c r="DFQ64" s="5"/>
      <c r="DFR64" s="5"/>
      <c r="DFS64" s="5"/>
      <c r="DFT64" s="5"/>
      <c r="DFU64" s="5"/>
      <c r="DFV64" s="5"/>
      <c r="DFW64" s="5"/>
      <c r="DFX64" s="5"/>
      <c r="DFY64" s="5"/>
      <c r="DFZ64" s="5"/>
      <c r="DGA64" s="5"/>
      <c r="DGB64" s="5"/>
      <c r="DGC64" s="5"/>
      <c r="DGD64" s="5"/>
      <c r="DGE64" s="5"/>
      <c r="DGF64" s="5"/>
      <c r="DGG64" s="5"/>
      <c r="DGH64" s="5"/>
      <c r="DGI64" s="5"/>
      <c r="DGJ64" s="5"/>
      <c r="DGK64" s="5"/>
      <c r="DGL64" s="5"/>
      <c r="DGM64" s="5"/>
      <c r="DGN64" s="5"/>
      <c r="DGO64" s="5"/>
      <c r="DGP64" s="5"/>
      <c r="DGQ64" s="5"/>
      <c r="DGR64" s="5"/>
      <c r="DGS64" s="5"/>
      <c r="DGT64" s="5"/>
      <c r="DGU64" s="5"/>
      <c r="DGV64" s="5"/>
      <c r="DGW64" s="5"/>
      <c r="DGX64" s="5"/>
      <c r="DGY64" s="5"/>
      <c r="DGZ64" s="5"/>
      <c r="DHA64" s="5"/>
      <c r="DHB64" s="5"/>
      <c r="DHC64" s="5"/>
      <c r="DHD64" s="5"/>
      <c r="DHE64" s="5"/>
      <c r="DHF64" s="5"/>
      <c r="DHG64" s="5"/>
      <c r="DHH64" s="5"/>
      <c r="DHI64" s="5"/>
      <c r="DHJ64" s="5"/>
      <c r="DHK64" s="5"/>
      <c r="DHL64" s="5"/>
      <c r="DHM64" s="5"/>
      <c r="DHN64" s="5"/>
      <c r="DHO64" s="5"/>
      <c r="DHP64" s="5"/>
      <c r="DHQ64" s="5"/>
      <c r="DHR64" s="5"/>
      <c r="DHS64" s="5"/>
      <c r="DHT64" s="5"/>
      <c r="DHU64" s="5"/>
      <c r="DHV64" s="5"/>
      <c r="DHW64" s="5"/>
      <c r="DHX64" s="5"/>
      <c r="DHY64" s="5"/>
      <c r="DHZ64" s="5"/>
      <c r="DIA64" s="5"/>
      <c r="DIB64" s="5"/>
      <c r="DIC64" s="5"/>
      <c r="DID64" s="5"/>
      <c r="DIE64" s="5"/>
      <c r="DIF64" s="5"/>
      <c r="DIG64" s="5"/>
      <c r="DIH64" s="5"/>
      <c r="DII64" s="5"/>
      <c r="DIJ64" s="5"/>
      <c r="DIK64" s="5"/>
      <c r="DIL64" s="5"/>
      <c r="DIM64" s="5"/>
      <c r="DIN64" s="5"/>
      <c r="DIO64" s="5"/>
      <c r="DIP64" s="5"/>
      <c r="DIQ64" s="5"/>
      <c r="DIR64" s="5"/>
      <c r="DIS64" s="5"/>
      <c r="DIT64" s="5"/>
      <c r="DIU64" s="5"/>
      <c r="DIV64" s="5"/>
      <c r="DIW64" s="5"/>
      <c r="DIX64" s="5"/>
      <c r="DIY64" s="5"/>
      <c r="DIZ64" s="5"/>
      <c r="DJA64" s="5"/>
      <c r="DJB64" s="5"/>
      <c r="DJC64" s="5"/>
      <c r="DJD64" s="5"/>
      <c r="DJE64" s="5"/>
      <c r="DJF64" s="5"/>
      <c r="DJG64" s="5"/>
      <c r="DJH64" s="5"/>
      <c r="DJI64" s="5"/>
      <c r="DJJ64" s="5"/>
      <c r="DJK64" s="5"/>
      <c r="DJL64" s="5"/>
      <c r="DJM64" s="5"/>
      <c r="DJN64" s="5"/>
      <c r="DJO64" s="5"/>
      <c r="DJP64" s="5"/>
      <c r="DJQ64" s="5"/>
      <c r="DJR64" s="5"/>
      <c r="DJS64" s="5"/>
      <c r="DJT64" s="5"/>
      <c r="DJU64" s="5"/>
      <c r="DJV64" s="5"/>
      <c r="DJW64" s="5"/>
      <c r="DJX64" s="5"/>
      <c r="DJY64" s="5"/>
      <c r="DJZ64" s="5"/>
      <c r="DKA64" s="5"/>
      <c r="DKB64" s="5"/>
      <c r="DKC64" s="5"/>
      <c r="DKD64" s="5"/>
      <c r="DKE64" s="5"/>
      <c r="DKF64" s="5"/>
      <c r="DKG64" s="5"/>
      <c r="DKH64" s="5"/>
      <c r="DKI64" s="5"/>
      <c r="DKJ64" s="5"/>
      <c r="DKK64" s="5"/>
      <c r="DKL64" s="5"/>
      <c r="DKM64" s="5"/>
      <c r="DKN64" s="5"/>
      <c r="DKO64" s="5"/>
      <c r="DKP64" s="5"/>
      <c r="DKQ64" s="5"/>
      <c r="DKR64" s="5"/>
      <c r="DKS64" s="5"/>
      <c r="DKT64" s="5"/>
      <c r="DKU64" s="5"/>
      <c r="DKV64" s="5"/>
      <c r="DKW64" s="5"/>
      <c r="DKX64" s="5"/>
      <c r="DKY64" s="5"/>
      <c r="DKZ64" s="5"/>
      <c r="DLA64" s="5"/>
      <c r="DLB64" s="5"/>
      <c r="DLC64" s="5"/>
      <c r="DLD64" s="5"/>
      <c r="DLE64" s="5"/>
      <c r="DLF64" s="5"/>
      <c r="DLG64" s="5"/>
      <c r="DLH64" s="5"/>
      <c r="DLI64" s="5"/>
      <c r="DLJ64" s="5"/>
      <c r="DLK64" s="5"/>
      <c r="DLL64" s="5"/>
      <c r="DLM64" s="5"/>
      <c r="DLN64" s="5"/>
      <c r="DLO64" s="5"/>
      <c r="DLP64" s="5"/>
      <c r="DLQ64" s="5"/>
      <c r="DLR64" s="5"/>
      <c r="DLS64" s="5"/>
      <c r="DLT64" s="5"/>
      <c r="DLU64" s="5"/>
      <c r="DLV64" s="5"/>
      <c r="DLW64" s="5"/>
      <c r="DLX64" s="5"/>
      <c r="DLY64" s="5"/>
      <c r="DLZ64" s="5"/>
      <c r="DMA64" s="5"/>
      <c r="DMB64" s="5"/>
      <c r="DMC64" s="5"/>
      <c r="DMD64" s="5"/>
      <c r="DME64" s="5"/>
      <c r="DMF64" s="5"/>
      <c r="DMG64" s="5"/>
      <c r="DMH64" s="5"/>
      <c r="DMI64" s="5"/>
      <c r="DMJ64" s="5"/>
      <c r="DMK64" s="5"/>
      <c r="DML64" s="5"/>
      <c r="DMM64" s="5"/>
      <c r="DMN64" s="5"/>
      <c r="DMO64" s="5"/>
      <c r="DMP64" s="5"/>
      <c r="DMQ64" s="5"/>
      <c r="DMR64" s="5"/>
      <c r="DMS64" s="5"/>
      <c r="DMT64" s="5"/>
      <c r="DMU64" s="5"/>
      <c r="DMV64" s="5"/>
      <c r="DMW64" s="5"/>
      <c r="DMX64" s="5"/>
      <c r="DMY64" s="5"/>
      <c r="DMZ64" s="5"/>
      <c r="DNA64" s="5"/>
      <c r="DNB64" s="5"/>
      <c r="DNC64" s="5"/>
      <c r="DND64" s="5"/>
      <c r="DNE64" s="5"/>
      <c r="DNF64" s="5"/>
      <c r="DNG64" s="5"/>
      <c r="DNH64" s="5"/>
      <c r="DNI64" s="5"/>
      <c r="DNJ64" s="5"/>
      <c r="DNK64" s="5"/>
      <c r="DNL64" s="5"/>
      <c r="DNM64" s="5"/>
      <c r="DNN64" s="5"/>
      <c r="DNO64" s="5"/>
      <c r="DNP64" s="5"/>
      <c r="DNQ64" s="5"/>
      <c r="DNR64" s="5"/>
      <c r="DNS64" s="5"/>
      <c r="DNT64" s="5"/>
      <c r="DNU64" s="5"/>
      <c r="DNV64" s="5"/>
      <c r="DNW64" s="5"/>
      <c r="DNX64" s="5"/>
      <c r="DNY64" s="5"/>
      <c r="DNZ64" s="5"/>
      <c r="DOA64" s="5"/>
      <c r="DOB64" s="5"/>
      <c r="DOC64" s="5"/>
      <c r="DOD64" s="5"/>
      <c r="DOE64" s="5"/>
      <c r="DOF64" s="5"/>
      <c r="DOG64" s="5"/>
      <c r="DOH64" s="5"/>
      <c r="DOI64" s="5"/>
      <c r="DOJ64" s="5"/>
      <c r="DOK64" s="5"/>
      <c r="DOL64" s="5"/>
      <c r="DOM64" s="5"/>
      <c r="DON64" s="5"/>
      <c r="DOO64" s="5"/>
      <c r="DOP64" s="5"/>
      <c r="DOQ64" s="5"/>
      <c r="DOR64" s="5"/>
      <c r="DOS64" s="5"/>
      <c r="DOT64" s="5"/>
      <c r="DOU64" s="5"/>
      <c r="DOV64" s="5"/>
      <c r="DOW64" s="5"/>
      <c r="DOX64" s="5"/>
      <c r="DOY64" s="5"/>
      <c r="DOZ64" s="5"/>
      <c r="DPA64" s="5"/>
      <c r="DPB64" s="5"/>
      <c r="DPC64" s="5"/>
      <c r="DPD64" s="5"/>
      <c r="DPE64" s="5"/>
      <c r="DPF64" s="5"/>
      <c r="DPG64" s="5"/>
      <c r="DPH64" s="5"/>
      <c r="DPI64" s="5"/>
      <c r="DPJ64" s="5"/>
      <c r="DPK64" s="5"/>
      <c r="DPL64" s="5"/>
      <c r="DPM64" s="5"/>
      <c r="DPN64" s="5"/>
      <c r="DPO64" s="5"/>
      <c r="DPP64" s="5"/>
      <c r="DPQ64" s="5"/>
      <c r="DPR64" s="5"/>
      <c r="DPS64" s="5"/>
      <c r="DPT64" s="5"/>
      <c r="DPU64" s="5"/>
      <c r="DPV64" s="5"/>
      <c r="DPW64" s="5"/>
      <c r="DPX64" s="5"/>
      <c r="DPY64" s="5"/>
      <c r="DPZ64" s="5"/>
      <c r="DQA64" s="5"/>
      <c r="DQB64" s="5"/>
      <c r="DQC64" s="5"/>
      <c r="DQD64" s="5"/>
      <c r="DQE64" s="5"/>
      <c r="DQF64" s="5"/>
      <c r="DQG64" s="5"/>
      <c r="DQH64" s="5"/>
      <c r="DQI64" s="5"/>
      <c r="DQJ64" s="5"/>
      <c r="DQK64" s="5"/>
      <c r="DQL64" s="5"/>
      <c r="DQM64" s="5"/>
      <c r="DQN64" s="5"/>
      <c r="DQO64" s="5"/>
      <c r="DQP64" s="5"/>
      <c r="DQQ64" s="5"/>
      <c r="DQR64" s="5"/>
      <c r="DQS64" s="5"/>
      <c r="DQT64" s="5"/>
      <c r="DQU64" s="5"/>
      <c r="DQV64" s="5"/>
      <c r="DQW64" s="5"/>
      <c r="DQX64" s="5"/>
      <c r="DQY64" s="5"/>
      <c r="DQZ64" s="5"/>
      <c r="DRA64" s="5"/>
      <c r="DRB64" s="5"/>
      <c r="DRC64" s="5"/>
      <c r="DRD64" s="5"/>
      <c r="DRE64" s="5"/>
      <c r="DRF64" s="5"/>
      <c r="DRG64" s="5"/>
      <c r="DRH64" s="5"/>
      <c r="DRI64" s="5"/>
      <c r="DRJ64" s="5"/>
      <c r="DRK64" s="5"/>
      <c r="DRL64" s="5"/>
      <c r="DRM64" s="5"/>
      <c r="DRN64" s="5"/>
      <c r="DRO64" s="5"/>
      <c r="DRP64" s="5"/>
      <c r="DRQ64" s="5"/>
      <c r="DRR64" s="5"/>
      <c r="DRS64" s="5"/>
      <c r="DRT64" s="5"/>
      <c r="DRU64" s="5"/>
      <c r="DRV64" s="5"/>
      <c r="DRW64" s="5"/>
      <c r="DRX64" s="5"/>
      <c r="DRY64" s="5"/>
      <c r="DRZ64" s="5"/>
      <c r="DSA64" s="5"/>
      <c r="DSB64" s="5"/>
      <c r="DSC64" s="5"/>
      <c r="DSD64" s="5"/>
      <c r="DSE64" s="5"/>
      <c r="DSF64" s="5"/>
      <c r="DSG64" s="5"/>
      <c r="DSH64" s="5"/>
      <c r="DSI64" s="5"/>
      <c r="DSJ64" s="5"/>
      <c r="DSK64" s="5"/>
      <c r="DSL64" s="5"/>
      <c r="DSM64" s="5"/>
      <c r="DSN64" s="5"/>
      <c r="DSO64" s="5"/>
      <c r="DSP64" s="5"/>
      <c r="DSQ64" s="5"/>
      <c r="DSR64" s="5"/>
      <c r="DSS64" s="5"/>
      <c r="DST64" s="5"/>
      <c r="DSU64" s="5"/>
      <c r="DSV64" s="5"/>
      <c r="DSW64" s="5"/>
      <c r="DSX64" s="5"/>
      <c r="DSY64" s="5"/>
      <c r="DSZ64" s="5"/>
      <c r="DTA64" s="5"/>
      <c r="DTB64" s="5"/>
      <c r="DTC64" s="5"/>
      <c r="DTD64" s="5"/>
      <c r="DTE64" s="5"/>
      <c r="DTF64" s="5"/>
      <c r="DTG64" s="5"/>
      <c r="DTH64" s="5"/>
      <c r="DTI64" s="5"/>
      <c r="DTJ64" s="5"/>
      <c r="DTK64" s="5"/>
      <c r="DTL64" s="5"/>
      <c r="DTM64" s="5"/>
      <c r="DTN64" s="5"/>
      <c r="DTO64" s="5"/>
      <c r="DTP64" s="5"/>
      <c r="DTQ64" s="5"/>
      <c r="DTR64" s="5"/>
      <c r="DTS64" s="5"/>
      <c r="DTT64" s="5"/>
      <c r="DTU64" s="5"/>
      <c r="DTV64" s="5"/>
      <c r="DTW64" s="5"/>
      <c r="DTX64" s="5"/>
      <c r="DTY64" s="5"/>
      <c r="DTZ64" s="5"/>
      <c r="DUA64" s="5"/>
      <c r="DUB64" s="5"/>
      <c r="DUC64" s="5"/>
      <c r="DUD64" s="5"/>
      <c r="DUE64" s="5"/>
      <c r="DUF64" s="5"/>
      <c r="DUG64" s="5"/>
      <c r="DUH64" s="5"/>
      <c r="DUI64" s="5"/>
      <c r="DUJ64" s="5"/>
      <c r="DUK64" s="5"/>
      <c r="DUL64" s="5"/>
      <c r="DUM64" s="5"/>
      <c r="DUN64" s="5"/>
      <c r="DUO64" s="5"/>
      <c r="DUP64" s="5"/>
      <c r="DUQ64" s="5"/>
      <c r="DUR64" s="5"/>
      <c r="DUS64" s="5"/>
      <c r="DUT64" s="5"/>
      <c r="DUU64" s="5"/>
      <c r="DUV64" s="5"/>
      <c r="DUW64" s="5"/>
      <c r="DUX64" s="5"/>
      <c r="DUY64" s="5"/>
      <c r="DUZ64" s="5"/>
      <c r="DVA64" s="5"/>
      <c r="DVB64" s="5"/>
      <c r="DVC64" s="5"/>
      <c r="DVD64" s="5"/>
      <c r="DVE64" s="5"/>
      <c r="DVF64" s="5"/>
      <c r="DVG64" s="5"/>
      <c r="DVH64" s="5"/>
      <c r="DVI64" s="5"/>
      <c r="DVJ64" s="5"/>
      <c r="DVK64" s="5"/>
      <c r="DVL64" s="5"/>
      <c r="DVM64" s="5"/>
      <c r="DVN64" s="5"/>
      <c r="DVO64" s="5"/>
      <c r="DVP64" s="5"/>
      <c r="DVQ64" s="5"/>
      <c r="DVR64" s="5"/>
      <c r="DVS64" s="5"/>
      <c r="DVT64" s="5"/>
      <c r="DVU64" s="5"/>
      <c r="DVV64" s="5"/>
      <c r="DVW64" s="5"/>
      <c r="DVX64" s="5"/>
      <c r="DVY64" s="5"/>
      <c r="DVZ64" s="5"/>
      <c r="DWA64" s="5"/>
      <c r="DWB64" s="5"/>
      <c r="DWC64" s="5"/>
      <c r="DWD64" s="5"/>
      <c r="DWE64" s="5"/>
      <c r="DWF64" s="5"/>
      <c r="DWG64" s="5"/>
      <c r="DWH64" s="5"/>
      <c r="DWI64" s="5"/>
      <c r="DWJ64" s="5"/>
      <c r="DWK64" s="5"/>
      <c r="DWL64" s="5"/>
      <c r="DWM64" s="5"/>
      <c r="DWN64" s="5"/>
      <c r="DWO64" s="5"/>
      <c r="DWP64" s="5"/>
      <c r="DWQ64" s="5"/>
      <c r="DWR64" s="5"/>
      <c r="DWS64" s="5"/>
      <c r="DWT64" s="5"/>
      <c r="DWU64" s="5"/>
      <c r="DWV64" s="5"/>
      <c r="DWW64" s="5"/>
      <c r="DWX64" s="5"/>
      <c r="DWY64" s="5"/>
      <c r="DWZ64" s="5"/>
      <c r="DXA64" s="5"/>
      <c r="DXB64" s="5"/>
      <c r="DXC64" s="5"/>
      <c r="DXD64" s="5"/>
      <c r="DXE64" s="5"/>
      <c r="DXF64" s="5"/>
      <c r="DXG64" s="5"/>
      <c r="DXH64" s="5"/>
      <c r="DXI64" s="5"/>
      <c r="DXJ64" s="5"/>
      <c r="DXK64" s="5"/>
      <c r="DXL64" s="5"/>
      <c r="DXM64" s="5"/>
      <c r="DXN64" s="5"/>
      <c r="DXO64" s="5"/>
      <c r="DXP64" s="5"/>
      <c r="DXQ64" s="5"/>
      <c r="DXR64" s="5"/>
      <c r="DXS64" s="5"/>
      <c r="DXT64" s="5"/>
      <c r="DXU64" s="5"/>
      <c r="DXV64" s="5"/>
      <c r="DXW64" s="5"/>
      <c r="DXX64" s="5"/>
      <c r="DXY64" s="5"/>
      <c r="DXZ64" s="5"/>
      <c r="DYA64" s="5"/>
      <c r="DYB64" s="5"/>
      <c r="DYC64" s="5"/>
      <c r="DYD64" s="5"/>
      <c r="DYE64" s="5"/>
      <c r="DYF64" s="5"/>
      <c r="DYG64" s="5"/>
      <c r="DYH64" s="5"/>
      <c r="DYI64" s="5"/>
      <c r="DYJ64" s="5"/>
      <c r="DYK64" s="5"/>
      <c r="DYL64" s="5"/>
      <c r="DYM64" s="5"/>
      <c r="DYN64" s="5"/>
      <c r="DYO64" s="5"/>
      <c r="DYP64" s="5"/>
      <c r="DYQ64" s="5"/>
      <c r="DYR64" s="5"/>
      <c r="DYS64" s="5"/>
      <c r="DYT64" s="5"/>
      <c r="DYU64" s="5"/>
      <c r="DYV64" s="5"/>
      <c r="DYW64" s="5"/>
      <c r="DYX64" s="5"/>
      <c r="DYY64" s="5"/>
      <c r="DYZ64" s="5"/>
      <c r="DZA64" s="5"/>
      <c r="DZB64" s="5"/>
      <c r="DZC64" s="5"/>
      <c r="DZD64" s="5"/>
      <c r="DZE64" s="5"/>
      <c r="DZF64" s="5"/>
      <c r="DZG64" s="5"/>
      <c r="DZH64" s="5"/>
      <c r="DZI64" s="5"/>
      <c r="DZJ64" s="5"/>
      <c r="DZK64" s="5"/>
      <c r="DZL64" s="5"/>
      <c r="DZM64" s="5"/>
      <c r="DZN64" s="5"/>
      <c r="DZO64" s="5"/>
      <c r="DZP64" s="5"/>
      <c r="DZQ64" s="5"/>
      <c r="DZR64" s="5"/>
      <c r="DZS64" s="5"/>
      <c r="DZT64" s="5"/>
      <c r="DZU64" s="5"/>
      <c r="DZV64" s="5"/>
      <c r="DZW64" s="5"/>
      <c r="DZX64" s="5"/>
      <c r="DZY64" s="5"/>
      <c r="DZZ64" s="5"/>
      <c r="EAA64" s="5"/>
      <c r="EAB64" s="5"/>
      <c r="EAC64" s="5"/>
      <c r="EAD64" s="5"/>
      <c r="EAE64" s="5"/>
      <c r="EAF64" s="5"/>
      <c r="EAG64" s="5"/>
      <c r="EAH64" s="5"/>
      <c r="EAI64" s="5"/>
      <c r="EAJ64" s="5"/>
      <c r="EAK64" s="5"/>
      <c r="EAL64" s="5"/>
      <c r="EAM64" s="5"/>
      <c r="EAN64" s="5"/>
      <c r="EAO64" s="5"/>
      <c r="EAP64" s="5"/>
      <c r="EAQ64" s="5"/>
      <c r="EAR64" s="5"/>
      <c r="EAS64" s="5"/>
      <c r="EAT64" s="5"/>
      <c r="EAU64" s="5"/>
      <c r="EAV64" s="5"/>
      <c r="EAW64" s="5"/>
      <c r="EAX64" s="5"/>
      <c r="EAY64" s="5"/>
      <c r="EAZ64" s="5"/>
      <c r="EBA64" s="5"/>
      <c r="EBB64" s="5"/>
      <c r="EBC64" s="5"/>
      <c r="EBD64" s="5"/>
      <c r="EBE64" s="5"/>
      <c r="EBF64" s="5"/>
      <c r="EBG64" s="5"/>
      <c r="EBH64" s="5"/>
      <c r="EBI64" s="5"/>
      <c r="EBJ64" s="5"/>
      <c r="EBK64" s="5"/>
      <c r="EBL64" s="5"/>
      <c r="EBM64" s="5"/>
      <c r="EBN64" s="5"/>
      <c r="EBO64" s="5"/>
      <c r="EBP64" s="5"/>
      <c r="EBQ64" s="5"/>
      <c r="EBR64" s="5"/>
      <c r="EBS64" s="5"/>
      <c r="EBT64" s="5"/>
      <c r="EBU64" s="5"/>
      <c r="EBV64" s="5"/>
      <c r="EBW64" s="5"/>
      <c r="EBX64" s="5"/>
      <c r="EBY64" s="5"/>
      <c r="EBZ64" s="5"/>
      <c r="ECA64" s="5"/>
      <c r="ECB64" s="5"/>
      <c r="ECC64" s="5"/>
      <c r="ECD64" s="5"/>
      <c r="ECE64" s="5"/>
      <c r="ECF64" s="5"/>
      <c r="ECG64" s="5"/>
      <c r="ECH64" s="5"/>
      <c r="ECI64" s="5"/>
      <c r="ECJ64" s="5"/>
      <c r="ECK64" s="5"/>
      <c r="ECL64" s="5"/>
      <c r="ECM64" s="5"/>
      <c r="ECN64" s="5"/>
      <c r="ECO64" s="5"/>
      <c r="ECP64" s="5"/>
      <c r="ECQ64" s="5"/>
      <c r="ECR64" s="5"/>
      <c r="ECS64" s="5"/>
      <c r="ECT64" s="5"/>
      <c r="ECU64" s="5"/>
      <c r="ECV64" s="5"/>
      <c r="ECW64" s="5"/>
      <c r="ECX64" s="5"/>
      <c r="ECY64" s="5"/>
      <c r="ECZ64" s="5"/>
      <c r="EDA64" s="5"/>
      <c r="EDB64" s="5"/>
      <c r="EDC64" s="5"/>
      <c r="EDD64" s="5"/>
      <c r="EDE64" s="5"/>
      <c r="EDF64" s="5"/>
      <c r="EDG64" s="5"/>
      <c r="EDH64" s="5"/>
      <c r="EDI64" s="5"/>
      <c r="EDJ64" s="5"/>
      <c r="EDK64" s="5"/>
      <c r="EDL64" s="5"/>
      <c r="EDM64" s="5"/>
      <c r="EDN64" s="5"/>
      <c r="EDO64" s="5"/>
      <c r="EDP64" s="5"/>
      <c r="EDQ64" s="5"/>
      <c r="EDR64" s="5"/>
      <c r="EDS64" s="5"/>
      <c r="EDT64" s="5"/>
      <c r="EDU64" s="5"/>
      <c r="EDV64" s="5"/>
      <c r="EDW64" s="5"/>
      <c r="EDX64" s="5"/>
      <c r="EDY64" s="5"/>
      <c r="EDZ64" s="5"/>
      <c r="EEA64" s="5"/>
      <c r="EEB64" s="5"/>
      <c r="EEC64" s="5"/>
      <c r="EED64" s="5"/>
      <c r="EEE64" s="5"/>
      <c r="EEF64" s="5"/>
      <c r="EEG64" s="5"/>
      <c r="EEH64" s="5"/>
      <c r="EEI64" s="5"/>
      <c r="EEJ64" s="5"/>
      <c r="EEK64" s="5"/>
      <c r="EEL64" s="5"/>
      <c r="EEM64" s="5"/>
      <c r="EEN64" s="5"/>
      <c r="EEO64" s="5"/>
      <c r="EEP64" s="5"/>
      <c r="EEQ64" s="5"/>
      <c r="EER64" s="5"/>
      <c r="EES64" s="5"/>
      <c r="EET64" s="5"/>
      <c r="EEU64" s="5"/>
      <c r="EEV64" s="5"/>
      <c r="EEW64" s="5"/>
      <c r="EEX64" s="5"/>
      <c r="EEY64" s="5"/>
      <c r="EEZ64" s="5"/>
      <c r="EFA64" s="5"/>
      <c r="EFB64" s="5"/>
      <c r="EFC64" s="5"/>
      <c r="EFD64" s="5"/>
      <c r="EFE64" s="5"/>
      <c r="EFF64" s="5"/>
      <c r="EFG64" s="5"/>
      <c r="EFH64" s="5"/>
      <c r="EFI64" s="5"/>
      <c r="EFJ64" s="5"/>
      <c r="EFK64" s="5"/>
      <c r="EFL64" s="5"/>
      <c r="EFM64" s="5"/>
      <c r="EFN64" s="5"/>
      <c r="EFO64" s="5"/>
      <c r="EFP64" s="5"/>
      <c r="EFQ64" s="5"/>
      <c r="EFR64" s="5"/>
      <c r="EFS64" s="5"/>
      <c r="EFT64" s="5"/>
      <c r="EFU64" s="5"/>
      <c r="EFV64" s="5"/>
      <c r="EFW64" s="5"/>
      <c r="EFX64" s="5"/>
      <c r="EFY64" s="5"/>
      <c r="EFZ64" s="5"/>
      <c r="EGA64" s="5"/>
      <c r="EGB64" s="5"/>
      <c r="EGC64" s="5"/>
      <c r="EGD64" s="5"/>
      <c r="EGE64" s="5"/>
      <c r="EGF64" s="5"/>
      <c r="EGG64" s="5"/>
      <c r="EGH64" s="5"/>
      <c r="EGI64" s="5"/>
      <c r="EGJ64" s="5"/>
      <c r="EGK64" s="5"/>
      <c r="EGL64" s="5"/>
      <c r="EGM64" s="5"/>
      <c r="EGN64" s="5"/>
      <c r="EGO64" s="5"/>
      <c r="EGP64" s="5"/>
      <c r="EGQ64" s="5"/>
      <c r="EGR64" s="5"/>
      <c r="EGS64" s="5"/>
      <c r="EGT64" s="5"/>
      <c r="EGU64" s="5"/>
      <c r="EGV64" s="5"/>
      <c r="EGW64" s="5"/>
      <c r="EGX64" s="5"/>
      <c r="EGY64" s="5"/>
      <c r="EGZ64" s="5"/>
      <c r="EHA64" s="5"/>
      <c r="EHB64" s="5"/>
      <c r="EHC64" s="5"/>
      <c r="EHD64" s="5"/>
      <c r="EHE64" s="5"/>
      <c r="EHF64" s="5"/>
      <c r="EHG64" s="5"/>
      <c r="EHH64" s="5"/>
      <c r="EHI64" s="5"/>
      <c r="EHJ64" s="5"/>
      <c r="EHK64" s="5"/>
      <c r="EHL64" s="5"/>
      <c r="EHM64" s="5"/>
      <c r="EHN64" s="5"/>
      <c r="EHO64" s="5"/>
      <c r="EHP64" s="5"/>
      <c r="EHQ64" s="5"/>
      <c r="EHR64" s="5"/>
      <c r="EHS64" s="5"/>
      <c r="EHT64" s="5"/>
      <c r="EHU64" s="5"/>
      <c r="EHV64" s="5"/>
      <c r="EHW64" s="5"/>
      <c r="EHX64" s="5"/>
      <c r="EHY64" s="5"/>
      <c r="EHZ64" s="5"/>
      <c r="EIA64" s="5"/>
      <c r="EIB64" s="5"/>
      <c r="EIC64" s="5"/>
      <c r="EID64" s="5"/>
      <c r="EIE64" s="5"/>
      <c r="EIF64" s="5"/>
      <c r="EIG64" s="5"/>
      <c r="EIH64" s="5"/>
      <c r="EII64" s="5"/>
      <c r="EIJ64" s="5"/>
      <c r="EIK64" s="5"/>
      <c r="EIL64" s="5"/>
      <c r="EIM64" s="5"/>
      <c r="EIN64" s="5"/>
      <c r="EIO64" s="5"/>
      <c r="EIP64" s="5"/>
      <c r="EIQ64" s="5"/>
      <c r="EIR64" s="5"/>
      <c r="EIS64" s="5"/>
      <c r="EIT64" s="5"/>
      <c r="EIU64" s="5"/>
      <c r="EIV64" s="5"/>
      <c r="EIW64" s="5"/>
      <c r="EIX64" s="5"/>
      <c r="EIY64" s="5"/>
      <c r="EIZ64" s="5"/>
      <c r="EJA64" s="5"/>
      <c r="EJB64" s="5"/>
      <c r="EJC64" s="5"/>
      <c r="EJD64" s="5"/>
      <c r="EJE64" s="5"/>
      <c r="EJF64" s="5"/>
      <c r="EJG64" s="5"/>
      <c r="EJH64" s="5"/>
      <c r="EJI64" s="5"/>
      <c r="EJJ64" s="5"/>
      <c r="EJK64" s="5"/>
      <c r="EJL64" s="5"/>
      <c r="EJM64" s="5"/>
      <c r="EJN64" s="5"/>
      <c r="EJO64" s="5"/>
      <c r="EJP64" s="5"/>
      <c r="EJQ64" s="5"/>
      <c r="EJR64" s="5"/>
      <c r="EJS64" s="5"/>
      <c r="EJT64" s="5"/>
      <c r="EJU64" s="5"/>
      <c r="EJV64" s="5"/>
      <c r="EJW64" s="5"/>
      <c r="EJX64" s="5"/>
      <c r="EJY64" s="5"/>
      <c r="EJZ64" s="5"/>
      <c r="EKA64" s="5"/>
      <c r="EKB64" s="5"/>
      <c r="EKC64" s="5"/>
      <c r="EKD64" s="5"/>
      <c r="EKE64" s="5"/>
      <c r="EKF64" s="5"/>
      <c r="EKG64" s="5"/>
      <c r="EKH64" s="5"/>
      <c r="EKI64" s="5"/>
      <c r="EKJ64" s="5"/>
      <c r="EKK64" s="5"/>
      <c r="EKL64" s="5"/>
      <c r="EKM64" s="5"/>
      <c r="EKN64" s="5"/>
      <c r="EKO64" s="5"/>
      <c r="EKP64" s="5"/>
      <c r="EKQ64" s="5"/>
      <c r="EKR64" s="5"/>
      <c r="EKS64" s="5"/>
      <c r="EKT64" s="5"/>
      <c r="EKU64" s="5"/>
      <c r="EKV64" s="5"/>
      <c r="EKW64" s="5"/>
      <c r="EKX64" s="5"/>
      <c r="EKY64" s="5"/>
      <c r="EKZ64" s="5"/>
      <c r="ELA64" s="5"/>
      <c r="ELB64" s="5"/>
      <c r="ELC64" s="5"/>
      <c r="ELD64" s="5"/>
      <c r="ELE64" s="5"/>
      <c r="ELF64" s="5"/>
      <c r="ELG64" s="5"/>
      <c r="ELH64" s="5"/>
      <c r="ELI64" s="5"/>
      <c r="ELJ64" s="5"/>
      <c r="ELK64" s="5"/>
      <c r="ELL64" s="5"/>
      <c r="ELM64" s="5"/>
      <c r="ELN64" s="5"/>
      <c r="ELO64" s="5"/>
      <c r="ELP64" s="5"/>
      <c r="ELQ64" s="5"/>
      <c r="ELR64" s="5"/>
      <c r="ELS64" s="5"/>
      <c r="ELT64" s="5"/>
      <c r="ELU64" s="5"/>
      <c r="ELV64" s="5"/>
      <c r="ELW64" s="5"/>
      <c r="ELX64" s="5"/>
      <c r="ELY64" s="5"/>
      <c r="ELZ64" s="5"/>
      <c r="EMA64" s="5"/>
      <c r="EMB64" s="5"/>
      <c r="EMC64" s="5"/>
      <c r="EMD64" s="5"/>
      <c r="EME64" s="5"/>
      <c r="EMF64" s="5"/>
      <c r="EMG64" s="5"/>
      <c r="EMH64" s="5"/>
      <c r="EMI64" s="5"/>
      <c r="EMJ64" s="5"/>
      <c r="EMK64" s="5"/>
      <c r="EML64" s="5"/>
      <c r="EMM64" s="5"/>
      <c r="EMN64" s="5"/>
      <c r="EMO64" s="5"/>
      <c r="EMP64" s="5"/>
      <c r="EMQ64" s="5"/>
      <c r="EMR64" s="5"/>
      <c r="EMS64" s="5"/>
      <c r="EMT64" s="5"/>
      <c r="EMU64" s="5"/>
      <c r="EMV64" s="5"/>
      <c r="EMW64" s="5"/>
      <c r="EMX64" s="5"/>
      <c r="EMY64" s="5"/>
      <c r="EMZ64" s="5"/>
      <c r="ENA64" s="5"/>
      <c r="ENB64" s="5"/>
      <c r="ENC64" s="5"/>
      <c r="END64" s="5"/>
      <c r="ENE64" s="5"/>
      <c r="ENF64" s="5"/>
      <c r="ENG64" s="5"/>
      <c r="ENH64" s="5"/>
      <c r="ENI64" s="5"/>
      <c r="ENJ64" s="5"/>
      <c r="ENK64" s="5"/>
      <c r="ENL64" s="5"/>
      <c r="ENM64" s="5"/>
      <c r="ENN64" s="5"/>
      <c r="ENO64" s="5"/>
      <c r="ENP64" s="5"/>
      <c r="ENQ64" s="5"/>
      <c r="ENR64" s="5"/>
      <c r="ENS64" s="5"/>
      <c r="ENT64" s="5"/>
      <c r="ENU64" s="5"/>
      <c r="ENV64" s="5"/>
      <c r="ENW64" s="5"/>
      <c r="ENX64" s="5"/>
      <c r="ENY64" s="5"/>
      <c r="ENZ64" s="5"/>
      <c r="EOA64" s="5"/>
      <c r="EOB64" s="5"/>
      <c r="EOC64" s="5"/>
      <c r="EOD64" s="5"/>
      <c r="EOE64" s="5"/>
      <c r="EOF64" s="5"/>
      <c r="EOG64" s="5"/>
      <c r="EOH64" s="5"/>
      <c r="EOI64" s="5"/>
      <c r="EOJ64" s="5"/>
      <c r="EOK64" s="5"/>
      <c r="EOL64" s="5"/>
      <c r="EOM64" s="5"/>
      <c r="EON64" s="5"/>
      <c r="EOO64" s="5"/>
      <c r="EOP64" s="5"/>
      <c r="EOQ64" s="5"/>
      <c r="EOR64" s="5"/>
      <c r="EOS64" s="5"/>
      <c r="EOT64" s="5"/>
      <c r="EOU64" s="5"/>
      <c r="EOV64" s="5"/>
      <c r="EOW64" s="5"/>
      <c r="EOX64" s="5"/>
      <c r="EOY64" s="5"/>
      <c r="EOZ64" s="5"/>
      <c r="EPA64" s="5"/>
      <c r="EPB64" s="5"/>
      <c r="EPC64" s="5"/>
      <c r="EPD64" s="5"/>
      <c r="EPE64" s="5"/>
      <c r="EPF64" s="5"/>
      <c r="EPG64" s="5"/>
      <c r="EPH64" s="5"/>
      <c r="EPI64" s="5"/>
      <c r="EPJ64" s="5"/>
      <c r="EPK64" s="5"/>
      <c r="EPL64" s="5"/>
      <c r="EPM64" s="5"/>
      <c r="EPN64" s="5"/>
      <c r="EPO64" s="5"/>
      <c r="EPP64" s="5"/>
      <c r="EPQ64" s="5"/>
      <c r="EPR64" s="5"/>
      <c r="EPS64" s="5"/>
      <c r="EPT64" s="5"/>
      <c r="EPU64" s="5"/>
      <c r="EPV64" s="5"/>
      <c r="EPW64" s="5"/>
      <c r="EPX64" s="5"/>
      <c r="EPY64" s="5"/>
      <c r="EPZ64" s="5"/>
      <c r="EQA64" s="5"/>
      <c r="EQB64" s="5"/>
      <c r="EQC64" s="5"/>
      <c r="EQD64" s="5"/>
      <c r="EQE64" s="5"/>
      <c r="EQF64" s="5"/>
      <c r="EQG64" s="5"/>
      <c r="EQH64" s="5"/>
      <c r="EQI64" s="5"/>
      <c r="EQJ64" s="5"/>
      <c r="EQK64" s="5"/>
      <c r="EQL64" s="5"/>
      <c r="EQM64" s="5"/>
      <c r="EQN64" s="5"/>
      <c r="EQO64" s="5"/>
      <c r="EQP64" s="5"/>
      <c r="EQQ64" s="5"/>
      <c r="EQR64" s="5"/>
      <c r="EQS64" s="5"/>
      <c r="EQT64" s="5"/>
      <c r="EQU64" s="5"/>
      <c r="EQV64" s="5"/>
      <c r="EQW64" s="5"/>
      <c r="EQX64" s="5"/>
      <c r="EQY64" s="5"/>
      <c r="EQZ64" s="5"/>
      <c r="ERA64" s="5"/>
      <c r="ERB64" s="5"/>
      <c r="ERC64" s="5"/>
      <c r="ERD64" s="5"/>
      <c r="ERE64" s="5"/>
      <c r="ERF64" s="5"/>
      <c r="ERG64" s="5"/>
      <c r="ERH64" s="5"/>
      <c r="ERI64" s="5"/>
      <c r="ERJ64" s="5"/>
      <c r="ERK64" s="5"/>
      <c r="ERL64" s="5"/>
      <c r="ERM64" s="5"/>
      <c r="ERN64" s="5"/>
      <c r="ERO64" s="5"/>
      <c r="ERP64" s="5"/>
      <c r="ERQ64" s="5"/>
      <c r="ERR64" s="5"/>
      <c r="ERS64" s="5"/>
      <c r="ERT64" s="5"/>
      <c r="ERU64" s="5"/>
      <c r="ERV64" s="5"/>
      <c r="ERW64" s="5"/>
      <c r="ERX64" s="5"/>
      <c r="ERY64" s="5"/>
      <c r="ERZ64" s="5"/>
      <c r="ESA64" s="5"/>
      <c r="ESB64" s="5"/>
      <c r="ESC64" s="5"/>
      <c r="ESD64" s="5"/>
      <c r="ESE64" s="5"/>
      <c r="ESF64" s="5"/>
      <c r="ESG64" s="5"/>
      <c r="ESH64" s="5"/>
      <c r="ESI64" s="5"/>
      <c r="ESJ64" s="5"/>
      <c r="ESK64" s="5"/>
      <c r="ESL64" s="5"/>
      <c r="ESM64" s="5"/>
      <c r="ESN64" s="5"/>
      <c r="ESO64" s="5"/>
      <c r="ESP64" s="5"/>
      <c r="ESQ64" s="5"/>
      <c r="ESR64" s="5"/>
      <c r="ESS64" s="5"/>
      <c r="EST64" s="5"/>
      <c r="ESU64" s="5"/>
      <c r="ESV64" s="5"/>
      <c r="ESW64" s="5"/>
      <c r="ESX64" s="5"/>
      <c r="ESY64" s="5"/>
      <c r="ESZ64" s="5"/>
      <c r="ETA64" s="5"/>
      <c r="ETB64" s="5"/>
      <c r="ETC64" s="5"/>
      <c r="ETD64" s="5"/>
      <c r="ETE64" s="5"/>
      <c r="ETF64" s="5"/>
      <c r="ETG64" s="5"/>
      <c r="ETH64" s="5"/>
      <c r="ETI64" s="5"/>
      <c r="ETJ64" s="5"/>
      <c r="ETK64" s="5"/>
      <c r="ETL64" s="5"/>
      <c r="ETM64" s="5"/>
      <c r="ETN64" s="5"/>
      <c r="ETO64" s="5"/>
      <c r="ETP64" s="5"/>
      <c r="ETQ64" s="5"/>
      <c r="ETR64" s="5"/>
      <c r="ETS64" s="5"/>
      <c r="ETT64" s="5"/>
      <c r="ETU64" s="5"/>
      <c r="ETV64" s="5"/>
      <c r="ETW64" s="5"/>
      <c r="ETX64" s="5"/>
      <c r="ETY64" s="5"/>
      <c r="ETZ64" s="5"/>
      <c r="EUA64" s="5"/>
      <c r="EUB64" s="5"/>
      <c r="EUC64" s="5"/>
      <c r="EUD64" s="5"/>
      <c r="EUE64" s="5"/>
      <c r="EUF64" s="5"/>
      <c r="EUG64" s="5"/>
      <c r="EUH64" s="5"/>
      <c r="EUI64" s="5"/>
      <c r="EUJ64" s="5"/>
      <c r="EUK64" s="5"/>
      <c r="EUL64" s="5"/>
      <c r="EUM64" s="5"/>
      <c r="EUN64" s="5"/>
      <c r="EUO64" s="5"/>
      <c r="EUP64" s="5"/>
      <c r="EUQ64" s="5"/>
      <c r="EUR64" s="5"/>
      <c r="EUS64" s="5"/>
      <c r="EUT64" s="5"/>
      <c r="EUU64" s="5"/>
      <c r="EUV64" s="5"/>
      <c r="EUW64" s="5"/>
      <c r="EUX64" s="5"/>
      <c r="EUY64" s="5"/>
      <c r="EUZ64" s="5"/>
      <c r="EVA64" s="5"/>
      <c r="EVB64" s="5"/>
      <c r="EVC64" s="5"/>
      <c r="EVD64" s="5"/>
      <c r="EVE64" s="5"/>
      <c r="EVF64" s="5"/>
      <c r="EVG64" s="5"/>
      <c r="EVH64" s="5"/>
      <c r="EVI64" s="5"/>
      <c r="EVJ64" s="5"/>
      <c r="EVK64" s="5"/>
      <c r="EVL64" s="5"/>
      <c r="EVM64" s="5"/>
      <c r="EVN64" s="5"/>
      <c r="EVO64" s="5"/>
      <c r="EVP64" s="5"/>
      <c r="EVQ64" s="5"/>
      <c r="EVR64" s="5"/>
      <c r="EVS64" s="5"/>
      <c r="EVT64" s="5"/>
      <c r="EVU64" s="5"/>
      <c r="EVV64" s="5"/>
      <c r="EVW64" s="5"/>
      <c r="EVX64" s="5"/>
      <c r="EVY64" s="5"/>
      <c r="EVZ64" s="5"/>
      <c r="EWA64" s="5"/>
      <c r="EWB64" s="5"/>
      <c r="EWC64" s="5"/>
      <c r="EWD64" s="5"/>
      <c r="EWE64" s="5"/>
      <c r="EWF64" s="5"/>
      <c r="EWG64" s="5"/>
      <c r="EWH64" s="5"/>
      <c r="EWI64" s="5"/>
      <c r="EWJ64" s="5"/>
      <c r="EWK64" s="5"/>
      <c r="EWL64" s="5"/>
      <c r="EWM64" s="5"/>
      <c r="EWN64" s="5"/>
      <c r="EWO64" s="5"/>
      <c r="EWP64" s="5"/>
      <c r="EWQ64" s="5"/>
      <c r="EWR64" s="5"/>
      <c r="EWS64" s="5"/>
      <c r="EWT64" s="5"/>
      <c r="EWU64" s="5"/>
      <c r="EWV64" s="5"/>
      <c r="EWW64" s="5"/>
      <c r="EWX64" s="5"/>
      <c r="EWY64" s="5"/>
      <c r="EWZ64" s="5"/>
      <c r="EXA64" s="5"/>
      <c r="EXB64" s="5"/>
      <c r="EXC64" s="5"/>
      <c r="EXD64" s="5"/>
      <c r="EXE64" s="5"/>
      <c r="EXF64" s="5"/>
      <c r="EXG64" s="5"/>
      <c r="EXH64" s="5"/>
      <c r="EXI64" s="5"/>
      <c r="EXJ64" s="5"/>
      <c r="EXK64" s="5"/>
      <c r="EXL64" s="5"/>
      <c r="EXM64" s="5"/>
      <c r="EXN64" s="5"/>
      <c r="EXO64" s="5"/>
      <c r="EXP64" s="5"/>
      <c r="EXQ64" s="5"/>
      <c r="EXR64" s="5"/>
      <c r="EXS64" s="5"/>
      <c r="EXT64" s="5"/>
      <c r="EXU64" s="5"/>
      <c r="EXV64" s="5"/>
      <c r="EXW64" s="5"/>
      <c r="EXX64" s="5"/>
      <c r="EXY64" s="5"/>
      <c r="EXZ64" s="5"/>
      <c r="EYA64" s="5"/>
      <c r="EYB64" s="5"/>
      <c r="EYC64" s="5"/>
      <c r="EYD64" s="5"/>
      <c r="EYE64" s="5"/>
      <c r="EYF64" s="5"/>
      <c r="EYG64" s="5"/>
      <c r="EYH64" s="5"/>
      <c r="EYI64" s="5"/>
      <c r="EYJ64" s="5"/>
      <c r="EYK64" s="5"/>
      <c r="EYL64" s="5"/>
      <c r="EYM64" s="5"/>
      <c r="EYN64" s="5"/>
      <c r="EYO64" s="5"/>
      <c r="EYP64" s="5"/>
      <c r="EYQ64" s="5"/>
      <c r="EYR64" s="5"/>
      <c r="EYS64" s="5"/>
      <c r="EYT64" s="5"/>
      <c r="EYU64" s="5"/>
      <c r="EYV64" s="5"/>
      <c r="EYW64" s="5"/>
      <c r="EYX64" s="5"/>
      <c r="EYY64" s="5"/>
      <c r="EYZ64" s="5"/>
      <c r="EZA64" s="5"/>
      <c r="EZB64" s="5"/>
      <c r="EZC64" s="5"/>
      <c r="EZD64" s="5"/>
      <c r="EZE64" s="5"/>
      <c r="EZF64" s="5"/>
      <c r="EZG64" s="5"/>
      <c r="EZH64" s="5"/>
      <c r="EZI64" s="5"/>
      <c r="EZJ64" s="5"/>
      <c r="EZK64" s="5"/>
      <c r="EZL64" s="5"/>
      <c r="EZM64" s="5"/>
      <c r="EZN64" s="5"/>
      <c r="EZO64" s="5"/>
      <c r="EZP64" s="5"/>
      <c r="EZQ64" s="5"/>
      <c r="EZR64" s="5"/>
      <c r="EZS64" s="5"/>
      <c r="EZT64" s="5"/>
      <c r="EZU64" s="5"/>
      <c r="EZV64" s="5"/>
      <c r="EZW64" s="5"/>
      <c r="EZX64" s="5"/>
      <c r="EZY64" s="5"/>
      <c r="EZZ64" s="5"/>
      <c r="FAA64" s="5"/>
      <c r="FAB64" s="5"/>
      <c r="FAC64" s="5"/>
      <c r="FAD64" s="5"/>
      <c r="FAE64" s="5"/>
      <c r="FAF64" s="5"/>
      <c r="FAG64" s="5"/>
      <c r="FAH64" s="5"/>
      <c r="FAI64" s="5"/>
      <c r="FAJ64" s="5"/>
      <c r="FAK64" s="5"/>
      <c r="FAL64" s="5"/>
      <c r="FAM64" s="5"/>
      <c r="FAN64" s="5"/>
      <c r="FAO64" s="5"/>
      <c r="FAP64" s="5"/>
      <c r="FAQ64" s="5"/>
      <c r="FAR64" s="5"/>
      <c r="FAS64" s="5"/>
      <c r="FAT64" s="5"/>
      <c r="FAU64" s="5"/>
      <c r="FAV64" s="5"/>
      <c r="FAW64" s="5"/>
      <c r="FAX64" s="5"/>
      <c r="FAY64" s="5"/>
      <c r="FAZ64" s="5"/>
      <c r="FBA64" s="5"/>
      <c r="FBB64" s="5"/>
      <c r="FBC64" s="5"/>
      <c r="FBD64" s="5"/>
      <c r="FBE64" s="5"/>
      <c r="FBF64" s="5"/>
      <c r="FBG64" s="5"/>
      <c r="FBH64" s="5"/>
      <c r="FBI64" s="5"/>
      <c r="FBJ64" s="5"/>
      <c r="FBK64" s="5"/>
      <c r="FBL64" s="5"/>
      <c r="FBM64" s="5"/>
      <c r="FBN64" s="5"/>
      <c r="FBO64" s="5"/>
      <c r="FBP64" s="5"/>
      <c r="FBQ64" s="5"/>
      <c r="FBR64" s="5"/>
      <c r="FBS64" s="5"/>
      <c r="FBT64" s="5"/>
      <c r="FBU64" s="5"/>
      <c r="FBV64" s="5"/>
      <c r="FBW64" s="5"/>
      <c r="FBX64" s="5"/>
      <c r="FBY64" s="5"/>
      <c r="FBZ64" s="5"/>
      <c r="FCA64" s="5"/>
      <c r="FCB64" s="5"/>
      <c r="FCC64" s="5"/>
      <c r="FCD64" s="5"/>
      <c r="FCE64" s="5"/>
      <c r="FCF64" s="5"/>
      <c r="FCG64" s="5"/>
      <c r="FCH64" s="5"/>
      <c r="FCI64" s="5"/>
      <c r="FCJ64" s="5"/>
      <c r="FCK64" s="5"/>
      <c r="FCL64" s="5"/>
      <c r="FCM64" s="5"/>
      <c r="FCN64" s="5"/>
      <c r="FCO64" s="5"/>
      <c r="FCP64" s="5"/>
      <c r="FCQ64" s="5"/>
      <c r="FCR64" s="5"/>
      <c r="FCS64" s="5"/>
      <c r="FCT64" s="5"/>
      <c r="FCU64" s="5"/>
      <c r="FCV64" s="5"/>
      <c r="FCW64" s="5"/>
      <c r="FCX64" s="5"/>
      <c r="FCY64" s="5"/>
      <c r="FCZ64" s="5"/>
      <c r="FDA64" s="5"/>
      <c r="FDB64" s="5"/>
      <c r="FDC64" s="5"/>
      <c r="FDD64" s="5"/>
      <c r="FDE64" s="5"/>
      <c r="FDF64" s="5"/>
      <c r="FDG64" s="5"/>
      <c r="FDH64" s="5"/>
      <c r="FDI64" s="5"/>
      <c r="FDJ64" s="5"/>
      <c r="FDK64" s="5"/>
      <c r="FDL64" s="5"/>
      <c r="FDM64" s="5"/>
      <c r="FDN64" s="5"/>
      <c r="FDO64" s="5"/>
      <c r="FDP64" s="5"/>
      <c r="FDQ64" s="5"/>
      <c r="FDR64" s="5"/>
      <c r="FDS64" s="5"/>
      <c r="FDT64" s="5"/>
      <c r="FDU64" s="5"/>
      <c r="FDV64" s="5"/>
      <c r="FDW64" s="5"/>
      <c r="FDX64" s="5"/>
      <c r="FDY64" s="5"/>
      <c r="FDZ64" s="5"/>
      <c r="FEA64" s="5"/>
      <c r="FEB64" s="5"/>
      <c r="FEC64" s="5"/>
      <c r="FED64" s="5"/>
      <c r="FEE64" s="5"/>
      <c r="FEF64" s="5"/>
      <c r="FEG64" s="5"/>
      <c r="FEH64" s="5"/>
      <c r="FEI64" s="5"/>
      <c r="FEJ64" s="5"/>
      <c r="FEK64" s="5"/>
      <c r="FEL64" s="5"/>
      <c r="FEM64" s="5"/>
      <c r="FEN64" s="5"/>
      <c r="FEO64" s="5"/>
      <c r="FEP64" s="5"/>
      <c r="FEQ64" s="5"/>
      <c r="FER64" s="5"/>
      <c r="FES64" s="5"/>
      <c r="FET64" s="5"/>
      <c r="FEU64" s="5"/>
      <c r="FEV64" s="5"/>
      <c r="FEW64" s="5"/>
      <c r="FEX64" s="5"/>
      <c r="FEY64" s="5"/>
      <c r="FEZ64" s="5"/>
      <c r="FFA64" s="5"/>
      <c r="FFB64" s="5"/>
      <c r="FFC64" s="5"/>
      <c r="FFD64" s="5"/>
      <c r="FFE64" s="5"/>
      <c r="FFF64" s="5"/>
      <c r="FFG64" s="5"/>
      <c r="FFH64" s="5"/>
      <c r="FFI64" s="5"/>
      <c r="FFJ64" s="5"/>
      <c r="FFK64" s="5"/>
      <c r="FFL64" s="5"/>
      <c r="FFM64" s="5"/>
      <c r="FFN64" s="5"/>
      <c r="FFO64" s="5"/>
      <c r="FFP64" s="5"/>
      <c r="FFQ64" s="5"/>
      <c r="FFR64" s="5"/>
      <c r="FFS64" s="5"/>
      <c r="FFT64" s="5"/>
      <c r="FFU64" s="5"/>
      <c r="FFV64" s="5"/>
      <c r="FFW64" s="5"/>
      <c r="FFX64" s="5"/>
      <c r="FFY64" s="5"/>
      <c r="FFZ64" s="5"/>
      <c r="FGA64" s="5"/>
      <c r="FGB64" s="5"/>
      <c r="FGC64" s="5"/>
      <c r="FGD64" s="5"/>
      <c r="FGE64" s="5"/>
      <c r="FGF64" s="5"/>
      <c r="FGG64" s="5"/>
      <c r="FGH64" s="5"/>
      <c r="FGI64" s="5"/>
      <c r="FGJ64" s="5"/>
      <c r="FGK64" s="5"/>
      <c r="FGL64" s="5"/>
      <c r="FGM64" s="5"/>
      <c r="FGN64" s="5"/>
      <c r="FGO64" s="5"/>
      <c r="FGP64" s="5"/>
      <c r="FGQ64" s="5"/>
      <c r="FGR64" s="5"/>
      <c r="FGS64" s="5"/>
      <c r="FGT64" s="5"/>
      <c r="FGU64" s="5"/>
      <c r="FGV64" s="5"/>
      <c r="FGW64" s="5"/>
      <c r="FGX64" s="5"/>
      <c r="FGY64" s="5"/>
      <c r="FGZ64" s="5"/>
      <c r="FHA64" s="5"/>
      <c r="FHB64" s="5"/>
      <c r="FHC64" s="5"/>
      <c r="FHD64" s="5"/>
      <c r="FHE64" s="5"/>
      <c r="FHF64" s="5"/>
      <c r="FHG64" s="5"/>
      <c r="FHH64" s="5"/>
      <c r="FHI64" s="5"/>
      <c r="FHJ64" s="5"/>
      <c r="FHK64" s="5"/>
      <c r="FHL64" s="5"/>
      <c r="FHM64" s="5"/>
      <c r="FHN64" s="5"/>
      <c r="FHO64" s="5"/>
      <c r="FHP64" s="5"/>
      <c r="FHQ64" s="5"/>
      <c r="FHR64" s="5"/>
      <c r="FHS64" s="5"/>
      <c r="FHT64" s="5"/>
      <c r="FHU64" s="5"/>
      <c r="FHV64" s="5"/>
      <c r="FHW64" s="5"/>
      <c r="FHX64" s="5"/>
      <c r="FHY64" s="5"/>
      <c r="FHZ64" s="5"/>
      <c r="FIA64" s="5"/>
      <c r="FIB64" s="5"/>
      <c r="FIC64" s="5"/>
      <c r="FID64" s="5"/>
      <c r="FIE64" s="5"/>
      <c r="FIF64" s="5"/>
      <c r="FIG64" s="5"/>
      <c r="FIH64" s="5"/>
      <c r="FII64" s="5"/>
      <c r="FIJ64" s="5"/>
      <c r="FIK64" s="5"/>
      <c r="FIL64" s="5"/>
      <c r="FIM64" s="5"/>
      <c r="FIN64" s="5"/>
      <c r="FIO64" s="5"/>
      <c r="FIP64" s="5"/>
      <c r="FIQ64" s="5"/>
      <c r="FIR64" s="5"/>
      <c r="FIS64" s="5"/>
      <c r="FIT64" s="5"/>
      <c r="FIU64" s="5"/>
      <c r="FIV64" s="5"/>
      <c r="FIW64" s="5"/>
      <c r="FIX64" s="5"/>
      <c r="FIY64" s="5"/>
      <c r="FIZ64" s="5"/>
      <c r="FJA64" s="5"/>
      <c r="FJB64" s="5"/>
      <c r="FJC64" s="5"/>
      <c r="FJD64" s="5"/>
      <c r="FJE64" s="5"/>
      <c r="FJF64" s="5"/>
      <c r="FJG64" s="5"/>
      <c r="FJH64" s="5"/>
      <c r="FJI64" s="5"/>
      <c r="FJJ64" s="5"/>
      <c r="FJK64" s="5"/>
      <c r="FJL64" s="5"/>
      <c r="FJM64" s="5"/>
      <c r="FJN64" s="5"/>
      <c r="FJO64" s="5"/>
      <c r="FJP64" s="5"/>
      <c r="FJQ64" s="5"/>
      <c r="FJR64" s="5"/>
      <c r="FJS64" s="5"/>
      <c r="FJT64" s="5"/>
      <c r="FJU64" s="5"/>
      <c r="FJV64" s="5"/>
      <c r="FJW64" s="5"/>
      <c r="FJX64" s="5"/>
      <c r="FJY64" s="5"/>
      <c r="FJZ64" s="5"/>
      <c r="FKA64" s="5"/>
      <c r="FKB64" s="5"/>
      <c r="FKC64" s="5"/>
      <c r="FKD64" s="5"/>
      <c r="FKE64" s="5"/>
      <c r="FKF64" s="5"/>
      <c r="FKG64" s="5"/>
      <c r="FKH64" s="5"/>
      <c r="FKI64" s="5"/>
      <c r="FKJ64" s="5"/>
      <c r="FKK64" s="5"/>
      <c r="FKL64" s="5"/>
      <c r="FKM64" s="5"/>
      <c r="FKN64" s="5"/>
      <c r="FKO64" s="5"/>
      <c r="FKP64" s="5"/>
      <c r="FKQ64" s="5"/>
      <c r="FKR64" s="5"/>
      <c r="FKS64" s="5"/>
      <c r="FKT64" s="5"/>
      <c r="FKU64" s="5"/>
      <c r="FKV64" s="5"/>
      <c r="FKW64" s="5"/>
      <c r="FKX64" s="5"/>
      <c r="FKY64" s="5"/>
      <c r="FKZ64" s="5"/>
      <c r="FLA64" s="5"/>
      <c r="FLB64" s="5"/>
      <c r="FLC64" s="5"/>
      <c r="FLD64" s="5"/>
      <c r="FLE64" s="5"/>
      <c r="FLF64" s="5"/>
      <c r="FLG64" s="5"/>
      <c r="FLH64" s="5"/>
      <c r="FLI64" s="5"/>
      <c r="FLJ64" s="5"/>
      <c r="FLK64" s="5"/>
      <c r="FLL64" s="5"/>
      <c r="FLM64" s="5"/>
      <c r="FLN64" s="5"/>
      <c r="FLO64" s="5"/>
      <c r="FLP64" s="5"/>
      <c r="FLQ64" s="5"/>
      <c r="FLR64" s="5"/>
      <c r="FLS64" s="5"/>
      <c r="FLT64" s="5"/>
      <c r="FLU64" s="5"/>
      <c r="FLV64" s="5"/>
      <c r="FLW64" s="5"/>
      <c r="FLX64" s="5"/>
      <c r="FLY64" s="5"/>
      <c r="FLZ64" s="5"/>
      <c r="FMA64" s="5"/>
      <c r="FMB64" s="5"/>
      <c r="FMC64" s="5"/>
      <c r="FMD64" s="5"/>
      <c r="FME64" s="5"/>
      <c r="FMF64" s="5"/>
      <c r="FMG64" s="5"/>
      <c r="FMH64" s="5"/>
      <c r="FMI64" s="5"/>
      <c r="FMJ64" s="5"/>
      <c r="FMK64" s="5"/>
      <c r="FML64" s="5"/>
      <c r="FMM64" s="5"/>
      <c r="FMN64" s="5"/>
      <c r="FMO64" s="5"/>
      <c r="FMP64" s="5"/>
      <c r="FMQ64" s="5"/>
      <c r="FMR64" s="5"/>
      <c r="FMS64" s="5"/>
      <c r="FMT64" s="5"/>
      <c r="FMU64" s="5"/>
      <c r="FMV64" s="5"/>
      <c r="FMW64" s="5"/>
      <c r="FMX64" s="5"/>
      <c r="FMY64" s="5"/>
      <c r="FMZ64" s="5"/>
      <c r="FNA64" s="5"/>
      <c r="FNB64" s="5"/>
      <c r="FNC64" s="5"/>
      <c r="FND64" s="5"/>
      <c r="FNE64" s="5"/>
      <c r="FNF64" s="5"/>
      <c r="FNG64" s="5"/>
      <c r="FNH64" s="5"/>
      <c r="FNI64" s="5"/>
      <c r="FNJ64" s="5"/>
      <c r="FNK64" s="5"/>
      <c r="FNL64" s="5"/>
      <c r="FNM64" s="5"/>
      <c r="FNN64" s="5"/>
      <c r="FNO64" s="5"/>
      <c r="FNP64" s="5"/>
      <c r="FNQ64" s="5"/>
      <c r="FNR64" s="5"/>
      <c r="FNS64" s="5"/>
      <c r="FNT64" s="5"/>
      <c r="FNU64" s="5"/>
      <c r="FNV64" s="5"/>
      <c r="FNW64" s="5"/>
      <c r="FNX64" s="5"/>
      <c r="FNY64" s="5"/>
      <c r="FNZ64" s="5"/>
      <c r="FOA64" s="5"/>
      <c r="FOB64" s="5"/>
      <c r="FOC64" s="5"/>
      <c r="FOD64" s="5"/>
      <c r="FOE64" s="5"/>
      <c r="FOF64" s="5"/>
      <c r="FOG64" s="5"/>
      <c r="FOH64" s="5"/>
      <c r="FOI64" s="5"/>
      <c r="FOJ64" s="5"/>
      <c r="FOK64" s="5"/>
      <c r="FOL64" s="5"/>
      <c r="FOM64" s="5"/>
      <c r="FON64" s="5"/>
      <c r="FOO64" s="5"/>
      <c r="FOP64" s="5"/>
      <c r="FOQ64" s="5"/>
      <c r="FOR64" s="5"/>
      <c r="FOS64" s="5"/>
      <c r="FOT64" s="5"/>
      <c r="FOU64" s="5"/>
      <c r="FOV64" s="5"/>
      <c r="FOW64" s="5"/>
      <c r="FOX64" s="5"/>
      <c r="FOY64" s="5"/>
      <c r="FOZ64" s="5"/>
      <c r="FPA64" s="5"/>
      <c r="FPB64" s="5"/>
      <c r="FPC64" s="5"/>
      <c r="FPD64" s="5"/>
      <c r="FPE64" s="5"/>
      <c r="FPF64" s="5"/>
      <c r="FPG64" s="5"/>
      <c r="FPH64" s="5"/>
      <c r="FPI64" s="5"/>
      <c r="FPJ64" s="5"/>
      <c r="FPK64" s="5"/>
      <c r="FPL64" s="5"/>
      <c r="FPM64" s="5"/>
      <c r="FPN64" s="5"/>
      <c r="FPO64" s="5"/>
      <c r="FPP64" s="5"/>
      <c r="FPQ64" s="5"/>
      <c r="FPR64" s="5"/>
      <c r="FPS64" s="5"/>
      <c r="FPT64" s="5"/>
      <c r="FPU64" s="5"/>
      <c r="FPV64" s="5"/>
      <c r="FPW64" s="5"/>
      <c r="FPX64" s="5"/>
      <c r="FPY64" s="5"/>
      <c r="FPZ64" s="5"/>
      <c r="FQA64" s="5"/>
      <c r="FQB64" s="5"/>
      <c r="FQC64" s="5"/>
      <c r="FQD64" s="5"/>
      <c r="FQE64" s="5"/>
      <c r="FQF64" s="5"/>
      <c r="FQG64" s="5"/>
      <c r="FQH64" s="5"/>
      <c r="FQI64" s="5"/>
      <c r="FQJ64" s="5"/>
      <c r="FQK64" s="5"/>
      <c r="FQL64" s="5"/>
      <c r="FQM64" s="5"/>
      <c r="FQN64" s="5"/>
      <c r="FQO64" s="5"/>
      <c r="FQP64" s="5"/>
      <c r="FQQ64" s="5"/>
      <c r="FQR64" s="5"/>
      <c r="FQS64" s="5"/>
      <c r="FQT64" s="5"/>
      <c r="FQU64" s="5"/>
      <c r="FQV64" s="5"/>
      <c r="FQW64" s="5"/>
      <c r="FQX64" s="5"/>
      <c r="FQY64" s="5"/>
      <c r="FQZ64" s="5"/>
      <c r="FRA64" s="5"/>
      <c r="FRB64" s="5"/>
      <c r="FRC64" s="5"/>
      <c r="FRD64" s="5"/>
      <c r="FRE64" s="5"/>
      <c r="FRF64" s="5"/>
      <c r="FRG64" s="5"/>
      <c r="FRH64" s="5"/>
      <c r="FRI64" s="5"/>
      <c r="FRJ64" s="5"/>
      <c r="FRK64" s="5"/>
      <c r="FRL64" s="5"/>
      <c r="FRM64" s="5"/>
      <c r="FRN64" s="5"/>
      <c r="FRO64" s="5"/>
      <c r="FRP64" s="5"/>
      <c r="FRQ64" s="5"/>
      <c r="FRR64" s="5"/>
      <c r="FRS64" s="5"/>
      <c r="FRT64" s="5"/>
      <c r="FRU64" s="5"/>
      <c r="FRV64" s="5"/>
      <c r="FRW64" s="5"/>
      <c r="FRX64" s="5"/>
      <c r="FRY64" s="5"/>
      <c r="FRZ64" s="5"/>
      <c r="FSA64" s="5"/>
      <c r="FSB64" s="5"/>
      <c r="FSC64" s="5"/>
      <c r="FSD64" s="5"/>
      <c r="FSE64" s="5"/>
      <c r="FSF64" s="5"/>
      <c r="FSG64" s="5"/>
      <c r="FSH64" s="5"/>
      <c r="FSI64" s="5"/>
      <c r="FSJ64" s="5"/>
      <c r="FSK64" s="5"/>
      <c r="FSL64" s="5"/>
      <c r="FSM64" s="5"/>
      <c r="FSN64" s="5"/>
      <c r="FSO64" s="5"/>
      <c r="FSP64" s="5"/>
      <c r="FSQ64" s="5"/>
      <c r="FSR64" s="5"/>
      <c r="FSS64" s="5"/>
      <c r="FST64" s="5"/>
      <c r="FSU64" s="5"/>
      <c r="FSV64" s="5"/>
      <c r="FSW64" s="5"/>
      <c r="FSX64" s="5"/>
      <c r="FSY64" s="5"/>
      <c r="FSZ64" s="5"/>
      <c r="FTA64" s="5"/>
      <c r="FTB64" s="5"/>
      <c r="FTC64" s="5"/>
      <c r="FTD64" s="5"/>
      <c r="FTE64" s="5"/>
      <c r="FTF64" s="5"/>
      <c r="FTG64" s="5"/>
      <c r="FTH64" s="5"/>
      <c r="FTI64" s="5"/>
      <c r="FTJ64" s="5"/>
      <c r="FTK64" s="5"/>
      <c r="FTL64" s="5"/>
      <c r="FTM64" s="5"/>
      <c r="FTN64" s="5"/>
      <c r="FTO64" s="5"/>
      <c r="FTP64" s="5"/>
      <c r="FTQ64" s="5"/>
      <c r="FTR64" s="5"/>
      <c r="FTS64" s="5"/>
      <c r="FTT64" s="5"/>
      <c r="FTU64" s="5"/>
      <c r="FTV64" s="5"/>
      <c r="FTW64" s="5"/>
      <c r="FTX64" s="5"/>
      <c r="FTY64" s="5"/>
      <c r="FTZ64" s="5"/>
      <c r="FUA64" s="5"/>
      <c r="FUB64" s="5"/>
      <c r="FUC64" s="5"/>
      <c r="FUD64" s="5"/>
      <c r="FUE64" s="5"/>
      <c r="FUF64" s="5"/>
      <c r="FUG64" s="5"/>
      <c r="FUH64" s="5"/>
      <c r="FUI64" s="5"/>
      <c r="FUJ64" s="5"/>
      <c r="FUK64" s="5"/>
      <c r="FUL64" s="5"/>
      <c r="FUM64" s="5"/>
      <c r="FUN64" s="5"/>
      <c r="FUO64" s="5"/>
      <c r="FUP64" s="5"/>
      <c r="FUQ64" s="5"/>
      <c r="FUR64" s="5"/>
      <c r="FUS64" s="5"/>
      <c r="FUT64" s="5"/>
      <c r="FUU64" s="5"/>
      <c r="FUV64" s="5"/>
      <c r="FUW64" s="5"/>
      <c r="FUX64" s="5"/>
      <c r="FUY64" s="5"/>
      <c r="FUZ64" s="5"/>
      <c r="FVA64" s="5"/>
      <c r="FVB64" s="5"/>
      <c r="FVC64" s="5"/>
      <c r="FVD64" s="5"/>
      <c r="FVE64" s="5"/>
      <c r="FVF64" s="5"/>
      <c r="FVG64" s="5"/>
      <c r="FVH64" s="5"/>
      <c r="FVI64" s="5"/>
      <c r="FVJ64" s="5"/>
      <c r="FVK64" s="5"/>
      <c r="FVL64" s="5"/>
      <c r="FVM64" s="5"/>
      <c r="FVN64" s="5"/>
      <c r="FVO64" s="5"/>
      <c r="FVP64" s="5"/>
      <c r="FVQ64" s="5"/>
      <c r="FVR64" s="5"/>
      <c r="FVS64" s="5"/>
      <c r="FVT64" s="5"/>
      <c r="FVU64" s="5"/>
      <c r="FVV64" s="5"/>
      <c r="FVW64" s="5"/>
      <c r="FVX64" s="5"/>
      <c r="FVY64" s="5"/>
      <c r="FVZ64" s="5"/>
      <c r="FWA64" s="5"/>
      <c r="FWB64" s="5"/>
      <c r="FWC64" s="5"/>
      <c r="FWD64" s="5"/>
      <c r="FWE64" s="5"/>
      <c r="FWF64" s="5"/>
      <c r="FWG64" s="5"/>
      <c r="FWH64" s="5"/>
      <c r="FWI64" s="5"/>
      <c r="FWJ64" s="5"/>
      <c r="FWK64" s="5"/>
      <c r="FWL64" s="5"/>
      <c r="FWM64" s="5"/>
      <c r="FWN64" s="5"/>
      <c r="FWO64" s="5"/>
      <c r="FWP64" s="5"/>
      <c r="FWQ64" s="5"/>
      <c r="FWR64" s="5"/>
      <c r="FWS64" s="5"/>
      <c r="FWT64" s="5"/>
      <c r="FWU64" s="5"/>
      <c r="FWV64" s="5"/>
      <c r="FWW64" s="5"/>
      <c r="FWX64" s="5"/>
      <c r="FWY64" s="5"/>
      <c r="FWZ64" s="5"/>
      <c r="FXA64" s="5"/>
      <c r="FXB64" s="5"/>
      <c r="FXC64" s="5"/>
      <c r="FXD64" s="5"/>
      <c r="FXE64" s="5"/>
      <c r="FXF64" s="5"/>
      <c r="FXG64" s="5"/>
      <c r="FXH64" s="5"/>
      <c r="FXI64" s="5"/>
      <c r="FXJ64" s="5"/>
      <c r="FXK64" s="5"/>
      <c r="FXL64" s="5"/>
      <c r="FXM64" s="5"/>
      <c r="FXN64" s="5"/>
      <c r="FXO64" s="5"/>
      <c r="FXP64" s="5"/>
      <c r="FXQ64" s="5"/>
      <c r="FXR64" s="5"/>
      <c r="FXS64" s="5"/>
      <c r="FXT64" s="5"/>
      <c r="FXU64" s="5"/>
      <c r="FXV64" s="5"/>
      <c r="FXW64" s="5"/>
      <c r="FXX64" s="5"/>
      <c r="FXY64" s="5"/>
      <c r="FXZ64" s="5"/>
      <c r="FYA64" s="5"/>
      <c r="FYB64" s="5"/>
      <c r="FYC64" s="5"/>
      <c r="FYD64" s="5"/>
      <c r="FYE64" s="5"/>
      <c r="FYF64" s="5"/>
      <c r="FYG64" s="5"/>
      <c r="FYH64" s="5"/>
      <c r="FYI64" s="5"/>
      <c r="FYJ64" s="5"/>
      <c r="FYK64" s="5"/>
      <c r="FYL64" s="5"/>
      <c r="FYM64" s="5"/>
      <c r="FYN64" s="5"/>
      <c r="FYO64" s="5"/>
      <c r="FYP64" s="5"/>
      <c r="FYQ64" s="5"/>
      <c r="FYR64" s="5"/>
      <c r="FYS64" s="5"/>
      <c r="FYT64" s="5"/>
      <c r="FYU64" s="5"/>
      <c r="FYV64" s="5"/>
      <c r="FYW64" s="5"/>
      <c r="FYX64" s="5"/>
      <c r="FYY64" s="5"/>
      <c r="FYZ64" s="5"/>
      <c r="FZA64" s="5"/>
      <c r="FZB64" s="5"/>
      <c r="FZC64" s="5"/>
      <c r="FZD64" s="5"/>
      <c r="FZE64" s="5"/>
      <c r="FZF64" s="5"/>
      <c r="FZG64" s="5"/>
      <c r="FZH64" s="5"/>
      <c r="FZI64" s="5"/>
      <c r="FZJ64" s="5"/>
      <c r="FZK64" s="5"/>
      <c r="FZL64" s="5"/>
      <c r="FZM64" s="5"/>
      <c r="FZN64" s="5"/>
      <c r="FZO64" s="5"/>
      <c r="FZP64" s="5"/>
      <c r="FZQ64" s="5"/>
      <c r="FZR64" s="5"/>
      <c r="FZS64" s="5"/>
      <c r="FZT64" s="5"/>
      <c r="FZU64" s="5"/>
      <c r="FZV64" s="5"/>
      <c r="FZW64" s="5"/>
      <c r="FZX64" s="5"/>
      <c r="FZY64" s="5"/>
      <c r="FZZ64" s="5"/>
      <c r="GAA64" s="5"/>
      <c r="GAB64" s="5"/>
      <c r="GAC64" s="5"/>
      <c r="GAD64" s="5"/>
      <c r="GAE64" s="5"/>
      <c r="GAF64" s="5"/>
      <c r="GAG64" s="5"/>
      <c r="GAH64" s="5"/>
      <c r="GAI64" s="5"/>
      <c r="GAJ64" s="5"/>
      <c r="GAK64" s="5"/>
      <c r="GAL64" s="5"/>
      <c r="GAM64" s="5"/>
      <c r="GAN64" s="5"/>
      <c r="GAO64" s="5"/>
      <c r="GAP64" s="5"/>
      <c r="GAQ64" s="5"/>
      <c r="GAR64" s="5"/>
      <c r="GAS64" s="5"/>
      <c r="GAT64" s="5"/>
      <c r="GAU64" s="5"/>
      <c r="GAV64" s="5"/>
      <c r="GAW64" s="5"/>
      <c r="GAX64" s="5"/>
      <c r="GAY64" s="5"/>
      <c r="GAZ64" s="5"/>
      <c r="GBA64" s="5"/>
      <c r="GBB64" s="5"/>
      <c r="GBC64" s="5"/>
      <c r="GBD64" s="5"/>
      <c r="GBE64" s="5"/>
      <c r="GBF64" s="5"/>
      <c r="GBG64" s="5"/>
      <c r="GBH64" s="5"/>
      <c r="GBI64" s="5"/>
      <c r="GBJ64" s="5"/>
      <c r="GBK64" s="5"/>
      <c r="GBL64" s="5"/>
      <c r="GBM64" s="5"/>
      <c r="GBN64" s="5"/>
      <c r="GBO64" s="5"/>
      <c r="GBP64" s="5"/>
      <c r="GBQ64" s="5"/>
      <c r="GBR64" s="5"/>
      <c r="GBS64" s="5"/>
      <c r="GBT64" s="5"/>
      <c r="GBU64" s="5"/>
      <c r="GBV64" s="5"/>
      <c r="GBW64" s="5"/>
      <c r="GBX64" s="5"/>
      <c r="GBY64" s="5"/>
      <c r="GBZ64" s="5"/>
      <c r="GCA64" s="5"/>
      <c r="GCB64" s="5"/>
      <c r="GCC64" s="5"/>
      <c r="GCD64" s="5"/>
      <c r="GCE64" s="5"/>
      <c r="GCF64" s="5"/>
      <c r="GCG64" s="5"/>
      <c r="GCH64" s="5"/>
      <c r="GCI64" s="5"/>
      <c r="GCJ64" s="5"/>
      <c r="GCK64" s="5"/>
      <c r="GCL64" s="5"/>
      <c r="GCM64" s="5"/>
      <c r="GCN64" s="5"/>
      <c r="GCO64" s="5"/>
      <c r="GCP64" s="5"/>
      <c r="GCQ64" s="5"/>
      <c r="GCR64" s="5"/>
      <c r="GCS64" s="5"/>
      <c r="GCT64" s="5"/>
      <c r="GCU64" s="5"/>
      <c r="GCV64" s="5"/>
      <c r="GCW64" s="5"/>
      <c r="GCX64" s="5"/>
      <c r="GCY64" s="5"/>
      <c r="GCZ64" s="5"/>
      <c r="GDA64" s="5"/>
      <c r="GDB64" s="5"/>
      <c r="GDC64" s="5"/>
      <c r="GDD64" s="5"/>
      <c r="GDE64" s="5"/>
      <c r="GDF64" s="5"/>
      <c r="GDG64" s="5"/>
      <c r="GDH64" s="5"/>
      <c r="GDI64" s="5"/>
      <c r="GDJ64" s="5"/>
      <c r="GDK64" s="5"/>
      <c r="GDL64" s="5"/>
      <c r="GDM64" s="5"/>
      <c r="GDN64" s="5"/>
      <c r="GDO64" s="5"/>
      <c r="GDP64" s="5"/>
      <c r="GDQ64" s="5"/>
      <c r="GDR64" s="5"/>
      <c r="GDS64" s="5"/>
      <c r="GDT64" s="5"/>
      <c r="GDU64" s="5"/>
      <c r="GDV64" s="5"/>
      <c r="GDW64" s="5"/>
      <c r="GDX64" s="5"/>
      <c r="GDY64" s="5"/>
      <c r="GDZ64" s="5"/>
      <c r="GEA64" s="5"/>
      <c r="GEB64" s="5"/>
      <c r="GEC64" s="5"/>
      <c r="GED64" s="5"/>
      <c r="GEE64" s="5"/>
      <c r="GEF64" s="5"/>
      <c r="GEG64" s="5"/>
      <c r="GEH64" s="5"/>
      <c r="GEI64" s="5"/>
      <c r="GEJ64" s="5"/>
      <c r="GEK64" s="5"/>
      <c r="GEL64" s="5"/>
      <c r="GEM64" s="5"/>
      <c r="GEN64" s="5"/>
      <c r="GEO64" s="5"/>
      <c r="GEP64" s="5"/>
      <c r="GEQ64" s="5"/>
      <c r="GER64" s="5"/>
      <c r="GES64" s="5"/>
      <c r="GET64" s="5"/>
      <c r="GEU64" s="5"/>
      <c r="GEV64" s="5"/>
      <c r="GEW64" s="5"/>
      <c r="GEX64" s="5"/>
      <c r="GEY64" s="5"/>
      <c r="GEZ64" s="5"/>
      <c r="GFA64" s="5"/>
      <c r="GFB64" s="5"/>
      <c r="GFC64" s="5"/>
      <c r="GFD64" s="5"/>
      <c r="GFE64" s="5"/>
      <c r="GFF64" s="5"/>
      <c r="GFG64" s="5"/>
      <c r="GFH64" s="5"/>
      <c r="GFI64" s="5"/>
      <c r="GFJ64" s="5"/>
      <c r="GFK64" s="5"/>
      <c r="GFL64" s="5"/>
      <c r="GFM64" s="5"/>
      <c r="GFN64" s="5"/>
      <c r="GFO64" s="5"/>
      <c r="GFP64" s="5"/>
      <c r="GFQ64" s="5"/>
      <c r="GFR64" s="5"/>
      <c r="GFS64" s="5"/>
      <c r="GFT64" s="5"/>
      <c r="GFU64" s="5"/>
      <c r="GFV64" s="5"/>
      <c r="GFW64" s="5"/>
      <c r="GFX64" s="5"/>
      <c r="GFY64" s="5"/>
      <c r="GFZ64" s="5"/>
      <c r="GGA64" s="5"/>
      <c r="GGB64" s="5"/>
      <c r="GGC64" s="5"/>
      <c r="GGD64" s="5"/>
      <c r="GGE64" s="5"/>
      <c r="GGF64" s="5"/>
      <c r="GGG64" s="5"/>
      <c r="GGH64" s="5"/>
      <c r="GGI64" s="5"/>
      <c r="GGJ64" s="5"/>
      <c r="GGK64" s="5"/>
      <c r="GGL64" s="5"/>
      <c r="GGM64" s="5"/>
      <c r="GGN64" s="5"/>
      <c r="GGO64" s="5"/>
      <c r="GGP64" s="5"/>
      <c r="GGQ64" s="5"/>
      <c r="GGR64" s="5"/>
      <c r="GGS64" s="5"/>
      <c r="GGT64" s="5"/>
      <c r="GGU64" s="5"/>
      <c r="GGV64" s="5"/>
      <c r="GGW64" s="5"/>
      <c r="GGX64" s="5"/>
      <c r="GGY64" s="5"/>
      <c r="GGZ64" s="5"/>
      <c r="GHA64" s="5"/>
      <c r="GHB64" s="5"/>
      <c r="GHC64" s="5"/>
      <c r="GHD64" s="5"/>
      <c r="GHE64" s="5"/>
      <c r="GHF64" s="5"/>
      <c r="GHG64" s="5"/>
      <c r="GHH64" s="5"/>
      <c r="GHI64" s="5"/>
      <c r="GHJ64" s="5"/>
      <c r="GHK64" s="5"/>
      <c r="GHL64" s="5"/>
      <c r="GHM64" s="5"/>
      <c r="GHN64" s="5"/>
      <c r="GHO64" s="5"/>
      <c r="GHP64" s="5"/>
      <c r="GHQ64" s="5"/>
      <c r="GHR64" s="5"/>
      <c r="GHS64" s="5"/>
      <c r="GHT64" s="5"/>
      <c r="GHU64" s="5"/>
      <c r="GHV64" s="5"/>
      <c r="GHW64" s="5"/>
      <c r="GHX64" s="5"/>
      <c r="GHY64" s="5"/>
      <c r="GHZ64" s="5"/>
      <c r="GIA64" s="5"/>
      <c r="GIB64" s="5"/>
      <c r="GIC64" s="5"/>
      <c r="GID64" s="5"/>
      <c r="GIE64" s="5"/>
      <c r="GIF64" s="5"/>
      <c r="GIG64" s="5"/>
      <c r="GIH64" s="5"/>
      <c r="GII64" s="5"/>
      <c r="GIJ64" s="5"/>
      <c r="GIK64" s="5"/>
      <c r="GIL64" s="5"/>
      <c r="GIM64" s="5"/>
      <c r="GIN64" s="5"/>
      <c r="GIO64" s="5"/>
      <c r="GIP64" s="5"/>
      <c r="GIQ64" s="5"/>
      <c r="GIR64" s="5"/>
      <c r="GIS64" s="5"/>
      <c r="GIT64" s="5"/>
      <c r="GIU64" s="5"/>
      <c r="GIV64" s="5"/>
      <c r="GIW64" s="5"/>
      <c r="GIX64" s="5"/>
      <c r="GIY64" s="5"/>
      <c r="GIZ64" s="5"/>
      <c r="GJA64" s="5"/>
      <c r="GJB64" s="5"/>
      <c r="GJC64" s="5"/>
      <c r="GJD64" s="5"/>
      <c r="GJE64" s="5"/>
      <c r="GJF64" s="5"/>
      <c r="GJG64" s="5"/>
      <c r="GJH64" s="5"/>
      <c r="GJI64" s="5"/>
      <c r="GJJ64" s="5"/>
      <c r="GJK64" s="5"/>
      <c r="GJL64" s="5"/>
      <c r="GJM64" s="5"/>
      <c r="GJN64" s="5"/>
      <c r="GJO64" s="5"/>
      <c r="GJP64" s="5"/>
      <c r="GJQ64" s="5"/>
      <c r="GJR64" s="5"/>
      <c r="GJS64" s="5"/>
      <c r="GJT64" s="5"/>
      <c r="GJU64" s="5"/>
      <c r="GJV64" s="5"/>
      <c r="GJW64" s="5"/>
      <c r="GJX64" s="5"/>
      <c r="GJY64" s="5"/>
      <c r="GJZ64" s="5"/>
      <c r="GKA64" s="5"/>
      <c r="GKB64" s="5"/>
      <c r="GKC64" s="5"/>
      <c r="GKD64" s="5"/>
      <c r="GKE64" s="5"/>
      <c r="GKF64" s="5"/>
      <c r="GKG64" s="5"/>
      <c r="GKH64" s="5"/>
      <c r="GKI64" s="5"/>
      <c r="GKJ64" s="5"/>
      <c r="GKK64" s="5"/>
      <c r="GKL64" s="5"/>
      <c r="GKM64" s="5"/>
      <c r="GKN64" s="5"/>
      <c r="GKO64" s="5"/>
      <c r="GKP64" s="5"/>
      <c r="GKQ64" s="5"/>
      <c r="GKR64" s="5"/>
      <c r="GKS64" s="5"/>
      <c r="GKT64" s="5"/>
      <c r="GKU64" s="5"/>
      <c r="GKV64" s="5"/>
      <c r="GKW64" s="5"/>
      <c r="GKX64" s="5"/>
      <c r="GKY64" s="5"/>
      <c r="GKZ64" s="5"/>
      <c r="GLA64" s="5"/>
      <c r="GLB64" s="5"/>
      <c r="GLC64" s="5"/>
      <c r="GLD64" s="5"/>
      <c r="GLE64" s="5"/>
      <c r="GLF64" s="5"/>
      <c r="GLG64" s="5"/>
      <c r="GLH64" s="5"/>
      <c r="GLI64" s="5"/>
      <c r="GLJ64" s="5"/>
      <c r="GLK64" s="5"/>
      <c r="GLL64" s="5"/>
      <c r="GLM64" s="5"/>
      <c r="GLN64" s="5"/>
      <c r="GLO64" s="5"/>
      <c r="GLP64" s="5"/>
      <c r="GLQ64" s="5"/>
      <c r="GLR64" s="5"/>
      <c r="GLS64" s="5"/>
      <c r="GLT64" s="5"/>
      <c r="GLU64" s="5"/>
      <c r="GLV64" s="5"/>
      <c r="GLW64" s="5"/>
      <c r="GLX64" s="5"/>
      <c r="GLY64" s="5"/>
      <c r="GLZ64" s="5"/>
      <c r="GMA64" s="5"/>
      <c r="GMB64" s="5"/>
      <c r="GMC64" s="5"/>
      <c r="GMD64" s="5"/>
      <c r="GME64" s="5"/>
      <c r="GMF64" s="5"/>
      <c r="GMG64" s="5"/>
      <c r="GMH64" s="5"/>
      <c r="GMI64" s="5"/>
      <c r="GMJ64" s="5"/>
      <c r="GMK64" s="5"/>
      <c r="GML64" s="5"/>
      <c r="GMM64" s="5"/>
      <c r="GMN64" s="5"/>
      <c r="GMO64" s="5"/>
      <c r="GMP64" s="5"/>
      <c r="GMQ64" s="5"/>
      <c r="GMR64" s="5"/>
      <c r="GMS64" s="5"/>
      <c r="GMT64" s="5"/>
      <c r="GMU64" s="5"/>
      <c r="GMV64" s="5"/>
      <c r="GMW64" s="5"/>
      <c r="GMX64" s="5"/>
      <c r="GMY64" s="5"/>
      <c r="GMZ64" s="5"/>
      <c r="GNA64" s="5"/>
      <c r="GNB64" s="5"/>
      <c r="GNC64" s="5"/>
      <c r="GND64" s="5"/>
      <c r="GNE64" s="5"/>
      <c r="GNF64" s="5"/>
      <c r="GNG64" s="5"/>
      <c r="GNH64" s="5"/>
      <c r="GNI64" s="5"/>
      <c r="GNJ64" s="5"/>
      <c r="GNK64" s="5"/>
      <c r="GNL64" s="5"/>
      <c r="GNM64" s="5"/>
      <c r="GNN64" s="5"/>
      <c r="GNO64" s="5"/>
      <c r="GNP64" s="5"/>
      <c r="GNQ64" s="5"/>
      <c r="GNR64" s="5"/>
      <c r="GNS64" s="5"/>
      <c r="GNT64" s="5"/>
      <c r="GNU64" s="5"/>
      <c r="GNV64" s="5"/>
      <c r="GNW64" s="5"/>
      <c r="GNX64" s="5"/>
      <c r="GNY64" s="5"/>
      <c r="GNZ64" s="5"/>
      <c r="GOA64" s="5"/>
      <c r="GOB64" s="5"/>
      <c r="GOC64" s="5"/>
      <c r="GOD64" s="5"/>
      <c r="GOE64" s="5"/>
      <c r="GOF64" s="5"/>
      <c r="GOG64" s="5"/>
      <c r="GOH64" s="5"/>
      <c r="GOI64" s="5"/>
      <c r="GOJ64" s="5"/>
      <c r="GOK64" s="5"/>
      <c r="GOL64" s="5"/>
      <c r="GOM64" s="5"/>
      <c r="GON64" s="5"/>
      <c r="GOO64" s="5"/>
      <c r="GOP64" s="5"/>
      <c r="GOQ64" s="5"/>
      <c r="GOR64" s="5"/>
      <c r="GOS64" s="5"/>
      <c r="GOT64" s="5"/>
      <c r="GOU64" s="5"/>
      <c r="GOV64" s="5"/>
      <c r="GOW64" s="5"/>
      <c r="GOX64" s="5"/>
      <c r="GOY64" s="5"/>
      <c r="GOZ64" s="5"/>
      <c r="GPA64" s="5"/>
      <c r="GPB64" s="5"/>
      <c r="GPC64" s="5"/>
      <c r="GPD64" s="5"/>
      <c r="GPE64" s="5"/>
      <c r="GPF64" s="5"/>
      <c r="GPG64" s="5"/>
      <c r="GPH64" s="5"/>
      <c r="GPI64" s="5"/>
      <c r="GPJ64" s="5"/>
      <c r="GPK64" s="5"/>
      <c r="GPL64" s="5"/>
      <c r="GPM64" s="5"/>
      <c r="GPN64" s="5"/>
      <c r="GPO64" s="5"/>
      <c r="GPP64" s="5"/>
      <c r="GPQ64" s="5"/>
      <c r="GPR64" s="5"/>
      <c r="GPS64" s="5"/>
      <c r="GPT64" s="5"/>
      <c r="GPU64" s="5"/>
      <c r="GPV64" s="5"/>
      <c r="GPW64" s="5"/>
      <c r="GPX64" s="5"/>
      <c r="GPY64" s="5"/>
      <c r="GPZ64" s="5"/>
      <c r="GQA64" s="5"/>
      <c r="GQB64" s="5"/>
      <c r="GQC64" s="5"/>
      <c r="GQD64" s="5"/>
      <c r="GQE64" s="5"/>
      <c r="GQF64" s="5"/>
      <c r="GQG64" s="5"/>
      <c r="GQH64" s="5"/>
      <c r="GQI64" s="5"/>
      <c r="GQJ64" s="5"/>
      <c r="GQK64" s="5"/>
      <c r="GQL64" s="5"/>
      <c r="GQM64" s="5"/>
      <c r="GQN64" s="5"/>
      <c r="GQO64" s="5"/>
      <c r="GQP64" s="5"/>
      <c r="GQQ64" s="5"/>
      <c r="GQR64" s="5"/>
      <c r="GQS64" s="5"/>
      <c r="GQT64" s="5"/>
      <c r="GQU64" s="5"/>
      <c r="GQV64" s="5"/>
      <c r="GQW64" s="5"/>
      <c r="GQX64" s="5"/>
      <c r="GQY64" s="5"/>
      <c r="GQZ64" s="5"/>
      <c r="GRA64" s="5"/>
      <c r="GRB64" s="5"/>
      <c r="GRC64" s="5"/>
      <c r="GRD64" s="5"/>
      <c r="GRE64" s="5"/>
      <c r="GRF64" s="5"/>
      <c r="GRG64" s="5"/>
      <c r="GRH64" s="5"/>
      <c r="GRI64" s="5"/>
      <c r="GRJ64" s="5"/>
      <c r="GRK64" s="5"/>
      <c r="GRL64" s="5"/>
      <c r="GRM64" s="5"/>
      <c r="GRN64" s="5"/>
      <c r="GRO64" s="5"/>
      <c r="GRP64" s="5"/>
      <c r="GRQ64" s="5"/>
      <c r="GRR64" s="5"/>
      <c r="GRS64" s="5"/>
      <c r="GRT64" s="5"/>
      <c r="GRU64" s="5"/>
      <c r="GRV64" s="5"/>
      <c r="GRW64" s="5"/>
      <c r="GRX64" s="5"/>
      <c r="GRY64" s="5"/>
      <c r="GRZ64" s="5"/>
      <c r="GSA64" s="5"/>
      <c r="GSB64" s="5"/>
      <c r="GSC64" s="5"/>
      <c r="GSD64" s="5"/>
      <c r="GSE64" s="5"/>
      <c r="GSF64" s="5"/>
      <c r="GSG64" s="5"/>
      <c r="GSH64" s="5"/>
      <c r="GSI64" s="5"/>
      <c r="GSJ64" s="5"/>
      <c r="GSK64" s="5"/>
      <c r="GSL64" s="5"/>
      <c r="GSM64" s="5"/>
      <c r="GSN64" s="5"/>
      <c r="GSO64" s="5"/>
      <c r="GSP64" s="5"/>
      <c r="GSQ64" s="5"/>
      <c r="GSR64" s="5"/>
      <c r="GSS64" s="5"/>
      <c r="GST64" s="5"/>
      <c r="GSU64" s="5"/>
      <c r="GSV64" s="5"/>
      <c r="GSW64" s="5"/>
      <c r="GSX64" s="5"/>
      <c r="GSY64" s="5"/>
      <c r="GSZ64" s="5"/>
      <c r="GTA64" s="5"/>
      <c r="GTB64" s="5"/>
      <c r="GTC64" s="5"/>
      <c r="GTD64" s="5"/>
      <c r="GTE64" s="5"/>
      <c r="GTF64" s="5"/>
      <c r="GTG64" s="5"/>
      <c r="GTH64" s="5"/>
      <c r="GTI64" s="5"/>
      <c r="GTJ64" s="5"/>
      <c r="GTK64" s="5"/>
      <c r="GTL64" s="5"/>
      <c r="GTM64" s="5"/>
      <c r="GTN64" s="5"/>
      <c r="GTO64" s="5"/>
      <c r="GTP64" s="5"/>
      <c r="GTQ64" s="5"/>
      <c r="GTR64" s="5"/>
      <c r="GTS64" s="5"/>
      <c r="GTT64" s="5"/>
      <c r="GTU64" s="5"/>
      <c r="GTV64" s="5"/>
      <c r="GTW64" s="5"/>
      <c r="GTX64" s="5"/>
      <c r="GTY64" s="5"/>
      <c r="GTZ64" s="5"/>
      <c r="GUA64" s="5"/>
      <c r="GUB64" s="5"/>
      <c r="GUC64" s="5"/>
      <c r="GUD64" s="5"/>
      <c r="GUE64" s="5"/>
      <c r="GUF64" s="5"/>
      <c r="GUG64" s="5"/>
      <c r="GUH64" s="5"/>
      <c r="GUI64" s="5"/>
      <c r="GUJ64" s="5"/>
      <c r="GUK64" s="5"/>
      <c r="GUL64" s="5"/>
      <c r="GUM64" s="5"/>
      <c r="GUN64" s="5"/>
      <c r="GUO64" s="5"/>
      <c r="GUP64" s="5"/>
      <c r="GUQ64" s="5"/>
      <c r="GUR64" s="5"/>
      <c r="GUS64" s="5"/>
      <c r="GUT64" s="5"/>
      <c r="GUU64" s="5"/>
      <c r="GUV64" s="5"/>
      <c r="GUW64" s="5"/>
      <c r="GUX64" s="5"/>
      <c r="GUY64" s="5"/>
      <c r="GUZ64" s="5"/>
      <c r="GVA64" s="5"/>
      <c r="GVB64" s="5"/>
      <c r="GVC64" s="5"/>
      <c r="GVD64" s="5"/>
      <c r="GVE64" s="5"/>
      <c r="GVF64" s="5"/>
      <c r="GVG64" s="5"/>
      <c r="GVH64" s="5"/>
      <c r="GVI64" s="5"/>
      <c r="GVJ64" s="5"/>
      <c r="GVK64" s="5"/>
      <c r="GVL64" s="5"/>
      <c r="GVM64" s="5"/>
      <c r="GVN64" s="5"/>
      <c r="GVO64" s="5"/>
      <c r="GVP64" s="5"/>
      <c r="GVQ64" s="5"/>
      <c r="GVR64" s="5"/>
      <c r="GVS64" s="5"/>
      <c r="GVT64" s="5"/>
      <c r="GVU64" s="5"/>
      <c r="GVV64" s="5"/>
      <c r="GVW64" s="5"/>
      <c r="GVX64" s="5"/>
      <c r="GVY64" s="5"/>
      <c r="GVZ64" s="5"/>
      <c r="GWA64" s="5"/>
      <c r="GWB64" s="5"/>
      <c r="GWC64" s="5"/>
      <c r="GWD64" s="5"/>
      <c r="GWE64" s="5"/>
      <c r="GWF64" s="5"/>
      <c r="GWG64" s="5"/>
      <c r="GWH64" s="5"/>
      <c r="GWI64" s="5"/>
      <c r="GWJ64" s="5"/>
      <c r="GWK64" s="5"/>
      <c r="GWL64" s="5"/>
      <c r="GWM64" s="5"/>
      <c r="GWN64" s="5"/>
      <c r="GWO64" s="5"/>
      <c r="GWP64" s="5"/>
      <c r="GWQ64" s="5"/>
      <c r="GWR64" s="5"/>
      <c r="GWS64" s="5"/>
      <c r="GWT64" s="5"/>
      <c r="GWU64" s="5"/>
      <c r="GWV64" s="5"/>
      <c r="GWW64" s="5"/>
      <c r="GWX64" s="5"/>
      <c r="GWY64" s="5"/>
      <c r="GWZ64" s="5"/>
      <c r="GXA64" s="5"/>
      <c r="GXB64" s="5"/>
      <c r="GXC64" s="5"/>
      <c r="GXD64" s="5"/>
      <c r="GXE64" s="5"/>
      <c r="GXF64" s="5"/>
      <c r="GXG64" s="5"/>
      <c r="GXH64" s="5"/>
      <c r="GXI64" s="5"/>
      <c r="GXJ64" s="5"/>
      <c r="GXK64" s="5"/>
      <c r="GXL64" s="5"/>
      <c r="GXM64" s="5"/>
      <c r="GXN64" s="5"/>
      <c r="GXO64" s="5"/>
      <c r="GXP64" s="5"/>
      <c r="GXQ64" s="5"/>
      <c r="GXR64" s="5"/>
      <c r="GXS64" s="5"/>
      <c r="GXT64" s="5"/>
      <c r="GXU64" s="5"/>
      <c r="GXV64" s="5"/>
      <c r="GXW64" s="5"/>
      <c r="GXX64" s="5"/>
      <c r="GXY64" s="5"/>
      <c r="GXZ64" s="5"/>
      <c r="GYA64" s="5"/>
      <c r="GYB64" s="5"/>
      <c r="GYC64" s="5"/>
      <c r="GYD64" s="5"/>
      <c r="GYE64" s="5"/>
      <c r="GYF64" s="5"/>
      <c r="GYG64" s="5"/>
      <c r="GYH64" s="5"/>
      <c r="GYI64" s="5"/>
      <c r="GYJ64" s="5"/>
      <c r="GYK64" s="5"/>
      <c r="GYL64" s="5"/>
      <c r="GYM64" s="5"/>
      <c r="GYN64" s="5"/>
      <c r="GYO64" s="5"/>
      <c r="GYP64" s="5"/>
      <c r="GYQ64" s="5"/>
      <c r="GYR64" s="5"/>
      <c r="GYS64" s="5"/>
      <c r="GYT64" s="5"/>
      <c r="GYU64" s="5"/>
      <c r="GYV64" s="5"/>
      <c r="GYW64" s="5"/>
      <c r="GYX64" s="5"/>
      <c r="GYY64" s="5"/>
      <c r="GYZ64" s="5"/>
      <c r="GZA64" s="5"/>
      <c r="GZB64" s="5"/>
      <c r="GZC64" s="5"/>
      <c r="GZD64" s="5"/>
      <c r="GZE64" s="5"/>
      <c r="GZF64" s="5"/>
      <c r="GZG64" s="5"/>
      <c r="GZH64" s="5"/>
      <c r="GZI64" s="5"/>
      <c r="GZJ64" s="5"/>
      <c r="GZK64" s="5"/>
      <c r="GZL64" s="5"/>
      <c r="GZM64" s="5"/>
      <c r="GZN64" s="5"/>
      <c r="GZO64" s="5"/>
      <c r="GZP64" s="5"/>
      <c r="GZQ64" s="5"/>
      <c r="GZR64" s="5"/>
      <c r="GZS64" s="5"/>
      <c r="GZT64" s="5"/>
      <c r="GZU64" s="5"/>
      <c r="GZV64" s="5"/>
      <c r="GZW64" s="5"/>
      <c r="GZX64" s="5"/>
      <c r="GZY64" s="5"/>
      <c r="GZZ64" s="5"/>
      <c r="HAA64" s="5"/>
      <c r="HAB64" s="5"/>
      <c r="HAC64" s="5"/>
      <c r="HAD64" s="5"/>
      <c r="HAE64" s="5"/>
      <c r="HAF64" s="5"/>
      <c r="HAG64" s="5"/>
      <c r="HAH64" s="5"/>
      <c r="HAI64" s="5"/>
      <c r="HAJ64" s="5"/>
      <c r="HAK64" s="5"/>
      <c r="HAL64" s="5"/>
      <c r="HAM64" s="5"/>
      <c r="HAN64" s="5"/>
      <c r="HAO64" s="5"/>
      <c r="HAP64" s="5"/>
      <c r="HAQ64" s="5"/>
      <c r="HAR64" s="5"/>
      <c r="HAS64" s="5"/>
      <c r="HAT64" s="5"/>
      <c r="HAU64" s="5"/>
      <c r="HAV64" s="5"/>
      <c r="HAW64" s="5"/>
      <c r="HAX64" s="5"/>
      <c r="HAY64" s="5"/>
      <c r="HAZ64" s="5"/>
      <c r="HBA64" s="5"/>
      <c r="HBB64" s="5"/>
      <c r="HBC64" s="5"/>
      <c r="HBD64" s="5"/>
      <c r="HBE64" s="5"/>
      <c r="HBF64" s="5"/>
      <c r="HBG64" s="5"/>
      <c r="HBH64" s="5"/>
      <c r="HBI64" s="5"/>
      <c r="HBJ64" s="5"/>
      <c r="HBK64" s="5"/>
      <c r="HBL64" s="5"/>
      <c r="HBM64" s="5"/>
      <c r="HBN64" s="5"/>
      <c r="HBO64" s="5"/>
      <c r="HBP64" s="5"/>
      <c r="HBQ64" s="5"/>
      <c r="HBR64" s="5"/>
      <c r="HBS64" s="5"/>
      <c r="HBT64" s="5"/>
      <c r="HBU64" s="5"/>
      <c r="HBV64" s="5"/>
      <c r="HBW64" s="5"/>
      <c r="HBX64" s="5"/>
      <c r="HBY64" s="5"/>
      <c r="HBZ64" s="5"/>
      <c r="HCA64" s="5"/>
      <c r="HCB64" s="5"/>
      <c r="HCC64" s="5"/>
      <c r="HCD64" s="5"/>
      <c r="HCE64" s="5"/>
      <c r="HCF64" s="5"/>
      <c r="HCG64" s="5"/>
      <c r="HCH64" s="5"/>
      <c r="HCI64" s="5"/>
      <c r="HCJ64" s="5"/>
      <c r="HCK64" s="5"/>
      <c r="HCL64" s="5"/>
      <c r="HCM64" s="5"/>
      <c r="HCN64" s="5"/>
      <c r="HCO64" s="5"/>
      <c r="HCP64" s="5"/>
      <c r="HCQ64" s="5"/>
      <c r="HCR64" s="5"/>
      <c r="HCS64" s="5"/>
      <c r="HCT64" s="5"/>
      <c r="HCU64" s="5"/>
      <c r="HCV64" s="5"/>
      <c r="HCW64" s="5"/>
      <c r="HCX64" s="5"/>
      <c r="HCY64" s="5"/>
      <c r="HCZ64" s="5"/>
      <c r="HDA64" s="5"/>
      <c r="HDB64" s="5"/>
      <c r="HDC64" s="5"/>
      <c r="HDD64" s="5"/>
      <c r="HDE64" s="5"/>
      <c r="HDF64" s="5"/>
      <c r="HDG64" s="5"/>
      <c r="HDH64" s="5"/>
      <c r="HDI64" s="5"/>
      <c r="HDJ64" s="5"/>
      <c r="HDK64" s="5"/>
      <c r="HDL64" s="5"/>
      <c r="HDM64" s="5"/>
      <c r="HDN64" s="5"/>
      <c r="HDO64" s="5"/>
      <c r="HDP64" s="5"/>
      <c r="HDQ64" s="5"/>
      <c r="HDR64" s="5"/>
      <c r="HDS64" s="5"/>
      <c r="HDT64" s="5"/>
      <c r="HDU64" s="5"/>
      <c r="HDV64" s="5"/>
      <c r="HDW64" s="5"/>
      <c r="HDX64" s="5"/>
      <c r="HDY64" s="5"/>
      <c r="HDZ64" s="5"/>
      <c r="HEA64" s="5"/>
      <c r="HEB64" s="5"/>
      <c r="HEC64" s="5"/>
      <c r="HED64" s="5"/>
      <c r="HEE64" s="5"/>
      <c r="HEF64" s="5"/>
      <c r="HEG64" s="5"/>
      <c r="HEH64" s="5"/>
      <c r="HEI64" s="5"/>
      <c r="HEJ64" s="5"/>
      <c r="HEK64" s="5"/>
      <c r="HEL64" s="5"/>
      <c r="HEM64" s="5"/>
      <c r="HEN64" s="5"/>
      <c r="HEO64" s="5"/>
      <c r="HEP64" s="5"/>
      <c r="HEQ64" s="5"/>
      <c r="HER64" s="5"/>
      <c r="HES64" s="5"/>
      <c r="HET64" s="5"/>
      <c r="HEU64" s="5"/>
      <c r="HEV64" s="5"/>
      <c r="HEW64" s="5"/>
      <c r="HEX64" s="5"/>
      <c r="HEY64" s="5"/>
      <c r="HEZ64" s="5"/>
      <c r="HFA64" s="5"/>
      <c r="HFB64" s="5"/>
      <c r="HFC64" s="5"/>
      <c r="HFD64" s="5"/>
      <c r="HFE64" s="5"/>
      <c r="HFF64" s="5"/>
      <c r="HFG64" s="5"/>
      <c r="HFH64" s="5"/>
      <c r="HFI64" s="5"/>
      <c r="HFJ64" s="5"/>
      <c r="HFK64" s="5"/>
      <c r="HFL64" s="5"/>
      <c r="HFM64" s="5"/>
      <c r="HFN64" s="5"/>
      <c r="HFO64" s="5"/>
      <c r="HFP64" s="5"/>
      <c r="HFQ64" s="5"/>
      <c r="HFR64" s="5"/>
      <c r="HFS64" s="5"/>
      <c r="HFT64" s="5"/>
      <c r="HFU64" s="5"/>
      <c r="HFV64" s="5"/>
      <c r="HFW64" s="5"/>
      <c r="HFX64" s="5"/>
      <c r="HFY64" s="5"/>
      <c r="HFZ64" s="5"/>
      <c r="HGA64" s="5"/>
      <c r="HGB64" s="5"/>
      <c r="HGC64" s="5"/>
      <c r="HGD64" s="5"/>
      <c r="HGE64" s="5"/>
      <c r="HGF64" s="5"/>
      <c r="HGG64" s="5"/>
      <c r="HGH64" s="5"/>
      <c r="HGI64" s="5"/>
      <c r="HGJ64" s="5"/>
      <c r="HGK64" s="5"/>
      <c r="HGL64" s="5"/>
      <c r="HGM64" s="5"/>
      <c r="HGN64" s="5"/>
      <c r="HGO64" s="5"/>
      <c r="HGP64" s="5"/>
      <c r="HGQ64" s="5"/>
      <c r="HGR64" s="5"/>
      <c r="HGS64" s="5"/>
      <c r="HGT64" s="5"/>
      <c r="HGU64" s="5"/>
      <c r="HGV64" s="5"/>
      <c r="HGW64" s="5"/>
      <c r="HGX64" s="5"/>
      <c r="HGY64" s="5"/>
      <c r="HGZ64" s="5"/>
      <c r="HHA64" s="5"/>
      <c r="HHB64" s="5"/>
      <c r="HHC64" s="5"/>
      <c r="HHD64" s="5"/>
      <c r="HHE64" s="5"/>
      <c r="HHF64" s="5"/>
      <c r="HHG64" s="5"/>
      <c r="HHH64" s="5"/>
      <c r="HHI64" s="5"/>
      <c r="HHJ64" s="5"/>
      <c r="HHK64" s="5"/>
      <c r="HHL64" s="5"/>
      <c r="HHM64" s="5"/>
      <c r="HHN64" s="5"/>
      <c r="HHO64" s="5"/>
      <c r="HHP64" s="5"/>
      <c r="HHQ64" s="5"/>
      <c r="HHR64" s="5"/>
      <c r="HHS64" s="5"/>
      <c r="HHT64" s="5"/>
      <c r="HHU64" s="5"/>
      <c r="HHV64" s="5"/>
      <c r="HHW64" s="5"/>
      <c r="HHX64" s="5"/>
      <c r="HHY64" s="5"/>
      <c r="HHZ64" s="5"/>
      <c r="HIA64" s="5"/>
      <c r="HIB64" s="5"/>
      <c r="HIC64" s="5"/>
      <c r="HID64" s="5"/>
      <c r="HIE64" s="5"/>
      <c r="HIF64" s="5"/>
      <c r="HIG64" s="5"/>
      <c r="HIH64" s="5"/>
      <c r="HII64" s="5"/>
      <c r="HIJ64" s="5"/>
      <c r="HIK64" s="5"/>
      <c r="HIL64" s="5"/>
      <c r="HIM64" s="5"/>
      <c r="HIN64" s="5"/>
      <c r="HIO64" s="5"/>
      <c r="HIP64" s="5"/>
      <c r="HIQ64" s="5"/>
      <c r="HIR64" s="5"/>
      <c r="HIS64" s="5"/>
      <c r="HIT64" s="5"/>
      <c r="HIU64" s="5"/>
      <c r="HIV64" s="5"/>
      <c r="HIW64" s="5"/>
      <c r="HIX64" s="5"/>
      <c r="HIY64" s="5"/>
      <c r="HIZ64" s="5"/>
      <c r="HJA64" s="5"/>
      <c r="HJB64" s="5"/>
      <c r="HJC64" s="5"/>
      <c r="HJD64" s="5"/>
      <c r="HJE64" s="5"/>
      <c r="HJF64" s="5"/>
      <c r="HJG64" s="5"/>
      <c r="HJH64" s="5"/>
      <c r="HJI64" s="5"/>
      <c r="HJJ64" s="5"/>
      <c r="HJK64" s="5"/>
      <c r="HJL64" s="5"/>
      <c r="HJM64" s="5"/>
      <c r="HJN64" s="5"/>
      <c r="HJO64" s="5"/>
      <c r="HJP64" s="5"/>
      <c r="HJQ64" s="5"/>
      <c r="HJR64" s="5"/>
      <c r="HJS64" s="5"/>
      <c r="HJT64" s="5"/>
      <c r="HJU64" s="5"/>
      <c r="HJV64" s="5"/>
      <c r="HJW64" s="5"/>
      <c r="HJX64" s="5"/>
      <c r="HJY64" s="5"/>
      <c r="HJZ64" s="5"/>
      <c r="HKA64" s="5"/>
      <c r="HKB64" s="5"/>
      <c r="HKC64" s="5"/>
      <c r="HKD64" s="5"/>
      <c r="HKE64" s="5"/>
      <c r="HKF64" s="5"/>
      <c r="HKG64" s="5"/>
      <c r="HKH64" s="5"/>
      <c r="HKI64" s="5"/>
      <c r="HKJ64" s="5"/>
      <c r="HKK64" s="5"/>
      <c r="HKL64" s="5"/>
      <c r="HKM64" s="5"/>
      <c r="HKN64" s="5"/>
      <c r="HKO64" s="5"/>
      <c r="HKP64" s="5"/>
      <c r="HKQ64" s="5"/>
      <c r="HKR64" s="5"/>
      <c r="HKS64" s="5"/>
      <c r="HKT64" s="5"/>
      <c r="HKU64" s="5"/>
      <c r="HKV64" s="5"/>
      <c r="HKW64" s="5"/>
      <c r="HKX64" s="5"/>
      <c r="HKY64" s="5"/>
      <c r="HKZ64" s="5"/>
      <c r="HLA64" s="5"/>
      <c r="HLB64" s="5"/>
      <c r="HLC64" s="5"/>
      <c r="HLD64" s="5"/>
      <c r="HLE64" s="5"/>
      <c r="HLF64" s="5"/>
      <c r="HLG64" s="5"/>
      <c r="HLH64" s="5"/>
      <c r="HLI64" s="5"/>
      <c r="HLJ64" s="5"/>
      <c r="HLK64" s="5"/>
      <c r="HLL64" s="5"/>
      <c r="HLM64" s="5"/>
      <c r="HLN64" s="5"/>
      <c r="HLO64" s="5"/>
      <c r="HLP64" s="5"/>
      <c r="HLQ64" s="5"/>
      <c r="HLR64" s="5"/>
      <c r="HLS64" s="5"/>
      <c r="HLT64" s="5"/>
      <c r="HLU64" s="5"/>
      <c r="HLV64" s="5"/>
      <c r="HLW64" s="5"/>
      <c r="HLX64" s="5"/>
      <c r="HLY64" s="5"/>
      <c r="HLZ64" s="5"/>
      <c r="HMA64" s="5"/>
      <c r="HMB64" s="5"/>
      <c r="HMC64" s="5"/>
      <c r="HMD64" s="5"/>
      <c r="HME64" s="5"/>
      <c r="HMF64" s="5"/>
      <c r="HMG64" s="5"/>
      <c r="HMH64" s="5"/>
      <c r="HMI64" s="5"/>
      <c r="HMJ64" s="5"/>
      <c r="HMK64" s="5"/>
      <c r="HML64" s="5"/>
      <c r="HMM64" s="5"/>
      <c r="HMN64" s="5"/>
      <c r="HMO64" s="5"/>
      <c r="HMP64" s="5"/>
      <c r="HMQ64" s="5"/>
      <c r="HMR64" s="5"/>
      <c r="HMS64" s="5"/>
      <c r="HMT64" s="5"/>
      <c r="HMU64" s="5"/>
      <c r="HMV64" s="5"/>
      <c r="HMW64" s="5"/>
      <c r="HMX64" s="5"/>
      <c r="HMY64" s="5"/>
      <c r="HMZ64" s="5"/>
      <c r="HNA64" s="5"/>
      <c r="HNB64" s="5"/>
      <c r="HNC64" s="5"/>
      <c r="HND64" s="5"/>
      <c r="HNE64" s="5"/>
      <c r="HNF64" s="5"/>
      <c r="HNG64" s="5"/>
      <c r="HNH64" s="5"/>
      <c r="HNI64" s="5"/>
      <c r="HNJ64" s="5"/>
      <c r="HNK64" s="5"/>
      <c r="HNL64" s="5"/>
      <c r="HNM64" s="5"/>
      <c r="HNN64" s="5"/>
      <c r="HNO64" s="5"/>
      <c r="HNP64" s="5"/>
      <c r="HNQ64" s="5"/>
      <c r="HNR64" s="5"/>
      <c r="HNS64" s="5"/>
      <c r="HNT64" s="5"/>
      <c r="HNU64" s="5"/>
      <c r="HNV64" s="5"/>
      <c r="HNW64" s="5"/>
      <c r="HNX64" s="5"/>
      <c r="HNY64" s="5"/>
      <c r="HNZ64" s="5"/>
      <c r="HOA64" s="5"/>
      <c r="HOB64" s="5"/>
      <c r="HOC64" s="5"/>
      <c r="HOD64" s="5"/>
      <c r="HOE64" s="5"/>
      <c r="HOF64" s="5"/>
      <c r="HOG64" s="5"/>
      <c r="HOH64" s="5"/>
      <c r="HOI64" s="5"/>
      <c r="HOJ64" s="5"/>
      <c r="HOK64" s="5"/>
      <c r="HOL64" s="5"/>
      <c r="HOM64" s="5"/>
      <c r="HON64" s="5"/>
      <c r="HOO64" s="5"/>
      <c r="HOP64" s="5"/>
      <c r="HOQ64" s="5"/>
      <c r="HOR64" s="5"/>
      <c r="HOS64" s="5"/>
      <c r="HOT64" s="5"/>
      <c r="HOU64" s="5"/>
      <c r="HOV64" s="5"/>
      <c r="HOW64" s="5"/>
      <c r="HOX64" s="5"/>
      <c r="HOY64" s="5"/>
      <c r="HOZ64" s="5"/>
      <c r="HPA64" s="5"/>
      <c r="HPB64" s="5"/>
      <c r="HPC64" s="5"/>
      <c r="HPD64" s="5"/>
      <c r="HPE64" s="5"/>
      <c r="HPF64" s="5"/>
      <c r="HPG64" s="5"/>
      <c r="HPH64" s="5"/>
      <c r="HPI64" s="5"/>
      <c r="HPJ64" s="5"/>
      <c r="HPK64" s="5"/>
      <c r="HPL64" s="5"/>
      <c r="HPM64" s="5"/>
      <c r="HPN64" s="5"/>
      <c r="HPO64" s="5"/>
      <c r="HPP64" s="5"/>
      <c r="HPQ64" s="5"/>
      <c r="HPR64" s="5"/>
      <c r="HPS64" s="5"/>
      <c r="HPT64" s="5"/>
      <c r="HPU64" s="5"/>
      <c r="HPV64" s="5"/>
      <c r="HPW64" s="5"/>
      <c r="HPX64" s="5"/>
      <c r="HPY64" s="5"/>
      <c r="HPZ64" s="5"/>
      <c r="HQA64" s="5"/>
      <c r="HQB64" s="5"/>
      <c r="HQC64" s="5"/>
      <c r="HQD64" s="5"/>
      <c r="HQE64" s="5"/>
      <c r="HQF64" s="5"/>
      <c r="HQG64" s="5"/>
      <c r="HQH64" s="5"/>
      <c r="HQI64" s="5"/>
      <c r="HQJ64" s="5"/>
      <c r="HQK64" s="5"/>
      <c r="HQL64" s="5"/>
      <c r="HQM64" s="5"/>
      <c r="HQN64" s="5"/>
      <c r="HQO64" s="5"/>
      <c r="HQP64" s="5"/>
      <c r="HQQ64" s="5"/>
      <c r="HQR64" s="5"/>
      <c r="HQS64" s="5"/>
      <c r="HQT64" s="5"/>
      <c r="HQU64" s="5"/>
      <c r="HQV64" s="5"/>
      <c r="HQW64" s="5"/>
      <c r="HQX64" s="5"/>
      <c r="HQY64" s="5"/>
      <c r="HQZ64" s="5"/>
      <c r="HRA64" s="5"/>
      <c r="HRB64" s="5"/>
      <c r="HRC64" s="5"/>
      <c r="HRD64" s="5"/>
      <c r="HRE64" s="5"/>
      <c r="HRF64" s="5"/>
      <c r="HRG64" s="5"/>
      <c r="HRH64" s="5"/>
      <c r="HRI64" s="5"/>
      <c r="HRJ64" s="5"/>
      <c r="HRK64" s="5"/>
      <c r="HRL64" s="5"/>
      <c r="HRM64" s="5"/>
      <c r="HRN64" s="5"/>
      <c r="HRO64" s="5"/>
      <c r="HRP64" s="5"/>
      <c r="HRQ64" s="5"/>
      <c r="HRR64" s="5"/>
      <c r="HRS64" s="5"/>
      <c r="HRT64" s="5"/>
      <c r="HRU64" s="5"/>
      <c r="HRV64" s="5"/>
      <c r="HRW64" s="5"/>
      <c r="HRX64" s="5"/>
      <c r="HRY64" s="5"/>
      <c r="HRZ64" s="5"/>
      <c r="HSA64" s="5"/>
      <c r="HSB64" s="5"/>
      <c r="HSC64" s="5"/>
      <c r="HSD64" s="5"/>
      <c r="HSE64" s="5"/>
      <c r="HSF64" s="5"/>
      <c r="HSG64" s="5"/>
      <c r="HSH64" s="5"/>
      <c r="HSI64" s="5"/>
      <c r="HSJ64" s="5"/>
      <c r="HSK64" s="5"/>
      <c r="HSL64" s="5"/>
      <c r="HSM64" s="5"/>
      <c r="HSN64" s="5"/>
      <c r="HSO64" s="5"/>
      <c r="HSP64" s="5"/>
      <c r="HSQ64" s="5"/>
      <c r="HSR64" s="5"/>
      <c r="HSS64" s="5"/>
      <c r="HST64" s="5"/>
      <c r="HSU64" s="5"/>
      <c r="HSV64" s="5"/>
      <c r="HSW64" s="5"/>
      <c r="HSX64" s="5"/>
      <c r="HSY64" s="5"/>
      <c r="HSZ64" s="5"/>
      <c r="HTA64" s="5"/>
      <c r="HTB64" s="5"/>
      <c r="HTC64" s="5"/>
      <c r="HTD64" s="5"/>
      <c r="HTE64" s="5"/>
      <c r="HTF64" s="5"/>
      <c r="HTG64" s="5"/>
      <c r="HTH64" s="5"/>
      <c r="HTI64" s="5"/>
      <c r="HTJ64" s="5"/>
      <c r="HTK64" s="5"/>
      <c r="HTL64" s="5"/>
      <c r="HTM64" s="5"/>
      <c r="HTN64" s="5"/>
      <c r="HTO64" s="5"/>
      <c r="HTP64" s="5"/>
      <c r="HTQ64" s="5"/>
      <c r="HTR64" s="5"/>
      <c r="HTS64" s="5"/>
      <c r="HTT64" s="5"/>
      <c r="HTU64" s="5"/>
      <c r="HTV64" s="5"/>
      <c r="HTW64" s="5"/>
      <c r="HTX64" s="5"/>
      <c r="HTY64" s="5"/>
      <c r="HTZ64" s="5"/>
      <c r="HUA64" s="5"/>
      <c r="HUB64" s="5"/>
      <c r="HUC64" s="5"/>
      <c r="HUD64" s="5"/>
      <c r="HUE64" s="5"/>
      <c r="HUF64" s="5"/>
      <c r="HUG64" s="5"/>
      <c r="HUH64" s="5"/>
      <c r="HUI64" s="5"/>
      <c r="HUJ64" s="5"/>
      <c r="HUK64" s="5"/>
      <c r="HUL64" s="5"/>
      <c r="HUM64" s="5"/>
      <c r="HUN64" s="5"/>
      <c r="HUO64" s="5"/>
      <c r="HUP64" s="5"/>
      <c r="HUQ64" s="5"/>
      <c r="HUR64" s="5"/>
      <c r="HUS64" s="5"/>
      <c r="HUT64" s="5"/>
      <c r="HUU64" s="5"/>
      <c r="HUV64" s="5"/>
      <c r="HUW64" s="5"/>
      <c r="HUX64" s="5"/>
      <c r="HUY64" s="5"/>
      <c r="HUZ64" s="5"/>
      <c r="HVA64" s="5"/>
      <c r="HVB64" s="5"/>
      <c r="HVC64" s="5"/>
      <c r="HVD64" s="5"/>
      <c r="HVE64" s="5"/>
      <c r="HVF64" s="5"/>
      <c r="HVG64" s="5"/>
      <c r="HVH64" s="5"/>
      <c r="HVI64" s="5"/>
      <c r="HVJ64" s="5"/>
      <c r="HVK64" s="5"/>
      <c r="HVL64" s="5"/>
      <c r="HVM64" s="5"/>
      <c r="HVN64" s="5"/>
      <c r="HVO64" s="5"/>
      <c r="HVP64" s="5"/>
      <c r="HVQ64" s="5"/>
      <c r="HVR64" s="5"/>
      <c r="HVS64" s="5"/>
      <c r="HVT64" s="5"/>
      <c r="HVU64" s="5"/>
      <c r="HVV64" s="5"/>
      <c r="HVW64" s="5"/>
      <c r="HVX64" s="5"/>
      <c r="HVY64" s="5"/>
      <c r="HVZ64" s="5"/>
      <c r="HWA64" s="5"/>
      <c r="HWB64" s="5"/>
      <c r="HWC64" s="5"/>
      <c r="HWD64" s="5"/>
      <c r="HWE64" s="5"/>
      <c r="HWF64" s="5"/>
      <c r="HWG64" s="5"/>
      <c r="HWH64" s="5"/>
      <c r="HWI64" s="5"/>
      <c r="HWJ64" s="5"/>
      <c r="HWK64" s="5"/>
      <c r="HWL64" s="5"/>
      <c r="HWM64" s="5"/>
      <c r="HWN64" s="5"/>
      <c r="HWO64" s="5"/>
      <c r="HWP64" s="5"/>
      <c r="HWQ64" s="5"/>
      <c r="HWR64" s="5"/>
      <c r="HWS64" s="5"/>
      <c r="HWT64" s="5"/>
      <c r="HWU64" s="5"/>
      <c r="HWV64" s="5"/>
      <c r="HWW64" s="5"/>
      <c r="HWX64" s="5"/>
      <c r="HWY64" s="5"/>
      <c r="HWZ64" s="5"/>
      <c r="HXA64" s="5"/>
      <c r="HXB64" s="5"/>
      <c r="HXC64" s="5"/>
      <c r="HXD64" s="5"/>
      <c r="HXE64" s="5"/>
      <c r="HXF64" s="5"/>
      <c r="HXG64" s="5"/>
      <c r="HXH64" s="5"/>
      <c r="HXI64" s="5"/>
      <c r="HXJ64" s="5"/>
      <c r="HXK64" s="5"/>
      <c r="HXL64" s="5"/>
      <c r="HXM64" s="5"/>
      <c r="HXN64" s="5"/>
      <c r="HXO64" s="5"/>
      <c r="HXP64" s="5"/>
      <c r="HXQ64" s="5"/>
      <c r="HXR64" s="5"/>
      <c r="HXS64" s="5"/>
      <c r="HXT64" s="5"/>
      <c r="HXU64" s="5"/>
      <c r="HXV64" s="5"/>
      <c r="HXW64" s="5"/>
      <c r="HXX64" s="5"/>
      <c r="HXY64" s="5"/>
      <c r="HXZ64" s="5"/>
      <c r="HYA64" s="5"/>
      <c r="HYB64" s="5"/>
      <c r="HYC64" s="5"/>
      <c r="HYD64" s="5"/>
      <c r="HYE64" s="5"/>
      <c r="HYF64" s="5"/>
      <c r="HYG64" s="5"/>
      <c r="HYH64" s="5"/>
      <c r="HYI64" s="5"/>
      <c r="HYJ64" s="5"/>
      <c r="HYK64" s="5"/>
      <c r="HYL64" s="5"/>
      <c r="HYM64" s="5"/>
      <c r="HYN64" s="5"/>
      <c r="HYO64" s="5"/>
      <c r="HYP64" s="5"/>
      <c r="HYQ64" s="5"/>
      <c r="HYR64" s="5"/>
      <c r="HYS64" s="5"/>
      <c r="HYT64" s="5"/>
      <c r="HYU64" s="5"/>
      <c r="HYV64" s="5"/>
      <c r="HYW64" s="5"/>
      <c r="HYX64" s="5"/>
      <c r="HYY64" s="5"/>
      <c r="HYZ64" s="5"/>
      <c r="HZA64" s="5"/>
      <c r="HZB64" s="5"/>
      <c r="HZC64" s="5"/>
      <c r="HZD64" s="5"/>
      <c r="HZE64" s="5"/>
      <c r="HZF64" s="5"/>
      <c r="HZG64" s="5"/>
      <c r="HZH64" s="5"/>
      <c r="HZI64" s="5"/>
      <c r="HZJ64" s="5"/>
      <c r="HZK64" s="5"/>
      <c r="HZL64" s="5"/>
      <c r="HZM64" s="5"/>
      <c r="HZN64" s="5"/>
      <c r="HZO64" s="5"/>
      <c r="HZP64" s="5"/>
      <c r="HZQ64" s="5"/>
      <c r="HZR64" s="5"/>
      <c r="HZS64" s="5"/>
      <c r="HZT64" s="5"/>
      <c r="HZU64" s="5"/>
      <c r="HZV64" s="5"/>
      <c r="HZW64" s="5"/>
      <c r="HZX64" s="5"/>
      <c r="HZY64" s="5"/>
      <c r="HZZ64" s="5"/>
      <c r="IAA64" s="5"/>
      <c r="IAB64" s="5"/>
      <c r="IAC64" s="5"/>
      <c r="IAD64" s="5"/>
      <c r="IAE64" s="5"/>
      <c r="IAF64" s="5"/>
      <c r="IAG64" s="5"/>
      <c r="IAH64" s="5"/>
      <c r="IAI64" s="5"/>
      <c r="IAJ64" s="5"/>
      <c r="IAK64" s="5"/>
      <c r="IAL64" s="5"/>
      <c r="IAM64" s="5"/>
      <c r="IAN64" s="5"/>
      <c r="IAO64" s="5"/>
      <c r="IAP64" s="5"/>
      <c r="IAQ64" s="5"/>
      <c r="IAR64" s="5"/>
      <c r="IAS64" s="5"/>
      <c r="IAT64" s="5"/>
      <c r="IAU64" s="5"/>
      <c r="IAV64" s="5"/>
      <c r="IAW64" s="5"/>
      <c r="IAX64" s="5"/>
      <c r="IAY64" s="5"/>
      <c r="IAZ64" s="5"/>
      <c r="IBA64" s="5"/>
      <c r="IBB64" s="5"/>
      <c r="IBC64" s="5"/>
      <c r="IBD64" s="5"/>
      <c r="IBE64" s="5"/>
      <c r="IBF64" s="5"/>
      <c r="IBG64" s="5"/>
      <c r="IBH64" s="5"/>
      <c r="IBI64" s="5"/>
      <c r="IBJ64" s="5"/>
      <c r="IBK64" s="5"/>
      <c r="IBL64" s="5"/>
      <c r="IBM64" s="5"/>
      <c r="IBN64" s="5"/>
      <c r="IBO64" s="5"/>
      <c r="IBP64" s="5"/>
      <c r="IBQ64" s="5"/>
      <c r="IBR64" s="5"/>
      <c r="IBS64" s="5"/>
      <c r="IBT64" s="5"/>
      <c r="IBU64" s="5"/>
      <c r="IBV64" s="5"/>
      <c r="IBW64" s="5"/>
      <c r="IBX64" s="5"/>
      <c r="IBY64" s="5"/>
      <c r="IBZ64" s="5"/>
      <c r="ICA64" s="5"/>
      <c r="ICB64" s="5"/>
      <c r="ICC64" s="5"/>
      <c r="ICD64" s="5"/>
      <c r="ICE64" s="5"/>
      <c r="ICF64" s="5"/>
      <c r="ICG64" s="5"/>
      <c r="ICH64" s="5"/>
      <c r="ICI64" s="5"/>
      <c r="ICJ64" s="5"/>
      <c r="ICK64" s="5"/>
      <c r="ICL64" s="5"/>
      <c r="ICM64" s="5"/>
      <c r="ICN64" s="5"/>
      <c r="ICO64" s="5"/>
      <c r="ICP64" s="5"/>
      <c r="ICQ64" s="5"/>
      <c r="ICR64" s="5"/>
      <c r="ICS64" s="5"/>
      <c r="ICT64" s="5"/>
      <c r="ICU64" s="5"/>
      <c r="ICV64" s="5"/>
      <c r="ICW64" s="5"/>
      <c r="ICX64" s="5"/>
      <c r="ICY64" s="5"/>
      <c r="ICZ64" s="5"/>
      <c r="IDA64" s="5"/>
      <c r="IDB64" s="5"/>
      <c r="IDC64" s="5"/>
      <c r="IDD64" s="5"/>
      <c r="IDE64" s="5"/>
      <c r="IDF64" s="5"/>
      <c r="IDG64" s="5"/>
      <c r="IDH64" s="5"/>
      <c r="IDI64" s="5"/>
      <c r="IDJ64" s="5"/>
      <c r="IDK64" s="5"/>
      <c r="IDL64" s="5"/>
      <c r="IDM64" s="5"/>
      <c r="IDN64" s="5"/>
      <c r="IDO64" s="5"/>
      <c r="IDP64" s="5"/>
      <c r="IDQ64" s="5"/>
      <c r="IDR64" s="5"/>
      <c r="IDS64" s="5"/>
      <c r="IDT64" s="5"/>
      <c r="IDU64" s="5"/>
      <c r="IDV64" s="5"/>
      <c r="IDW64" s="5"/>
      <c r="IDX64" s="5"/>
      <c r="IDY64" s="5"/>
      <c r="IDZ64" s="5"/>
      <c r="IEA64" s="5"/>
      <c r="IEB64" s="5"/>
      <c r="IEC64" s="5"/>
      <c r="IED64" s="5"/>
      <c r="IEE64" s="5"/>
      <c r="IEF64" s="5"/>
      <c r="IEG64" s="5"/>
      <c r="IEH64" s="5"/>
      <c r="IEI64" s="5"/>
      <c r="IEJ64" s="5"/>
      <c r="IEK64" s="5"/>
      <c r="IEL64" s="5"/>
      <c r="IEM64" s="5"/>
      <c r="IEN64" s="5"/>
      <c r="IEO64" s="5"/>
      <c r="IEP64" s="5"/>
      <c r="IEQ64" s="5"/>
      <c r="IER64" s="5"/>
      <c r="IES64" s="5"/>
      <c r="IET64" s="5"/>
      <c r="IEU64" s="5"/>
      <c r="IEV64" s="5"/>
      <c r="IEW64" s="5"/>
      <c r="IEX64" s="5"/>
      <c r="IEY64" s="5"/>
      <c r="IEZ64" s="5"/>
      <c r="IFA64" s="5"/>
      <c r="IFB64" s="5"/>
      <c r="IFC64" s="5"/>
      <c r="IFD64" s="5"/>
      <c r="IFE64" s="5"/>
      <c r="IFF64" s="5"/>
      <c r="IFG64" s="5"/>
      <c r="IFH64" s="5"/>
      <c r="IFI64" s="5"/>
      <c r="IFJ64" s="5"/>
      <c r="IFK64" s="5"/>
      <c r="IFL64" s="5"/>
      <c r="IFM64" s="5"/>
      <c r="IFN64" s="5"/>
      <c r="IFO64" s="5"/>
      <c r="IFP64" s="5"/>
      <c r="IFQ64" s="5"/>
      <c r="IFR64" s="5"/>
      <c r="IFS64" s="5"/>
      <c r="IFT64" s="5"/>
      <c r="IFU64" s="5"/>
      <c r="IFV64" s="5"/>
      <c r="IFW64" s="5"/>
      <c r="IFX64" s="5"/>
      <c r="IFY64" s="5"/>
      <c r="IFZ64" s="5"/>
      <c r="IGA64" s="5"/>
      <c r="IGB64" s="5"/>
      <c r="IGC64" s="5"/>
      <c r="IGD64" s="5"/>
      <c r="IGE64" s="5"/>
      <c r="IGF64" s="5"/>
      <c r="IGG64" s="5"/>
      <c r="IGH64" s="5"/>
      <c r="IGI64" s="5"/>
      <c r="IGJ64" s="5"/>
      <c r="IGK64" s="5"/>
      <c r="IGL64" s="5"/>
      <c r="IGM64" s="5"/>
      <c r="IGN64" s="5"/>
      <c r="IGO64" s="5"/>
      <c r="IGP64" s="5"/>
      <c r="IGQ64" s="5"/>
      <c r="IGR64" s="5"/>
      <c r="IGS64" s="5"/>
      <c r="IGT64" s="5"/>
      <c r="IGU64" s="5"/>
      <c r="IGV64" s="5"/>
      <c r="IGW64" s="5"/>
      <c r="IGX64" s="5"/>
      <c r="IGY64" s="5"/>
      <c r="IGZ64" s="5"/>
      <c r="IHA64" s="5"/>
      <c r="IHB64" s="5"/>
      <c r="IHC64" s="5"/>
      <c r="IHD64" s="5"/>
      <c r="IHE64" s="5"/>
      <c r="IHF64" s="5"/>
      <c r="IHG64" s="5"/>
      <c r="IHH64" s="5"/>
      <c r="IHI64" s="5"/>
      <c r="IHJ64" s="5"/>
      <c r="IHK64" s="5"/>
      <c r="IHL64" s="5"/>
      <c r="IHM64" s="5"/>
      <c r="IHN64" s="5"/>
      <c r="IHO64" s="5"/>
      <c r="IHP64" s="5"/>
      <c r="IHQ64" s="5"/>
      <c r="IHR64" s="5"/>
      <c r="IHS64" s="5"/>
      <c r="IHT64" s="5"/>
      <c r="IHU64" s="5"/>
      <c r="IHV64" s="5"/>
      <c r="IHW64" s="5"/>
      <c r="IHX64" s="5"/>
      <c r="IHY64" s="5"/>
      <c r="IHZ64" s="5"/>
      <c r="IIA64" s="5"/>
      <c r="IIB64" s="5"/>
      <c r="IIC64" s="5"/>
      <c r="IID64" s="5"/>
      <c r="IIE64" s="5"/>
      <c r="IIF64" s="5"/>
      <c r="IIG64" s="5"/>
      <c r="IIH64" s="5"/>
      <c r="III64" s="5"/>
      <c r="IIJ64" s="5"/>
      <c r="IIK64" s="5"/>
      <c r="IIL64" s="5"/>
      <c r="IIM64" s="5"/>
      <c r="IIN64" s="5"/>
      <c r="IIO64" s="5"/>
      <c r="IIP64" s="5"/>
      <c r="IIQ64" s="5"/>
      <c r="IIR64" s="5"/>
      <c r="IIS64" s="5"/>
      <c r="IIT64" s="5"/>
      <c r="IIU64" s="5"/>
      <c r="IIV64" s="5"/>
      <c r="IIW64" s="5"/>
      <c r="IIX64" s="5"/>
      <c r="IIY64" s="5"/>
      <c r="IIZ64" s="5"/>
      <c r="IJA64" s="5"/>
      <c r="IJB64" s="5"/>
      <c r="IJC64" s="5"/>
      <c r="IJD64" s="5"/>
      <c r="IJE64" s="5"/>
      <c r="IJF64" s="5"/>
      <c r="IJG64" s="5"/>
      <c r="IJH64" s="5"/>
      <c r="IJI64" s="5"/>
      <c r="IJJ64" s="5"/>
      <c r="IJK64" s="5"/>
      <c r="IJL64" s="5"/>
      <c r="IJM64" s="5"/>
      <c r="IJN64" s="5"/>
      <c r="IJO64" s="5"/>
      <c r="IJP64" s="5"/>
      <c r="IJQ64" s="5"/>
      <c r="IJR64" s="5"/>
      <c r="IJS64" s="5"/>
      <c r="IJT64" s="5"/>
      <c r="IJU64" s="5"/>
      <c r="IJV64" s="5"/>
      <c r="IJW64" s="5"/>
      <c r="IJX64" s="5"/>
      <c r="IJY64" s="5"/>
      <c r="IJZ64" s="5"/>
      <c r="IKA64" s="5"/>
      <c r="IKB64" s="5"/>
      <c r="IKC64" s="5"/>
      <c r="IKD64" s="5"/>
      <c r="IKE64" s="5"/>
      <c r="IKF64" s="5"/>
      <c r="IKG64" s="5"/>
      <c r="IKH64" s="5"/>
      <c r="IKI64" s="5"/>
      <c r="IKJ64" s="5"/>
      <c r="IKK64" s="5"/>
      <c r="IKL64" s="5"/>
      <c r="IKM64" s="5"/>
      <c r="IKN64" s="5"/>
      <c r="IKO64" s="5"/>
      <c r="IKP64" s="5"/>
      <c r="IKQ64" s="5"/>
      <c r="IKR64" s="5"/>
      <c r="IKS64" s="5"/>
      <c r="IKT64" s="5"/>
      <c r="IKU64" s="5"/>
      <c r="IKV64" s="5"/>
      <c r="IKW64" s="5"/>
      <c r="IKX64" s="5"/>
      <c r="IKY64" s="5"/>
      <c r="IKZ64" s="5"/>
      <c r="ILA64" s="5"/>
      <c r="ILB64" s="5"/>
      <c r="ILC64" s="5"/>
      <c r="ILD64" s="5"/>
      <c r="ILE64" s="5"/>
      <c r="ILF64" s="5"/>
      <c r="ILG64" s="5"/>
      <c r="ILH64" s="5"/>
      <c r="ILI64" s="5"/>
      <c r="ILJ64" s="5"/>
      <c r="ILK64" s="5"/>
      <c r="ILL64" s="5"/>
      <c r="ILM64" s="5"/>
      <c r="ILN64" s="5"/>
      <c r="ILO64" s="5"/>
      <c r="ILP64" s="5"/>
      <c r="ILQ64" s="5"/>
      <c r="ILR64" s="5"/>
      <c r="ILS64" s="5"/>
      <c r="ILT64" s="5"/>
      <c r="ILU64" s="5"/>
      <c r="ILV64" s="5"/>
      <c r="ILW64" s="5"/>
      <c r="ILX64" s="5"/>
      <c r="ILY64" s="5"/>
      <c r="ILZ64" s="5"/>
      <c r="IMA64" s="5"/>
      <c r="IMB64" s="5"/>
      <c r="IMC64" s="5"/>
      <c r="IMD64" s="5"/>
      <c r="IME64" s="5"/>
      <c r="IMF64" s="5"/>
      <c r="IMG64" s="5"/>
      <c r="IMH64" s="5"/>
      <c r="IMI64" s="5"/>
      <c r="IMJ64" s="5"/>
      <c r="IMK64" s="5"/>
      <c r="IML64" s="5"/>
      <c r="IMM64" s="5"/>
      <c r="IMN64" s="5"/>
      <c r="IMO64" s="5"/>
      <c r="IMP64" s="5"/>
      <c r="IMQ64" s="5"/>
      <c r="IMR64" s="5"/>
      <c r="IMS64" s="5"/>
      <c r="IMT64" s="5"/>
      <c r="IMU64" s="5"/>
      <c r="IMV64" s="5"/>
      <c r="IMW64" s="5"/>
      <c r="IMX64" s="5"/>
      <c r="IMY64" s="5"/>
      <c r="IMZ64" s="5"/>
      <c r="INA64" s="5"/>
      <c r="INB64" s="5"/>
      <c r="INC64" s="5"/>
      <c r="IND64" s="5"/>
      <c r="INE64" s="5"/>
      <c r="INF64" s="5"/>
      <c r="ING64" s="5"/>
      <c r="INH64" s="5"/>
      <c r="INI64" s="5"/>
      <c r="INJ64" s="5"/>
      <c r="INK64" s="5"/>
      <c r="INL64" s="5"/>
      <c r="INM64" s="5"/>
      <c r="INN64" s="5"/>
      <c r="INO64" s="5"/>
      <c r="INP64" s="5"/>
      <c r="INQ64" s="5"/>
      <c r="INR64" s="5"/>
      <c r="INS64" s="5"/>
      <c r="INT64" s="5"/>
      <c r="INU64" s="5"/>
      <c r="INV64" s="5"/>
      <c r="INW64" s="5"/>
      <c r="INX64" s="5"/>
      <c r="INY64" s="5"/>
      <c r="INZ64" s="5"/>
      <c r="IOA64" s="5"/>
      <c r="IOB64" s="5"/>
      <c r="IOC64" s="5"/>
      <c r="IOD64" s="5"/>
      <c r="IOE64" s="5"/>
      <c r="IOF64" s="5"/>
      <c r="IOG64" s="5"/>
      <c r="IOH64" s="5"/>
      <c r="IOI64" s="5"/>
      <c r="IOJ64" s="5"/>
      <c r="IOK64" s="5"/>
      <c r="IOL64" s="5"/>
      <c r="IOM64" s="5"/>
      <c r="ION64" s="5"/>
      <c r="IOO64" s="5"/>
      <c r="IOP64" s="5"/>
      <c r="IOQ64" s="5"/>
      <c r="IOR64" s="5"/>
      <c r="IOS64" s="5"/>
      <c r="IOT64" s="5"/>
      <c r="IOU64" s="5"/>
      <c r="IOV64" s="5"/>
      <c r="IOW64" s="5"/>
      <c r="IOX64" s="5"/>
      <c r="IOY64" s="5"/>
      <c r="IOZ64" s="5"/>
      <c r="IPA64" s="5"/>
      <c r="IPB64" s="5"/>
      <c r="IPC64" s="5"/>
      <c r="IPD64" s="5"/>
      <c r="IPE64" s="5"/>
      <c r="IPF64" s="5"/>
      <c r="IPG64" s="5"/>
      <c r="IPH64" s="5"/>
      <c r="IPI64" s="5"/>
      <c r="IPJ64" s="5"/>
      <c r="IPK64" s="5"/>
      <c r="IPL64" s="5"/>
      <c r="IPM64" s="5"/>
      <c r="IPN64" s="5"/>
      <c r="IPO64" s="5"/>
      <c r="IPP64" s="5"/>
      <c r="IPQ64" s="5"/>
      <c r="IPR64" s="5"/>
      <c r="IPS64" s="5"/>
      <c r="IPT64" s="5"/>
      <c r="IPU64" s="5"/>
      <c r="IPV64" s="5"/>
      <c r="IPW64" s="5"/>
      <c r="IPX64" s="5"/>
      <c r="IPY64" s="5"/>
      <c r="IPZ64" s="5"/>
      <c r="IQA64" s="5"/>
      <c r="IQB64" s="5"/>
      <c r="IQC64" s="5"/>
      <c r="IQD64" s="5"/>
      <c r="IQE64" s="5"/>
      <c r="IQF64" s="5"/>
      <c r="IQG64" s="5"/>
      <c r="IQH64" s="5"/>
      <c r="IQI64" s="5"/>
      <c r="IQJ64" s="5"/>
      <c r="IQK64" s="5"/>
      <c r="IQL64" s="5"/>
      <c r="IQM64" s="5"/>
      <c r="IQN64" s="5"/>
      <c r="IQO64" s="5"/>
      <c r="IQP64" s="5"/>
      <c r="IQQ64" s="5"/>
      <c r="IQR64" s="5"/>
      <c r="IQS64" s="5"/>
      <c r="IQT64" s="5"/>
      <c r="IQU64" s="5"/>
      <c r="IQV64" s="5"/>
      <c r="IQW64" s="5"/>
      <c r="IQX64" s="5"/>
      <c r="IQY64" s="5"/>
      <c r="IQZ64" s="5"/>
      <c r="IRA64" s="5"/>
      <c r="IRB64" s="5"/>
      <c r="IRC64" s="5"/>
      <c r="IRD64" s="5"/>
      <c r="IRE64" s="5"/>
      <c r="IRF64" s="5"/>
      <c r="IRG64" s="5"/>
      <c r="IRH64" s="5"/>
      <c r="IRI64" s="5"/>
      <c r="IRJ64" s="5"/>
      <c r="IRK64" s="5"/>
      <c r="IRL64" s="5"/>
      <c r="IRM64" s="5"/>
      <c r="IRN64" s="5"/>
      <c r="IRO64" s="5"/>
      <c r="IRP64" s="5"/>
      <c r="IRQ64" s="5"/>
      <c r="IRR64" s="5"/>
      <c r="IRS64" s="5"/>
      <c r="IRT64" s="5"/>
      <c r="IRU64" s="5"/>
      <c r="IRV64" s="5"/>
      <c r="IRW64" s="5"/>
      <c r="IRX64" s="5"/>
      <c r="IRY64" s="5"/>
      <c r="IRZ64" s="5"/>
      <c r="ISA64" s="5"/>
      <c r="ISB64" s="5"/>
      <c r="ISC64" s="5"/>
      <c r="ISD64" s="5"/>
      <c r="ISE64" s="5"/>
      <c r="ISF64" s="5"/>
      <c r="ISG64" s="5"/>
      <c r="ISH64" s="5"/>
      <c r="ISI64" s="5"/>
      <c r="ISJ64" s="5"/>
      <c r="ISK64" s="5"/>
      <c r="ISL64" s="5"/>
      <c r="ISM64" s="5"/>
      <c r="ISN64" s="5"/>
      <c r="ISO64" s="5"/>
      <c r="ISP64" s="5"/>
      <c r="ISQ64" s="5"/>
      <c r="ISR64" s="5"/>
      <c r="ISS64" s="5"/>
      <c r="IST64" s="5"/>
      <c r="ISU64" s="5"/>
      <c r="ISV64" s="5"/>
      <c r="ISW64" s="5"/>
      <c r="ISX64" s="5"/>
      <c r="ISY64" s="5"/>
      <c r="ISZ64" s="5"/>
      <c r="ITA64" s="5"/>
      <c r="ITB64" s="5"/>
      <c r="ITC64" s="5"/>
      <c r="ITD64" s="5"/>
      <c r="ITE64" s="5"/>
      <c r="ITF64" s="5"/>
      <c r="ITG64" s="5"/>
      <c r="ITH64" s="5"/>
      <c r="ITI64" s="5"/>
      <c r="ITJ64" s="5"/>
      <c r="ITK64" s="5"/>
      <c r="ITL64" s="5"/>
      <c r="ITM64" s="5"/>
      <c r="ITN64" s="5"/>
      <c r="ITO64" s="5"/>
      <c r="ITP64" s="5"/>
      <c r="ITQ64" s="5"/>
      <c r="ITR64" s="5"/>
      <c r="ITS64" s="5"/>
      <c r="ITT64" s="5"/>
      <c r="ITU64" s="5"/>
      <c r="ITV64" s="5"/>
      <c r="ITW64" s="5"/>
      <c r="ITX64" s="5"/>
      <c r="ITY64" s="5"/>
      <c r="ITZ64" s="5"/>
      <c r="IUA64" s="5"/>
      <c r="IUB64" s="5"/>
      <c r="IUC64" s="5"/>
      <c r="IUD64" s="5"/>
      <c r="IUE64" s="5"/>
      <c r="IUF64" s="5"/>
      <c r="IUG64" s="5"/>
      <c r="IUH64" s="5"/>
      <c r="IUI64" s="5"/>
      <c r="IUJ64" s="5"/>
      <c r="IUK64" s="5"/>
      <c r="IUL64" s="5"/>
      <c r="IUM64" s="5"/>
      <c r="IUN64" s="5"/>
      <c r="IUO64" s="5"/>
      <c r="IUP64" s="5"/>
      <c r="IUQ64" s="5"/>
      <c r="IUR64" s="5"/>
      <c r="IUS64" s="5"/>
      <c r="IUT64" s="5"/>
      <c r="IUU64" s="5"/>
      <c r="IUV64" s="5"/>
      <c r="IUW64" s="5"/>
      <c r="IUX64" s="5"/>
      <c r="IUY64" s="5"/>
      <c r="IUZ64" s="5"/>
      <c r="IVA64" s="5"/>
      <c r="IVB64" s="5"/>
      <c r="IVC64" s="5"/>
      <c r="IVD64" s="5"/>
      <c r="IVE64" s="5"/>
      <c r="IVF64" s="5"/>
      <c r="IVG64" s="5"/>
      <c r="IVH64" s="5"/>
      <c r="IVI64" s="5"/>
      <c r="IVJ64" s="5"/>
      <c r="IVK64" s="5"/>
      <c r="IVL64" s="5"/>
      <c r="IVM64" s="5"/>
      <c r="IVN64" s="5"/>
      <c r="IVO64" s="5"/>
      <c r="IVP64" s="5"/>
      <c r="IVQ64" s="5"/>
      <c r="IVR64" s="5"/>
      <c r="IVS64" s="5"/>
      <c r="IVT64" s="5"/>
      <c r="IVU64" s="5"/>
      <c r="IVV64" s="5"/>
      <c r="IVW64" s="5"/>
      <c r="IVX64" s="5"/>
      <c r="IVY64" s="5"/>
      <c r="IVZ64" s="5"/>
      <c r="IWA64" s="5"/>
      <c r="IWB64" s="5"/>
      <c r="IWC64" s="5"/>
      <c r="IWD64" s="5"/>
      <c r="IWE64" s="5"/>
      <c r="IWF64" s="5"/>
      <c r="IWG64" s="5"/>
      <c r="IWH64" s="5"/>
      <c r="IWI64" s="5"/>
      <c r="IWJ64" s="5"/>
      <c r="IWK64" s="5"/>
      <c r="IWL64" s="5"/>
      <c r="IWM64" s="5"/>
      <c r="IWN64" s="5"/>
      <c r="IWO64" s="5"/>
      <c r="IWP64" s="5"/>
      <c r="IWQ64" s="5"/>
      <c r="IWR64" s="5"/>
      <c r="IWS64" s="5"/>
      <c r="IWT64" s="5"/>
      <c r="IWU64" s="5"/>
      <c r="IWV64" s="5"/>
      <c r="IWW64" s="5"/>
      <c r="IWX64" s="5"/>
      <c r="IWY64" s="5"/>
      <c r="IWZ64" s="5"/>
      <c r="IXA64" s="5"/>
      <c r="IXB64" s="5"/>
      <c r="IXC64" s="5"/>
      <c r="IXD64" s="5"/>
      <c r="IXE64" s="5"/>
      <c r="IXF64" s="5"/>
      <c r="IXG64" s="5"/>
      <c r="IXH64" s="5"/>
      <c r="IXI64" s="5"/>
      <c r="IXJ64" s="5"/>
      <c r="IXK64" s="5"/>
      <c r="IXL64" s="5"/>
      <c r="IXM64" s="5"/>
      <c r="IXN64" s="5"/>
      <c r="IXO64" s="5"/>
      <c r="IXP64" s="5"/>
      <c r="IXQ64" s="5"/>
      <c r="IXR64" s="5"/>
      <c r="IXS64" s="5"/>
      <c r="IXT64" s="5"/>
      <c r="IXU64" s="5"/>
      <c r="IXV64" s="5"/>
      <c r="IXW64" s="5"/>
      <c r="IXX64" s="5"/>
      <c r="IXY64" s="5"/>
      <c r="IXZ64" s="5"/>
      <c r="IYA64" s="5"/>
      <c r="IYB64" s="5"/>
      <c r="IYC64" s="5"/>
      <c r="IYD64" s="5"/>
      <c r="IYE64" s="5"/>
      <c r="IYF64" s="5"/>
      <c r="IYG64" s="5"/>
      <c r="IYH64" s="5"/>
      <c r="IYI64" s="5"/>
      <c r="IYJ64" s="5"/>
      <c r="IYK64" s="5"/>
      <c r="IYL64" s="5"/>
      <c r="IYM64" s="5"/>
      <c r="IYN64" s="5"/>
      <c r="IYO64" s="5"/>
      <c r="IYP64" s="5"/>
      <c r="IYQ64" s="5"/>
      <c r="IYR64" s="5"/>
      <c r="IYS64" s="5"/>
      <c r="IYT64" s="5"/>
      <c r="IYU64" s="5"/>
      <c r="IYV64" s="5"/>
      <c r="IYW64" s="5"/>
      <c r="IYX64" s="5"/>
      <c r="IYY64" s="5"/>
      <c r="IYZ64" s="5"/>
      <c r="IZA64" s="5"/>
      <c r="IZB64" s="5"/>
      <c r="IZC64" s="5"/>
      <c r="IZD64" s="5"/>
      <c r="IZE64" s="5"/>
      <c r="IZF64" s="5"/>
      <c r="IZG64" s="5"/>
      <c r="IZH64" s="5"/>
      <c r="IZI64" s="5"/>
      <c r="IZJ64" s="5"/>
      <c r="IZK64" s="5"/>
      <c r="IZL64" s="5"/>
      <c r="IZM64" s="5"/>
      <c r="IZN64" s="5"/>
      <c r="IZO64" s="5"/>
      <c r="IZP64" s="5"/>
      <c r="IZQ64" s="5"/>
      <c r="IZR64" s="5"/>
      <c r="IZS64" s="5"/>
      <c r="IZT64" s="5"/>
      <c r="IZU64" s="5"/>
      <c r="IZV64" s="5"/>
      <c r="IZW64" s="5"/>
      <c r="IZX64" s="5"/>
      <c r="IZY64" s="5"/>
      <c r="IZZ64" s="5"/>
      <c r="JAA64" s="5"/>
      <c r="JAB64" s="5"/>
      <c r="JAC64" s="5"/>
      <c r="JAD64" s="5"/>
      <c r="JAE64" s="5"/>
      <c r="JAF64" s="5"/>
      <c r="JAG64" s="5"/>
      <c r="JAH64" s="5"/>
      <c r="JAI64" s="5"/>
      <c r="JAJ64" s="5"/>
      <c r="JAK64" s="5"/>
      <c r="JAL64" s="5"/>
      <c r="JAM64" s="5"/>
      <c r="JAN64" s="5"/>
      <c r="JAO64" s="5"/>
      <c r="JAP64" s="5"/>
      <c r="JAQ64" s="5"/>
      <c r="JAR64" s="5"/>
      <c r="JAS64" s="5"/>
      <c r="JAT64" s="5"/>
      <c r="JAU64" s="5"/>
      <c r="JAV64" s="5"/>
      <c r="JAW64" s="5"/>
      <c r="JAX64" s="5"/>
      <c r="JAY64" s="5"/>
      <c r="JAZ64" s="5"/>
      <c r="JBA64" s="5"/>
      <c r="JBB64" s="5"/>
      <c r="JBC64" s="5"/>
      <c r="JBD64" s="5"/>
      <c r="JBE64" s="5"/>
      <c r="JBF64" s="5"/>
      <c r="JBG64" s="5"/>
      <c r="JBH64" s="5"/>
      <c r="JBI64" s="5"/>
      <c r="JBJ64" s="5"/>
      <c r="JBK64" s="5"/>
      <c r="JBL64" s="5"/>
      <c r="JBM64" s="5"/>
      <c r="JBN64" s="5"/>
      <c r="JBO64" s="5"/>
      <c r="JBP64" s="5"/>
      <c r="JBQ64" s="5"/>
      <c r="JBR64" s="5"/>
      <c r="JBS64" s="5"/>
      <c r="JBT64" s="5"/>
      <c r="JBU64" s="5"/>
      <c r="JBV64" s="5"/>
      <c r="JBW64" s="5"/>
      <c r="JBX64" s="5"/>
      <c r="JBY64" s="5"/>
      <c r="JBZ64" s="5"/>
      <c r="JCA64" s="5"/>
      <c r="JCB64" s="5"/>
      <c r="JCC64" s="5"/>
      <c r="JCD64" s="5"/>
      <c r="JCE64" s="5"/>
      <c r="JCF64" s="5"/>
      <c r="JCG64" s="5"/>
      <c r="JCH64" s="5"/>
      <c r="JCI64" s="5"/>
      <c r="JCJ64" s="5"/>
      <c r="JCK64" s="5"/>
      <c r="JCL64" s="5"/>
      <c r="JCM64" s="5"/>
      <c r="JCN64" s="5"/>
      <c r="JCO64" s="5"/>
      <c r="JCP64" s="5"/>
      <c r="JCQ64" s="5"/>
      <c r="JCR64" s="5"/>
      <c r="JCS64" s="5"/>
      <c r="JCT64" s="5"/>
      <c r="JCU64" s="5"/>
      <c r="JCV64" s="5"/>
      <c r="JCW64" s="5"/>
      <c r="JCX64" s="5"/>
      <c r="JCY64" s="5"/>
      <c r="JCZ64" s="5"/>
      <c r="JDA64" s="5"/>
      <c r="JDB64" s="5"/>
      <c r="JDC64" s="5"/>
      <c r="JDD64" s="5"/>
      <c r="JDE64" s="5"/>
      <c r="JDF64" s="5"/>
      <c r="JDG64" s="5"/>
      <c r="JDH64" s="5"/>
      <c r="JDI64" s="5"/>
      <c r="JDJ64" s="5"/>
      <c r="JDK64" s="5"/>
      <c r="JDL64" s="5"/>
      <c r="JDM64" s="5"/>
      <c r="JDN64" s="5"/>
      <c r="JDO64" s="5"/>
      <c r="JDP64" s="5"/>
      <c r="JDQ64" s="5"/>
      <c r="JDR64" s="5"/>
      <c r="JDS64" s="5"/>
      <c r="JDT64" s="5"/>
      <c r="JDU64" s="5"/>
      <c r="JDV64" s="5"/>
      <c r="JDW64" s="5"/>
      <c r="JDX64" s="5"/>
      <c r="JDY64" s="5"/>
      <c r="JDZ64" s="5"/>
      <c r="JEA64" s="5"/>
      <c r="JEB64" s="5"/>
      <c r="JEC64" s="5"/>
      <c r="JED64" s="5"/>
      <c r="JEE64" s="5"/>
      <c r="JEF64" s="5"/>
      <c r="JEG64" s="5"/>
      <c r="JEH64" s="5"/>
      <c r="JEI64" s="5"/>
      <c r="JEJ64" s="5"/>
      <c r="JEK64" s="5"/>
      <c r="JEL64" s="5"/>
      <c r="JEM64" s="5"/>
      <c r="JEN64" s="5"/>
      <c r="JEO64" s="5"/>
      <c r="JEP64" s="5"/>
      <c r="JEQ64" s="5"/>
      <c r="JER64" s="5"/>
      <c r="JES64" s="5"/>
      <c r="JET64" s="5"/>
      <c r="JEU64" s="5"/>
      <c r="JEV64" s="5"/>
      <c r="JEW64" s="5"/>
      <c r="JEX64" s="5"/>
      <c r="JEY64" s="5"/>
      <c r="JEZ64" s="5"/>
      <c r="JFA64" s="5"/>
      <c r="JFB64" s="5"/>
      <c r="JFC64" s="5"/>
      <c r="JFD64" s="5"/>
      <c r="JFE64" s="5"/>
      <c r="JFF64" s="5"/>
      <c r="JFG64" s="5"/>
      <c r="JFH64" s="5"/>
      <c r="JFI64" s="5"/>
      <c r="JFJ64" s="5"/>
      <c r="JFK64" s="5"/>
      <c r="JFL64" s="5"/>
      <c r="JFM64" s="5"/>
      <c r="JFN64" s="5"/>
      <c r="JFO64" s="5"/>
      <c r="JFP64" s="5"/>
      <c r="JFQ64" s="5"/>
      <c r="JFR64" s="5"/>
      <c r="JFS64" s="5"/>
      <c r="JFT64" s="5"/>
      <c r="JFU64" s="5"/>
      <c r="JFV64" s="5"/>
      <c r="JFW64" s="5"/>
      <c r="JFX64" s="5"/>
      <c r="JFY64" s="5"/>
      <c r="JFZ64" s="5"/>
      <c r="JGA64" s="5"/>
      <c r="JGB64" s="5"/>
      <c r="JGC64" s="5"/>
      <c r="JGD64" s="5"/>
      <c r="JGE64" s="5"/>
      <c r="JGF64" s="5"/>
      <c r="JGG64" s="5"/>
      <c r="JGH64" s="5"/>
      <c r="JGI64" s="5"/>
      <c r="JGJ64" s="5"/>
      <c r="JGK64" s="5"/>
      <c r="JGL64" s="5"/>
      <c r="JGM64" s="5"/>
      <c r="JGN64" s="5"/>
      <c r="JGO64" s="5"/>
      <c r="JGP64" s="5"/>
      <c r="JGQ64" s="5"/>
      <c r="JGR64" s="5"/>
      <c r="JGS64" s="5"/>
      <c r="JGT64" s="5"/>
      <c r="JGU64" s="5"/>
      <c r="JGV64" s="5"/>
      <c r="JGW64" s="5"/>
      <c r="JGX64" s="5"/>
      <c r="JGY64" s="5"/>
      <c r="JGZ64" s="5"/>
      <c r="JHA64" s="5"/>
      <c r="JHB64" s="5"/>
      <c r="JHC64" s="5"/>
      <c r="JHD64" s="5"/>
      <c r="JHE64" s="5"/>
      <c r="JHF64" s="5"/>
      <c r="JHG64" s="5"/>
      <c r="JHH64" s="5"/>
      <c r="JHI64" s="5"/>
      <c r="JHJ64" s="5"/>
      <c r="JHK64" s="5"/>
      <c r="JHL64" s="5"/>
      <c r="JHM64" s="5"/>
      <c r="JHN64" s="5"/>
      <c r="JHO64" s="5"/>
      <c r="JHP64" s="5"/>
      <c r="JHQ64" s="5"/>
      <c r="JHR64" s="5"/>
      <c r="JHS64" s="5"/>
      <c r="JHT64" s="5"/>
      <c r="JHU64" s="5"/>
      <c r="JHV64" s="5"/>
      <c r="JHW64" s="5"/>
      <c r="JHX64" s="5"/>
      <c r="JHY64" s="5"/>
      <c r="JHZ64" s="5"/>
      <c r="JIA64" s="5"/>
      <c r="JIB64" s="5"/>
      <c r="JIC64" s="5"/>
      <c r="JID64" s="5"/>
      <c r="JIE64" s="5"/>
      <c r="JIF64" s="5"/>
      <c r="JIG64" s="5"/>
      <c r="JIH64" s="5"/>
      <c r="JII64" s="5"/>
      <c r="JIJ64" s="5"/>
      <c r="JIK64" s="5"/>
      <c r="JIL64" s="5"/>
      <c r="JIM64" s="5"/>
      <c r="JIN64" s="5"/>
      <c r="JIO64" s="5"/>
      <c r="JIP64" s="5"/>
      <c r="JIQ64" s="5"/>
      <c r="JIR64" s="5"/>
      <c r="JIS64" s="5"/>
      <c r="JIT64" s="5"/>
      <c r="JIU64" s="5"/>
      <c r="JIV64" s="5"/>
      <c r="JIW64" s="5"/>
      <c r="JIX64" s="5"/>
      <c r="JIY64" s="5"/>
      <c r="JIZ64" s="5"/>
      <c r="JJA64" s="5"/>
      <c r="JJB64" s="5"/>
      <c r="JJC64" s="5"/>
      <c r="JJD64" s="5"/>
      <c r="JJE64" s="5"/>
      <c r="JJF64" s="5"/>
      <c r="JJG64" s="5"/>
      <c r="JJH64" s="5"/>
      <c r="JJI64" s="5"/>
      <c r="JJJ64" s="5"/>
      <c r="JJK64" s="5"/>
      <c r="JJL64" s="5"/>
      <c r="JJM64" s="5"/>
      <c r="JJN64" s="5"/>
      <c r="JJO64" s="5"/>
      <c r="JJP64" s="5"/>
      <c r="JJQ64" s="5"/>
      <c r="JJR64" s="5"/>
      <c r="JJS64" s="5"/>
      <c r="JJT64" s="5"/>
      <c r="JJU64" s="5"/>
      <c r="JJV64" s="5"/>
      <c r="JJW64" s="5"/>
      <c r="JJX64" s="5"/>
      <c r="JJY64" s="5"/>
      <c r="JJZ64" s="5"/>
      <c r="JKA64" s="5"/>
      <c r="JKB64" s="5"/>
      <c r="JKC64" s="5"/>
      <c r="JKD64" s="5"/>
      <c r="JKE64" s="5"/>
      <c r="JKF64" s="5"/>
      <c r="JKG64" s="5"/>
      <c r="JKH64" s="5"/>
      <c r="JKI64" s="5"/>
      <c r="JKJ64" s="5"/>
      <c r="JKK64" s="5"/>
      <c r="JKL64" s="5"/>
      <c r="JKM64" s="5"/>
      <c r="JKN64" s="5"/>
      <c r="JKO64" s="5"/>
      <c r="JKP64" s="5"/>
      <c r="JKQ64" s="5"/>
      <c r="JKR64" s="5"/>
      <c r="JKS64" s="5"/>
      <c r="JKT64" s="5"/>
      <c r="JKU64" s="5"/>
      <c r="JKV64" s="5"/>
      <c r="JKW64" s="5"/>
      <c r="JKX64" s="5"/>
      <c r="JKY64" s="5"/>
      <c r="JKZ64" s="5"/>
      <c r="JLA64" s="5"/>
      <c r="JLB64" s="5"/>
      <c r="JLC64" s="5"/>
      <c r="JLD64" s="5"/>
      <c r="JLE64" s="5"/>
      <c r="JLF64" s="5"/>
      <c r="JLG64" s="5"/>
      <c r="JLH64" s="5"/>
      <c r="JLI64" s="5"/>
      <c r="JLJ64" s="5"/>
      <c r="JLK64" s="5"/>
      <c r="JLL64" s="5"/>
      <c r="JLM64" s="5"/>
      <c r="JLN64" s="5"/>
      <c r="JLO64" s="5"/>
      <c r="JLP64" s="5"/>
      <c r="JLQ64" s="5"/>
      <c r="JLR64" s="5"/>
      <c r="JLS64" s="5"/>
      <c r="JLT64" s="5"/>
      <c r="JLU64" s="5"/>
      <c r="JLV64" s="5"/>
      <c r="JLW64" s="5"/>
      <c r="JLX64" s="5"/>
      <c r="JLY64" s="5"/>
      <c r="JLZ64" s="5"/>
      <c r="JMA64" s="5"/>
      <c r="JMB64" s="5"/>
      <c r="JMC64" s="5"/>
      <c r="JMD64" s="5"/>
      <c r="JME64" s="5"/>
      <c r="JMF64" s="5"/>
      <c r="JMG64" s="5"/>
      <c r="JMH64" s="5"/>
      <c r="JMI64" s="5"/>
      <c r="JMJ64" s="5"/>
      <c r="JMK64" s="5"/>
      <c r="JML64" s="5"/>
      <c r="JMM64" s="5"/>
      <c r="JMN64" s="5"/>
      <c r="JMO64" s="5"/>
      <c r="JMP64" s="5"/>
      <c r="JMQ64" s="5"/>
      <c r="JMR64" s="5"/>
      <c r="JMS64" s="5"/>
      <c r="JMT64" s="5"/>
      <c r="JMU64" s="5"/>
      <c r="JMV64" s="5"/>
      <c r="JMW64" s="5"/>
      <c r="JMX64" s="5"/>
      <c r="JMY64" s="5"/>
      <c r="JMZ64" s="5"/>
      <c r="JNA64" s="5"/>
      <c r="JNB64" s="5"/>
      <c r="JNC64" s="5"/>
      <c r="JND64" s="5"/>
      <c r="JNE64" s="5"/>
      <c r="JNF64" s="5"/>
      <c r="JNG64" s="5"/>
      <c r="JNH64" s="5"/>
      <c r="JNI64" s="5"/>
      <c r="JNJ64" s="5"/>
      <c r="JNK64" s="5"/>
      <c r="JNL64" s="5"/>
      <c r="JNM64" s="5"/>
      <c r="JNN64" s="5"/>
      <c r="JNO64" s="5"/>
      <c r="JNP64" s="5"/>
      <c r="JNQ64" s="5"/>
      <c r="JNR64" s="5"/>
      <c r="JNS64" s="5"/>
      <c r="JNT64" s="5"/>
      <c r="JNU64" s="5"/>
      <c r="JNV64" s="5"/>
      <c r="JNW64" s="5"/>
      <c r="JNX64" s="5"/>
      <c r="JNY64" s="5"/>
      <c r="JNZ64" s="5"/>
      <c r="JOA64" s="5"/>
      <c r="JOB64" s="5"/>
      <c r="JOC64" s="5"/>
      <c r="JOD64" s="5"/>
      <c r="JOE64" s="5"/>
      <c r="JOF64" s="5"/>
      <c r="JOG64" s="5"/>
      <c r="JOH64" s="5"/>
      <c r="JOI64" s="5"/>
      <c r="JOJ64" s="5"/>
      <c r="JOK64" s="5"/>
      <c r="JOL64" s="5"/>
      <c r="JOM64" s="5"/>
      <c r="JON64" s="5"/>
      <c r="JOO64" s="5"/>
      <c r="JOP64" s="5"/>
      <c r="JOQ64" s="5"/>
      <c r="JOR64" s="5"/>
      <c r="JOS64" s="5"/>
      <c r="JOT64" s="5"/>
      <c r="JOU64" s="5"/>
      <c r="JOV64" s="5"/>
      <c r="JOW64" s="5"/>
      <c r="JOX64" s="5"/>
      <c r="JOY64" s="5"/>
      <c r="JOZ64" s="5"/>
      <c r="JPA64" s="5"/>
      <c r="JPB64" s="5"/>
      <c r="JPC64" s="5"/>
      <c r="JPD64" s="5"/>
      <c r="JPE64" s="5"/>
      <c r="JPF64" s="5"/>
      <c r="JPG64" s="5"/>
      <c r="JPH64" s="5"/>
      <c r="JPI64" s="5"/>
      <c r="JPJ64" s="5"/>
      <c r="JPK64" s="5"/>
      <c r="JPL64" s="5"/>
      <c r="JPM64" s="5"/>
      <c r="JPN64" s="5"/>
      <c r="JPO64" s="5"/>
      <c r="JPP64" s="5"/>
      <c r="JPQ64" s="5"/>
      <c r="JPR64" s="5"/>
      <c r="JPS64" s="5"/>
      <c r="JPT64" s="5"/>
      <c r="JPU64" s="5"/>
      <c r="JPV64" s="5"/>
      <c r="JPW64" s="5"/>
      <c r="JPX64" s="5"/>
      <c r="JPY64" s="5"/>
      <c r="JPZ64" s="5"/>
      <c r="JQA64" s="5"/>
      <c r="JQB64" s="5"/>
      <c r="JQC64" s="5"/>
      <c r="JQD64" s="5"/>
      <c r="JQE64" s="5"/>
      <c r="JQF64" s="5"/>
      <c r="JQG64" s="5"/>
      <c r="JQH64" s="5"/>
      <c r="JQI64" s="5"/>
      <c r="JQJ64" s="5"/>
      <c r="JQK64" s="5"/>
      <c r="JQL64" s="5"/>
      <c r="JQM64" s="5"/>
      <c r="JQN64" s="5"/>
      <c r="JQO64" s="5"/>
      <c r="JQP64" s="5"/>
      <c r="JQQ64" s="5"/>
      <c r="JQR64" s="5"/>
      <c r="JQS64" s="5"/>
      <c r="JQT64" s="5"/>
      <c r="JQU64" s="5"/>
      <c r="JQV64" s="5"/>
      <c r="JQW64" s="5"/>
      <c r="JQX64" s="5"/>
      <c r="JQY64" s="5"/>
      <c r="JQZ64" s="5"/>
      <c r="JRA64" s="5"/>
      <c r="JRB64" s="5"/>
      <c r="JRC64" s="5"/>
      <c r="JRD64" s="5"/>
      <c r="JRE64" s="5"/>
      <c r="JRF64" s="5"/>
      <c r="JRG64" s="5"/>
      <c r="JRH64" s="5"/>
      <c r="JRI64" s="5"/>
      <c r="JRJ64" s="5"/>
      <c r="JRK64" s="5"/>
      <c r="JRL64" s="5"/>
      <c r="JRM64" s="5"/>
      <c r="JRN64" s="5"/>
      <c r="JRO64" s="5"/>
      <c r="JRP64" s="5"/>
      <c r="JRQ64" s="5"/>
      <c r="JRR64" s="5"/>
      <c r="JRS64" s="5"/>
      <c r="JRT64" s="5"/>
      <c r="JRU64" s="5"/>
      <c r="JRV64" s="5"/>
      <c r="JRW64" s="5"/>
      <c r="JRX64" s="5"/>
      <c r="JRY64" s="5"/>
      <c r="JRZ64" s="5"/>
      <c r="JSA64" s="5"/>
      <c r="JSB64" s="5"/>
      <c r="JSC64" s="5"/>
      <c r="JSD64" s="5"/>
      <c r="JSE64" s="5"/>
      <c r="JSF64" s="5"/>
      <c r="JSG64" s="5"/>
      <c r="JSH64" s="5"/>
      <c r="JSI64" s="5"/>
      <c r="JSJ64" s="5"/>
      <c r="JSK64" s="5"/>
      <c r="JSL64" s="5"/>
      <c r="JSM64" s="5"/>
      <c r="JSN64" s="5"/>
      <c r="JSO64" s="5"/>
      <c r="JSP64" s="5"/>
      <c r="JSQ64" s="5"/>
      <c r="JSR64" s="5"/>
      <c r="JSS64" s="5"/>
      <c r="JST64" s="5"/>
      <c r="JSU64" s="5"/>
      <c r="JSV64" s="5"/>
      <c r="JSW64" s="5"/>
      <c r="JSX64" s="5"/>
      <c r="JSY64" s="5"/>
      <c r="JSZ64" s="5"/>
      <c r="JTA64" s="5"/>
      <c r="JTB64" s="5"/>
      <c r="JTC64" s="5"/>
      <c r="JTD64" s="5"/>
      <c r="JTE64" s="5"/>
      <c r="JTF64" s="5"/>
      <c r="JTG64" s="5"/>
      <c r="JTH64" s="5"/>
      <c r="JTI64" s="5"/>
      <c r="JTJ64" s="5"/>
      <c r="JTK64" s="5"/>
      <c r="JTL64" s="5"/>
      <c r="JTM64" s="5"/>
      <c r="JTN64" s="5"/>
      <c r="JTO64" s="5"/>
      <c r="JTP64" s="5"/>
      <c r="JTQ64" s="5"/>
      <c r="JTR64" s="5"/>
      <c r="JTS64" s="5"/>
      <c r="JTT64" s="5"/>
      <c r="JTU64" s="5"/>
      <c r="JTV64" s="5"/>
      <c r="JTW64" s="5"/>
      <c r="JTX64" s="5"/>
      <c r="JTY64" s="5"/>
      <c r="JTZ64" s="5"/>
      <c r="JUA64" s="5"/>
      <c r="JUB64" s="5"/>
      <c r="JUC64" s="5"/>
      <c r="JUD64" s="5"/>
      <c r="JUE64" s="5"/>
      <c r="JUF64" s="5"/>
      <c r="JUG64" s="5"/>
      <c r="JUH64" s="5"/>
      <c r="JUI64" s="5"/>
      <c r="JUJ64" s="5"/>
      <c r="JUK64" s="5"/>
      <c r="JUL64" s="5"/>
      <c r="JUM64" s="5"/>
      <c r="JUN64" s="5"/>
      <c r="JUO64" s="5"/>
      <c r="JUP64" s="5"/>
      <c r="JUQ64" s="5"/>
      <c r="JUR64" s="5"/>
      <c r="JUS64" s="5"/>
      <c r="JUT64" s="5"/>
      <c r="JUU64" s="5"/>
      <c r="JUV64" s="5"/>
      <c r="JUW64" s="5"/>
      <c r="JUX64" s="5"/>
      <c r="JUY64" s="5"/>
      <c r="JUZ64" s="5"/>
      <c r="JVA64" s="5"/>
      <c r="JVB64" s="5"/>
      <c r="JVC64" s="5"/>
      <c r="JVD64" s="5"/>
      <c r="JVE64" s="5"/>
      <c r="JVF64" s="5"/>
      <c r="JVG64" s="5"/>
      <c r="JVH64" s="5"/>
      <c r="JVI64" s="5"/>
      <c r="JVJ64" s="5"/>
      <c r="JVK64" s="5"/>
      <c r="JVL64" s="5"/>
      <c r="JVM64" s="5"/>
      <c r="JVN64" s="5"/>
      <c r="JVO64" s="5"/>
      <c r="JVP64" s="5"/>
      <c r="JVQ64" s="5"/>
      <c r="JVR64" s="5"/>
      <c r="JVS64" s="5"/>
      <c r="JVT64" s="5"/>
      <c r="JVU64" s="5"/>
      <c r="JVV64" s="5"/>
      <c r="JVW64" s="5"/>
      <c r="JVX64" s="5"/>
      <c r="JVY64" s="5"/>
      <c r="JVZ64" s="5"/>
      <c r="JWA64" s="5"/>
      <c r="JWB64" s="5"/>
      <c r="JWC64" s="5"/>
      <c r="JWD64" s="5"/>
      <c r="JWE64" s="5"/>
      <c r="JWF64" s="5"/>
      <c r="JWG64" s="5"/>
      <c r="JWH64" s="5"/>
      <c r="JWI64" s="5"/>
      <c r="JWJ64" s="5"/>
      <c r="JWK64" s="5"/>
      <c r="JWL64" s="5"/>
      <c r="JWM64" s="5"/>
      <c r="JWN64" s="5"/>
      <c r="JWO64" s="5"/>
      <c r="JWP64" s="5"/>
      <c r="JWQ64" s="5"/>
      <c r="JWR64" s="5"/>
      <c r="JWS64" s="5"/>
      <c r="JWT64" s="5"/>
      <c r="JWU64" s="5"/>
      <c r="JWV64" s="5"/>
      <c r="JWW64" s="5"/>
      <c r="JWX64" s="5"/>
      <c r="JWY64" s="5"/>
      <c r="JWZ64" s="5"/>
      <c r="JXA64" s="5"/>
      <c r="JXB64" s="5"/>
      <c r="JXC64" s="5"/>
      <c r="JXD64" s="5"/>
      <c r="JXE64" s="5"/>
      <c r="JXF64" s="5"/>
      <c r="JXG64" s="5"/>
      <c r="JXH64" s="5"/>
      <c r="JXI64" s="5"/>
      <c r="JXJ64" s="5"/>
      <c r="JXK64" s="5"/>
      <c r="JXL64" s="5"/>
      <c r="JXM64" s="5"/>
      <c r="JXN64" s="5"/>
      <c r="JXO64" s="5"/>
      <c r="JXP64" s="5"/>
      <c r="JXQ64" s="5"/>
      <c r="JXR64" s="5"/>
      <c r="JXS64" s="5"/>
      <c r="JXT64" s="5"/>
      <c r="JXU64" s="5"/>
      <c r="JXV64" s="5"/>
      <c r="JXW64" s="5"/>
      <c r="JXX64" s="5"/>
      <c r="JXY64" s="5"/>
      <c r="JXZ64" s="5"/>
      <c r="JYA64" s="5"/>
      <c r="JYB64" s="5"/>
      <c r="JYC64" s="5"/>
      <c r="JYD64" s="5"/>
      <c r="JYE64" s="5"/>
      <c r="JYF64" s="5"/>
      <c r="JYG64" s="5"/>
      <c r="JYH64" s="5"/>
      <c r="JYI64" s="5"/>
      <c r="JYJ64" s="5"/>
      <c r="JYK64" s="5"/>
      <c r="JYL64" s="5"/>
      <c r="JYM64" s="5"/>
      <c r="JYN64" s="5"/>
      <c r="JYO64" s="5"/>
      <c r="JYP64" s="5"/>
      <c r="JYQ64" s="5"/>
      <c r="JYR64" s="5"/>
      <c r="JYS64" s="5"/>
      <c r="JYT64" s="5"/>
      <c r="JYU64" s="5"/>
      <c r="JYV64" s="5"/>
      <c r="JYW64" s="5"/>
      <c r="JYX64" s="5"/>
      <c r="JYY64" s="5"/>
      <c r="JYZ64" s="5"/>
      <c r="JZA64" s="5"/>
      <c r="JZB64" s="5"/>
      <c r="JZC64" s="5"/>
      <c r="JZD64" s="5"/>
      <c r="JZE64" s="5"/>
      <c r="JZF64" s="5"/>
      <c r="JZG64" s="5"/>
      <c r="JZH64" s="5"/>
      <c r="JZI64" s="5"/>
      <c r="JZJ64" s="5"/>
      <c r="JZK64" s="5"/>
      <c r="JZL64" s="5"/>
      <c r="JZM64" s="5"/>
      <c r="JZN64" s="5"/>
      <c r="JZO64" s="5"/>
      <c r="JZP64" s="5"/>
      <c r="JZQ64" s="5"/>
      <c r="JZR64" s="5"/>
      <c r="JZS64" s="5"/>
      <c r="JZT64" s="5"/>
      <c r="JZU64" s="5"/>
      <c r="JZV64" s="5"/>
      <c r="JZW64" s="5"/>
      <c r="JZX64" s="5"/>
      <c r="JZY64" s="5"/>
      <c r="JZZ64" s="5"/>
      <c r="KAA64" s="5"/>
      <c r="KAB64" s="5"/>
      <c r="KAC64" s="5"/>
      <c r="KAD64" s="5"/>
      <c r="KAE64" s="5"/>
      <c r="KAF64" s="5"/>
      <c r="KAG64" s="5"/>
      <c r="KAH64" s="5"/>
      <c r="KAI64" s="5"/>
      <c r="KAJ64" s="5"/>
      <c r="KAK64" s="5"/>
      <c r="KAL64" s="5"/>
      <c r="KAM64" s="5"/>
      <c r="KAN64" s="5"/>
      <c r="KAO64" s="5"/>
      <c r="KAP64" s="5"/>
      <c r="KAQ64" s="5"/>
      <c r="KAR64" s="5"/>
      <c r="KAS64" s="5"/>
      <c r="KAT64" s="5"/>
      <c r="KAU64" s="5"/>
      <c r="KAV64" s="5"/>
      <c r="KAW64" s="5"/>
      <c r="KAX64" s="5"/>
      <c r="KAY64" s="5"/>
      <c r="KAZ64" s="5"/>
      <c r="KBA64" s="5"/>
      <c r="KBB64" s="5"/>
      <c r="KBC64" s="5"/>
      <c r="KBD64" s="5"/>
      <c r="KBE64" s="5"/>
      <c r="KBF64" s="5"/>
      <c r="KBG64" s="5"/>
      <c r="KBH64" s="5"/>
      <c r="KBI64" s="5"/>
      <c r="KBJ64" s="5"/>
      <c r="KBK64" s="5"/>
      <c r="KBL64" s="5"/>
      <c r="KBM64" s="5"/>
      <c r="KBN64" s="5"/>
      <c r="KBO64" s="5"/>
      <c r="KBP64" s="5"/>
      <c r="KBQ64" s="5"/>
      <c r="KBR64" s="5"/>
      <c r="KBS64" s="5"/>
      <c r="KBT64" s="5"/>
      <c r="KBU64" s="5"/>
      <c r="KBV64" s="5"/>
      <c r="KBW64" s="5"/>
      <c r="KBX64" s="5"/>
      <c r="KBY64" s="5"/>
      <c r="KBZ64" s="5"/>
      <c r="KCA64" s="5"/>
      <c r="KCB64" s="5"/>
      <c r="KCC64" s="5"/>
      <c r="KCD64" s="5"/>
      <c r="KCE64" s="5"/>
      <c r="KCF64" s="5"/>
      <c r="KCG64" s="5"/>
      <c r="KCH64" s="5"/>
      <c r="KCI64" s="5"/>
      <c r="KCJ64" s="5"/>
      <c r="KCK64" s="5"/>
      <c r="KCL64" s="5"/>
      <c r="KCM64" s="5"/>
      <c r="KCN64" s="5"/>
      <c r="KCO64" s="5"/>
      <c r="KCP64" s="5"/>
      <c r="KCQ64" s="5"/>
      <c r="KCR64" s="5"/>
      <c r="KCS64" s="5"/>
      <c r="KCT64" s="5"/>
      <c r="KCU64" s="5"/>
      <c r="KCV64" s="5"/>
      <c r="KCW64" s="5"/>
      <c r="KCX64" s="5"/>
      <c r="KCY64" s="5"/>
      <c r="KCZ64" s="5"/>
      <c r="KDA64" s="5"/>
      <c r="KDB64" s="5"/>
      <c r="KDC64" s="5"/>
      <c r="KDD64" s="5"/>
      <c r="KDE64" s="5"/>
      <c r="KDF64" s="5"/>
      <c r="KDG64" s="5"/>
      <c r="KDH64" s="5"/>
      <c r="KDI64" s="5"/>
      <c r="KDJ64" s="5"/>
      <c r="KDK64" s="5"/>
      <c r="KDL64" s="5"/>
      <c r="KDM64" s="5"/>
      <c r="KDN64" s="5"/>
      <c r="KDO64" s="5"/>
      <c r="KDP64" s="5"/>
      <c r="KDQ64" s="5"/>
      <c r="KDR64" s="5"/>
      <c r="KDS64" s="5"/>
      <c r="KDT64" s="5"/>
      <c r="KDU64" s="5"/>
      <c r="KDV64" s="5"/>
      <c r="KDW64" s="5"/>
      <c r="KDX64" s="5"/>
      <c r="KDY64" s="5"/>
      <c r="KDZ64" s="5"/>
      <c r="KEA64" s="5"/>
      <c r="KEB64" s="5"/>
      <c r="KEC64" s="5"/>
      <c r="KED64" s="5"/>
      <c r="KEE64" s="5"/>
      <c r="KEF64" s="5"/>
      <c r="KEG64" s="5"/>
      <c r="KEH64" s="5"/>
      <c r="KEI64" s="5"/>
      <c r="KEJ64" s="5"/>
      <c r="KEK64" s="5"/>
      <c r="KEL64" s="5"/>
      <c r="KEM64" s="5"/>
      <c r="KEN64" s="5"/>
      <c r="KEO64" s="5"/>
      <c r="KEP64" s="5"/>
      <c r="KEQ64" s="5"/>
      <c r="KER64" s="5"/>
      <c r="KES64" s="5"/>
      <c r="KET64" s="5"/>
      <c r="KEU64" s="5"/>
      <c r="KEV64" s="5"/>
      <c r="KEW64" s="5"/>
      <c r="KEX64" s="5"/>
      <c r="KEY64" s="5"/>
      <c r="KEZ64" s="5"/>
      <c r="KFA64" s="5"/>
      <c r="KFB64" s="5"/>
      <c r="KFC64" s="5"/>
      <c r="KFD64" s="5"/>
      <c r="KFE64" s="5"/>
      <c r="KFF64" s="5"/>
      <c r="KFG64" s="5"/>
      <c r="KFH64" s="5"/>
      <c r="KFI64" s="5"/>
      <c r="KFJ64" s="5"/>
      <c r="KFK64" s="5"/>
      <c r="KFL64" s="5"/>
      <c r="KFM64" s="5"/>
      <c r="KFN64" s="5"/>
      <c r="KFO64" s="5"/>
      <c r="KFP64" s="5"/>
      <c r="KFQ64" s="5"/>
      <c r="KFR64" s="5"/>
      <c r="KFS64" s="5"/>
      <c r="KFT64" s="5"/>
      <c r="KFU64" s="5"/>
      <c r="KFV64" s="5"/>
      <c r="KFW64" s="5"/>
      <c r="KFX64" s="5"/>
      <c r="KFY64" s="5"/>
      <c r="KFZ64" s="5"/>
      <c r="KGA64" s="5"/>
      <c r="KGB64" s="5"/>
      <c r="KGC64" s="5"/>
      <c r="KGD64" s="5"/>
      <c r="KGE64" s="5"/>
      <c r="KGF64" s="5"/>
      <c r="KGG64" s="5"/>
      <c r="KGH64" s="5"/>
      <c r="KGI64" s="5"/>
      <c r="KGJ64" s="5"/>
      <c r="KGK64" s="5"/>
      <c r="KGL64" s="5"/>
      <c r="KGM64" s="5"/>
      <c r="KGN64" s="5"/>
      <c r="KGO64" s="5"/>
      <c r="KGP64" s="5"/>
      <c r="KGQ64" s="5"/>
      <c r="KGR64" s="5"/>
      <c r="KGS64" s="5"/>
      <c r="KGT64" s="5"/>
      <c r="KGU64" s="5"/>
      <c r="KGV64" s="5"/>
      <c r="KGW64" s="5"/>
      <c r="KGX64" s="5"/>
      <c r="KGY64" s="5"/>
      <c r="KGZ64" s="5"/>
      <c r="KHA64" s="5"/>
      <c r="KHB64" s="5"/>
      <c r="KHC64" s="5"/>
      <c r="KHD64" s="5"/>
      <c r="KHE64" s="5"/>
      <c r="KHF64" s="5"/>
      <c r="KHG64" s="5"/>
      <c r="KHH64" s="5"/>
      <c r="KHI64" s="5"/>
      <c r="KHJ64" s="5"/>
      <c r="KHK64" s="5"/>
      <c r="KHL64" s="5"/>
      <c r="KHM64" s="5"/>
      <c r="KHN64" s="5"/>
      <c r="KHO64" s="5"/>
      <c r="KHP64" s="5"/>
      <c r="KHQ64" s="5"/>
      <c r="KHR64" s="5"/>
      <c r="KHS64" s="5"/>
      <c r="KHT64" s="5"/>
      <c r="KHU64" s="5"/>
      <c r="KHV64" s="5"/>
      <c r="KHW64" s="5"/>
      <c r="KHX64" s="5"/>
      <c r="KHY64" s="5"/>
      <c r="KHZ64" s="5"/>
      <c r="KIA64" s="5"/>
      <c r="KIB64" s="5"/>
      <c r="KIC64" s="5"/>
      <c r="KID64" s="5"/>
      <c r="KIE64" s="5"/>
      <c r="KIF64" s="5"/>
      <c r="KIG64" s="5"/>
      <c r="KIH64" s="5"/>
      <c r="KII64" s="5"/>
      <c r="KIJ64" s="5"/>
      <c r="KIK64" s="5"/>
      <c r="KIL64" s="5"/>
      <c r="KIM64" s="5"/>
      <c r="KIN64" s="5"/>
      <c r="KIO64" s="5"/>
      <c r="KIP64" s="5"/>
      <c r="KIQ64" s="5"/>
      <c r="KIR64" s="5"/>
      <c r="KIS64" s="5"/>
      <c r="KIT64" s="5"/>
      <c r="KIU64" s="5"/>
      <c r="KIV64" s="5"/>
      <c r="KIW64" s="5"/>
      <c r="KIX64" s="5"/>
      <c r="KIY64" s="5"/>
      <c r="KIZ64" s="5"/>
      <c r="KJA64" s="5"/>
      <c r="KJB64" s="5"/>
      <c r="KJC64" s="5"/>
      <c r="KJD64" s="5"/>
      <c r="KJE64" s="5"/>
      <c r="KJF64" s="5"/>
      <c r="KJG64" s="5"/>
      <c r="KJH64" s="5"/>
      <c r="KJI64" s="5"/>
      <c r="KJJ64" s="5"/>
      <c r="KJK64" s="5"/>
      <c r="KJL64" s="5"/>
      <c r="KJM64" s="5"/>
      <c r="KJN64" s="5"/>
      <c r="KJO64" s="5"/>
      <c r="KJP64" s="5"/>
      <c r="KJQ64" s="5"/>
      <c r="KJR64" s="5"/>
      <c r="KJS64" s="5"/>
      <c r="KJT64" s="5"/>
      <c r="KJU64" s="5"/>
      <c r="KJV64" s="5"/>
      <c r="KJW64" s="5"/>
      <c r="KJX64" s="5"/>
      <c r="KJY64" s="5"/>
      <c r="KJZ64" s="5"/>
      <c r="KKA64" s="5"/>
      <c r="KKB64" s="5"/>
      <c r="KKC64" s="5"/>
      <c r="KKD64" s="5"/>
      <c r="KKE64" s="5"/>
      <c r="KKF64" s="5"/>
      <c r="KKG64" s="5"/>
      <c r="KKH64" s="5"/>
      <c r="KKI64" s="5"/>
      <c r="KKJ64" s="5"/>
      <c r="KKK64" s="5"/>
      <c r="KKL64" s="5"/>
      <c r="KKM64" s="5"/>
      <c r="KKN64" s="5"/>
      <c r="KKO64" s="5"/>
      <c r="KKP64" s="5"/>
      <c r="KKQ64" s="5"/>
      <c r="KKR64" s="5"/>
      <c r="KKS64" s="5"/>
      <c r="KKT64" s="5"/>
      <c r="KKU64" s="5"/>
      <c r="KKV64" s="5"/>
      <c r="KKW64" s="5"/>
      <c r="KKX64" s="5"/>
      <c r="KKY64" s="5"/>
      <c r="KKZ64" s="5"/>
      <c r="KLA64" s="5"/>
      <c r="KLB64" s="5"/>
      <c r="KLC64" s="5"/>
      <c r="KLD64" s="5"/>
      <c r="KLE64" s="5"/>
      <c r="KLF64" s="5"/>
      <c r="KLG64" s="5"/>
      <c r="KLH64" s="5"/>
      <c r="KLI64" s="5"/>
      <c r="KLJ64" s="5"/>
      <c r="KLK64" s="5"/>
      <c r="KLL64" s="5"/>
      <c r="KLM64" s="5"/>
      <c r="KLN64" s="5"/>
      <c r="KLO64" s="5"/>
      <c r="KLP64" s="5"/>
      <c r="KLQ64" s="5"/>
      <c r="KLR64" s="5"/>
      <c r="KLS64" s="5"/>
      <c r="KLT64" s="5"/>
      <c r="KLU64" s="5"/>
      <c r="KLV64" s="5"/>
      <c r="KLW64" s="5"/>
      <c r="KLX64" s="5"/>
      <c r="KLY64" s="5"/>
      <c r="KLZ64" s="5"/>
      <c r="KMA64" s="5"/>
      <c r="KMB64" s="5"/>
      <c r="KMC64" s="5"/>
      <c r="KMD64" s="5"/>
      <c r="KME64" s="5"/>
      <c r="KMF64" s="5"/>
      <c r="KMG64" s="5"/>
      <c r="KMH64" s="5"/>
      <c r="KMI64" s="5"/>
      <c r="KMJ64" s="5"/>
      <c r="KMK64" s="5"/>
      <c r="KML64" s="5"/>
      <c r="KMM64" s="5"/>
      <c r="KMN64" s="5"/>
      <c r="KMO64" s="5"/>
      <c r="KMP64" s="5"/>
      <c r="KMQ64" s="5"/>
      <c r="KMR64" s="5"/>
      <c r="KMS64" s="5"/>
      <c r="KMT64" s="5"/>
      <c r="KMU64" s="5"/>
      <c r="KMV64" s="5"/>
      <c r="KMW64" s="5"/>
      <c r="KMX64" s="5"/>
      <c r="KMY64" s="5"/>
      <c r="KMZ64" s="5"/>
      <c r="KNA64" s="5"/>
      <c r="KNB64" s="5"/>
      <c r="KNC64" s="5"/>
      <c r="KND64" s="5"/>
      <c r="KNE64" s="5"/>
      <c r="KNF64" s="5"/>
      <c r="KNG64" s="5"/>
      <c r="KNH64" s="5"/>
      <c r="KNI64" s="5"/>
      <c r="KNJ64" s="5"/>
      <c r="KNK64" s="5"/>
      <c r="KNL64" s="5"/>
      <c r="KNM64" s="5"/>
      <c r="KNN64" s="5"/>
      <c r="KNO64" s="5"/>
      <c r="KNP64" s="5"/>
      <c r="KNQ64" s="5"/>
      <c r="KNR64" s="5"/>
      <c r="KNS64" s="5"/>
      <c r="KNT64" s="5"/>
      <c r="KNU64" s="5"/>
      <c r="KNV64" s="5"/>
      <c r="KNW64" s="5"/>
      <c r="KNX64" s="5"/>
      <c r="KNY64" s="5"/>
      <c r="KNZ64" s="5"/>
      <c r="KOA64" s="5"/>
      <c r="KOB64" s="5"/>
      <c r="KOC64" s="5"/>
      <c r="KOD64" s="5"/>
      <c r="KOE64" s="5"/>
      <c r="KOF64" s="5"/>
      <c r="KOG64" s="5"/>
      <c r="KOH64" s="5"/>
      <c r="KOI64" s="5"/>
      <c r="KOJ64" s="5"/>
      <c r="KOK64" s="5"/>
      <c r="KOL64" s="5"/>
      <c r="KOM64" s="5"/>
      <c r="KON64" s="5"/>
      <c r="KOO64" s="5"/>
      <c r="KOP64" s="5"/>
      <c r="KOQ64" s="5"/>
      <c r="KOR64" s="5"/>
      <c r="KOS64" s="5"/>
      <c r="KOT64" s="5"/>
      <c r="KOU64" s="5"/>
      <c r="KOV64" s="5"/>
      <c r="KOW64" s="5"/>
      <c r="KOX64" s="5"/>
      <c r="KOY64" s="5"/>
      <c r="KOZ64" s="5"/>
      <c r="KPA64" s="5"/>
      <c r="KPB64" s="5"/>
      <c r="KPC64" s="5"/>
      <c r="KPD64" s="5"/>
      <c r="KPE64" s="5"/>
      <c r="KPF64" s="5"/>
      <c r="KPG64" s="5"/>
      <c r="KPH64" s="5"/>
      <c r="KPI64" s="5"/>
      <c r="KPJ64" s="5"/>
      <c r="KPK64" s="5"/>
      <c r="KPL64" s="5"/>
      <c r="KPM64" s="5"/>
      <c r="KPN64" s="5"/>
      <c r="KPO64" s="5"/>
      <c r="KPP64" s="5"/>
      <c r="KPQ64" s="5"/>
      <c r="KPR64" s="5"/>
      <c r="KPS64" s="5"/>
      <c r="KPT64" s="5"/>
      <c r="KPU64" s="5"/>
      <c r="KPV64" s="5"/>
      <c r="KPW64" s="5"/>
      <c r="KPX64" s="5"/>
      <c r="KPY64" s="5"/>
      <c r="KPZ64" s="5"/>
      <c r="KQA64" s="5"/>
      <c r="KQB64" s="5"/>
      <c r="KQC64" s="5"/>
      <c r="KQD64" s="5"/>
      <c r="KQE64" s="5"/>
      <c r="KQF64" s="5"/>
      <c r="KQG64" s="5"/>
      <c r="KQH64" s="5"/>
      <c r="KQI64" s="5"/>
      <c r="KQJ64" s="5"/>
      <c r="KQK64" s="5"/>
      <c r="KQL64" s="5"/>
      <c r="KQM64" s="5"/>
      <c r="KQN64" s="5"/>
      <c r="KQO64" s="5"/>
      <c r="KQP64" s="5"/>
      <c r="KQQ64" s="5"/>
      <c r="KQR64" s="5"/>
      <c r="KQS64" s="5"/>
      <c r="KQT64" s="5"/>
      <c r="KQU64" s="5"/>
      <c r="KQV64" s="5"/>
      <c r="KQW64" s="5"/>
      <c r="KQX64" s="5"/>
      <c r="KQY64" s="5"/>
      <c r="KQZ64" s="5"/>
      <c r="KRA64" s="5"/>
      <c r="KRB64" s="5"/>
      <c r="KRC64" s="5"/>
      <c r="KRD64" s="5"/>
      <c r="KRE64" s="5"/>
      <c r="KRF64" s="5"/>
      <c r="KRG64" s="5"/>
      <c r="KRH64" s="5"/>
      <c r="KRI64" s="5"/>
      <c r="KRJ64" s="5"/>
      <c r="KRK64" s="5"/>
      <c r="KRL64" s="5"/>
      <c r="KRM64" s="5"/>
      <c r="KRN64" s="5"/>
      <c r="KRO64" s="5"/>
      <c r="KRP64" s="5"/>
      <c r="KRQ64" s="5"/>
      <c r="KRR64" s="5"/>
      <c r="KRS64" s="5"/>
      <c r="KRT64" s="5"/>
      <c r="KRU64" s="5"/>
      <c r="KRV64" s="5"/>
      <c r="KRW64" s="5"/>
      <c r="KRX64" s="5"/>
      <c r="KRY64" s="5"/>
      <c r="KRZ64" s="5"/>
      <c r="KSA64" s="5"/>
      <c r="KSB64" s="5"/>
      <c r="KSC64" s="5"/>
      <c r="KSD64" s="5"/>
      <c r="KSE64" s="5"/>
      <c r="KSF64" s="5"/>
      <c r="KSG64" s="5"/>
      <c r="KSH64" s="5"/>
      <c r="KSI64" s="5"/>
      <c r="KSJ64" s="5"/>
      <c r="KSK64" s="5"/>
      <c r="KSL64" s="5"/>
      <c r="KSM64" s="5"/>
      <c r="KSN64" s="5"/>
      <c r="KSO64" s="5"/>
      <c r="KSP64" s="5"/>
      <c r="KSQ64" s="5"/>
      <c r="KSR64" s="5"/>
      <c r="KSS64" s="5"/>
      <c r="KST64" s="5"/>
      <c r="KSU64" s="5"/>
      <c r="KSV64" s="5"/>
      <c r="KSW64" s="5"/>
      <c r="KSX64" s="5"/>
      <c r="KSY64" s="5"/>
      <c r="KSZ64" s="5"/>
      <c r="KTA64" s="5"/>
      <c r="KTB64" s="5"/>
      <c r="KTC64" s="5"/>
      <c r="KTD64" s="5"/>
      <c r="KTE64" s="5"/>
      <c r="KTF64" s="5"/>
      <c r="KTG64" s="5"/>
      <c r="KTH64" s="5"/>
      <c r="KTI64" s="5"/>
      <c r="KTJ64" s="5"/>
      <c r="KTK64" s="5"/>
      <c r="KTL64" s="5"/>
      <c r="KTM64" s="5"/>
      <c r="KTN64" s="5"/>
      <c r="KTO64" s="5"/>
      <c r="KTP64" s="5"/>
      <c r="KTQ64" s="5"/>
      <c r="KTR64" s="5"/>
      <c r="KTS64" s="5"/>
      <c r="KTT64" s="5"/>
      <c r="KTU64" s="5"/>
      <c r="KTV64" s="5"/>
      <c r="KTW64" s="5"/>
      <c r="KTX64" s="5"/>
      <c r="KTY64" s="5"/>
      <c r="KTZ64" s="5"/>
      <c r="KUA64" s="5"/>
      <c r="KUB64" s="5"/>
      <c r="KUC64" s="5"/>
      <c r="KUD64" s="5"/>
      <c r="KUE64" s="5"/>
      <c r="KUF64" s="5"/>
      <c r="KUG64" s="5"/>
      <c r="KUH64" s="5"/>
      <c r="KUI64" s="5"/>
      <c r="KUJ64" s="5"/>
      <c r="KUK64" s="5"/>
      <c r="KUL64" s="5"/>
      <c r="KUM64" s="5"/>
      <c r="KUN64" s="5"/>
      <c r="KUO64" s="5"/>
      <c r="KUP64" s="5"/>
      <c r="KUQ64" s="5"/>
      <c r="KUR64" s="5"/>
      <c r="KUS64" s="5"/>
      <c r="KUT64" s="5"/>
      <c r="KUU64" s="5"/>
      <c r="KUV64" s="5"/>
      <c r="KUW64" s="5"/>
      <c r="KUX64" s="5"/>
      <c r="KUY64" s="5"/>
      <c r="KUZ64" s="5"/>
      <c r="KVA64" s="5"/>
      <c r="KVB64" s="5"/>
      <c r="KVC64" s="5"/>
      <c r="KVD64" s="5"/>
      <c r="KVE64" s="5"/>
      <c r="KVF64" s="5"/>
      <c r="KVG64" s="5"/>
      <c r="KVH64" s="5"/>
      <c r="KVI64" s="5"/>
      <c r="KVJ64" s="5"/>
      <c r="KVK64" s="5"/>
      <c r="KVL64" s="5"/>
      <c r="KVM64" s="5"/>
      <c r="KVN64" s="5"/>
      <c r="KVO64" s="5"/>
      <c r="KVP64" s="5"/>
      <c r="KVQ64" s="5"/>
      <c r="KVR64" s="5"/>
      <c r="KVS64" s="5"/>
      <c r="KVT64" s="5"/>
      <c r="KVU64" s="5"/>
      <c r="KVV64" s="5"/>
      <c r="KVW64" s="5"/>
      <c r="KVX64" s="5"/>
      <c r="KVY64" s="5"/>
      <c r="KVZ64" s="5"/>
      <c r="KWA64" s="5"/>
      <c r="KWB64" s="5"/>
      <c r="KWC64" s="5"/>
      <c r="KWD64" s="5"/>
      <c r="KWE64" s="5"/>
      <c r="KWF64" s="5"/>
      <c r="KWG64" s="5"/>
      <c r="KWH64" s="5"/>
      <c r="KWI64" s="5"/>
      <c r="KWJ64" s="5"/>
      <c r="KWK64" s="5"/>
      <c r="KWL64" s="5"/>
      <c r="KWM64" s="5"/>
      <c r="KWN64" s="5"/>
      <c r="KWO64" s="5"/>
      <c r="KWP64" s="5"/>
      <c r="KWQ64" s="5"/>
      <c r="KWR64" s="5"/>
      <c r="KWS64" s="5"/>
      <c r="KWT64" s="5"/>
      <c r="KWU64" s="5"/>
      <c r="KWV64" s="5"/>
      <c r="KWW64" s="5"/>
      <c r="KWX64" s="5"/>
      <c r="KWY64" s="5"/>
      <c r="KWZ64" s="5"/>
      <c r="KXA64" s="5"/>
      <c r="KXB64" s="5"/>
      <c r="KXC64" s="5"/>
      <c r="KXD64" s="5"/>
      <c r="KXE64" s="5"/>
      <c r="KXF64" s="5"/>
      <c r="KXG64" s="5"/>
      <c r="KXH64" s="5"/>
      <c r="KXI64" s="5"/>
      <c r="KXJ64" s="5"/>
      <c r="KXK64" s="5"/>
      <c r="KXL64" s="5"/>
      <c r="KXM64" s="5"/>
      <c r="KXN64" s="5"/>
      <c r="KXO64" s="5"/>
      <c r="KXP64" s="5"/>
      <c r="KXQ64" s="5"/>
      <c r="KXR64" s="5"/>
      <c r="KXS64" s="5"/>
      <c r="KXT64" s="5"/>
      <c r="KXU64" s="5"/>
      <c r="KXV64" s="5"/>
      <c r="KXW64" s="5"/>
      <c r="KXX64" s="5"/>
      <c r="KXY64" s="5"/>
      <c r="KXZ64" s="5"/>
      <c r="KYA64" s="5"/>
      <c r="KYB64" s="5"/>
      <c r="KYC64" s="5"/>
      <c r="KYD64" s="5"/>
      <c r="KYE64" s="5"/>
      <c r="KYF64" s="5"/>
      <c r="KYG64" s="5"/>
      <c r="KYH64" s="5"/>
      <c r="KYI64" s="5"/>
      <c r="KYJ64" s="5"/>
      <c r="KYK64" s="5"/>
      <c r="KYL64" s="5"/>
      <c r="KYM64" s="5"/>
      <c r="KYN64" s="5"/>
      <c r="KYO64" s="5"/>
      <c r="KYP64" s="5"/>
      <c r="KYQ64" s="5"/>
      <c r="KYR64" s="5"/>
      <c r="KYS64" s="5"/>
      <c r="KYT64" s="5"/>
      <c r="KYU64" s="5"/>
      <c r="KYV64" s="5"/>
      <c r="KYW64" s="5"/>
      <c r="KYX64" s="5"/>
      <c r="KYY64" s="5"/>
      <c r="KYZ64" s="5"/>
      <c r="KZA64" s="5"/>
      <c r="KZB64" s="5"/>
      <c r="KZC64" s="5"/>
      <c r="KZD64" s="5"/>
      <c r="KZE64" s="5"/>
      <c r="KZF64" s="5"/>
      <c r="KZG64" s="5"/>
      <c r="KZH64" s="5"/>
      <c r="KZI64" s="5"/>
      <c r="KZJ64" s="5"/>
      <c r="KZK64" s="5"/>
      <c r="KZL64" s="5"/>
      <c r="KZM64" s="5"/>
      <c r="KZN64" s="5"/>
      <c r="KZO64" s="5"/>
      <c r="KZP64" s="5"/>
      <c r="KZQ64" s="5"/>
      <c r="KZR64" s="5"/>
      <c r="KZS64" s="5"/>
      <c r="KZT64" s="5"/>
      <c r="KZU64" s="5"/>
      <c r="KZV64" s="5"/>
      <c r="KZW64" s="5"/>
      <c r="KZX64" s="5"/>
      <c r="KZY64" s="5"/>
      <c r="KZZ64" s="5"/>
      <c r="LAA64" s="5"/>
      <c r="LAB64" s="5"/>
      <c r="LAC64" s="5"/>
      <c r="LAD64" s="5"/>
      <c r="LAE64" s="5"/>
      <c r="LAF64" s="5"/>
      <c r="LAG64" s="5"/>
      <c r="LAH64" s="5"/>
      <c r="LAI64" s="5"/>
      <c r="LAJ64" s="5"/>
      <c r="LAK64" s="5"/>
      <c r="LAL64" s="5"/>
      <c r="LAM64" s="5"/>
      <c r="LAN64" s="5"/>
      <c r="LAO64" s="5"/>
      <c r="LAP64" s="5"/>
      <c r="LAQ64" s="5"/>
      <c r="LAR64" s="5"/>
      <c r="LAS64" s="5"/>
      <c r="LAT64" s="5"/>
      <c r="LAU64" s="5"/>
      <c r="LAV64" s="5"/>
      <c r="LAW64" s="5"/>
      <c r="LAX64" s="5"/>
      <c r="LAY64" s="5"/>
      <c r="LAZ64" s="5"/>
      <c r="LBA64" s="5"/>
      <c r="LBB64" s="5"/>
      <c r="LBC64" s="5"/>
      <c r="LBD64" s="5"/>
      <c r="LBE64" s="5"/>
      <c r="LBF64" s="5"/>
      <c r="LBG64" s="5"/>
      <c r="LBH64" s="5"/>
      <c r="LBI64" s="5"/>
      <c r="LBJ64" s="5"/>
      <c r="LBK64" s="5"/>
      <c r="LBL64" s="5"/>
      <c r="LBM64" s="5"/>
      <c r="LBN64" s="5"/>
      <c r="LBO64" s="5"/>
      <c r="LBP64" s="5"/>
      <c r="LBQ64" s="5"/>
      <c r="LBR64" s="5"/>
      <c r="LBS64" s="5"/>
      <c r="LBT64" s="5"/>
      <c r="LBU64" s="5"/>
      <c r="LBV64" s="5"/>
      <c r="LBW64" s="5"/>
      <c r="LBX64" s="5"/>
      <c r="LBY64" s="5"/>
      <c r="LBZ64" s="5"/>
      <c r="LCA64" s="5"/>
      <c r="LCB64" s="5"/>
      <c r="LCC64" s="5"/>
      <c r="LCD64" s="5"/>
      <c r="LCE64" s="5"/>
      <c r="LCF64" s="5"/>
      <c r="LCG64" s="5"/>
      <c r="LCH64" s="5"/>
      <c r="LCI64" s="5"/>
      <c r="LCJ64" s="5"/>
      <c r="LCK64" s="5"/>
      <c r="LCL64" s="5"/>
      <c r="LCM64" s="5"/>
      <c r="LCN64" s="5"/>
      <c r="LCO64" s="5"/>
      <c r="LCP64" s="5"/>
      <c r="LCQ64" s="5"/>
      <c r="LCR64" s="5"/>
      <c r="LCS64" s="5"/>
      <c r="LCT64" s="5"/>
      <c r="LCU64" s="5"/>
      <c r="LCV64" s="5"/>
      <c r="LCW64" s="5"/>
      <c r="LCX64" s="5"/>
      <c r="LCY64" s="5"/>
      <c r="LCZ64" s="5"/>
      <c r="LDA64" s="5"/>
      <c r="LDB64" s="5"/>
      <c r="LDC64" s="5"/>
      <c r="LDD64" s="5"/>
      <c r="LDE64" s="5"/>
      <c r="LDF64" s="5"/>
      <c r="LDG64" s="5"/>
      <c r="LDH64" s="5"/>
      <c r="LDI64" s="5"/>
      <c r="LDJ64" s="5"/>
      <c r="LDK64" s="5"/>
      <c r="LDL64" s="5"/>
      <c r="LDM64" s="5"/>
      <c r="LDN64" s="5"/>
      <c r="LDO64" s="5"/>
      <c r="LDP64" s="5"/>
      <c r="LDQ64" s="5"/>
      <c r="LDR64" s="5"/>
      <c r="LDS64" s="5"/>
      <c r="LDT64" s="5"/>
      <c r="LDU64" s="5"/>
      <c r="LDV64" s="5"/>
      <c r="LDW64" s="5"/>
      <c r="LDX64" s="5"/>
      <c r="LDY64" s="5"/>
      <c r="LDZ64" s="5"/>
      <c r="LEA64" s="5"/>
      <c r="LEB64" s="5"/>
      <c r="LEC64" s="5"/>
      <c r="LED64" s="5"/>
      <c r="LEE64" s="5"/>
      <c r="LEF64" s="5"/>
      <c r="LEG64" s="5"/>
      <c r="LEH64" s="5"/>
      <c r="LEI64" s="5"/>
      <c r="LEJ64" s="5"/>
      <c r="LEK64" s="5"/>
      <c r="LEL64" s="5"/>
      <c r="LEM64" s="5"/>
      <c r="LEN64" s="5"/>
      <c r="LEO64" s="5"/>
      <c r="LEP64" s="5"/>
      <c r="LEQ64" s="5"/>
      <c r="LER64" s="5"/>
      <c r="LES64" s="5"/>
      <c r="LET64" s="5"/>
      <c r="LEU64" s="5"/>
      <c r="LEV64" s="5"/>
      <c r="LEW64" s="5"/>
      <c r="LEX64" s="5"/>
      <c r="LEY64" s="5"/>
      <c r="LEZ64" s="5"/>
      <c r="LFA64" s="5"/>
      <c r="LFB64" s="5"/>
      <c r="LFC64" s="5"/>
      <c r="LFD64" s="5"/>
      <c r="LFE64" s="5"/>
      <c r="LFF64" s="5"/>
      <c r="LFG64" s="5"/>
      <c r="LFH64" s="5"/>
      <c r="LFI64" s="5"/>
      <c r="LFJ64" s="5"/>
      <c r="LFK64" s="5"/>
      <c r="LFL64" s="5"/>
      <c r="LFM64" s="5"/>
      <c r="LFN64" s="5"/>
      <c r="LFO64" s="5"/>
      <c r="LFP64" s="5"/>
      <c r="LFQ64" s="5"/>
      <c r="LFR64" s="5"/>
      <c r="LFS64" s="5"/>
      <c r="LFT64" s="5"/>
      <c r="LFU64" s="5"/>
      <c r="LFV64" s="5"/>
      <c r="LFW64" s="5"/>
      <c r="LFX64" s="5"/>
      <c r="LFY64" s="5"/>
      <c r="LFZ64" s="5"/>
      <c r="LGA64" s="5"/>
      <c r="LGB64" s="5"/>
      <c r="LGC64" s="5"/>
      <c r="LGD64" s="5"/>
      <c r="LGE64" s="5"/>
      <c r="LGF64" s="5"/>
      <c r="LGG64" s="5"/>
      <c r="LGH64" s="5"/>
      <c r="LGI64" s="5"/>
      <c r="LGJ64" s="5"/>
      <c r="LGK64" s="5"/>
      <c r="LGL64" s="5"/>
      <c r="LGM64" s="5"/>
      <c r="LGN64" s="5"/>
      <c r="LGO64" s="5"/>
      <c r="LGP64" s="5"/>
      <c r="LGQ64" s="5"/>
      <c r="LGR64" s="5"/>
      <c r="LGS64" s="5"/>
      <c r="LGT64" s="5"/>
      <c r="LGU64" s="5"/>
      <c r="LGV64" s="5"/>
      <c r="LGW64" s="5"/>
      <c r="LGX64" s="5"/>
      <c r="LGY64" s="5"/>
      <c r="LGZ64" s="5"/>
      <c r="LHA64" s="5"/>
      <c r="LHB64" s="5"/>
      <c r="LHC64" s="5"/>
      <c r="LHD64" s="5"/>
      <c r="LHE64" s="5"/>
      <c r="LHF64" s="5"/>
      <c r="LHG64" s="5"/>
      <c r="LHH64" s="5"/>
      <c r="LHI64" s="5"/>
      <c r="LHJ64" s="5"/>
      <c r="LHK64" s="5"/>
      <c r="LHL64" s="5"/>
      <c r="LHM64" s="5"/>
      <c r="LHN64" s="5"/>
      <c r="LHO64" s="5"/>
      <c r="LHP64" s="5"/>
      <c r="LHQ64" s="5"/>
      <c r="LHR64" s="5"/>
      <c r="LHS64" s="5"/>
      <c r="LHT64" s="5"/>
      <c r="LHU64" s="5"/>
      <c r="LHV64" s="5"/>
      <c r="LHW64" s="5"/>
      <c r="LHX64" s="5"/>
      <c r="LHY64" s="5"/>
      <c r="LHZ64" s="5"/>
      <c r="LIA64" s="5"/>
      <c r="LIB64" s="5"/>
      <c r="LIC64" s="5"/>
      <c r="LID64" s="5"/>
      <c r="LIE64" s="5"/>
      <c r="LIF64" s="5"/>
      <c r="LIG64" s="5"/>
      <c r="LIH64" s="5"/>
      <c r="LII64" s="5"/>
      <c r="LIJ64" s="5"/>
      <c r="LIK64" s="5"/>
      <c r="LIL64" s="5"/>
      <c r="LIM64" s="5"/>
      <c r="LIN64" s="5"/>
      <c r="LIO64" s="5"/>
      <c r="LIP64" s="5"/>
      <c r="LIQ64" s="5"/>
      <c r="LIR64" s="5"/>
      <c r="LIS64" s="5"/>
      <c r="LIT64" s="5"/>
      <c r="LIU64" s="5"/>
      <c r="LIV64" s="5"/>
      <c r="LIW64" s="5"/>
      <c r="LIX64" s="5"/>
      <c r="LIY64" s="5"/>
      <c r="LIZ64" s="5"/>
      <c r="LJA64" s="5"/>
      <c r="LJB64" s="5"/>
      <c r="LJC64" s="5"/>
      <c r="LJD64" s="5"/>
      <c r="LJE64" s="5"/>
      <c r="LJF64" s="5"/>
      <c r="LJG64" s="5"/>
      <c r="LJH64" s="5"/>
      <c r="LJI64" s="5"/>
      <c r="LJJ64" s="5"/>
      <c r="LJK64" s="5"/>
      <c r="LJL64" s="5"/>
      <c r="LJM64" s="5"/>
      <c r="LJN64" s="5"/>
      <c r="LJO64" s="5"/>
      <c r="LJP64" s="5"/>
      <c r="LJQ64" s="5"/>
      <c r="LJR64" s="5"/>
      <c r="LJS64" s="5"/>
      <c r="LJT64" s="5"/>
      <c r="LJU64" s="5"/>
      <c r="LJV64" s="5"/>
      <c r="LJW64" s="5"/>
      <c r="LJX64" s="5"/>
      <c r="LJY64" s="5"/>
      <c r="LJZ64" s="5"/>
      <c r="LKA64" s="5"/>
      <c r="LKB64" s="5"/>
      <c r="LKC64" s="5"/>
      <c r="LKD64" s="5"/>
      <c r="LKE64" s="5"/>
      <c r="LKF64" s="5"/>
      <c r="LKG64" s="5"/>
      <c r="LKH64" s="5"/>
      <c r="LKI64" s="5"/>
      <c r="LKJ64" s="5"/>
      <c r="LKK64" s="5"/>
      <c r="LKL64" s="5"/>
      <c r="LKM64" s="5"/>
      <c r="LKN64" s="5"/>
      <c r="LKO64" s="5"/>
      <c r="LKP64" s="5"/>
      <c r="LKQ64" s="5"/>
      <c r="LKR64" s="5"/>
      <c r="LKS64" s="5"/>
      <c r="LKT64" s="5"/>
      <c r="LKU64" s="5"/>
      <c r="LKV64" s="5"/>
      <c r="LKW64" s="5"/>
      <c r="LKX64" s="5"/>
      <c r="LKY64" s="5"/>
      <c r="LKZ64" s="5"/>
      <c r="LLA64" s="5"/>
      <c r="LLB64" s="5"/>
      <c r="LLC64" s="5"/>
      <c r="LLD64" s="5"/>
      <c r="LLE64" s="5"/>
      <c r="LLF64" s="5"/>
      <c r="LLG64" s="5"/>
      <c r="LLH64" s="5"/>
      <c r="LLI64" s="5"/>
      <c r="LLJ64" s="5"/>
      <c r="LLK64" s="5"/>
      <c r="LLL64" s="5"/>
      <c r="LLM64" s="5"/>
      <c r="LLN64" s="5"/>
      <c r="LLO64" s="5"/>
      <c r="LLP64" s="5"/>
      <c r="LLQ64" s="5"/>
      <c r="LLR64" s="5"/>
      <c r="LLS64" s="5"/>
      <c r="LLT64" s="5"/>
      <c r="LLU64" s="5"/>
      <c r="LLV64" s="5"/>
      <c r="LLW64" s="5"/>
      <c r="LLX64" s="5"/>
      <c r="LLY64" s="5"/>
      <c r="LLZ64" s="5"/>
      <c r="LMA64" s="5"/>
      <c r="LMB64" s="5"/>
      <c r="LMC64" s="5"/>
      <c r="LMD64" s="5"/>
      <c r="LME64" s="5"/>
      <c r="LMF64" s="5"/>
      <c r="LMG64" s="5"/>
      <c r="LMH64" s="5"/>
      <c r="LMI64" s="5"/>
      <c r="LMJ64" s="5"/>
      <c r="LMK64" s="5"/>
      <c r="LML64" s="5"/>
      <c r="LMM64" s="5"/>
      <c r="LMN64" s="5"/>
      <c r="LMO64" s="5"/>
      <c r="LMP64" s="5"/>
      <c r="LMQ64" s="5"/>
      <c r="LMR64" s="5"/>
      <c r="LMS64" s="5"/>
      <c r="LMT64" s="5"/>
      <c r="LMU64" s="5"/>
      <c r="LMV64" s="5"/>
      <c r="LMW64" s="5"/>
      <c r="LMX64" s="5"/>
      <c r="LMY64" s="5"/>
      <c r="LMZ64" s="5"/>
      <c r="LNA64" s="5"/>
      <c r="LNB64" s="5"/>
      <c r="LNC64" s="5"/>
      <c r="LND64" s="5"/>
      <c r="LNE64" s="5"/>
      <c r="LNF64" s="5"/>
      <c r="LNG64" s="5"/>
      <c r="LNH64" s="5"/>
      <c r="LNI64" s="5"/>
      <c r="LNJ64" s="5"/>
      <c r="LNK64" s="5"/>
      <c r="LNL64" s="5"/>
      <c r="LNM64" s="5"/>
      <c r="LNN64" s="5"/>
      <c r="LNO64" s="5"/>
      <c r="LNP64" s="5"/>
      <c r="LNQ64" s="5"/>
      <c r="LNR64" s="5"/>
      <c r="LNS64" s="5"/>
      <c r="LNT64" s="5"/>
      <c r="LNU64" s="5"/>
      <c r="LNV64" s="5"/>
      <c r="LNW64" s="5"/>
      <c r="LNX64" s="5"/>
      <c r="LNY64" s="5"/>
      <c r="LNZ64" s="5"/>
      <c r="LOA64" s="5"/>
      <c r="LOB64" s="5"/>
      <c r="LOC64" s="5"/>
      <c r="LOD64" s="5"/>
      <c r="LOE64" s="5"/>
      <c r="LOF64" s="5"/>
      <c r="LOG64" s="5"/>
      <c r="LOH64" s="5"/>
      <c r="LOI64" s="5"/>
      <c r="LOJ64" s="5"/>
      <c r="LOK64" s="5"/>
      <c r="LOL64" s="5"/>
      <c r="LOM64" s="5"/>
      <c r="LON64" s="5"/>
      <c r="LOO64" s="5"/>
      <c r="LOP64" s="5"/>
      <c r="LOQ64" s="5"/>
      <c r="LOR64" s="5"/>
      <c r="LOS64" s="5"/>
      <c r="LOT64" s="5"/>
      <c r="LOU64" s="5"/>
      <c r="LOV64" s="5"/>
      <c r="LOW64" s="5"/>
      <c r="LOX64" s="5"/>
      <c r="LOY64" s="5"/>
      <c r="LOZ64" s="5"/>
      <c r="LPA64" s="5"/>
      <c r="LPB64" s="5"/>
      <c r="LPC64" s="5"/>
      <c r="LPD64" s="5"/>
      <c r="LPE64" s="5"/>
      <c r="LPF64" s="5"/>
      <c r="LPG64" s="5"/>
      <c r="LPH64" s="5"/>
      <c r="LPI64" s="5"/>
      <c r="LPJ64" s="5"/>
      <c r="LPK64" s="5"/>
      <c r="LPL64" s="5"/>
      <c r="LPM64" s="5"/>
      <c r="LPN64" s="5"/>
      <c r="LPO64" s="5"/>
      <c r="LPP64" s="5"/>
      <c r="LPQ64" s="5"/>
      <c r="LPR64" s="5"/>
      <c r="LPS64" s="5"/>
      <c r="LPT64" s="5"/>
      <c r="LPU64" s="5"/>
      <c r="LPV64" s="5"/>
      <c r="LPW64" s="5"/>
      <c r="LPX64" s="5"/>
      <c r="LPY64" s="5"/>
      <c r="LPZ64" s="5"/>
      <c r="LQA64" s="5"/>
      <c r="LQB64" s="5"/>
      <c r="LQC64" s="5"/>
      <c r="LQD64" s="5"/>
      <c r="LQE64" s="5"/>
      <c r="LQF64" s="5"/>
      <c r="LQG64" s="5"/>
      <c r="LQH64" s="5"/>
      <c r="LQI64" s="5"/>
      <c r="LQJ64" s="5"/>
      <c r="LQK64" s="5"/>
      <c r="LQL64" s="5"/>
      <c r="LQM64" s="5"/>
      <c r="LQN64" s="5"/>
      <c r="LQO64" s="5"/>
      <c r="LQP64" s="5"/>
      <c r="LQQ64" s="5"/>
      <c r="LQR64" s="5"/>
      <c r="LQS64" s="5"/>
      <c r="LQT64" s="5"/>
      <c r="LQU64" s="5"/>
      <c r="LQV64" s="5"/>
      <c r="LQW64" s="5"/>
      <c r="LQX64" s="5"/>
      <c r="LQY64" s="5"/>
      <c r="LQZ64" s="5"/>
      <c r="LRA64" s="5"/>
      <c r="LRB64" s="5"/>
      <c r="LRC64" s="5"/>
      <c r="LRD64" s="5"/>
      <c r="LRE64" s="5"/>
      <c r="LRF64" s="5"/>
      <c r="LRG64" s="5"/>
      <c r="LRH64" s="5"/>
      <c r="LRI64" s="5"/>
      <c r="LRJ64" s="5"/>
      <c r="LRK64" s="5"/>
      <c r="LRL64" s="5"/>
      <c r="LRM64" s="5"/>
      <c r="LRN64" s="5"/>
      <c r="LRO64" s="5"/>
      <c r="LRP64" s="5"/>
      <c r="LRQ64" s="5"/>
      <c r="LRR64" s="5"/>
      <c r="LRS64" s="5"/>
      <c r="LRT64" s="5"/>
      <c r="LRU64" s="5"/>
      <c r="LRV64" s="5"/>
      <c r="LRW64" s="5"/>
      <c r="LRX64" s="5"/>
      <c r="LRY64" s="5"/>
      <c r="LRZ64" s="5"/>
      <c r="LSA64" s="5"/>
      <c r="LSB64" s="5"/>
      <c r="LSC64" s="5"/>
      <c r="LSD64" s="5"/>
      <c r="LSE64" s="5"/>
      <c r="LSF64" s="5"/>
      <c r="LSG64" s="5"/>
      <c r="LSH64" s="5"/>
      <c r="LSI64" s="5"/>
      <c r="LSJ64" s="5"/>
      <c r="LSK64" s="5"/>
      <c r="LSL64" s="5"/>
      <c r="LSM64" s="5"/>
      <c r="LSN64" s="5"/>
      <c r="LSO64" s="5"/>
      <c r="LSP64" s="5"/>
      <c r="LSQ64" s="5"/>
      <c r="LSR64" s="5"/>
      <c r="LSS64" s="5"/>
      <c r="LST64" s="5"/>
      <c r="LSU64" s="5"/>
      <c r="LSV64" s="5"/>
      <c r="LSW64" s="5"/>
      <c r="LSX64" s="5"/>
      <c r="LSY64" s="5"/>
      <c r="LSZ64" s="5"/>
      <c r="LTA64" s="5"/>
      <c r="LTB64" s="5"/>
      <c r="LTC64" s="5"/>
      <c r="LTD64" s="5"/>
      <c r="LTE64" s="5"/>
      <c r="LTF64" s="5"/>
      <c r="LTG64" s="5"/>
      <c r="LTH64" s="5"/>
      <c r="LTI64" s="5"/>
      <c r="LTJ64" s="5"/>
      <c r="LTK64" s="5"/>
      <c r="LTL64" s="5"/>
      <c r="LTM64" s="5"/>
      <c r="LTN64" s="5"/>
      <c r="LTO64" s="5"/>
      <c r="LTP64" s="5"/>
      <c r="LTQ64" s="5"/>
      <c r="LTR64" s="5"/>
      <c r="LTS64" s="5"/>
      <c r="LTT64" s="5"/>
      <c r="LTU64" s="5"/>
      <c r="LTV64" s="5"/>
      <c r="LTW64" s="5"/>
      <c r="LTX64" s="5"/>
      <c r="LTY64" s="5"/>
      <c r="LTZ64" s="5"/>
      <c r="LUA64" s="5"/>
      <c r="LUB64" s="5"/>
      <c r="LUC64" s="5"/>
      <c r="LUD64" s="5"/>
      <c r="LUE64" s="5"/>
      <c r="LUF64" s="5"/>
      <c r="LUG64" s="5"/>
      <c r="LUH64" s="5"/>
      <c r="LUI64" s="5"/>
      <c r="LUJ64" s="5"/>
      <c r="LUK64" s="5"/>
      <c r="LUL64" s="5"/>
      <c r="LUM64" s="5"/>
      <c r="LUN64" s="5"/>
      <c r="LUO64" s="5"/>
      <c r="LUP64" s="5"/>
      <c r="LUQ64" s="5"/>
      <c r="LUR64" s="5"/>
      <c r="LUS64" s="5"/>
      <c r="LUT64" s="5"/>
      <c r="LUU64" s="5"/>
      <c r="LUV64" s="5"/>
      <c r="LUW64" s="5"/>
      <c r="LUX64" s="5"/>
      <c r="LUY64" s="5"/>
      <c r="LUZ64" s="5"/>
      <c r="LVA64" s="5"/>
      <c r="LVB64" s="5"/>
      <c r="LVC64" s="5"/>
      <c r="LVD64" s="5"/>
      <c r="LVE64" s="5"/>
      <c r="LVF64" s="5"/>
      <c r="LVG64" s="5"/>
      <c r="LVH64" s="5"/>
      <c r="LVI64" s="5"/>
      <c r="LVJ64" s="5"/>
      <c r="LVK64" s="5"/>
      <c r="LVL64" s="5"/>
      <c r="LVM64" s="5"/>
      <c r="LVN64" s="5"/>
      <c r="LVO64" s="5"/>
      <c r="LVP64" s="5"/>
      <c r="LVQ64" s="5"/>
      <c r="LVR64" s="5"/>
      <c r="LVS64" s="5"/>
      <c r="LVT64" s="5"/>
      <c r="LVU64" s="5"/>
      <c r="LVV64" s="5"/>
      <c r="LVW64" s="5"/>
      <c r="LVX64" s="5"/>
      <c r="LVY64" s="5"/>
      <c r="LVZ64" s="5"/>
      <c r="LWA64" s="5"/>
      <c r="LWB64" s="5"/>
      <c r="LWC64" s="5"/>
      <c r="LWD64" s="5"/>
      <c r="LWE64" s="5"/>
      <c r="LWF64" s="5"/>
      <c r="LWG64" s="5"/>
      <c r="LWH64" s="5"/>
      <c r="LWI64" s="5"/>
      <c r="LWJ64" s="5"/>
      <c r="LWK64" s="5"/>
      <c r="LWL64" s="5"/>
      <c r="LWM64" s="5"/>
      <c r="LWN64" s="5"/>
      <c r="LWO64" s="5"/>
      <c r="LWP64" s="5"/>
      <c r="LWQ64" s="5"/>
      <c r="LWR64" s="5"/>
      <c r="LWS64" s="5"/>
      <c r="LWT64" s="5"/>
      <c r="LWU64" s="5"/>
      <c r="LWV64" s="5"/>
      <c r="LWW64" s="5"/>
      <c r="LWX64" s="5"/>
      <c r="LWY64" s="5"/>
      <c r="LWZ64" s="5"/>
      <c r="LXA64" s="5"/>
      <c r="LXB64" s="5"/>
      <c r="LXC64" s="5"/>
      <c r="LXD64" s="5"/>
      <c r="LXE64" s="5"/>
      <c r="LXF64" s="5"/>
      <c r="LXG64" s="5"/>
      <c r="LXH64" s="5"/>
      <c r="LXI64" s="5"/>
      <c r="LXJ64" s="5"/>
      <c r="LXK64" s="5"/>
      <c r="LXL64" s="5"/>
      <c r="LXM64" s="5"/>
      <c r="LXN64" s="5"/>
      <c r="LXO64" s="5"/>
      <c r="LXP64" s="5"/>
      <c r="LXQ64" s="5"/>
      <c r="LXR64" s="5"/>
      <c r="LXS64" s="5"/>
      <c r="LXT64" s="5"/>
      <c r="LXU64" s="5"/>
      <c r="LXV64" s="5"/>
      <c r="LXW64" s="5"/>
      <c r="LXX64" s="5"/>
      <c r="LXY64" s="5"/>
      <c r="LXZ64" s="5"/>
      <c r="LYA64" s="5"/>
      <c r="LYB64" s="5"/>
      <c r="LYC64" s="5"/>
      <c r="LYD64" s="5"/>
      <c r="LYE64" s="5"/>
      <c r="LYF64" s="5"/>
      <c r="LYG64" s="5"/>
      <c r="LYH64" s="5"/>
      <c r="LYI64" s="5"/>
      <c r="LYJ64" s="5"/>
      <c r="LYK64" s="5"/>
      <c r="LYL64" s="5"/>
      <c r="LYM64" s="5"/>
      <c r="LYN64" s="5"/>
      <c r="LYO64" s="5"/>
      <c r="LYP64" s="5"/>
      <c r="LYQ64" s="5"/>
      <c r="LYR64" s="5"/>
      <c r="LYS64" s="5"/>
      <c r="LYT64" s="5"/>
      <c r="LYU64" s="5"/>
      <c r="LYV64" s="5"/>
      <c r="LYW64" s="5"/>
      <c r="LYX64" s="5"/>
      <c r="LYY64" s="5"/>
      <c r="LYZ64" s="5"/>
      <c r="LZA64" s="5"/>
      <c r="LZB64" s="5"/>
      <c r="LZC64" s="5"/>
      <c r="LZD64" s="5"/>
      <c r="LZE64" s="5"/>
      <c r="LZF64" s="5"/>
      <c r="LZG64" s="5"/>
      <c r="LZH64" s="5"/>
      <c r="LZI64" s="5"/>
      <c r="LZJ64" s="5"/>
      <c r="LZK64" s="5"/>
      <c r="LZL64" s="5"/>
      <c r="LZM64" s="5"/>
      <c r="LZN64" s="5"/>
      <c r="LZO64" s="5"/>
      <c r="LZP64" s="5"/>
      <c r="LZQ64" s="5"/>
      <c r="LZR64" s="5"/>
      <c r="LZS64" s="5"/>
      <c r="LZT64" s="5"/>
      <c r="LZU64" s="5"/>
      <c r="LZV64" s="5"/>
      <c r="LZW64" s="5"/>
      <c r="LZX64" s="5"/>
      <c r="LZY64" s="5"/>
      <c r="LZZ64" s="5"/>
      <c r="MAA64" s="5"/>
      <c r="MAB64" s="5"/>
      <c r="MAC64" s="5"/>
      <c r="MAD64" s="5"/>
      <c r="MAE64" s="5"/>
      <c r="MAF64" s="5"/>
      <c r="MAG64" s="5"/>
      <c r="MAH64" s="5"/>
      <c r="MAI64" s="5"/>
      <c r="MAJ64" s="5"/>
      <c r="MAK64" s="5"/>
      <c r="MAL64" s="5"/>
      <c r="MAM64" s="5"/>
      <c r="MAN64" s="5"/>
      <c r="MAO64" s="5"/>
      <c r="MAP64" s="5"/>
      <c r="MAQ64" s="5"/>
      <c r="MAR64" s="5"/>
      <c r="MAS64" s="5"/>
      <c r="MAT64" s="5"/>
      <c r="MAU64" s="5"/>
      <c r="MAV64" s="5"/>
      <c r="MAW64" s="5"/>
      <c r="MAX64" s="5"/>
      <c r="MAY64" s="5"/>
      <c r="MAZ64" s="5"/>
      <c r="MBA64" s="5"/>
      <c r="MBB64" s="5"/>
      <c r="MBC64" s="5"/>
      <c r="MBD64" s="5"/>
      <c r="MBE64" s="5"/>
      <c r="MBF64" s="5"/>
      <c r="MBG64" s="5"/>
      <c r="MBH64" s="5"/>
      <c r="MBI64" s="5"/>
      <c r="MBJ64" s="5"/>
      <c r="MBK64" s="5"/>
      <c r="MBL64" s="5"/>
      <c r="MBM64" s="5"/>
      <c r="MBN64" s="5"/>
      <c r="MBO64" s="5"/>
      <c r="MBP64" s="5"/>
      <c r="MBQ64" s="5"/>
      <c r="MBR64" s="5"/>
      <c r="MBS64" s="5"/>
      <c r="MBT64" s="5"/>
      <c r="MBU64" s="5"/>
      <c r="MBV64" s="5"/>
      <c r="MBW64" s="5"/>
      <c r="MBX64" s="5"/>
      <c r="MBY64" s="5"/>
      <c r="MBZ64" s="5"/>
      <c r="MCA64" s="5"/>
      <c r="MCB64" s="5"/>
      <c r="MCC64" s="5"/>
      <c r="MCD64" s="5"/>
      <c r="MCE64" s="5"/>
      <c r="MCF64" s="5"/>
      <c r="MCG64" s="5"/>
      <c r="MCH64" s="5"/>
      <c r="MCI64" s="5"/>
      <c r="MCJ64" s="5"/>
      <c r="MCK64" s="5"/>
      <c r="MCL64" s="5"/>
      <c r="MCM64" s="5"/>
      <c r="MCN64" s="5"/>
      <c r="MCO64" s="5"/>
      <c r="MCP64" s="5"/>
      <c r="MCQ64" s="5"/>
      <c r="MCR64" s="5"/>
      <c r="MCS64" s="5"/>
      <c r="MCT64" s="5"/>
      <c r="MCU64" s="5"/>
      <c r="MCV64" s="5"/>
      <c r="MCW64" s="5"/>
      <c r="MCX64" s="5"/>
      <c r="MCY64" s="5"/>
      <c r="MCZ64" s="5"/>
      <c r="MDA64" s="5"/>
      <c r="MDB64" s="5"/>
      <c r="MDC64" s="5"/>
      <c r="MDD64" s="5"/>
      <c r="MDE64" s="5"/>
      <c r="MDF64" s="5"/>
      <c r="MDG64" s="5"/>
      <c r="MDH64" s="5"/>
      <c r="MDI64" s="5"/>
      <c r="MDJ64" s="5"/>
      <c r="MDK64" s="5"/>
      <c r="MDL64" s="5"/>
      <c r="MDM64" s="5"/>
      <c r="MDN64" s="5"/>
      <c r="MDO64" s="5"/>
      <c r="MDP64" s="5"/>
      <c r="MDQ64" s="5"/>
      <c r="MDR64" s="5"/>
      <c r="MDS64" s="5"/>
      <c r="MDT64" s="5"/>
      <c r="MDU64" s="5"/>
      <c r="MDV64" s="5"/>
      <c r="MDW64" s="5"/>
      <c r="MDX64" s="5"/>
      <c r="MDY64" s="5"/>
      <c r="MDZ64" s="5"/>
      <c r="MEA64" s="5"/>
      <c r="MEB64" s="5"/>
      <c r="MEC64" s="5"/>
      <c r="MED64" s="5"/>
      <c r="MEE64" s="5"/>
      <c r="MEF64" s="5"/>
      <c r="MEG64" s="5"/>
      <c r="MEH64" s="5"/>
      <c r="MEI64" s="5"/>
      <c r="MEJ64" s="5"/>
      <c r="MEK64" s="5"/>
      <c r="MEL64" s="5"/>
      <c r="MEM64" s="5"/>
      <c r="MEN64" s="5"/>
      <c r="MEO64" s="5"/>
      <c r="MEP64" s="5"/>
      <c r="MEQ64" s="5"/>
      <c r="MER64" s="5"/>
      <c r="MES64" s="5"/>
      <c r="MET64" s="5"/>
      <c r="MEU64" s="5"/>
      <c r="MEV64" s="5"/>
      <c r="MEW64" s="5"/>
      <c r="MEX64" s="5"/>
      <c r="MEY64" s="5"/>
      <c r="MEZ64" s="5"/>
      <c r="MFA64" s="5"/>
      <c r="MFB64" s="5"/>
      <c r="MFC64" s="5"/>
      <c r="MFD64" s="5"/>
      <c r="MFE64" s="5"/>
      <c r="MFF64" s="5"/>
      <c r="MFG64" s="5"/>
      <c r="MFH64" s="5"/>
      <c r="MFI64" s="5"/>
      <c r="MFJ64" s="5"/>
      <c r="MFK64" s="5"/>
      <c r="MFL64" s="5"/>
      <c r="MFM64" s="5"/>
      <c r="MFN64" s="5"/>
      <c r="MFO64" s="5"/>
      <c r="MFP64" s="5"/>
      <c r="MFQ64" s="5"/>
      <c r="MFR64" s="5"/>
      <c r="MFS64" s="5"/>
      <c r="MFT64" s="5"/>
      <c r="MFU64" s="5"/>
      <c r="MFV64" s="5"/>
      <c r="MFW64" s="5"/>
      <c r="MFX64" s="5"/>
      <c r="MFY64" s="5"/>
      <c r="MFZ64" s="5"/>
      <c r="MGA64" s="5"/>
      <c r="MGB64" s="5"/>
      <c r="MGC64" s="5"/>
      <c r="MGD64" s="5"/>
      <c r="MGE64" s="5"/>
      <c r="MGF64" s="5"/>
      <c r="MGG64" s="5"/>
      <c r="MGH64" s="5"/>
      <c r="MGI64" s="5"/>
      <c r="MGJ64" s="5"/>
      <c r="MGK64" s="5"/>
      <c r="MGL64" s="5"/>
      <c r="MGM64" s="5"/>
      <c r="MGN64" s="5"/>
      <c r="MGO64" s="5"/>
      <c r="MGP64" s="5"/>
      <c r="MGQ64" s="5"/>
      <c r="MGR64" s="5"/>
      <c r="MGS64" s="5"/>
      <c r="MGT64" s="5"/>
      <c r="MGU64" s="5"/>
      <c r="MGV64" s="5"/>
      <c r="MGW64" s="5"/>
      <c r="MGX64" s="5"/>
      <c r="MGY64" s="5"/>
      <c r="MGZ64" s="5"/>
      <c r="MHA64" s="5"/>
      <c r="MHB64" s="5"/>
      <c r="MHC64" s="5"/>
      <c r="MHD64" s="5"/>
      <c r="MHE64" s="5"/>
      <c r="MHF64" s="5"/>
      <c r="MHG64" s="5"/>
      <c r="MHH64" s="5"/>
      <c r="MHI64" s="5"/>
      <c r="MHJ64" s="5"/>
      <c r="MHK64" s="5"/>
      <c r="MHL64" s="5"/>
      <c r="MHM64" s="5"/>
      <c r="MHN64" s="5"/>
      <c r="MHO64" s="5"/>
      <c r="MHP64" s="5"/>
      <c r="MHQ64" s="5"/>
      <c r="MHR64" s="5"/>
      <c r="MHS64" s="5"/>
      <c r="MHT64" s="5"/>
      <c r="MHU64" s="5"/>
      <c r="MHV64" s="5"/>
      <c r="MHW64" s="5"/>
      <c r="MHX64" s="5"/>
      <c r="MHY64" s="5"/>
      <c r="MHZ64" s="5"/>
      <c r="MIA64" s="5"/>
      <c r="MIB64" s="5"/>
      <c r="MIC64" s="5"/>
      <c r="MID64" s="5"/>
      <c r="MIE64" s="5"/>
      <c r="MIF64" s="5"/>
      <c r="MIG64" s="5"/>
      <c r="MIH64" s="5"/>
      <c r="MII64" s="5"/>
      <c r="MIJ64" s="5"/>
      <c r="MIK64" s="5"/>
      <c r="MIL64" s="5"/>
      <c r="MIM64" s="5"/>
      <c r="MIN64" s="5"/>
      <c r="MIO64" s="5"/>
      <c r="MIP64" s="5"/>
      <c r="MIQ64" s="5"/>
      <c r="MIR64" s="5"/>
      <c r="MIS64" s="5"/>
      <c r="MIT64" s="5"/>
      <c r="MIU64" s="5"/>
      <c r="MIV64" s="5"/>
      <c r="MIW64" s="5"/>
      <c r="MIX64" s="5"/>
      <c r="MIY64" s="5"/>
      <c r="MIZ64" s="5"/>
      <c r="MJA64" s="5"/>
      <c r="MJB64" s="5"/>
      <c r="MJC64" s="5"/>
      <c r="MJD64" s="5"/>
      <c r="MJE64" s="5"/>
      <c r="MJF64" s="5"/>
      <c r="MJG64" s="5"/>
      <c r="MJH64" s="5"/>
      <c r="MJI64" s="5"/>
      <c r="MJJ64" s="5"/>
      <c r="MJK64" s="5"/>
      <c r="MJL64" s="5"/>
      <c r="MJM64" s="5"/>
      <c r="MJN64" s="5"/>
      <c r="MJO64" s="5"/>
      <c r="MJP64" s="5"/>
      <c r="MJQ64" s="5"/>
      <c r="MJR64" s="5"/>
      <c r="MJS64" s="5"/>
      <c r="MJT64" s="5"/>
      <c r="MJU64" s="5"/>
      <c r="MJV64" s="5"/>
      <c r="MJW64" s="5"/>
      <c r="MJX64" s="5"/>
      <c r="MJY64" s="5"/>
      <c r="MJZ64" s="5"/>
      <c r="MKA64" s="5"/>
      <c r="MKB64" s="5"/>
      <c r="MKC64" s="5"/>
      <c r="MKD64" s="5"/>
      <c r="MKE64" s="5"/>
      <c r="MKF64" s="5"/>
      <c r="MKG64" s="5"/>
      <c r="MKH64" s="5"/>
      <c r="MKI64" s="5"/>
      <c r="MKJ64" s="5"/>
      <c r="MKK64" s="5"/>
      <c r="MKL64" s="5"/>
      <c r="MKM64" s="5"/>
      <c r="MKN64" s="5"/>
      <c r="MKO64" s="5"/>
      <c r="MKP64" s="5"/>
      <c r="MKQ64" s="5"/>
      <c r="MKR64" s="5"/>
      <c r="MKS64" s="5"/>
      <c r="MKT64" s="5"/>
      <c r="MKU64" s="5"/>
      <c r="MKV64" s="5"/>
      <c r="MKW64" s="5"/>
      <c r="MKX64" s="5"/>
      <c r="MKY64" s="5"/>
      <c r="MKZ64" s="5"/>
      <c r="MLA64" s="5"/>
      <c r="MLB64" s="5"/>
      <c r="MLC64" s="5"/>
      <c r="MLD64" s="5"/>
      <c r="MLE64" s="5"/>
      <c r="MLF64" s="5"/>
      <c r="MLG64" s="5"/>
      <c r="MLH64" s="5"/>
      <c r="MLI64" s="5"/>
      <c r="MLJ64" s="5"/>
      <c r="MLK64" s="5"/>
      <c r="MLL64" s="5"/>
      <c r="MLM64" s="5"/>
      <c r="MLN64" s="5"/>
      <c r="MLO64" s="5"/>
      <c r="MLP64" s="5"/>
      <c r="MLQ64" s="5"/>
      <c r="MLR64" s="5"/>
      <c r="MLS64" s="5"/>
      <c r="MLT64" s="5"/>
      <c r="MLU64" s="5"/>
      <c r="MLV64" s="5"/>
      <c r="MLW64" s="5"/>
      <c r="MLX64" s="5"/>
      <c r="MLY64" s="5"/>
      <c r="MLZ64" s="5"/>
      <c r="MMA64" s="5"/>
      <c r="MMB64" s="5"/>
      <c r="MMC64" s="5"/>
      <c r="MMD64" s="5"/>
      <c r="MME64" s="5"/>
      <c r="MMF64" s="5"/>
      <c r="MMG64" s="5"/>
      <c r="MMH64" s="5"/>
      <c r="MMI64" s="5"/>
      <c r="MMJ64" s="5"/>
      <c r="MMK64" s="5"/>
      <c r="MML64" s="5"/>
      <c r="MMM64" s="5"/>
      <c r="MMN64" s="5"/>
      <c r="MMO64" s="5"/>
      <c r="MMP64" s="5"/>
      <c r="MMQ64" s="5"/>
      <c r="MMR64" s="5"/>
      <c r="MMS64" s="5"/>
      <c r="MMT64" s="5"/>
      <c r="MMU64" s="5"/>
      <c r="MMV64" s="5"/>
      <c r="MMW64" s="5"/>
      <c r="MMX64" s="5"/>
      <c r="MMY64" s="5"/>
      <c r="MMZ64" s="5"/>
      <c r="MNA64" s="5"/>
      <c r="MNB64" s="5"/>
      <c r="MNC64" s="5"/>
      <c r="MND64" s="5"/>
      <c r="MNE64" s="5"/>
      <c r="MNF64" s="5"/>
      <c r="MNG64" s="5"/>
      <c r="MNH64" s="5"/>
      <c r="MNI64" s="5"/>
      <c r="MNJ64" s="5"/>
      <c r="MNK64" s="5"/>
      <c r="MNL64" s="5"/>
      <c r="MNM64" s="5"/>
      <c r="MNN64" s="5"/>
      <c r="MNO64" s="5"/>
      <c r="MNP64" s="5"/>
      <c r="MNQ64" s="5"/>
      <c r="MNR64" s="5"/>
      <c r="MNS64" s="5"/>
      <c r="MNT64" s="5"/>
      <c r="MNU64" s="5"/>
      <c r="MNV64" s="5"/>
      <c r="MNW64" s="5"/>
      <c r="MNX64" s="5"/>
      <c r="MNY64" s="5"/>
      <c r="MNZ64" s="5"/>
      <c r="MOA64" s="5"/>
      <c r="MOB64" s="5"/>
      <c r="MOC64" s="5"/>
      <c r="MOD64" s="5"/>
      <c r="MOE64" s="5"/>
      <c r="MOF64" s="5"/>
      <c r="MOG64" s="5"/>
      <c r="MOH64" s="5"/>
      <c r="MOI64" s="5"/>
      <c r="MOJ64" s="5"/>
      <c r="MOK64" s="5"/>
      <c r="MOL64" s="5"/>
      <c r="MOM64" s="5"/>
      <c r="MON64" s="5"/>
      <c r="MOO64" s="5"/>
      <c r="MOP64" s="5"/>
      <c r="MOQ64" s="5"/>
      <c r="MOR64" s="5"/>
      <c r="MOS64" s="5"/>
      <c r="MOT64" s="5"/>
      <c r="MOU64" s="5"/>
      <c r="MOV64" s="5"/>
      <c r="MOW64" s="5"/>
      <c r="MOX64" s="5"/>
      <c r="MOY64" s="5"/>
      <c r="MOZ64" s="5"/>
      <c r="MPA64" s="5"/>
      <c r="MPB64" s="5"/>
      <c r="MPC64" s="5"/>
      <c r="MPD64" s="5"/>
      <c r="MPE64" s="5"/>
      <c r="MPF64" s="5"/>
      <c r="MPG64" s="5"/>
      <c r="MPH64" s="5"/>
      <c r="MPI64" s="5"/>
      <c r="MPJ64" s="5"/>
      <c r="MPK64" s="5"/>
      <c r="MPL64" s="5"/>
      <c r="MPM64" s="5"/>
      <c r="MPN64" s="5"/>
      <c r="MPO64" s="5"/>
      <c r="MPP64" s="5"/>
      <c r="MPQ64" s="5"/>
      <c r="MPR64" s="5"/>
      <c r="MPS64" s="5"/>
      <c r="MPT64" s="5"/>
      <c r="MPU64" s="5"/>
      <c r="MPV64" s="5"/>
      <c r="MPW64" s="5"/>
      <c r="MPX64" s="5"/>
      <c r="MPY64" s="5"/>
      <c r="MPZ64" s="5"/>
      <c r="MQA64" s="5"/>
      <c r="MQB64" s="5"/>
      <c r="MQC64" s="5"/>
      <c r="MQD64" s="5"/>
      <c r="MQE64" s="5"/>
      <c r="MQF64" s="5"/>
      <c r="MQG64" s="5"/>
      <c r="MQH64" s="5"/>
      <c r="MQI64" s="5"/>
      <c r="MQJ64" s="5"/>
      <c r="MQK64" s="5"/>
      <c r="MQL64" s="5"/>
      <c r="MQM64" s="5"/>
      <c r="MQN64" s="5"/>
      <c r="MQO64" s="5"/>
      <c r="MQP64" s="5"/>
      <c r="MQQ64" s="5"/>
      <c r="MQR64" s="5"/>
      <c r="MQS64" s="5"/>
      <c r="MQT64" s="5"/>
      <c r="MQU64" s="5"/>
      <c r="MQV64" s="5"/>
      <c r="MQW64" s="5"/>
      <c r="MQX64" s="5"/>
      <c r="MQY64" s="5"/>
      <c r="MQZ64" s="5"/>
      <c r="MRA64" s="5"/>
      <c r="MRB64" s="5"/>
      <c r="MRC64" s="5"/>
      <c r="MRD64" s="5"/>
      <c r="MRE64" s="5"/>
      <c r="MRF64" s="5"/>
      <c r="MRG64" s="5"/>
      <c r="MRH64" s="5"/>
      <c r="MRI64" s="5"/>
      <c r="MRJ64" s="5"/>
      <c r="MRK64" s="5"/>
      <c r="MRL64" s="5"/>
      <c r="MRM64" s="5"/>
      <c r="MRN64" s="5"/>
      <c r="MRO64" s="5"/>
      <c r="MRP64" s="5"/>
      <c r="MRQ64" s="5"/>
      <c r="MRR64" s="5"/>
      <c r="MRS64" s="5"/>
      <c r="MRT64" s="5"/>
      <c r="MRU64" s="5"/>
      <c r="MRV64" s="5"/>
      <c r="MRW64" s="5"/>
      <c r="MRX64" s="5"/>
      <c r="MRY64" s="5"/>
      <c r="MRZ64" s="5"/>
      <c r="MSA64" s="5"/>
      <c r="MSB64" s="5"/>
      <c r="MSC64" s="5"/>
      <c r="MSD64" s="5"/>
      <c r="MSE64" s="5"/>
      <c r="MSF64" s="5"/>
      <c r="MSG64" s="5"/>
      <c r="MSH64" s="5"/>
      <c r="MSI64" s="5"/>
      <c r="MSJ64" s="5"/>
      <c r="MSK64" s="5"/>
      <c r="MSL64" s="5"/>
      <c r="MSM64" s="5"/>
      <c r="MSN64" s="5"/>
      <c r="MSO64" s="5"/>
      <c r="MSP64" s="5"/>
      <c r="MSQ64" s="5"/>
      <c r="MSR64" s="5"/>
      <c r="MSS64" s="5"/>
      <c r="MST64" s="5"/>
      <c r="MSU64" s="5"/>
      <c r="MSV64" s="5"/>
      <c r="MSW64" s="5"/>
      <c r="MSX64" s="5"/>
      <c r="MSY64" s="5"/>
      <c r="MSZ64" s="5"/>
      <c r="MTA64" s="5"/>
      <c r="MTB64" s="5"/>
      <c r="MTC64" s="5"/>
      <c r="MTD64" s="5"/>
      <c r="MTE64" s="5"/>
      <c r="MTF64" s="5"/>
      <c r="MTG64" s="5"/>
      <c r="MTH64" s="5"/>
      <c r="MTI64" s="5"/>
      <c r="MTJ64" s="5"/>
      <c r="MTK64" s="5"/>
      <c r="MTL64" s="5"/>
      <c r="MTM64" s="5"/>
      <c r="MTN64" s="5"/>
      <c r="MTO64" s="5"/>
      <c r="MTP64" s="5"/>
      <c r="MTQ64" s="5"/>
      <c r="MTR64" s="5"/>
      <c r="MTS64" s="5"/>
      <c r="MTT64" s="5"/>
      <c r="MTU64" s="5"/>
      <c r="MTV64" s="5"/>
      <c r="MTW64" s="5"/>
      <c r="MTX64" s="5"/>
      <c r="MTY64" s="5"/>
      <c r="MTZ64" s="5"/>
      <c r="MUA64" s="5"/>
      <c r="MUB64" s="5"/>
      <c r="MUC64" s="5"/>
      <c r="MUD64" s="5"/>
      <c r="MUE64" s="5"/>
      <c r="MUF64" s="5"/>
      <c r="MUG64" s="5"/>
      <c r="MUH64" s="5"/>
      <c r="MUI64" s="5"/>
      <c r="MUJ64" s="5"/>
      <c r="MUK64" s="5"/>
      <c r="MUL64" s="5"/>
      <c r="MUM64" s="5"/>
      <c r="MUN64" s="5"/>
      <c r="MUO64" s="5"/>
      <c r="MUP64" s="5"/>
      <c r="MUQ64" s="5"/>
      <c r="MUR64" s="5"/>
      <c r="MUS64" s="5"/>
      <c r="MUT64" s="5"/>
      <c r="MUU64" s="5"/>
      <c r="MUV64" s="5"/>
      <c r="MUW64" s="5"/>
      <c r="MUX64" s="5"/>
      <c r="MUY64" s="5"/>
      <c r="MUZ64" s="5"/>
      <c r="MVA64" s="5"/>
      <c r="MVB64" s="5"/>
      <c r="MVC64" s="5"/>
      <c r="MVD64" s="5"/>
      <c r="MVE64" s="5"/>
      <c r="MVF64" s="5"/>
      <c r="MVG64" s="5"/>
      <c r="MVH64" s="5"/>
      <c r="MVI64" s="5"/>
      <c r="MVJ64" s="5"/>
      <c r="MVK64" s="5"/>
      <c r="MVL64" s="5"/>
      <c r="MVM64" s="5"/>
      <c r="MVN64" s="5"/>
      <c r="MVO64" s="5"/>
      <c r="MVP64" s="5"/>
      <c r="MVQ64" s="5"/>
      <c r="MVR64" s="5"/>
      <c r="MVS64" s="5"/>
      <c r="MVT64" s="5"/>
      <c r="MVU64" s="5"/>
      <c r="MVV64" s="5"/>
      <c r="MVW64" s="5"/>
      <c r="MVX64" s="5"/>
      <c r="MVY64" s="5"/>
      <c r="MVZ64" s="5"/>
      <c r="MWA64" s="5"/>
      <c r="MWB64" s="5"/>
      <c r="MWC64" s="5"/>
      <c r="MWD64" s="5"/>
      <c r="MWE64" s="5"/>
      <c r="MWF64" s="5"/>
      <c r="MWG64" s="5"/>
      <c r="MWH64" s="5"/>
      <c r="MWI64" s="5"/>
      <c r="MWJ64" s="5"/>
      <c r="MWK64" s="5"/>
      <c r="MWL64" s="5"/>
      <c r="MWM64" s="5"/>
      <c r="MWN64" s="5"/>
      <c r="MWO64" s="5"/>
      <c r="MWP64" s="5"/>
      <c r="MWQ64" s="5"/>
      <c r="MWR64" s="5"/>
      <c r="MWS64" s="5"/>
      <c r="MWT64" s="5"/>
      <c r="MWU64" s="5"/>
      <c r="MWV64" s="5"/>
      <c r="MWW64" s="5"/>
      <c r="MWX64" s="5"/>
      <c r="MWY64" s="5"/>
      <c r="MWZ64" s="5"/>
      <c r="MXA64" s="5"/>
      <c r="MXB64" s="5"/>
      <c r="MXC64" s="5"/>
      <c r="MXD64" s="5"/>
      <c r="MXE64" s="5"/>
      <c r="MXF64" s="5"/>
      <c r="MXG64" s="5"/>
      <c r="MXH64" s="5"/>
      <c r="MXI64" s="5"/>
      <c r="MXJ64" s="5"/>
      <c r="MXK64" s="5"/>
      <c r="MXL64" s="5"/>
      <c r="MXM64" s="5"/>
      <c r="MXN64" s="5"/>
      <c r="MXO64" s="5"/>
      <c r="MXP64" s="5"/>
      <c r="MXQ64" s="5"/>
      <c r="MXR64" s="5"/>
      <c r="MXS64" s="5"/>
      <c r="MXT64" s="5"/>
      <c r="MXU64" s="5"/>
      <c r="MXV64" s="5"/>
      <c r="MXW64" s="5"/>
      <c r="MXX64" s="5"/>
      <c r="MXY64" s="5"/>
      <c r="MXZ64" s="5"/>
      <c r="MYA64" s="5"/>
      <c r="MYB64" s="5"/>
      <c r="MYC64" s="5"/>
      <c r="MYD64" s="5"/>
      <c r="MYE64" s="5"/>
      <c r="MYF64" s="5"/>
      <c r="MYG64" s="5"/>
      <c r="MYH64" s="5"/>
      <c r="MYI64" s="5"/>
      <c r="MYJ64" s="5"/>
      <c r="MYK64" s="5"/>
      <c r="MYL64" s="5"/>
      <c r="MYM64" s="5"/>
      <c r="MYN64" s="5"/>
      <c r="MYO64" s="5"/>
      <c r="MYP64" s="5"/>
      <c r="MYQ64" s="5"/>
      <c r="MYR64" s="5"/>
      <c r="MYS64" s="5"/>
      <c r="MYT64" s="5"/>
      <c r="MYU64" s="5"/>
      <c r="MYV64" s="5"/>
      <c r="MYW64" s="5"/>
      <c r="MYX64" s="5"/>
      <c r="MYY64" s="5"/>
      <c r="MYZ64" s="5"/>
      <c r="MZA64" s="5"/>
      <c r="MZB64" s="5"/>
      <c r="MZC64" s="5"/>
      <c r="MZD64" s="5"/>
      <c r="MZE64" s="5"/>
      <c r="MZF64" s="5"/>
      <c r="MZG64" s="5"/>
      <c r="MZH64" s="5"/>
      <c r="MZI64" s="5"/>
      <c r="MZJ64" s="5"/>
      <c r="MZK64" s="5"/>
      <c r="MZL64" s="5"/>
      <c r="MZM64" s="5"/>
      <c r="MZN64" s="5"/>
      <c r="MZO64" s="5"/>
      <c r="MZP64" s="5"/>
      <c r="MZQ64" s="5"/>
      <c r="MZR64" s="5"/>
      <c r="MZS64" s="5"/>
      <c r="MZT64" s="5"/>
      <c r="MZU64" s="5"/>
      <c r="MZV64" s="5"/>
      <c r="MZW64" s="5"/>
      <c r="MZX64" s="5"/>
      <c r="MZY64" s="5"/>
      <c r="MZZ64" s="5"/>
      <c r="NAA64" s="5"/>
      <c r="NAB64" s="5"/>
      <c r="NAC64" s="5"/>
      <c r="NAD64" s="5"/>
      <c r="NAE64" s="5"/>
      <c r="NAF64" s="5"/>
      <c r="NAG64" s="5"/>
      <c r="NAH64" s="5"/>
      <c r="NAI64" s="5"/>
      <c r="NAJ64" s="5"/>
      <c r="NAK64" s="5"/>
      <c r="NAL64" s="5"/>
      <c r="NAM64" s="5"/>
      <c r="NAN64" s="5"/>
      <c r="NAO64" s="5"/>
      <c r="NAP64" s="5"/>
      <c r="NAQ64" s="5"/>
      <c r="NAR64" s="5"/>
      <c r="NAS64" s="5"/>
      <c r="NAT64" s="5"/>
      <c r="NAU64" s="5"/>
      <c r="NAV64" s="5"/>
      <c r="NAW64" s="5"/>
      <c r="NAX64" s="5"/>
      <c r="NAY64" s="5"/>
      <c r="NAZ64" s="5"/>
      <c r="NBA64" s="5"/>
      <c r="NBB64" s="5"/>
      <c r="NBC64" s="5"/>
      <c r="NBD64" s="5"/>
      <c r="NBE64" s="5"/>
      <c r="NBF64" s="5"/>
      <c r="NBG64" s="5"/>
      <c r="NBH64" s="5"/>
      <c r="NBI64" s="5"/>
      <c r="NBJ64" s="5"/>
      <c r="NBK64" s="5"/>
      <c r="NBL64" s="5"/>
      <c r="NBM64" s="5"/>
      <c r="NBN64" s="5"/>
      <c r="NBO64" s="5"/>
      <c r="NBP64" s="5"/>
      <c r="NBQ64" s="5"/>
      <c r="NBR64" s="5"/>
      <c r="NBS64" s="5"/>
      <c r="NBT64" s="5"/>
      <c r="NBU64" s="5"/>
      <c r="NBV64" s="5"/>
      <c r="NBW64" s="5"/>
      <c r="NBX64" s="5"/>
      <c r="NBY64" s="5"/>
      <c r="NBZ64" s="5"/>
      <c r="NCA64" s="5"/>
      <c r="NCB64" s="5"/>
      <c r="NCC64" s="5"/>
      <c r="NCD64" s="5"/>
      <c r="NCE64" s="5"/>
      <c r="NCF64" s="5"/>
      <c r="NCG64" s="5"/>
      <c r="NCH64" s="5"/>
      <c r="NCI64" s="5"/>
      <c r="NCJ64" s="5"/>
      <c r="NCK64" s="5"/>
      <c r="NCL64" s="5"/>
      <c r="NCM64" s="5"/>
      <c r="NCN64" s="5"/>
      <c r="NCO64" s="5"/>
      <c r="NCP64" s="5"/>
      <c r="NCQ64" s="5"/>
      <c r="NCR64" s="5"/>
      <c r="NCS64" s="5"/>
      <c r="NCT64" s="5"/>
      <c r="NCU64" s="5"/>
      <c r="NCV64" s="5"/>
      <c r="NCW64" s="5"/>
      <c r="NCX64" s="5"/>
      <c r="NCY64" s="5"/>
      <c r="NCZ64" s="5"/>
      <c r="NDA64" s="5"/>
      <c r="NDB64" s="5"/>
      <c r="NDC64" s="5"/>
      <c r="NDD64" s="5"/>
      <c r="NDE64" s="5"/>
      <c r="NDF64" s="5"/>
      <c r="NDG64" s="5"/>
      <c r="NDH64" s="5"/>
      <c r="NDI64" s="5"/>
      <c r="NDJ64" s="5"/>
      <c r="NDK64" s="5"/>
      <c r="NDL64" s="5"/>
      <c r="NDM64" s="5"/>
      <c r="NDN64" s="5"/>
      <c r="NDO64" s="5"/>
      <c r="NDP64" s="5"/>
      <c r="NDQ64" s="5"/>
      <c r="NDR64" s="5"/>
      <c r="NDS64" s="5"/>
      <c r="NDT64" s="5"/>
      <c r="NDU64" s="5"/>
      <c r="NDV64" s="5"/>
      <c r="NDW64" s="5"/>
      <c r="NDX64" s="5"/>
      <c r="NDY64" s="5"/>
      <c r="NDZ64" s="5"/>
      <c r="NEA64" s="5"/>
      <c r="NEB64" s="5"/>
      <c r="NEC64" s="5"/>
      <c r="NED64" s="5"/>
      <c r="NEE64" s="5"/>
      <c r="NEF64" s="5"/>
      <c r="NEG64" s="5"/>
      <c r="NEH64" s="5"/>
      <c r="NEI64" s="5"/>
      <c r="NEJ64" s="5"/>
      <c r="NEK64" s="5"/>
      <c r="NEL64" s="5"/>
      <c r="NEM64" s="5"/>
      <c r="NEN64" s="5"/>
      <c r="NEO64" s="5"/>
      <c r="NEP64" s="5"/>
      <c r="NEQ64" s="5"/>
      <c r="NER64" s="5"/>
      <c r="NES64" s="5"/>
      <c r="NET64" s="5"/>
      <c r="NEU64" s="5"/>
      <c r="NEV64" s="5"/>
      <c r="NEW64" s="5"/>
      <c r="NEX64" s="5"/>
      <c r="NEY64" s="5"/>
      <c r="NEZ64" s="5"/>
      <c r="NFA64" s="5"/>
      <c r="NFB64" s="5"/>
      <c r="NFC64" s="5"/>
      <c r="NFD64" s="5"/>
      <c r="NFE64" s="5"/>
      <c r="NFF64" s="5"/>
      <c r="NFG64" s="5"/>
      <c r="NFH64" s="5"/>
      <c r="NFI64" s="5"/>
      <c r="NFJ64" s="5"/>
      <c r="NFK64" s="5"/>
      <c r="NFL64" s="5"/>
      <c r="NFM64" s="5"/>
      <c r="NFN64" s="5"/>
      <c r="NFO64" s="5"/>
      <c r="NFP64" s="5"/>
      <c r="NFQ64" s="5"/>
      <c r="NFR64" s="5"/>
      <c r="NFS64" s="5"/>
      <c r="NFT64" s="5"/>
      <c r="NFU64" s="5"/>
      <c r="NFV64" s="5"/>
      <c r="NFW64" s="5"/>
      <c r="NFX64" s="5"/>
      <c r="NFY64" s="5"/>
      <c r="NFZ64" s="5"/>
      <c r="NGA64" s="5"/>
      <c r="NGB64" s="5"/>
      <c r="NGC64" s="5"/>
      <c r="NGD64" s="5"/>
      <c r="NGE64" s="5"/>
      <c r="NGF64" s="5"/>
      <c r="NGG64" s="5"/>
      <c r="NGH64" s="5"/>
      <c r="NGI64" s="5"/>
      <c r="NGJ64" s="5"/>
      <c r="NGK64" s="5"/>
      <c r="NGL64" s="5"/>
      <c r="NGM64" s="5"/>
      <c r="NGN64" s="5"/>
      <c r="NGO64" s="5"/>
      <c r="NGP64" s="5"/>
      <c r="NGQ64" s="5"/>
      <c r="NGR64" s="5"/>
      <c r="NGS64" s="5"/>
      <c r="NGT64" s="5"/>
      <c r="NGU64" s="5"/>
      <c r="NGV64" s="5"/>
      <c r="NGW64" s="5"/>
      <c r="NGX64" s="5"/>
      <c r="NGY64" s="5"/>
      <c r="NGZ64" s="5"/>
      <c r="NHA64" s="5"/>
      <c r="NHB64" s="5"/>
      <c r="NHC64" s="5"/>
      <c r="NHD64" s="5"/>
      <c r="NHE64" s="5"/>
      <c r="NHF64" s="5"/>
      <c r="NHG64" s="5"/>
      <c r="NHH64" s="5"/>
      <c r="NHI64" s="5"/>
      <c r="NHJ64" s="5"/>
      <c r="NHK64" s="5"/>
      <c r="NHL64" s="5"/>
      <c r="NHM64" s="5"/>
      <c r="NHN64" s="5"/>
      <c r="NHO64" s="5"/>
      <c r="NHP64" s="5"/>
      <c r="NHQ64" s="5"/>
      <c r="NHR64" s="5"/>
      <c r="NHS64" s="5"/>
      <c r="NHT64" s="5"/>
      <c r="NHU64" s="5"/>
      <c r="NHV64" s="5"/>
      <c r="NHW64" s="5"/>
      <c r="NHX64" s="5"/>
      <c r="NHY64" s="5"/>
      <c r="NHZ64" s="5"/>
      <c r="NIA64" s="5"/>
      <c r="NIB64" s="5"/>
      <c r="NIC64" s="5"/>
      <c r="NID64" s="5"/>
      <c r="NIE64" s="5"/>
      <c r="NIF64" s="5"/>
      <c r="NIG64" s="5"/>
      <c r="NIH64" s="5"/>
      <c r="NII64" s="5"/>
      <c r="NIJ64" s="5"/>
      <c r="NIK64" s="5"/>
      <c r="NIL64" s="5"/>
      <c r="NIM64" s="5"/>
      <c r="NIN64" s="5"/>
      <c r="NIO64" s="5"/>
      <c r="NIP64" s="5"/>
      <c r="NIQ64" s="5"/>
      <c r="NIR64" s="5"/>
      <c r="NIS64" s="5"/>
      <c r="NIT64" s="5"/>
      <c r="NIU64" s="5"/>
      <c r="NIV64" s="5"/>
      <c r="NIW64" s="5"/>
      <c r="NIX64" s="5"/>
      <c r="NIY64" s="5"/>
      <c r="NIZ64" s="5"/>
      <c r="NJA64" s="5"/>
      <c r="NJB64" s="5"/>
      <c r="NJC64" s="5"/>
      <c r="NJD64" s="5"/>
      <c r="NJE64" s="5"/>
      <c r="NJF64" s="5"/>
      <c r="NJG64" s="5"/>
      <c r="NJH64" s="5"/>
      <c r="NJI64" s="5"/>
      <c r="NJJ64" s="5"/>
      <c r="NJK64" s="5"/>
      <c r="NJL64" s="5"/>
      <c r="NJM64" s="5"/>
      <c r="NJN64" s="5"/>
      <c r="NJO64" s="5"/>
      <c r="NJP64" s="5"/>
      <c r="NJQ64" s="5"/>
      <c r="NJR64" s="5"/>
      <c r="NJS64" s="5"/>
      <c r="NJT64" s="5"/>
      <c r="NJU64" s="5"/>
      <c r="NJV64" s="5"/>
      <c r="NJW64" s="5"/>
      <c r="NJX64" s="5"/>
      <c r="NJY64" s="5"/>
      <c r="NJZ64" s="5"/>
      <c r="NKA64" s="5"/>
      <c r="NKB64" s="5"/>
      <c r="NKC64" s="5"/>
      <c r="NKD64" s="5"/>
      <c r="NKE64" s="5"/>
      <c r="NKF64" s="5"/>
      <c r="NKG64" s="5"/>
      <c r="NKH64" s="5"/>
      <c r="NKI64" s="5"/>
      <c r="NKJ64" s="5"/>
      <c r="NKK64" s="5"/>
      <c r="NKL64" s="5"/>
      <c r="NKM64" s="5"/>
      <c r="NKN64" s="5"/>
      <c r="NKO64" s="5"/>
      <c r="NKP64" s="5"/>
      <c r="NKQ64" s="5"/>
      <c r="NKR64" s="5"/>
      <c r="NKS64" s="5"/>
      <c r="NKT64" s="5"/>
      <c r="NKU64" s="5"/>
      <c r="NKV64" s="5"/>
      <c r="NKW64" s="5"/>
      <c r="NKX64" s="5"/>
      <c r="NKY64" s="5"/>
      <c r="NKZ64" s="5"/>
      <c r="NLA64" s="5"/>
      <c r="NLB64" s="5"/>
      <c r="NLC64" s="5"/>
      <c r="NLD64" s="5"/>
      <c r="NLE64" s="5"/>
      <c r="NLF64" s="5"/>
      <c r="NLG64" s="5"/>
      <c r="NLH64" s="5"/>
      <c r="NLI64" s="5"/>
      <c r="NLJ64" s="5"/>
      <c r="NLK64" s="5"/>
      <c r="NLL64" s="5"/>
      <c r="NLM64" s="5"/>
      <c r="NLN64" s="5"/>
      <c r="NLO64" s="5"/>
      <c r="NLP64" s="5"/>
      <c r="NLQ64" s="5"/>
      <c r="NLR64" s="5"/>
      <c r="NLS64" s="5"/>
      <c r="NLT64" s="5"/>
      <c r="NLU64" s="5"/>
      <c r="NLV64" s="5"/>
      <c r="NLW64" s="5"/>
      <c r="NLX64" s="5"/>
      <c r="NLY64" s="5"/>
      <c r="NLZ64" s="5"/>
      <c r="NMA64" s="5"/>
      <c r="NMB64" s="5"/>
      <c r="NMC64" s="5"/>
      <c r="NMD64" s="5"/>
      <c r="NME64" s="5"/>
      <c r="NMF64" s="5"/>
      <c r="NMG64" s="5"/>
      <c r="NMH64" s="5"/>
      <c r="NMI64" s="5"/>
      <c r="NMJ64" s="5"/>
      <c r="NMK64" s="5"/>
      <c r="NML64" s="5"/>
      <c r="NMM64" s="5"/>
      <c r="NMN64" s="5"/>
      <c r="NMO64" s="5"/>
      <c r="NMP64" s="5"/>
      <c r="NMQ64" s="5"/>
      <c r="NMR64" s="5"/>
      <c r="NMS64" s="5"/>
      <c r="NMT64" s="5"/>
      <c r="NMU64" s="5"/>
      <c r="NMV64" s="5"/>
      <c r="NMW64" s="5"/>
      <c r="NMX64" s="5"/>
      <c r="NMY64" s="5"/>
      <c r="NMZ64" s="5"/>
      <c r="NNA64" s="5"/>
      <c r="NNB64" s="5"/>
      <c r="NNC64" s="5"/>
      <c r="NND64" s="5"/>
      <c r="NNE64" s="5"/>
      <c r="NNF64" s="5"/>
      <c r="NNG64" s="5"/>
      <c r="NNH64" s="5"/>
      <c r="NNI64" s="5"/>
      <c r="NNJ64" s="5"/>
      <c r="NNK64" s="5"/>
      <c r="NNL64" s="5"/>
      <c r="NNM64" s="5"/>
      <c r="NNN64" s="5"/>
      <c r="NNO64" s="5"/>
      <c r="NNP64" s="5"/>
      <c r="NNQ64" s="5"/>
      <c r="NNR64" s="5"/>
      <c r="NNS64" s="5"/>
      <c r="NNT64" s="5"/>
      <c r="NNU64" s="5"/>
      <c r="NNV64" s="5"/>
      <c r="NNW64" s="5"/>
      <c r="NNX64" s="5"/>
      <c r="NNY64" s="5"/>
      <c r="NNZ64" s="5"/>
      <c r="NOA64" s="5"/>
      <c r="NOB64" s="5"/>
      <c r="NOC64" s="5"/>
      <c r="NOD64" s="5"/>
      <c r="NOE64" s="5"/>
      <c r="NOF64" s="5"/>
      <c r="NOG64" s="5"/>
      <c r="NOH64" s="5"/>
      <c r="NOI64" s="5"/>
      <c r="NOJ64" s="5"/>
      <c r="NOK64" s="5"/>
      <c r="NOL64" s="5"/>
      <c r="NOM64" s="5"/>
      <c r="NON64" s="5"/>
      <c r="NOO64" s="5"/>
      <c r="NOP64" s="5"/>
      <c r="NOQ64" s="5"/>
      <c r="NOR64" s="5"/>
      <c r="NOS64" s="5"/>
      <c r="NOT64" s="5"/>
      <c r="NOU64" s="5"/>
      <c r="NOV64" s="5"/>
      <c r="NOW64" s="5"/>
      <c r="NOX64" s="5"/>
      <c r="NOY64" s="5"/>
      <c r="NOZ64" s="5"/>
      <c r="NPA64" s="5"/>
      <c r="NPB64" s="5"/>
      <c r="NPC64" s="5"/>
      <c r="NPD64" s="5"/>
      <c r="NPE64" s="5"/>
      <c r="NPF64" s="5"/>
      <c r="NPG64" s="5"/>
      <c r="NPH64" s="5"/>
      <c r="NPI64" s="5"/>
      <c r="NPJ64" s="5"/>
      <c r="NPK64" s="5"/>
      <c r="NPL64" s="5"/>
      <c r="NPM64" s="5"/>
      <c r="NPN64" s="5"/>
      <c r="NPO64" s="5"/>
      <c r="NPP64" s="5"/>
      <c r="NPQ64" s="5"/>
      <c r="NPR64" s="5"/>
      <c r="NPS64" s="5"/>
      <c r="NPT64" s="5"/>
      <c r="NPU64" s="5"/>
      <c r="NPV64" s="5"/>
      <c r="NPW64" s="5"/>
      <c r="NPX64" s="5"/>
      <c r="NPY64" s="5"/>
      <c r="NPZ64" s="5"/>
      <c r="NQA64" s="5"/>
      <c r="NQB64" s="5"/>
      <c r="NQC64" s="5"/>
      <c r="NQD64" s="5"/>
      <c r="NQE64" s="5"/>
      <c r="NQF64" s="5"/>
      <c r="NQG64" s="5"/>
      <c r="NQH64" s="5"/>
      <c r="NQI64" s="5"/>
      <c r="NQJ64" s="5"/>
      <c r="NQK64" s="5"/>
      <c r="NQL64" s="5"/>
      <c r="NQM64" s="5"/>
      <c r="NQN64" s="5"/>
      <c r="NQO64" s="5"/>
      <c r="NQP64" s="5"/>
      <c r="NQQ64" s="5"/>
      <c r="NQR64" s="5"/>
      <c r="NQS64" s="5"/>
      <c r="NQT64" s="5"/>
      <c r="NQU64" s="5"/>
      <c r="NQV64" s="5"/>
      <c r="NQW64" s="5"/>
      <c r="NQX64" s="5"/>
      <c r="NQY64" s="5"/>
      <c r="NQZ64" s="5"/>
      <c r="NRA64" s="5"/>
      <c r="NRB64" s="5"/>
      <c r="NRC64" s="5"/>
      <c r="NRD64" s="5"/>
      <c r="NRE64" s="5"/>
      <c r="NRF64" s="5"/>
      <c r="NRG64" s="5"/>
      <c r="NRH64" s="5"/>
      <c r="NRI64" s="5"/>
      <c r="NRJ64" s="5"/>
      <c r="NRK64" s="5"/>
      <c r="NRL64" s="5"/>
      <c r="NRM64" s="5"/>
      <c r="NRN64" s="5"/>
      <c r="NRO64" s="5"/>
      <c r="NRP64" s="5"/>
      <c r="NRQ64" s="5"/>
      <c r="NRR64" s="5"/>
      <c r="NRS64" s="5"/>
      <c r="NRT64" s="5"/>
      <c r="NRU64" s="5"/>
      <c r="NRV64" s="5"/>
      <c r="NRW64" s="5"/>
      <c r="NRX64" s="5"/>
      <c r="NRY64" s="5"/>
      <c r="NRZ64" s="5"/>
      <c r="NSA64" s="5"/>
      <c r="NSB64" s="5"/>
      <c r="NSC64" s="5"/>
      <c r="NSD64" s="5"/>
      <c r="NSE64" s="5"/>
      <c r="NSF64" s="5"/>
      <c r="NSG64" s="5"/>
      <c r="NSH64" s="5"/>
      <c r="NSI64" s="5"/>
      <c r="NSJ64" s="5"/>
      <c r="NSK64" s="5"/>
      <c r="NSL64" s="5"/>
      <c r="NSM64" s="5"/>
      <c r="NSN64" s="5"/>
      <c r="NSO64" s="5"/>
      <c r="NSP64" s="5"/>
      <c r="NSQ64" s="5"/>
      <c r="NSR64" s="5"/>
      <c r="NSS64" s="5"/>
      <c r="NST64" s="5"/>
      <c r="NSU64" s="5"/>
      <c r="NSV64" s="5"/>
      <c r="NSW64" s="5"/>
      <c r="NSX64" s="5"/>
      <c r="NSY64" s="5"/>
      <c r="NSZ64" s="5"/>
      <c r="NTA64" s="5"/>
      <c r="NTB64" s="5"/>
      <c r="NTC64" s="5"/>
      <c r="NTD64" s="5"/>
      <c r="NTE64" s="5"/>
      <c r="NTF64" s="5"/>
      <c r="NTG64" s="5"/>
      <c r="NTH64" s="5"/>
      <c r="NTI64" s="5"/>
      <c r="NTJ64" s="5"/>
      <c r="NTK64" s="5"/>
      <c r="NTL64" s="5"/>
      <c r="NTM64" s="5"/>
      <c r="NTN64" s="5"/>
      <c r="NTO64" s="5"/>
      <c r="NTP64" s="5"/>
      <c r="NTQ64" s="5"/>
      <c r="NTR64" s="5"/>
      <c r="NTS64" s="5"/>
      <c r="NTT64" s="5"/>
      <c r="NTU64" s="5"/>
      <c r="NTV64" s="5"/>
      <c r="NTW64" s="5"/>
      <c r="NTX64" s="5"/>
      <c r="NTY64" s="5"/>
      <c r="NTZ64" s="5"/>
      <c r="NUA64" s="5"/>
      <c r="NUB64" s="5"/>
      <c r="NUC64" s="5"/>
      <c r="NUD64" s="5"/>
      <c r="NUE64" s="5"/>
      <c r="NUF64" s="5"/>
      <c r="NUG64" s="5"/>
      <c r="NUH64" s="5"/>
      <c r="NUI64" s="5"/>
      <c r="NUJ64" s="5"/>
      <c r="NUK64" s="5"/>
      <c r="NUL64" s="5"/>
      <c r="NUM64" s="5"/>
      <c r="NUN64" s="5"/>
      <c r="NUO64" s="5"/>
      <c r="NUP64" s="5"/>
      <c r="NUQ64" s="5"/>
      <c r="NUR64" s="5"/>
      <c r="NUS64" s="5"/>
      <c r="NUT64" s="5"/>
      <c r="NUU64" s="5"/>
      <c r="NUV64" s="5"/>
      <c r="NUW64" s="5"/>
      <c r="NUX64" s="5"/>
      <c r="NUY64" s="5"/>
      <c r="NUZ64" s="5"/>
      <c r="NVA64" s="5"/>
      <c r="NVB64" s="5"/>
      <c r="NVC64" s="5"/>
      <c r="NVD64" s="5"/>
      <c r="NVE64" s="5"/>
      <c r="NVF64" s="5"/>
      <c r="NVG64" s="5"/>
      <c r="NVH64" s="5"/>
      <c r="NVI64" s="5"/>
      <c r="NVJ64" s="5"/>
      <c r="NVK64" s="5"/>
      <c r="NVL64" s="5"/>
      <c r="NVM64" s="5"/>
      <c r="NVN64" s="5"/>
      <c r="NVO64" s="5"/>
      <c r="NVP64" s="5"/>
      <c r="NVQ64" s="5"/>
      <c r="NVR64" s="5"/>
      <c r="NVS64" s="5"/>
      <c r="NVT64" s="5"/>
      <c r="NVU64" s="5"/>
      <c r="NVV64" s="5"/>
      <c r="NVW64" s="5"/>
      <c r="NVX64" s="5"/>
      <c r="NVY64" s="5"/>
      <c r="NVZ64" s="5"/>
      <c r="NWA64" s="5"/>
      <c r="NWB64" s="5"/>
      <c r="NWC64" s="5"/>
      <c r="NWD64" s="5"/>
      <c r="NWE64" s="5"/>
      <c r="NWF64" s="5"/>
      <c r="NWG64" s="5"/>
      <c r="NWH64" s="5"/>
      <c r="NWI64" s="5"/>
      <c r="NWJ64" s="5"/>
      <c r="NWK64" s="5"/>
      <c r="NWL64" s="5"/>
      <c r="NWM64" s="5"/>
      <c r="NWN64" s="5"/>
      <c r="NWO64" s="5"/>
      <c r="NWP64" s="5"/>
      <c r="NWQ64" s="5"/>
      <c r="NWR64" s="5"/>
      <c r="NWS64" s="5"/>
      <c r="NWT64" s="5"/>
      <c r="NWU64" s="5"/>
      <c r="NWV64" s="5"/>
      <c r="NWW64" s="5"/>
      <c r="NWX64" s="5"/>
      <c r="NWY64" s="5"/>
      <c r="NWZ64" s="5"/>
      <c r="NXA64" s="5"/>
      <c r="NXB64" s="5"/>
      <c r="NXC64" s="5"/>
      <c r="NXD64" s="5"/>
      <c r="NXE64" s="5"/>
      <c r="NXF64" s="5"/>
      <c r="NXG64" s="5"/>
      <c r="NXH64" s="5"/>
      <c r="NXI64" s="5"/>
      <c r="NXJ64" s="5"/>
      <c r="NXK64" s="5"/>
      <c r="NXL64" s="5"/>
      <c r="NXM64" s="5"/>
      <c r="NXN64" s="5"/>
      <c r="NXO64" s="5"/>
      <c r="NXP64" s="5"/>
      <c r="NXQ64" s="5"/>
      <c r="NXR64" s="5"/>
      <c r="NXS64" s="5"/>
      <c r="NXT64" s="5"/>
      <c r="NXU64" s="5"/>
      <c r="NXV64" s="5"/>
      <c r="NXW64" s="5"/>
      <c r="NXX64" s="5"/>
      <c r="NXY64" s="5"/>
      <c r="NXZ64" s="5"/>
      <c r="NYA64" s="5"/>
      <c r="NYB64" s="5"/>
      <c r="NYC64" s="5"/>
      <c r="NYD64" s="5"/>
      <c r="NYE64" s="5"/>
      <c r="NYF64" s="5"/>
      <c r="NYG64" s="5"/>
      <c r="NYH64" s="5"/>
      <c r="NYI64" s="5"/>
      <c r="NYJ64" s="5"/>
      <c r="NYK64" s="5"/>
      <c r="NYL64" s="5"/>
      <c r="NYM64" s="5"/>
      <c r="NYN64" s="5"/>
      <c r="NYO64" s="5"/>
      <c r="NYP64" s="5"/>
      <c r="NYQ64" s="5"/>
      <c r="NYR64" s="5"/>
      <c r="NYS64" s="5"/>
      <c r="NYT64" s="5"/>
      <c r="NYU64" s="5"/>
      <c r="NYV64" s="5"/>
      <c r="NYW64" s="5"/>
      <c r="NYX64" s="5"/>
      <c r="NYY64" s="5"/>
      <c r="NYZ64" s="5"/>
      <c r="NZA64" s="5"/>
      <c r="NZB64" s="5"/>
      <c r="NZC64" s="5"/>
      <c r="NZD64" s="5"/>
      <c r="NZE64" s="5"/>
      <c r="NZF64" s="5"/>
      <c r="NZG64" s="5"/>
      <c r="NZH64" s="5"/>
      <c r="NZI64" s="5"/>
      <c r="NZJ64" s="5"/>
      <c r="NZK64" s="5"/>
      <c r="NZL64" s="5"/>
      <c r="NZM64" s="5"/>
      <c r="NZN64" s="5"/>
      <c r="NZO64" s="5"/>
      <c r="NZP64" s="5"/>
      <c r="NZQ64" s="5"/>
      <c r="NZR64" s="5"/>
      <c r="NZS64" s="5"/>
      <c r="NZT64" s="5"/>
      <c r="NZU64" s="5"/>
      <c r="NZV64" s="5"/>
      <c r="NZW64" s="5"/>
      <c r="NZX64" s="5"/>
      <c r="NZY64" s="5"/>
      <c r="NZZ64" s="5"/>
      <c r="OAA64" s="5"/>
      <c r="OAB64" s="5"/>
      <c r="OAC64" s="5"/>
      <c r="OAD64" s="5"/>
      <c r="OAE64" s="5"/>
      <c r="OAF64" s="5"/>
      <c r="OAG64" s="5"/>
      <c r="OAH64" s="5"/>
      <c r="OAI64" s="5"/>
      <c r="OAJ64" s="5"/>
      <c r="OAK64" s="5"/>
      <c r="OAL64" s="5"/>
      <c r="OAM64" s="5"/>
      <c r="OAN64" s="5"/>
      <c r="OAO64" s="5"/>
      <c r="OAP64" s="5"/>
      <c r="OAQ64" s="5"/>
      <c r="OAR64" s="5"/>
      <c r="OAS64" s="5"/>
      <c r="OAT64" s="5"/>
      <c r="OAU64" s="5"/>
      <c r="OAV64" s="5"/>
      <c r="OAW64" s="5"/>
      <c r="OAX64" s="5"/>
      <c r="OAY64" s="5"/>
      <c r="OAZ64" s="5"/>
      <c r="OBA64" s="5"/>
      <c r="OBB64" s="5"/>
      <c r="OBC64" s="5"/>
      <c r="OBD64" s="5"/>
      <c r="OBE64" s="5"/>
      <c r="OBF64" s="5"/>
      <c r="OBG64" s="5"/>
      <c r="OBH64" s="5"/>
      <c r="OBI64" s="5"/>
      <c r="OBJ64" s="5"/>
      <c r="OBK64" s="5"/>
      <c r="OBL64" s="5"/>
      <c r="OBM64" s="5"/>
      <c r="OBN64" s="5"/>
      <c r="OBO64" s="5"/>
      <c r="OBP64" s="5"/>
      <c r="OBQ64" s="5"/>
      <c r="OBR64" s="5"/>
      <c r="OBS64" s="5"/>
      <c r="OBT64" s="5"/>
      <c r="OBU64" s="5"/>
      <c r="OBV64" s="5"/>
      <c r="OBW64" s="5"/>
      <c r="OBX64" s="5"/>
      <c r="OBY64" s="5"/>
      <c r="OBZ64" s="5"/>
      <c r="OCA64" s="5"/>
      <c r="OCB64" s="5"/>
      <c r="OCC64" s="5"/>
      <c r="OCD64" s="5"/>
      <c r="OCE64" s="5"/>
      <c r="OCF64" s="5"/>
      <c r="OCG64" s="5"/>
      <c r="OCH64" s="5"/>
      <c r="OCI64" s="5"/>
      <c r="OCJ64" s="5"/>
      <c r="OCK64" s="5"/>
      <c r="OCL64" s="5"/>
      <c r="OCM64" s="5"/>
      <c r="OCN64" s="5"/>
      <c r="OCO64" s="5"/>
      <c r="OCP64" s="5"/>
      <c r="OCQ64" s="5"/>
      <c r="OCR64" s="5"/>
      <c r="OCS64" s="5"/>
      <c r="OCT64" s="5"/>
      <c r="OCU64" s="5"/>
      <c r="OCV64" s="5"/>
      <c r="OCW64" s="5"/>
      <c r="OCX64" s="5"/>
      <c r="OCY64" s="5"/>
      <c r="OCZ64" s="5"/>
      <c r="ODA64" s="5"/>
      <c r="ODB64" s="5"/>
      <c r="ODC64" s="5"/>
      <c r="ODD64" s="5"/>
      <c r="ODE64" s="5"/>
      <c r="ODF64" s="5"/>
      <c r="ODG64" s="5"/>
      <c r="ODH64" s="5"/>
      <c r="ODI64" s="5"/>
      <c r="ODJ64" s="5"/>
      <c r="ODK64" s="5"/>
      <c r="ODL64" s="5"/>
      <c r="ODM64" s="5"/>
      <c r="ODN64" s="5"/>
      <c r="ODO64" s="5"/>
      <c r="ODP64" s="5"/>
      <c r="ODQ64" s="5"/>
      <c r="ODR64" s="5"/>
      <c r="ODS64" s="5"/>
      <c r="ODT64" s="5"/>
      <c r="ODU64" s="5"/>
      <c r="ODV64" s="5"/>
      <c r="ODW64" s="5"/>
      <c r="ODX64" s="5"/>
      <c r="ODY64" s="5"/>
      <c r="ODZ64" s="5"/>
      <c r="OEA64" s="5"/>
      <c r="OEB64" s="5"/>
      <c r="OEC64" s="5"/>
      <c r="OED64" s="5"/>
      <c r="OEE64" s="5"/>
      <c r="OEF64" s="5"/>
      <c r="OEG64" s="5"/>
      <c r="OEH64" s="5"/>
      <c r="OEI64" s="5"/>
      <c r="OEJ64" s="5"/>
      <c r="OEK64" s="5"/>
      <c r="OEL64" s="5"/>
      <c r="OEM64" s="5"/>
      <c r="OEN64" s="5"/>
      <c r="OEO64" s="5"/>
      <c r="OEP64" s="5"/>
      <c r="OEQ64" s="5"/>
      <c r="OER64" s="5"/>
      <c r="OES64" s="5"/>
      <c r="OET64" s="5"/>
      <c r="OEU64" s="5"/>
      <c r="OEV64" s="5"/>
      <c r="OEW64" s="5"/>
      <c r="OEX64" s="5"/>
      <c r="OEY64" s="5"/>
      <c r="OEZ64" s="5"/>
      <c r="OFA64" s="5"/>
      <c r="OFB64" s="5"/>
      <c r="OFC64" s="5"/>
      <c r="OFD64" s="5"/>
      <c r="OFE64" s="5"/>
      <c r="OFF64" s="5"/>
      <c r="OFG64" s="5"/>
      <c r="OFH64" s="5"/>
      <c r="OFI64" s="5"/>
      <c r="OFJ64" s="5"/>
      <c r="OFK64" s="5"/>
      <c r="OFL64" s="5"/>
      <c r="OFM64" s="5"/>
      <c r="OFN64" s="5"/>
      <c r="OFO64" s="5"/>
      <c r="OFP64" s="5"/>
      <c r="OFQ64" s="5"/>
      <c r="OFR64" s="5"/>
      <c r="OFS64" s="5"/>
      <c r="OFT64" s="5"/>
      <c r="OFU64" s="5"/>
      <c r="OFV64" s="5"/>
      <c r="OFW64" s="5"/>
      <c r="OFX64" s="5"/>
      <c r="OFY64" s="5"/>
      <c r="OFZ64" s="5"/>
      <c r="OGA64" s="5"/>
      <c r="OGB64" s="5"/>
      <c r="OGC64" s="5"/>
      <c r="OGD64" s="5"/>
      <c r="OGE64" s="5"/>
      <c r="OGF64" s="5"/>
      <c r="OGG64" s="5"/>
      <c r="OGH64" s="5"/>
      <c r="OGI64" s="5"/>
      <c r="OGJ64" s="5"/>
      <c r="OGK64" s="5"/>
      <c r="OGL64" s="5"/>
      <c r="OGM64" s="5"/>
      <c r="OGN64" s="5"/>
      <c r="OGO64" s="5"/>
      <c r="OGP64" s="5"/>
      <c r="OGQ64" s="5"/>
      <c r="OGR64" s="5"/>
      <c r="OGS64" s="5"/>
      <c r="OGT64" s="5"/>
      <c r="OGU64" s="5"/>
      <c r="OGV64" s="5"/>
      <c r="OGW64" s="5"/>
      <c r="OGX64" s="5"/>
      <c r="OGY64" s="5"/>
      <c r="OGZ64" s="5"/>
      <c r="OHA64" s="5"/>
      <c r="OHB64" s="5"/>
      <c r="OHC64" s="5"/>
      <c r="OHD64" s="5"/>
      <c r="OHE64" s="5"/>
      <c r="OHF64" s="5"/>
      <c r="OHG64" s="5"/>
      <c r="OHH64" s="5"/>
      <c r="OHI64" s="5"/>
      <c r="OHJ64" s="5"/>
      <c r="OHK64" s="5"/>
      <c r="OHL64" s="5"/>
      <c r="OHM64" s="5"/>
      <c r="OHN64" s="5"/>
      <c r="OHO64" s="5"/>
      <c r="OHP64" s="5"/>
      <c r="OHQ64" s="5"/>
      <c r="OHR64" s="5"/>
      <c r="OHS64" s="5"/>
      <c r="OHT64" s="5"/>
      <c r="OHU64" s="5"/>
      <c r="OHV64" s="5"/>
      <c r="OHW64" s="5"/>
      <c r="OHX64" s="5"/>
      <c r="OHY64" s="5"/>
      <c r="OHZ64" s="5"/>
      <c r="OIA64" s="5"/>
      <c r="OIB64" s="5"/>
      <c r="OIC64" s="5"/>
      <c r="OID64" s="5"/>
      <c r="OIE64" s="5"/>
      <c r="OIF64" s="5"/>
      <c r="OIG64" s="5"/>
      <c r="OIH64" s="5"/>
      <c r="OII64" s="5"/>
      <c r="OIJ64" s="5"/>
      <c r="OIK64" s="5"/>
      <c r="OIL64" s="5"/>
      <c r="OIM64" s="5"/>
      <c r="OIN64" s="5"/>
      <c r="OIO64" s="5"/>
      <c r="OIP64" s="5"/>
      <c r="OIQ64" s="5"/>
      <c r="OIR64" s="5"/>
      <c r="OIS64" s="5"/>
      <c r="OIT64" s="5"/>
      <c r="OIU64" s="5"/>
      <c r="OIV64" s="5"/>
      <c r="OIW64" s="5"/>
      <c r="OIX64" s="5"/>
      <c r="OIY64" s="5"/>
      <c r="OIZ64" s="5"/>
      <c r="OJA64" s="5"/>
      <c r="OJB64" s="5"/>
      <c r="OJC64" s="5"/>
      <c r="OJD64" s="5"/>
      <c r="OJE64" s="5"/>
      <c r="OJF64" s="5"/>
      <c r="OJG64" s="5"/>
      <c r="OJH64" s="5"/>
      <c r="OJI64" s="5"/>
      <c r="OJJ64" s="5"/>
      <c r="OJK64" s="5"/>
      <c r="OJL64" s="5"/>
      <c r="OJM64" s="5"/>
      <c r="OJN64" s="5"/>
      <c r="OJO64" s="5"/>
      <c r="OJP64" s="5"/>
      <c r="OJQ64" s="5"/>
      <c r="OJR64" s="5"/>
      <c r="OJS64" s="5"/>
      <c r="OJT64" s="5"/>
      <c r="OJU64" s="5"/>
      <c r="OJV64" s="5"/>
      <c r="OJW64" s="5"/>
      <c r="OJX64" s="5"/>
      <c r="OJY64" s="5"/>
      <c r="OJZ64" s="5"/>
      <c r="OKA64" s="5"/>
      <c r="OKB64" s="5"/>
      <c r="OKC64" s="5"/>
      <c r="OKD64" s="5"/>
      <c r="OKE64" s="5"/>
      <c r="OKF64" s="5"/>
      <c r="OKG64" s="5"/>
      <c r="OKH64" s="5"/>
      <c r="OKI64" s="5"/>
      <c r="OKJ64" s="5"/>
      <c r="OKK64" s="5"/>
      <c r="OKL64" s="5"/>
      <c r="OKM64" s="5"/>
      <c r="OKN64" s="5"/>
      <c r="OKO64" s="5"/>
      <c r="OKP64" s="5"/>
      <c r="OKQ64" s="5"/>
      <c r="OKR64" s="5"/>
      <c r="OKS64" s="5"/>
      <c r="OKT64" s="5"/>
      <c r="OKU64" s="5"/>
      <c r="OKV64" s="5"/>
      <c r="OKW64" s="5"/>
      <c r="OKX64" s="5"/>
      <c r="OKY64" s="5"/>
      <c r="OKZ64" s="5"/>
      <c r="OLA64" s="5"/>
      <c r="OLB64" s="5"/>
      <c r="OLC64" s="5"/>
      <c r="OLD64" s="5"/>
      <c r="OLE64" s="5"/>
      <c r="OLF64" s="5"/>
      <c r="OLG64" s="5"/>
      <c r="OLH64" s="5"/>
      <c r="OLI64" s="5"/>
      <c r="OLJ64" s="5"/>
      <c r="OLK64" s="5"/>
      <c r="OLL64" s="5"/>
      <c r="OLM64" s="5"/>
      <c r="OLN64" s="5"/>
      <c r="OLO64" s="5"/>
      <c r="OLP64" s="5"/>
      <c r="OLQ64" s="5"/>
      <c r="OLR64" s="5"/>
      <c r="OLS64" s="5"/>
      <c r="OLT64" s="5"/>
      <c r="OLU64" s="5"/>
      <c r="OLV64" s="5"/>
      <c r="OLW64" s="5"/>
      <c r="OLX64" s="5"/>
      <c r="OLY64" s="5"/>
      <c r="OLZ64" s="5"/>
      <c r="OMA64" s="5"/>
      <c r="OMB64" s="5"/>
      <c r="OMC64" s="5"/>
      <c r="OMD64" s="5"/>
      <c r="OME64" s="5"/>
      <c r="OMF64" s="5"/>
      <c r="OMG64" s="5"/>
      <c r="OMH64" s="5"/>
      <c r="OMI64" s="5"/>
      <c r="OMJ64" s="5"/>
      <c r="OMK64" s="5"/>
      <c r="OML64" s="5"/>
      <c r="OMM64" s="5"/>
      <c r="OMN64" s="5"/>
      <c r="OMO64" s="5"/>
      <c r="OMP64" s="5"/>
      <c r="OMQ64" s="5"/>
      <c r="OMR64" s="5"/>
      <c r="OMS64" s="5"/>
      <c r="OMT64" s="5"/>
      <c r="OMU64" s="5"/>
      <c r="OMV64" s="5"/>
      <c r="OMW64" s="5"/>
      <c r="OMX64" s="5"/>
      <c r="OMY64" s="5"/>
      <c r="OMZ64" s="5"/>
      <c r="ONA64" s="5"/>
      <c r="ONB64" s="5"/>
      <c r="ONC64" s="5"/>
      <c r="OND64" s="5"/>
      <c r="ONE64" s="5"/>
      <c r="ONF64" s="5"/>
      <c r="ONG64" s="5"/>
      <c r="ONH64" s="5"/>
      <c r="ONI64" s="5"/>
      <c r="ONJ64" s="5"/>
      <c r="ONK64" s="5"/>
      <c r="ONL64" s="5"/>
      <c r="ONM64" s="5"/>
      <c r="ONN64" s="5"/>
      <c r="ONO64" s="5"/>
      <c r="ONP64" s="5"/>
      <c r="ONQ64" s="5"/>
      <c r="ONR64" s="5"/>
      <c r="ONS64" s="5"/>
      <c r="ONT64" s="5"/>
      <c r="ONU64" s="5"/>
      <c r="ONV64" s="5"/>
      <c r="ONW64" s="5"/>
      <c r="ONX64" s="5"/>
      <c r="ONY64" s="5"/>
      <c r="ONZ64" s="5"/>
      <c r="OOA64" s="5"/>
      <c r="OOB64" s="5"/>
      <c r="OOC64" s="5"/>
      <c r="OOD64" s="5"/>
      <c r="OOE64" s="5"/>
      <c r="OOF64" s="5"/>
      <c r="OOG64" s="5"/>
      <c r="OOH64" s="5"/>
      <c r="OOI64" s="5"/>
      <c r="OOJ64" s="5"/>
      <c r="OOK64" s="5"/>
      <c r="OOL64" s="5"/>
      <c r="OOM64" s="5"/>
      <c r="OON64" s="5"/>
      <c r="OOO64" s="5"/>
      <c r="OOP64" s="5"/>
      <c r="OOQ64" s="5"/>
      <c r="OOR64" s="5"/>
      <c r="OOS64" s="5"/>
      <c r="OOT64" s="5"/>
      <c r="OOU64" s="5"/>
      <c r="OOV64" s="5"/>
      <c r="OOW64" s="5"/>
      <c r="OOX64" s="5"/>
      <c r="OOY64" s="5"/>
      <c r="OOZ64" s="5"/>
      <c r="OPA64" s="5"/>
      <c r="OPB64" s="5"/>
      <c r="OPC64" s="5"/>
      <c r="OPD64" s="5"/>
      <c r="OPE64" s="5"/>
      <c r="OPF64" s="5"/>
      <c r="OPG64" s="5"/>
      <c r="OPH64" s="5"/>
      <c r="OPI64" s="5"/>
      <c r="OPJ64" s="5"/>
      <c r="OPK64" s="5"/>
      <c r="OPL64" s="5"/>
      <c r="OPM64" s="5"/>
      <c r="OPN64" s="5"/>
      <c r="OPO64" s="5"/>
      <c r="OPP64" s="5"/>
      <c r="OPQ64" s="5"/>
      <c r="OPR64" s="5"/>
      <c r="OPS64" s="5"/>
      <c r="OPT64" s="5"/>
      <c r="OPU64" s="5"/>
      <c r="OPV64" s="5"/>
      <c r="OPW64" s="5"/>
      <c r="OPX64" s="5"/>
      <c r="OPY64" s="5"/>
      <c r="OPZ64" s="5"/>
      <c r="OQA64" s="5"/>
      <c r="OQB64" s="5"/>
      <c r="OQC64" s="5"/>
      <c r="OQD64" s="5"/>
      <c r="OQE64" s="5"/>
      <c r="OQF64" s="5"/>
      <c r="OQG64" s="5"/>
      <c r="OQH64" s="5"/>
      <c r="OQI64" s="5"/>
      <c r="OQJ64" s="5"/>
      <c r="OQK64" s="5"/>
      <c r="OQL64" s="5"/>
      <c r="OQM64" s="5"/>
      <c r="OQN64" s="5"/>
      <c r="OQO64" s="5"/>
      <c r="OQP64" s="5"/>
      <c r="OQQ64" s="5"/>
      <c r="OQR64" s="5"/>
      <c r="OQS64" s="5"/>
      <c r="OQT64" s="5"/>
      <c r="OQU64" s="5"/>
      <c r="OQV64" s="5"/>
      <c r="OQW64" s="5"/>
      <c r="OQX64" s="5"/>
      <c r="OQY64" s="5"/>
      <c r="OQZ64" s="5"/>
      <c r="ORA64" s="5"/>
      <c r="ORB64" s="5"/>
      <c r="ORC64" s="5"/>
      <c r="ORD64" s="5"/>
      <c r="ORE64" s="5"/>
      <c r="ORF64" s="5"/>
      <c r="ORG64" s="5"/>
      <c r="ORH64" s="5"/>
      <c r="ORI64" s="5"/>
      <c r="ORJ64" s="5"/>
      <c r="ORK64" s="5"/>
      <c r="ORL64" s="5"/>
      <c r="ORM64" s="5"/>
      <c r="ORN64" s="5"/>
      <c r="ORO64" s="5"/>
      <c r="ORP64" s="5"/>
      <c r="ORQ64" s="5"/>
      <c r="ORR64" s="5"/>
      <c r="ORS64" s="5"/>
      <c r="ORT64" s="5"/>
      <c r="ORU64" s="5"/>
      <c r="ORV64" s="5"/>
      <c r="ORW64" s="5"/>
      <c r="ORX64" s="5"/>
      <c r="ORY64" s="5"/>
      <c r="ORZ64" s="5"/>
      <c r="OSA64" s="5"/>
      <c r="OSB64" s="5"/>
      <c r="OSC64" s="5"/>
      <c r="OSD64" s="5"/>
      <c r="OSE64" s="5"/>
      <c r="OSF64" s="5"/>
      <c r="OSG64" s="5"/>
      <c r="OSH64" s="5"/>
      <c r="OSI64" s="5"/>
      <c r="OSJ64" s="5"/>
      <c r="OSK64" s="5"/>
      <c r="OSL64" s="5"/>
      <c r="OSM64" s="5"/>
      <c r="OSN64" s="5"/>
      <c r="OSO64" s="5"/>
      <c r="OSP64" s="5"/>
      <c r="OSQ64" s="5"/>
      <c r="OSR64" s="5"/>
      <c r="OSS64" s="5"/>
      <c r="OST64" s="5"/>
      <c r="OSU64" s="5"/>
      <c r="OSV64" s="5"/>
      <c r="OSW64" s="5"/>
      <c r="OSX64" s="5"/>
      <c r="OSY64" s="5"/>
      <c r="OSZ64" s="5"/>
      <c r="OTA64" s="5"/>
      <c r="OTB64" s="5"/>
      <c r="OTC64" s="5"/>
      <c r="OTD64" s="5"/>
      <c r="OTE64" s="5"/>
      <c r="OTF64" s="5"/>
      <c r="OTG64" s="5"/>
      <c r="OTH64" s="5"/>
      <c r="OTI64" s="5"/>
      <c r="OTJ64" s="5"/>
      <c r="OTK64" s="5"/>
      <c r="OTL64" s="5"/>
      <c r="OTM64" s="5"/>
      <c r="OTN64" s="5"/>
      <c r="OTO64" s="5"/>
      <c r="OTP64" s="5"/>
      <c r="OTQ64" s="5"/>
      <c r="OTR64" s="5"/>
      <c r="OTS64" s="5"/>
      <c r="OTT64" s="5"/>
      <c r="OTU64" s="5"/>
      <c r="OTV64" s="5"/>
      <c r="OTW64" s="5"/>
      <c r="OTX64" s="5"/>
      <c r="OTY64" s="5"/>
      <c r="OTZ64" s="5"/>
      <c r="OUA64" s="5"/>
      <c r="OUB64" s="5"/>
      <c r="OUC64" s="5"/>
      <c r="OUD64" s="5"/>
      <c r="OUE64" s="5"/>
      <c r="OUF64" s="5"/>
      <c r="OUG64" s="5"/>
      <c r="OUH64" s="5"/>
      <c r="OUI64" s="5"/>
      <c r="OUJ64" s="5"/>
      <c r="OUK64" s="5"/>
      <c r="OUL64" s="5"/>
      <c r="OUM64" s="5"/>
      <c r="OUN64" s="5"/>
      <c r="OUO64" s="5"/>
      <c r="OUP64" s="5"/>
      <c r="OUQ64" s="5"/>
      <c r="OUR64" s="5"/>
      <c r="OUS64" s="5"/>
      <c r="OUT64" s="5"/>
      <c r="OUU64" s="5"/>
      <c r="OUV64" s="5"/>
      <c r="OUW64" s="5"/>
      <c r="OUX64" s="5"/>
      <c r="OUY64" s="5"/>
      <c r="OUZ64" s="5"/>
      <c r="OVA64" s="5"/>
      <c r="OVB64" s="5"/>
      <c r="OVC64" s="5"/>
      <c r="OVD64" s="5"/>
      <c r="OVE64" s="5"/>
      <c r="OVF64" s="5"/>
      <c r="OVG64" s="5"/>
      <c r="OVH64" s="5"/>
      <c r="OVI64" s="5"/>
      <c r="OVJ64" s="5"/>
      <c r="OVK64" s="5"/>
      <c r="OVL64" s="5"/>
      <c r="OVM64" s="5"/>
      <c r="OVN64" s="5"/>
      <c r="OVO64" s="5"/>
      <c r="OVP64" s="5"/>
      <c r="OVQ64" s="5"/>
      <c r="OVR64" s="5"/>
      <c r="OVS64" s="5"/>
      <c r="OVT64" s="5"/>
      <c r="OVU64" s="5"/>
      <c r="OVV64" s="5"/>
      <c r="OVW64" s="5"/>
      <c r="OVX64" s="5"/>
      <c r="OVY64" s="5"/>
      <c r="OVZ64" s="5"/>
      <c r="OWA64" s="5"/>
      <c r="OWB64" s="5"/>
      <c r="OWC64" s="5"/>
      <c r="OWD64" s="5"/>
      <c r="OWE64" s="5"/>
      <c r="OWF64" s="5"/>
      <c r="OWG64" s="5"/>
      <c r="OWH64" s="5"/>
      <c r="OWI64" s="5"/>
      <c r="OWJ64" s="5"/>
      <c r="OWK64" s="5"/>
      <c r="OWL64" s="5"/>
      <c r="OWM64" s="5"/>
      <c r="OWN64" s="5"/>
      <c r="OWO64" s="5"/>
      <c r="OWP64" s="5"/>
      <c r="OWQ64" s="5"/>
      <c r="OWR64" s="5"/>
      <c r="OWS64" s="5"/>
      <c r="OWT64" s="5"/>
      <c r="OWU64" s="5"/>
      <c r="OWV64" s="5"/>
      <c r="OWW64" s="5"/>
      <c r="OWX64" s="5"/>
      <c r="OWY64" s="5"/>
      <c r="OWZ64" s="5"/>
      <c r="OXA64" s="5"/>
      <c r="OXB64" s="5"/>
      <c r="OXC64" s="5"/>
      <c r="OXD64" s="5"/>
      <c r="OXE64" s="5"/>
      <c r="OXF64" s="5"/>
      <c r="OXG64" s="5"/>
      <c r="OXH64" s="5"/>
      <c r="OXI64" s="5"/>
      <c r="OXJ64" s="5"/>
      <c r="OXK64" s="5"/>
      <c r="OXL64" s="5"/>
      <c r="OXM64" s="5"/>
      <c r="OXN64" s="5"/>
      <c r="OXO64" s="5"/>
      <c r="OXP64" s="5"/>
      <c r="OXQ64" s="5"/>
      <c r="OXR64" s="5"/>
      <c r="OXS64" s="5"/>
      <c r="OXT64" s="5"/>
      <c r="OXU64" s="5"/>
      <c r="OXV64" s="5"/>
      <c r="OXW64" s="5"/>
      <c r="OXX64" s="5"/>
      <c r="OXY64" s="5"/>
      <c r="OXZ64" s="5"/>
      <c r="OYA64" s="5"/>
      <c r="OYB64" s="5"/>
      <c r="OYC64" s="5"/>
      <c r="OYD64" s="5"/>
      <c r="OYE64" s="5"/>
      <c r="OYF64" s="5"/>
      <c r="OYG64" s="5"/>
      <c r="OYH64" s="5"/>
      <c r="OYI64" s="5"/>
      <c r="OYJ64" s="5"/>
      <c r="OYK64" s="5"/>
      <c r="OYL64" s="5"/>
      <c r="OYM64" s="5"/>
      <c r="OYN64" s="5"/>
      <c r="OYO64" s="5"/>
      <c r="OYP64" s="5"/>
      <c r="OYQ64" s="5"/>
      <c r="OYR64" s="5"/>
      <c r="OYS64" s="5"/>
      <c r="OYT64" s="5"/>
      <c r="OYU64" s="5"/>
      <c r="OYV64" s="5"/>
      <c r="OYW64" s="5"/>
      <c r="OYX64" s="5"/>
      <c r="OYY64" s="5"/>
      <c r="OYZ64" s="5"/>
      <c r="OZA64" s="5"/>
      <c r="OZB64" s="5"/>
      <c r="OZC64" s="5"/>
      <c r="OZD64" s="5"/>
      <c r="OZE64" s="5"/>
      <c r="OZF64" s="5"/>
      <c r="OZG64" s="5"/>
      <c r="OZH64" s="5"/>
      <c r="OZI64" s="5"/>
      <c r="OZJ64" s="5"/>
      <c r="OZK64" s="5"/>
      <c r="OZL64" s="5"/>
      <c r="OZM64" s="5"/>
      <c r="OZN64" s="5"/>
      <c r="OZO64" s="5"/>
      <c r="OZP64" s="5"/>
      <c r="OZQ64" s="5"/>
      <c r="OZR64" s="5"/>
      <c r="OZS64" s="5"/>
      <c r="OZT64" s="5"/>
      <c r="OZU64" s="5"/>
      <c r="OZV64" s="5"/>
      <c r="OZW64" s="5"/>
      <c r="OZX64" s="5"/>
      <c r="OZY64" s="5"/>
      <c r="OZZ64" s="5"/>
      <c r="PAA64" s="5"/>
      <c r="PAB64" s="5"/>
      <c r="PAC64" s="5"/>
      <c r="PAD64" s="5"/>
      <c r="PAE64" s="5"/>
      <c r="PAF64" s="5"/>
      <c r="PAG64" s="5"/>
      <c r="PAH64" s="5"/>
      <c r="PAI64" s="5"/>
      <c r="PAJ64" s="5"/>
      <c r="PAK64" s="5"/>
      <c r="PAL64" s="5"/>
      <c r="PAM64" s="5"/>
      <c r="PAN64" s="5"/>
      <c r="PAO64" s="5"/>
      <c r="PAP64" s="5"/>
      <c r="PAQ64" s="5"/>
      <c r="PAR64" s="5"/>
      <c r="PAS64" s="5"/>
      <c r="PAT64" s="5"/>
      <c r="PAU64" s="5"/>
      <c r="PAV64" s="5"/>
      <c r="PAW64" s="5"/>
      <c r="PAX64" s="5"/>
      <c r="PAY64" s="5"/>
      <c r="PAZ64" s="5"/>
      <c r="PBA64" s="5"/>
      <c r="PBB64" s="5"/>
      <c r="PBC64" s="5"/>
      <c r="PBD64" s="5"/>
      <c r="PBE64" s="5"/>
      <c r="PBF64" s="5"/>
      <c r="PBG64" s="5"/>
      <c r="PBH64" s="5"/>
      <c r="PBI64" s="5"/>
      <c r="PBJ64" s="5"/>
      <c r="PBK64" s="5"/>
      <c r="PBL64" s="5"/>
      <c r="PBM64" s="5"/>
      <c r="PBN64" s="5"/>
      <c r="PBO64" s="5"/>
      <c r="PBP64" s="5"/>
      <c r="PBQ64" s="5"/>
      <c r="PBR64" s="5"/>
      <c r="PBS64" s="5"/>
      <c r="PBT64" s="5"/>
      <c r="PBU64" s="5"/>
      <c r="PBV64" s="5"/>
      <c r="PBW64" s="5"/>
      <c r="PBX64" s="5"/>
      <c r="PBY64" s="5"/>
      <c r="PBZ64" s="5"/>
      <c r="PCA64" s="5"/>
      <c r="PCB64" s="5"/>
      <c r="PCC64" s="5"/>
      <c r="PCD64" s="5"/>
      <c r="PCE64" s="5"/>
      <c r="PCF64" s="5"/>
      <c r="PCG64" s="5"/>
      <c r="PCH64" s="5"/>
      <c r="PCI64" s="5"/>
      <c r="PCJ64" s="5"/>
      <c r="PCK64" s="5"/>
      <c r="PCL64" s="5"/>
      <c r="PCM64" s="5"/>
      <c r="PCN64" s="5"/>
      <c r="PCO64" s="5"/>
      <c r="PCP64" s="5"/>
      <c r="PCQ64" s="5"/>
      <c r="PCR64" s="5"/>
      <c r="PCS64" s="5"/>
      <c r="PCT64" s="5"/>
      <c r="PCU64" s="5"/>
      <c r="PCV64" s="5"/>
      <c r="PCW64" s="5"/>
      <c r="PCX64" s="5"/>
      <c r="PCY64" s="5"/>
      <c r="PCZ64" s="5"/>
      <c r="PDA64" s="5"/>
      <c r="PDB64" s="5"/>
      <c r="PDC64" s="5"/>
      <c r="PDD64" s="5"/>
      <c r="PDE64" s="5"/>
      <c r="PDF64" s="5"/>
      <c r="PDG64" s="5"/>
      <c r="PDH64" s="5"/>
      <c r="PDI64" s="5"/>
      <c r="PDJ64" s="5"/>
      <c r="PDK64" s="5"/>
      <c r="PDL64" s="5"/>
      <c r="PDM64" s="5"/>
      <c r="PDN64" s="5"/>
      <c r="PDO64" s="5"/>
      <c r="PDP64" s="5"/>
      <c r="PDQ64" s="5"/>
      <c r="PDR64" s="5"/>
      <c r="PDS64" s="5"/>
      <c r="PDT64" s="5"/>
      <c r="PDU64" s="5"/>
      <c r="PDV64" s="5"/>
      <c r="PDW64" s="5"/>
      <c r="PDX64" s="5"/>
      <c r="PDY64" s="5"/>
      <c r="PDZ64" s="5"/>
      <c r="PEA64" s="5"/>
      <c r="PEB64" s="5"/>
      <c r="PEC64" s="5"/>
      <c r="PED64" s="5"/>
      <c r="PEE64" s="5"/>
      <c r="PEF64" s="5"/>
      <c r="PEG64" s="5"/>
      <c r="PEH64" s="5"/>
      <c r="PEI64" s="5"/>
      <c r="PEJ64" s="5"/>
      <c r="PEK64" s="5"/>
      <c r="PEL64" s="5"/>
      <c r="PEM64" s="5"/>
      <c r="PEN64" s="5"/>
      <c r="PEO64" s="5"/>
      <c r="PEP64" s="5"/>
      <c r="PEQ64" s="5"/>
      <c r="PER64" s="5"/>
      <c r="PES64" s="5"/>
      <c r="PET64" s="5"/>
      <c r="PEU64" s="5"/>
      <c r="PEV64" s="5"/>
      <c r="PEW64" s="5"/>
      <c r="PEX64" s="5"/>
      <c r="PEY64" s="5"/>
      <c r="PEZ64" s="5"/>
      <c r="PFA64" s="5"/>
      <c r="PFB64" s="5"/>
      <c r="PFC64" s="5"/>
      <c r="PFD64" s="5"/>
      <c r="PFE64" s="5"/>
      <c r="PFF64" s="5"/>
      <c r="PFG64" s="5"/>
      <c r="PFH64" s="5"/>
      <c r="PFI64" s="5"/>
      <c r="PFJ64" s="5"/>
      <c r="PFK64" s="5"/>
      <c r="PFL64" s="5"/>
      <c r="PFM64" s="5"/>
      <c r="PFN64" s="5"/>
      <c r="PFO64" s="5"/>
      <c r="PFP64" s="5"/>
      <c r="PFQ64" s="5"/>
      <c r="PFR64" s="5"/>
      <c r="PFS64" s="5"/>
      <c r="PFT64" s="5"/>
      <c r="PFU64" s="5"/>
      <c r="PFV64" s="5"/>
      <c r="PFW64" s="5"/>
      <c r="PFX64" s="5"/>
      <c r="PFY64" s="5"/>
      <c r="PFZ64" s="5"/>
      <c r="PGA64" s="5"/>
      <c r="PGB64" s="5"/>
      <c r="PGC64" s="5"/>
      <c r="PGD64" s="5"/>
      <c r="PGE64" s="5"/>
      <c r="PGF64" s="5"/>
      <c r="PGG64" s="5"/>
      <c r="PGH64" s="5"/>
      <c r="PGI64" s="5"/>
      <c r="PGJ64" s="5"/>
      <c r="PGK64" s="5"/>
      <c r="PGL64" s="5"/>
      <c r="PGM64" s="5"/>
      <c r="PGN64" s="5"/>
      <c r="PGO64" s="5"/>
      <c r="PGP64" s="5"/>
      <c r="PGQ64" s="5"/>
      <c r="PGR64" s="5"/>
      <c r="PGS64" s="5"/>
      <c r="PGT64" s="5"/>
      <c r="PGU64" s="5"/>
      <c r="PGV64" s="5"/>
      <c r="PGW64" s="5"/>
      <c r="PGX64" s="5"/>
      <c r="PGY64" s="5"/>
      <c r="PGZ64" s="5"/>
      <c r="PHA64" s="5"/>
      <c r="PHB64" s="5"/>
      <c r="PHC64" s="5"/>
      <c r="PHD64" s="5"/>
      <c r="PHE64" s="5"/>
      <c r="PHF64" s="5"/>
      <c r="PHG64" s="5"/>
      <c r="PHH64" s="5"/>
      <c r="PHI64" s="5"/>
      <c r="PHJ64" s="5"/>
      <c r="PHK64" s="5"/>
      <c r="PHL64" s="5"/>
      <c r="PHM64" s="5"/>
      <c r="PHN64" s="5"/>
      <c r="PHO64" s="5"/>
      <c r="PHP64" s="5"/>
      <c r="PHQ64" s="5"/>
      <c r="PHR64" s="5"/>
      <c r="PHS64" s="5"/>
      <c r="PHT64" s="5"/>
      <c r="PHU64" s="5"/>
      <c r="PHV64" s="5"/>
      <c r="PHW64" s="5"/>
      <c r="PHX64" s="5"/>
      <c r="PHY64" s="5"/>
      <c r="PHZ64" s="5"/>
      <c r="PIA64" s="5"/>
      <c r="PIB64" s="5"/>
      <c r="PIC64" s="5"/>
      <c r="PID64" s="5"/>
      <c r="PIE64" s="5"/>
      <c r="PIF64" s="5"/>
      <c r="PIG64" s="5"/>
      <c r="PIH64" s="5"/>
      <c r="PII64" s="5"/>
      <c r="PIJ64" s="5"/>
      <c r="PIK64" s="5"/>
      <c r="PIL64" s="5"/>
      <c r="PIM64" s="5"/>
      <c r="PIN64" s="5"/>
      <c r="PIO64" s="5"/>
      <c r="PIP64" s="5"/>
      <c r="PIQ64" s="5"/>
      <c r="PIR64" s="5"/>
      <c r="PIS64" s="5"/>
      <c r="PIT64" s="5"/>
      <c r="PIU64" s="5"/>
      <c r="PIV64" s="5"/>
      <c r="PIW64" s="5"/>
      <c r="PIX64" s="5"/>
      <c r="PIY64" s="5"/>
      <c r="PIZ64" s="5"/>
      <c r="PJA64" s="5"/>
      <c r="PJB64" s="5"/>
      <c r="PJC64" s="5"/>
      <c r="PJD64" s="5"/>
      <c r="PJE64" s="5"/>
      <c r="PJF64" s="5"/>
      <c r="PJG64" s="5"/>
      <c r="PJH64" s="5"/>
      <c r="PJI64" s="5"/>
      <c r="PJJ64" s="5"/>
      <c r="PJK64" s="5"/>
      <c r="PJL64" s="5"/>
      <c r="PJM64" s="5"/>
      <c r="PJN64" s="5"/>
      <c r="PJO64" s="5"/>
      <c r="PJP64" s="5"/>
      <c r="PJQ64" s="5"/>
      <c r="PJR64" s="5"/>
      <c r="PJS64" s="5"/>
      <c r="PJT64" s="5"/>
      <c r="PJU64" s="5"/>
      <c r="PJV64" s="5"/>
      <c r="PJW64" s="5"/>
      <c r="PJX64" s="5"/>
      <c r="PJY64" s="5"/>
      <c r="PJZ64" s="5"/>
      <c r="PKA64" s="5"/>
      <c r="PKB64" s="5"/>
      <c r="PKC64" s="5"/>
      <c r="PKD64" s="5"/>
      <c r="PKE64" s="5"/>
      <c r="PKF64" s="5"/>
      <c r="PKG64" s="5"/>
      <c r="PKH64" s="5"/>
      <c r="PKI64" s="5"/>
      <c r="PKJ64" s="5"/>
      <c r="PKK64" s="5"/>
      <c r="PKL64" s="5"/>
      <c r="PKM64" s="5"/>
      <c r="PKN64" s="5"/>
      <c r="PKO64" s="5"/>
      <c r="PKP64" s="5"/>
      <c r="PKQ64" s="5"/>
      <c r="PKR64" s="5"/>
      <c r="PKS64" s="5"/>
      <c r="PKT64" s="5"/>
      <c r="PKU64" s="5"/>
      <c r="PKV64" s="5"/>
      <c r="PKW64" s="5"/>
      <c r="PKX64" s="5"/>
      <c r="PKY64" s="5"/>
      <c r="PKZ64" s="5"/>
      <c r="PLA64" s="5"/>
      <c r="PLB64" s="5"/>
      <c r="PLC64" s="5"/>
      <c r="PLD64" s="5"/>
      <c r="PLE64" s="5"/>
      <c r="PLF64" s="5"/>
      <c r="PLG64" s="5"/>
      <c r="PLH64" s="5"/>
      <c r="PLI64" s="5"/>
      <c r="PLJ64" s="5"/>
      <c r="PLK64" s="5"/>
      <c r="PLL64" s="5"/>
      <c r="PLM64" s="5"/>
      <c r="PLN64" s="5"/>
      <c r="PLO64" s="5"/>
      <c r="PLP64" s="5"/>
      <c r="PLQ64" s="5"/>
      <c r="PLR64" s="5"/>
      <c r="PLS64" s="5"/>
      <c r="PLT64" s="5"/>
      <c r="PLU64" s="5"/>
      <c r="PLV64" s="5"/>
      <c r="PLW64" s="5"/>
      <c r="PLX64" s="5"/>
      <c r="PLY64" s="5"/>
      <c r="PLZ64" s="5"/>
      <c r="PMA64" s="5"/>
      <c r="PMB64" s="5"/>
      <c r="PMC64" s="5"/>
      <c r="PMD64" s="5"/>
      <c r="PME64" s="5"/>
      <c r="PMF64" s="5"/>
      <c r="PMG64" s="5"/>
      <c r="PMH64" s="5"/>
      <c r="PMI64" s="5"/>
      <c r="PMJ64" s="5"/>
      <c r="PMK64" s="5"/>
      <c r="PML64" s="5"/>
      <c r="PMM64" s="5"/>
      <c r="PMN64" s="5"/>
      <c r="PMO64" s="5"/>
      <c r="PMP64" s="5"/>
      <c r="PMQ64" s="5"/>
      <c r="PMR64" s="5"/>
      <c r="PMS64" s="5"/>
      <c r="PMT64" s="5"/>
      <c r="PMU64" s="5"/>
      <c r="PMV64" s="5"/>
      <c r="PMW64" s="5"/>
      <c r="PMX64" s="5"/>
      <c r="PMY64" s="5"/>
      <c r="PMZ64" s="5"/>
      <c r="PNA64" s="5"/>
      <c r="PNB64" s="5"/>
      <c r="PNC64" s="5"/>
      <c r="PND64" s="5"/>
      <c r="PNE64" s="5"/>
      <c r="PNF64" s="5"/>
      <c r="PNG64" s="5"/>
      <c r="PNH64" s="5"/>
      <c r="PNI64" s="5"/>
      <c r="PNJ64" s="5"/>
      <c r="PNK64" s="5"/>
      <c r="PNL64" s="5"/>
      <c r="PNM64" s="5"/>
      <c r="PNN64" s="5"/>
      <c r="PNO64" s="5"/>
      <c r="PNP64" s="5"/>
      <c r="PNQ64" s="5"/>
      <c r="PNR64" s="5"/>
      <c r="PNS64" s="5"/>
      <c r="PNT64" s="5"/>
      <c r="PNU64" s="5"/>
      <c r="PNV64" s="5"/>
      <c r="PNW64" s="5"/>
      <c r="PNX64" s="5"/>
      <c r="PNY64" s="5"/>
      <c r="PNZ64" s="5"/>
      <c r="POA64" s="5"/>
      <c r="POB64" s="5"/>
      <c r="POC64" s="5"/>
      <c r="POD64" s="5"/>
      <c r="POE64" s="5"/>
      <c r="POF64" s="5"/>
      <c r="POG64" s="5"/>
      <c r="POH64" s="5"/>
      <c r="POI64" s="5"/>
      <c r="POJ64" s="5"/>
      <c r="POK64" s="5"/>
      <c r="POL64" s="5"/>
      <c r="POM64" s="5"/>
      <c r="PON64" s="5"/>
      <c r="POO64" s="5"/>
      <c r="POP64" s="5"/>
      <c r="POQ64" s="5"/>
      <c r="POR64" s="5"/>
      <c r="POS64" s="5"/>
      <c r="POT64" s="5"/>
      <c r="POU64" s="5"/>
      <c r="POV64" s="5"/>
      <c r="POW64" s="5"/>
      <c r="POX64" s="5"/>
      <c r="POY64" s="5"/>
      <c r="POZ64" s="5"/>
      <c r="PPA64" s="5"/>
      <c r="PPB64" s="5"/>
      <c r="PPC64" s="5"/>
      <c r="PPD64" s="5"/>
      <c r="PPE64" s="5"/>
      <c r="PPF64" s="5"/>
      <c r="PPG64" s="5"/>
      <c r="PPH64" s="5"/>
      <c r="PPI64" s="5"/>
      <c r="PPJ64" s="5"/>
      <c r="PPK64" s="5"/>
      <c r="PPL64" s="5"/>
      <c r="PPM64" s="5"/>
      <c r="PPN64" s="5"/>
      <c r="PPO64" s="5"/>
      <c r="PPP64" s="5"/>
      <c r="PPQ64" s="5"/>
      <c r="PPR64" s="5"/>
      <c r="PPS64" s="5"/>
      <c r="PPT64" s="5"/>
      <c r="PPU64" s="5"/>
      <c r="PPV64" s="5"/>
      <c r="PPW64" s="5"/>
      <c r="PPX64" s="5"/>
      <c r="PPY64" s="5"/>
      <c r="PPZ64" s="5"/>
      <c r="PQA64" s="5"/>
      <c r="PQB64" s="5"/>
      <c r="PQC64" s="5"/>
      <c r="PQD64" s="5"/>
      <c r="PQE64" s="5"/>
      <c r="PQF64" s="5"/>
      <c r="PQG64" s="5"/>
      <c r="PQH64" s="5"/>
      <c r="PQI64" s="5"/>
      <c r="PQJ64" s="5"/>
      <c r="PQK64" s="5"/>
      <c r="PQL64" s="5"/>
      <c r="PQM64" s="5"/>
      <c r="PQN64" s="5"/>
      <c r="PQO64" s="5"/>
      <c r="PQP64" s="5"/>
      <c r="PQQ64" s="5"/>
      <c r="PQR64" s="5"/>
      <c r="PQS64" s="5"/>
      <c r="PQT64" s="5"/>
      <c r="PQU64" s="5"/>
      <c r="PQV64" s="5"/>
      <c r="PQW64" s="5"/>
      <c r="PQX64" s="5"/>
      <c r="PQY64" s="5"/>
      <c r="PQZ64" s="5"/>
      <c r="PRA64" s="5"/>
      <c r="PRB64" s="5"/>
      <c r="PRC64" s="5"/>
      <c r="PRD64" s="5"/>
      <c r="PRE64" s="5"/>
      <c r="PRF64" s="5"/>
      <c r="PRG64" s="5"/>
      <c r="PRH64" s="5"/>
      <c r="PRI64" s="5"/>
      <c r="PRJ64" s="5"/>
      <c r="PRK64" s="5"/>
      <c r="PRL64" s="5"/>
      <c r="PRM64" s="5"/>
      <c r="PRN64" s="5"/>
      <c r="PRO64" s="5"/>
      <c r="PRP64" s="5"/>
      <c r="PRQ64" s="5"/>
      <c r="PRR64" s="5"/>
      <c r="PRS64" s="5"/>
      <c r="PRT64" s="5"/>
      <c r="PRU64" s="5"/>
      <c r="PRV64" s="5"/>
      <c r="PRW64" s="5"/>
      <c r="PRX64" s="5"/>
      <c r="PRY64" s="5"/>
      <c r="PRZ64" s="5"/>
      <c r="PSA64" s="5"/>
      <c r="PSB64" s="5"/>
      <c r="PSC64" s="5"/>
      <c r="PSD64" s="5"/>
      <c r="PSE64" s="5"/>
      <c r="PSF64" s="5"/>
      <c r="PSG64" s="5"/>
      <c r="PSH64" s="5"/>
      <c r="PSI64" s="5"/>
      <c r="PSJ64" s="5"/>
      <c r="PSK64" s="5"/>
      <c r="PSL64" s="5"/>
      <c r="PSM64" s="5"/>
      <c r="PSN64" s="5"/>
      <c r="PSO64" s="5"/>
      <c r="PSP64" s="5"/>
      <c r="PSQ64" s="5"/>
      <c r="PSR64" s="5"/>
      <c r="PSS64" s="5"/>
      <c r="PST64" s="5"/>
      <c r="PSU64" s="5"/>
      <c r="PSV64" s="5"/>
      <c r="PSW64" s="5"/>
      <c r="PSX64" s="5"/>
      <c r="PSY64" s="5"/>
      <c r="PSZ64" s="5"/>
      <c r="PTA64" s="5"/>
      <c r="PTB64" s="5"/>
      <c r="PTC64" s="5"/>
      <c r="PTD64" s="5"/>
      <c r="PTE64" s="5"/>
      <c r="PTF64" s="5"/>
      <c r="PTG64" s="5"/>
      <c r="PTH64" s="5"/>
      <c r="PTI64" s="5"/>
      <c r="PTJ64" s="5"/>
      <c r="PTK64" s="5"/>
      <c r="PTL64" s="5"/>
      <c r="PTM64" s="5"/>
      <c r="PTN64" s="5"/>
      <c r="PTO64" s="5"/>
      <c r="PTP64" s="5"/>
      <c r="PTQ64" s="5"/>
      <c r="PTR64" s="5"/>
      <c r="PTS64" s="5"/>
      <c r="PTT64" s="5"/>
      <c r="PTU64" s="5"/>
      <c r="PTV64" s="5"/>
      <c r="PTW64" s="5"/>
      <c r="PTX64" s="5"/>
      <c r="PTY64" s="5"/>
      <c r="PTZ64" s="5"/>
      <c r="PUA64" s="5"/>
      <c r="PUB64" s="5"/>
      <c r="PUC64" s="5"/>
      <c r="PUD64" s="5"/>
      <c r="PUE64" s="5"/>
      <c r="PUF64" s="5"/>
      <c r="PUG64" s="5"/>
      <c r="PUH64" s="5"/>
      <c r="PUI64" s="5"/>
      <c r="PUJ64" s="5"/>
      <c r="PUK64" s="5"/>
      <c r="PUL64" s="5"/>
      <c r="PUM64" s="5"/>
      <c r="PUN64" s="5"/>
      <c r="PUO64" s="5"/>
      <c r="PUP64" s="5"/>
      <c r="PUQ64" s="5"/>
      <c r="PUR64" s="5"/>
      <c r="PUS64" s="5"/>
      <c r="PUT64" s="5"/>
      <c r="PUU64" s="5"/>
      <c r="PUV64" s="5"/>
      <c r="PUW64" s="5"/>
      <c r="PUX64" s="5"/>
      <c r="PUY64" s="5"/>
      <c r="PUZ64" s="5"/>
      <c r="PVA64" s="5"/>
      <c r="PVB64" s="5"/>
      <c r="PVC64" s="5"/>
      <c r="PVD64" s="5"/>
      <c r="PVE64" s="5"/>
      <c r="PVF64" s="5"/>
      <c r="PVG64" s="5"/>
      <c r="PVH64" s="5"/>
      <c r="PVI64" s="5"/>
      <c r="PVJ64" s="5"/>
      <c r="PVK64" s="5"/>
      <c r="PVL64" s="5"/>
      <c r="PVM64" s="5"/>
      <c r="PVN64" s="5"/>
      <c r="PVO64" s="5"/>
      <c r="PVP64" s="5"/>
      <c r="PVQ64" s="5"/>
      <c r="PVR64" s="5"/>
      <c r="PVS64" s="5"/>
      <c r="PVT64" s="5"/>
      <c r="PVU64" s="5"/>
      <c r="PVV64" s="5"/>
      <c r="PVW64" s="5"/>
      <c r="PVX64" s="5"/>
      <c r="PVY64" s="5"/>
      <c r="PVZ64" s="5"/>
      <c r="PWA64" s="5"/>
      <c r="PWB64" s="5"/>
      <c r="PWC64" s="5"/>
      <c r="PWD64" s="5"/>
      <c r="PWE64" s="5"/>
      <c r="PWF64" s="5"/>
      <c r="PWG64" s="5"/>
      <c r="PWH64" s="5"/>
      <c r="PWI64" s="5"/>
      <c r="PWJ64" s="5"/>
      <c r="PWK64" s="5"/>
      <c r="PWL64" s="5"/>
      <c r="PWM64" s="5"/>
      <c r="PWN64" s="5"/>
      <c r="PWO64" s="5"/>
      <c r="PWP64" s="5"/>
      <c r="PWQ64" s="5"/>
      <c r="PWR64" s="5"/>
      <c r="PWS64" s="5"/>
      <c r="PWT64" s="5"/>
      <c r="PWU64" s="5"/>
      <c r="PWV64" s="5"/>
      <c r="PWW64" s="5"/>
      <c r="PWX64" s="5"/>
      <c r="PWY64" s="5"/>
      <c r="PWZ64" s="5"/>
      <c r="PXA64" s="5"/>
      <c r="PXB64" s="5"/>
      <c r="PXC64" s="5"/>
      <c r="PXD64" s="5"/>
      <c r="PXE64" s="5"/>
      <c r="PXF64" s="5"/>
      <c r="PXG64" s="5"/>
      <c r="PXH64" s="5"/>
      <c r="PXI64" s="5"/>
      <c r="PXJ64" s="5"/>
      <c r="PXK64" s="5"/>
      <c r="PXL64" s="5"/>
      <c r="PXM64" s="5"/>
      <c r="PXN64" s="5"/>
      <c r="PXO64" s="5"/>
      <c r="PXP64" s="5"/>
      <c r="PXQ64" s="5"/>
      <c r="PXR64" s="5"/>
      <c r="PXS64" s="5"/>
      <c r="PXT64" s="5"/>
      <c r="PXU64" s="5"/>
      <c r="PXV64" s="5"/>
      <c r="PXW64" s="5"/>
      <c r="PXX64" s="5"/>
      <c r="PXY64" s="5"/>
      <c r="PXZ64" s="5"/>
      <c r="PYA64" s="5"/>
      <c r="PYB64" s="5"/>
      <c r="PYC64" s="5"/>
      <c r="PYD64" s="5"/>
      <c r="PYE64" s="5"/>
      <c r="PYF64" s="5"/>
      <c r="PYG64" s="5"/>
      <c r="PYH64" s="5"/>
      <c r="PYI64" s="5"/>
      <c r="PYJ64" s="5"/>
      <c r="PYK64" s="5"/>
      <c r="PYL64" s="5"/>
      <c r="PYM64" s="5"/>
      <c r="PYN64" s="5"/>
      <c r="PYO64" s="5"/>
      <c r="PYP64" s="5"/>
      <c r="PYQ64" s="5"/>
      <c r="PYR64" s="5"/>
      <c r="PYS64" s="5"/>
      <c r="PYT64" s="5"/>
      <c r="PYU64" s="5"/>
      <c r="PYV64" s="5"/>
      <c r="PYW64" s="5"/>
      <c r="PYX64" s="5"/>
      <c r="PYY64" s="5"/>
      <c r="PYZ64" s="5"/>
      <c r="PZA64" s="5"/>
      <c r="PZB64" s="5"/>
      <c r="PZC64" s="5"/>
      <c r="PZD64" s="5"/>
      <c r="PZE64" s="5"/>
      <c r="PZF64" s="5"/>
      <c r="PZG64" s="5"/>
      <c r="PZH64" s="5"/>
      <c r="PZI64" s="5"/>
      <c r="PZJ64" s="5"/>
      <c r="PZK64" s="5"/>
      <c r="PZL64" s="5"/>
      <c r="PZM64" s="5"/>
      <c r="PZN64" s="5"/>
      <c r="PZO64" s="5"/>
      <c r="PZP64" s="5"/>
      <c r="PZQ64" s="5"/>
      <c r="PZR64" s="5"/>
      <c r="PZS64" s="5"/>
      <c r="PZT64" s="5"/>
      <c r="PZU64" s="5"/>
      <c r="PZV64" s="5"/>
      <c r="PZW64" s="5"/>
      <c r="PZX64" s="5"/>
      <c r="PZY64" s="5"/>
      <c r="PZZ64" s="5"/>
      <c r="QAA64" s="5"/>
      <c r="QAB64" s="5"/>
      <c r="QAC64" s="5"/>
      <c r="QAD64" s="5"/>
      <c r="QAE64" s="5"/>
      <c r="QAF64" s="5"/>
      <c r="QAG64" s="5"/>
      <c r="QAH64" s="5"/>
      <c r="QAI64" s="5"/>
      <c r="QAJ64" s="5"/>
      <c r="QAK64" s="5"/>
      <c r="QAL64" s="5"/>
      <c r="QAM64" s="5"/>
      <c r="QAN64" s="5"/>
      <c r="QAO64" s="5"/>
      <c r="QAP64" s="5"/>
      <c r="QAQ64" s="5"/>
      <c r="QAR64" s="5"/>
      <c r="QAS64" s="5"/>
      <c r="QAT64" s="5"/>
      <c r="QAU64" s="5"/>
      <c r="QAV64" s="5"/>
      <c r="QAW64" s="5"/>
      <c r="QAX64" s="5"/>
      <c r="QAY64" s="5"/>
      <c r="QAZ64" s="5"/>
      <c r="QBA64" s="5"/>
      <c r="QBB64" s="5"/>
      <c r="QBC64" s="5"/>
      <c r="QBD64" s="5"/>
      <c r="QBE64" s="5"/>
      <c r="QBF64" s="5"/>
      <c r="QBG64" s="5"/>
      <c r="QBH64" s="5"/>
      <c r="QBI64" s="5"/>
      <c r="QBJ64" s="5"/>
      <c r="QBK64" s="5"/>
      <c r="QBL64" s="5"/>
      <c r="QBM64" s="5"/>
      <c r="QBN64" s="5"/>
      <c r="QBO64" s="5"/>
      <c r="QBP64" s="5"/>
      <c r="QBQ64" s="5"/>
      <c r="QBR64" s="5"/>
      <c r="QBS64" s="5"/>
      <c r="QBT64" s="5"/>
      <c r="QBU64" s="5"/>
      <c r="QBV64" s="5"/>
      <c r="QBW64" s="5"/>
      <c r="QBX64" s="5"/>
      <c r="QBY64" s="5"/>
      <c r="QBZ64" s="5"/>
      <c r="QCA64" s="5"/>
      <c r="QCB64" s="5"/>
      <c r="QCC64" s="5"/>
      <c r="QCD64" s="5"/>
      <c r="QCE64" s="5"/>
      <c r="QCF64" s="5"/>
      <c r="QCG64" s="5"/>
      <c r="QCH64" s="5"/>
      <c r="QCI64" s="5"/>
      <c r="QCJ64" s="5"/>
      <c r="QCK64" s="5"/>
      <c r="QCL64" s="5"/>
      <c r="QCM64" s="5"/>
      <c r="QCN64" s="5"/>
      <c r="QCO64" s="5"/>
      <c r="QCP64" s="5"/>
      <c r="QCQ64" s="5"/>
      <c r="QCR64" s="5"/>
      <c r="QCS64" s="5"/>
      <c r="QCT64" s="5"/>
      <c r="QCU64" s="5"/>
      <c r="QCV64" s="5"/>
      <c r="QCW64" s="5"/>
      <c r="QCX64" s="5"/>
      <c r="QCY64" s="5"/>
      <c r="QCZ64" s="5"/>
      <c r="QDA64" s="5"/>
      <c r="QDB64" s="5"/>
      <c r="QDC64" s="5"/>
      <c r="QDD64" s="5"/>
      <c r="QDE64" s="5"/>
      <c r="QDF64" s="5"/>
      <c r="QDG64" s="5"/>
      <c r="QDH64" s="5"/>
      <c r="QDI64" s="5"/>
      <c r="QDJ64" s="5"/>
      <c r="QDK64" s="5"/>
      <c r="QDL64" s="5"/>
      <c r="QDM64" s="5"/>
      <c r="QDN64" s="5"/>
      <c r="QDO64" s="5"/>
      <c r="QDP64" s="5"/>
      <c r="QDQ64" s="5"/>
      <c r="QDR64" s="5"/>
      <c r="QDS64" s="5"/>
      <c r="QDT64" s="5"/>
      <c r="QDU64" s="5"/>
      <c r="QDV64" s="5"/>
      <c r="QDW64" s="5"/>
      <c r="QDX64" s="5"/>
      <c r="QDY64" s="5"/>
      <c r="QDZ64" s="5"/>
      <c r="QEA64" s="5"/>
      <c r="QEB64" s="5"/>
      <c r="QEC64" s="5"/>
      <c r="QED64" s="5"/>
      <c r="QEE64" s="5"/>
      <c r="QEF64" s="5"/>
      <c r="QEG64" s="5"/>
      <c r="QEH64" s="5"/>
      <c r="QEI64" s="5"/>
      <c r="QEJ64" s="5"/>
      <c r="QEK64" s="5"/>
      <c r="QEL64" s="5"/>
      <c r="QEM64" s="5"/>
      <c r="QEN64" s="5"/>
      <c r="QEO64" s="5"/>
      <c r="QEP64" s="5"/>
      <c r="QEQ64" s="5"/>
      <c r="QER64" s="5"/>
      <c r="QES64" s="5"/>
      <c r="QET64" s="5"/>
      <c r="QEU64" s="5"/>
      <c r="QEV64" s="5"/>
      <c r="QEW64" s="5"/>
      <c r="QEX64" s="5"/>
      <c r="QEY64" s="5"/>
      <c r="QEZ64" s="5"/>
      <c r="QFA64" s="5"/>
      <c r="QFB64" s="5"/>
      <c r="QFC64" s="5"/>
      <c r="QFD64" s="5"/>
      <c r="QFE64" s="5"/>
      <c r="QFF64" s="5"/>
      <c r="QFG64" s="5"/>
      <c r="QFH64" s="5"/>
      <c r="QFI64" s="5"/>
      <c r="QFJ64" s="5"/>
      <c r="QFK64" s="5"/>
      <c r="QFL64" s="5"/>
      <c r="QFM64" s="5"/>
      <c r="QFN64" s="5"/>
      <c r="QFO64" s="5"/>
      <c r="QFP64" s="5"/>
      <c r="QFQ64" s="5"/>
      <c r="QFR64" s="5"/>
      <c r="QFS64" s="5"/>
      <c r="QFT64" s="5"/>
      <c r="QFU64" s="5"/>
      <c r="QFV64" s="5"/>
      <c r="QFW64" s="5"/>
      <c r="QFX64" s="5"/>
      <c r="QFY64" s="5"/>
      <c r="QFZ64" s="5"/>
      <c r="QGA64" s="5"/>
      <c r="QGB64" s="5"/>
      <c r="QGC64" s="5"/>
      <c r="QGD64" s="5"/>
      <c r="QGE64" s="5"/>
      <c r="QGF64" s="5"/>
      <c r="QGG64" s="5"/>
      <c r="QGH64" s="5"/>
      <c r="QGI64" s="5"/>
      <c r="QGJ64" s="5"/>
      <c r="QGK64" s="5"/>
      <c r="QGL64" s="5"/>
      <c r="QGM64" s="5"/>
      <c r="QGN64" s="5"/>
      <c r="QGO64" s="5"/>
      <c r="QGP64" s="5"/>
      <c r="QGQ64" s="5"/>
      <c r="QGR64" s="5"/>
      <c r="QGS64" s="5"/>
      <c r="QGT64" s="5"/>
      <c r="QGU64" s="5"/>
      <c r="QGV64" s="5"/>
      <c r="QGW64" s="5"/>
      <c r="QGX64" s="5"/>
      <c r="QGY64" s="5"/>
      <c r="QGZ64" s="5"/>
      <c r="QHA64" s="5"/>
      <c r="QHB64" s="5"/>
      <c r="QHC64" s="5"/>
      <c r="QHD64" s="5"/>
      <c r="QHE64" s="5"/>
      <c r="QHF64" s="5"/>
      <c r="QHG64" s="5"/>
      <c r="QHH64" s="5"/>
      <c r="QHI64" s="5"/>
      <c r="QHJ64" s="5"/>
      <c r="QHK64" s="5"/>
      <c r="QHL64" s="5"/>
      <c r="QHM64" s="5"/>
      <c r="QHN64" s="5"/>
      <c r="QHO64" s="5"/>
      <c r="QHP64" s="5"/>
      <c r="QHQ64" s="5"/>
      <c r="QHR64" s="5"/>
      <c r="QHS64" s="5"/>
      <c r="QHT64" s="5"/>
      <c r="QHU64" s="5"/>
      <c r="QHV64" s="5"/>
      <c r="QHW64" s="5"/>
      <c r="QHX64" s="5"/>
      <c r="QHY64" s="5"/>
      <c r="QHZ64" s="5"/>
      <c r="QIA64" s="5"/>
      <c r="QIB64" s="5"/>
      <c r="QIC64" s="5"/>
      <c r="QID64" s="5"/>
      <c r="QIE64" s="5"/>
      <c r="QIF64" s="5"/>
      <c r="QIG64" s="5"/>
      <c r="QIH64" s="5"/>
      <c r="QII64" s="5"/>
      <c r="QIJ64" s="5"/>
      <c r="QIK64" s="5"/>
      <c r="QIL64" s="5"/>
      <c r="QIM64" s="5"/>
      <c r="QIN64" s="5"/>
      <c r="QIO64" s="5"/>
      <c r="QIP64" s="5"/>
      <c r="QIQ64" s="5"/>
      <c r="QIR64" s="5"/>
      <c r="QIS64" s="5"/>
      <c r="QIT64" s="5"/>
      <c r="QIU64" s="5"/>
      <c r="QIV64" s="5"/>
      <c r="QIW64" s="5"/>
      <c r="QIX64" s="5"/>
      <c r="QIY64" s="5"/>
      <c r="QIZ64" s="5"/>
      <c r="QJA64" s="5"/>
      <c r="QJB64" s="5"/>
      <c r="QJC64" s="5"/>
      <c r="QJD64" s="5"/>
      <c r="QJE64" s="5"/>
      <c r="QJF64" s="5"/>
      <c r="QJG64" s="5"/>
      <c r="QJH64" s="5"/>
      <c r="QJI64" s="5"/>
      <c r="QJJ64" s="5"/>
      <c r="QJK64" s="5"/>
      <c r="QJL64" s="5"/>
      <c r="QJM64" s="5"/>
      <c r="QJN64" s="5"/>
      <c r="QJO64" s="5"/>
      <c r="QJP64" s="5"/>
      <c r="QJQ64" s="5"/>
      <c r="QJR64" s="5"/>
      <c r="QJS64" s="5"/>
      <c r="QJT64" s="5"/>
      <c r="QJU64" s="5"/>
      <c r="QJV64" s="5"/>
      <c r="QJW64" s="5"/>
      <c r="QJX64" s="5"/>
      <c r="QJY64" s="5"/>
      <c r="QJZ64" s="5"/>
      <c r="QKA64" s="5"/>
      <c r="QKB64" s="5"/>
      <c r="QKC64" s="5"/>
      <c r="QKD64" s="5"/>
      <c r="QKE64" s="5"/>
      <c r="QKF64" s="5"/>
      <c r="QKG64" s="5"/>
      <c r="QKH64" s="5"/>
      <c r="QKI64" s="5"/>
      <c r="QKJ64" s="5"/>
      <c r="QKK64" s="5"/>
      <c r="QKL64" s="5"/>
      <c r="QKM64" s="5"/>
      <c r="QKN64" s="5"/>
      <c r="QKO64" s="5"/>
      <c r="QKP64" s="5"/>
      <c r="QKQ64" s="5"/>
      <c r="QKR64" s="5"/>
      <c r="QKS64" s="5"/>
      <c r="QKT64" s="5"/>
      <c r="QKU64" s="5"/>
      <c r="QKV64" s="5"/>
      <c r="QKW64" s="5"/>
      <c r="QKX64" s="5"/>
      <c r="QKY64" s="5"/>
      <c r="QKZ64" s="5"/>
      <c r="QLA64" s="5"/>
      <c r="QLB64" s="5"/>
      <c r="QLC64" s="5"/>
      <c r="QLD64" s="5"/>
      <c r="QLE64" s="5"/>
      <c r="QLF64" s="5"/>
      <c r="QLG64" s="5"/>
      <c r="QLH64" s="5"/>
      <c r="QLI64" s="5"/>
      <c r="QLJ64" s="5"/>
      <c r="QLK64" s="5"/>
      <c r="QLL64" s="5"/>
      <c r="QLM64" s="5"/>
      <c r="QLN64" s="5"/>
      <c r="QLO64" s="5"/>
      <c r="QLP64" s="5"/>
      <c r="QLQ64" s="5"/>
      <c r="QLR64" s="5"/>
      <c r="QLS64" s="5"/>
      <c r="QLT64" s="5"/>
      <c r="QLU64" s="5"/>
      <c r="QLV64" s="5"/>
      <c r="QLW64" s="5"/>
      <c r="QLX64" s="5"/>
      <c r="QLY64" s="5"/>
      <c r="QLZ64" s="5"/>
      <c r="QMA64" s="5"/>
      <c r="QMB64" s="5"/>
      <c r="QMC64" s="5"/>
      <c r="QMD64" s="5"/>
      <c r="QME64" s="5"/>
      <c r="QMF64" s="5"/>
      <c r="QMG64" s="5"/>
      <c r="QMH64" s="5"/>
      <c r="QMI64" s="5"/>
      <c r="QMJ64" s="5"/>
      <c r="QMK64" s="5"/>
      <c r="QML64" s="5"/>
      <c r="QMM64" s="5"/>
      <c r="QMN64" s="5"/>
      <c r="QMO64" s="5"/>
      <c r="QMP64" s="5"/>
      <c r="QMQ64" s="5"/>
      <c r="QMR64" s="5"/>
      <c r="QMS64" s="5"/>
      <c r="QMT64" s="5"/>
      <c r="QMU64" s="5"/>
      <c r="QMV64" s="5"/>
      <c r="QMW64" s="5"/>
      <c r="QMX64" s="5"/>
      <c r="QMY64" s="5"/>
      <c r="QMZ64" s="5"/>
      <c r="QNA64" s="5"/>
      <c r="QNB64" s="5"/>
      <c r="QNC64" s="5"/>
      <c r="QND64" s="5"/>
      <c r="QNE64" s="5"/>
      <c r="QNF64" s="5"/>
      <c r="QNG64" s="5"/>
      <c r="QNH64" s="5"/>
      <c r="QNI64" s="5"/>
      <c r="QNJ64" s="5"/>
      <c r="QNK64" s="5"/>
      <c r="QNL64" s="5"/>
      <c r="QNM64" s="5"/>
      <c r="QNN64" s="5"/>
      <c r="QNO64" s="5"/>
      <c r="QNP64" s="5"/>
      <c r="QNQ64" s="5"/>
      <c r="QNR64" s="5"/>
      <c r="QNS64" s="5"/>
      <c r="QNT64" s="5"/>
      <c r="QNU64" s="5"/>
      <c r="QNV64" s="5"/>
      <c r="QNW64" s="5"/>
      <c r="QNX64" s="5"/>
      <c r="QNY64" s="5"/>
      <c r="QNZ64" s="5"/>
      <c r="QOA64" s="5"/>
      <c r="QOB64" s="5"/>
      <c r="QOC64" s="5"/>
      <c r="QOD64" s="5"/>
      <c r="QOE64" s="5"/>
      <c r="QOF64" s="5"/>
      <c r="QOG64" s="5"/>
      <c r="QOH64" s="5"/>
      <c r="QOI64" s="5"/>
      <c r="QOJ64" s="5"/>
      <c r="QOK64" s="5"/>
      <c r="QOL64" s="5"/>
      <c r="QOM64" s="5"/>
      <c r="QON64" s="5"/>
      <c r="QOO64" s="5"/>
      <c r="QOP64" s="5"/>
      <c r="QOQ64" s="5"/>
      <c r="QOR64" s="5"/>
      <c r="QOS64" s="5"/>
      <c r="QOT64" s="5"/>
      <c r="QOU64" s="5"/>
      <c r="QOV64" s="5"/>
      <c r="QOW64" s="5"/>
      <c r="QOX64" s="5"/>
      <c r="QOY64" s="5"/>
      <c r="QOZ64" s="5"/>
      <c r="QPA64" s="5"/>
      <c r="QPB64" s="5"/>
      <c r="QPC64" s="5"/>
      <c r="QPD64" s="5"/>
      <c r="QPE64" s="5"/>
      <c r="QPF64" s="5"/>
      <c r="QPG64" s="5"/>
      <c r="QPH64" s="5"/>
      <c r="QPI64" s="5"/>
      <c r="QPJ64" s="5"/>
      <c r="QPK64" s="5"/>
      <c r="QPL64" s="5"/>
      <c r="QPM64" s="5"/>
      <c r="QPN64" s="5"/>
      <c r="QPO64" s="5"/>
      <c r="QPP64" s="5"/>
      <c r="QPQ64" s="5"/>
      <c r="QPR64" s="5"/>
      <c r="QPS64" s="5"/>
      <c r="QPT64" s="5"/>
      <c r="QPU64" s="5"/>
      <c r="QPV64" s="5"/>
      <c r="QPW64" s="5"/>
      <c r="QPX64" s="5"/>
      <c r="QPY64" s="5"/>
      <c r="QPZ64" s="5"/>
      <c r="QQA64" s="5"/>
      <c r="QQB64" s="5"/>
      <c r="QQC64" s="5"/>
      <c r="QQD64" s="5"/>
      <c r="QQE64" s="5"/>
      <c r="QQF64" s="5"/>
      <c r="QQG64" s="5"/>
      <c r="QQH64" s="5"/>
      <c r="QQI64" s="5"/>
      <c r="QQJ64" s="5"/>
      <c r="QQK64" s="5"/>
      <c r="QQL64" s="5"/>
      <c r="QQM64" s="5"/>
      <c r="QQN64" s="5"/>
      <c r="QQO64" s="5"/>
      <c r="QQP64" s="5"/>
      <c r="QQQ64" s="5"/>
      <c r="QQR64" s="5"/>
      <c r="QQS64" s="5"/>
      <c r="QQT64" s="5"/>
      <c r="QQU64" s="5"/>
      <c r="QQV64" s="5"/>
      <c r="QQW64" s="5"/>
      <c r="QQX64" s="5"/>
      <c r="QQY64" s="5"/>
      <c r="QQZ64" s="5"/>
      <c r="QRA64" s="5"/>
      <c r="QRB64" s="5"/>
      <c r="QRC64" s="5"/>
      <c r="QRD64" s="5"/>
      <c r="QRE64" s="5"/>
      <c r="QRF64" s="5"/>
      <c r="QRG64" s="5"/>
      <c r="QRH64" s="5"/>
      <c r="QRI64" s="5"/>
      <c r="QRJ64" s="5"/>
      <c r="QRK64" s="5"/>
      <c r="QRL64" s="5"/>
      <c r="QRM64" s="5"/>
      <c r="QRN64" s="5"/>
      <c r="QRO64" s="5"/>
      <c r="QRP64" s="5"/>
      <c r="QRQ64" s="5"/>
      <c r="QRR64" s="5"/>
      <c r="QRS64" s="5"/>
      <c r="QRT64" s="5"/>
      <c r="QRU64" s="5"/>
      <c r="QRV64" s="5"/>
      <c r="QRW64" s="5"/>
      <c r="QRX64" s="5"/>
      <c r="QRY64" s="5"/>
      <c r="QRZ64" s="5"/>
      <c r="QSA64" s="5"/>
      <c r="QSB64" s="5"/>
      <c r="QSC64" s="5"/>
      <c r="QSD64" s="5"/>
      <c r="QSE64" s="5"/>
      <c r="QSF64" s="5"/>
      <c r="QSG64" s="5"/>
      <c r="QSH64" s="5"/>
      <c r="QSI64" s="5"/>
      <c r="QSJ64" s="5"/>
      <c r="QSK64" s="5"/>
      <c r="QSL64" s="5"/>
      <c r="QSM64" s="5"/>
      <c r="QSN64" s="5"/>
      <c r="QSO64" s="5"/>
      <c r="QSP64" s="5"/>
      <c r="QSQ64" s="5"/>
      <c r="QSR64" s="5"/>
      <c r="QSS64" s="5"/>
      <c r="QST64" s="5"/>
      <c r="QSU64" s="5"/>
      <c r="QSV64" s="5"/>
      <c r="QSW64" s="5"/>
      <c r="QSX64" s="5"/>
      <c r="QSY64" s="5"/>
      <c r="QSZ64" s="5"/>
      <c r="QTA64" s="5"/>
      <c r="QTB64" s="5"/>
      <c r="QTC64" s="5"/>
      <c r="QTD64" s="5"/>
      <c r="QTE64" s="5"/>
      <c r="QTF64" s="5"/>
      <c r="QTG64" s="5"/>
      <c r="QTH64" s="5"/>
      <c r="QTI64" s="5"/>
      <c r="QTJ64" s="5"/>
      <c r="QTK64" s="5"/>
      <c r="QTL64" s="5"/>
      <c r="QTM64" s="5"/>
      <c r="QTN64" s="5"/>
      <c r="QTO64" s="5"/>
      <c r="QTP64" s="5"/>
      <c r="QTQ64" s="5"/>
      <c r="QTR64" s="5"/>
      <c r="QTS64" s="5"/>
      <c r="QTT64" s="5"/>
      <c r="QTU64" s="5"/>
      <c r="QTV64" s="5"/>
      <c r="QTW64" s="5"/>
      <c r="QTX64" s="5"/>
      <c r="QTY64" s="5"/>
      <c r="QTZ64" s="5"/>
      <c r="QUA64" s="5"/>
      <c r="QUB64" s="5"/>
      <c r="QUC64" s="5"/>
      <c r="QUD64" s="5"/>
      <c r="QUE64" s="5"/>
      <c r="QUF64" s="5"/>
      <c r="QUG64" s="5"/>
      <c r="QUH64" s="5"/>
      <c r="QUI64" s="5"/>
      <c r="QUJ64" s="5"/>
      <c r="QUK64" s="5"/>
      <c r="QUL64" s="5"/>
      <c r="QUM64" s="5"/>
      <c r="QUN64" s="5"/>
      <c r="QUO64" s="5"/>
      <c r="QUP64" s="5"/>
      <c r="QUQ64" s="5"/>
      <c r="QUR64" s="5"/>
      <c r="QUS64" s="5"/>
      <c r="QUT64" s="5"/>
      <c r="QUU64" s="5"/>
      <c r="QUV64" s="5"/>
      <c r="QUW64" s="5"/>
      <c r="QUX64" s="5"/>
      <c r="QUY64" s="5"/>
      <c r="QUZ64" s="5"/>
      <c r="QVA64" s="5"/>
      <c r="QVB64" s="5"/>
      <c r="QVC64" s="5"/>
      <c r="QVD64" s="5"/>
      <c r="QVE64" s="5"/>
      <c r="QVF64" s="5"/>
      <c r="QVG64" s="5"/>
      <c r="QVH64" s="5"/>
      <c r="QVI64" s="5"/>
      <c r="QVJ64" s="5"/>
      <c r="QVK64" s="5"/>
      <c r="QVL64" s="5"/>
      <c r="QVM64" s="5"/>
      <c r="QVN64" s="5"/>
      <c r="QVO64" s="5"/>
      <c r="QVP64" s="5"/>
      <c r="QVQ64" s="5"/>
      <c r="QVR64" s="5"/>
      <c r="QVS64" s="5"/>
      <c r="QVT64" s="5"/>
      <c r="QVU64" s="5"/>
      <c r="QVV64" s="5"/>
      <c r="QVW64" s="5"/>
      <c r="QVX64" s="5"/>
      <c r="QVY64" s="5"/>
      <c r="QVZ64" s="5"/>
      <c r="QWA64" s="5"/>
      <c r="QWB64" s="5"/>
      <c r="QWC64" s="5"/>
      <c r="QWD64" s="5"/>
      <c r="QWE64" s="5"/>
      <c r="QWF64" s="5"/>
      <c r="QWG64" s="5"/>
      <c r="QWH64" s="5"/>
      <c r="QWI64" s="5"/>
      <c r="QWJ64" s="5"/>
      <c r="QWK64" s="5"/>
      <c r="QWL64" s="5"/>
      <c r="QWM64" s="5"/>
      <c r="QWN64" s="5"/>
      <c r="QWO64" s="5"/>
      <c r="QWP64" s="5"/>
      <c r="QWQ64" s="5"/>
      <c r="QWR64" s="5"/>
      <c r="QWS64" s="5"/>
      <c r="QWT64" s="5"/>
      <c r="QWU64" s="5"/>
      <c r="QWV64" s="5"/>
      <c r="QWW64" s="5"/>
      <c r="QWX64" s="5"/>
      <c r="QWY64" s="5"/>
      <c r="QWZ64" s="5"/>
      <c r="QXA64" s="5"/>
      <c r="QXB64" s="5"/>
      <c r="QXC64" s="5"/>
      <c r="QXD64" s="5"/>
      <c r="QXE64" s="5"/>
      <c r="QXF64" s="5"/>
      <c r="QXG64" s="5"/>
      <c r="QXH64" s="5"/>
      <c r="QXI64" s="5"/>
      <c r="QXJ64" s="5"/>
      <c r="QXK64" s="5"/>
      <c r="QXL64" s="5"/>
      <c r="QXM64" s="5"/>
      <c r="QXN64" s="5"/>
      <c r="QXO64" s="5"/>
      <c r="QXP64" s="5"/>
      <c r="QXQ64" s="5"/>
      <c r="QXR64" s="5"/>
      <c r="QXS64" s="5"/>
      <c r="QXT64" s="5"/>
      <c r="QXU64" s="5"/>
      <c r="QXV64" s="5"/>
      <c r="QXW64" s="5"/>
      <c r="QXX64" s="5"/>
      <c r="QXY64" s="5"/>
      <c r="QXZ64" s="5"/>
      <c r="QYA64" s="5"/>
      <c r="QYB64" s="5"/>
      <c r="QYC64" s="5"/>
      <c r="QYD64" s="5"/>
      <c r="QYE64" s="5"/>
      <c r="QYF64" s="5"/>
      <c r="QYG64" s="5"/>
      <c r="QYH64" s="5"/>
      <c r="QYI64" s="5"/>
      <c r="QYJ64" s="5"/>
      <c r="QYK64" s="5"/>
      <c r="QYL64" s="5"/>
      <c r="QYM64" s="5"/>
      <c r="QYN64" s="5"/>
      <c r="QYO64" s="5"/>
      <c r="QYP64" s="5"/>
      <c r="QYQ64" s="5"/>
      <c r="QYR64" s="5"/>
      <c r="QYS64" s="5"/>
      <c r="QYT64" s="5"/>
      <c r="QYU64" s="5"/>
      <c r="QYV64" s="5"/>
      <c r="QYW64" s="5"/>
      <c r="QYX64" s="5"/>
      <c r="QYY64" s="5"/>
      <c r="QYZ64" s="5"/>
      <c r="QZA64" s="5"/>
      <c r="QZB64" s="5"/>
      <c r="QZC64" s="5"/>
      <c r="QZD64" s="5"/>
      <c r="QZE64" s="5"/>
      <c r="QZF64" s="5"/>
      <c r="QZG64" s="5"/>
      <c r="QZH64" s="5"/>
      <c r="QZI64" s="5"/>
      <c r="QZJ64" s="5"/>
      <c r="QZK64" s="5"/>
      <c r="QZL64" s="5"/>
      <c r="QZM64" s="5"/>
      <c r="QZN64" s="5"/>
      <c r="QZO64" s="5"/>
      <c r="QZP64" s="5"/>
      <c r="QZQ64" s="5"/>
      <c r="QZR64" s="5"/>
      <c r="QZS64" s="5"/>
      <c r="QZT64" s="5"/>
      <c r="QZU64" s="5"/>
      <c r="QZV64" s="5"/>
      <c r="QZW64" s="5"/>
      <c r="QZX64" s="5"/>
      <c r="QZY64" s="5"/>
      <c r="QZZ64" s="5"/>
      <c r="RAA64" s="5"/>
      <c r="RAB64" s="5"/>
      <c r="RAC64" s="5"/>
      <c r="RAD64" s="5"/>
      <c r="RAE64" s="5"/>
      <c r="RAF64" s="5"/>
      <c r="RAG64" s="5"/>
      <c r="RAH64" s="5"/>
      <c r="RAI64" s="5"/>
      <c r="RAJ64" s="5"/>
      <c r="RAK64" s="5"/>
      <c r="RAL64" s="5"/>
      <c r="RAM64" s="5"/>
      <c r="RAN64" s="5"/>
      <c r="RAO64" s="5"/>
      <c r="RAP64" s="5"/>
      <c r="RAQ64" s="5"/>
      <c r="RAR64" s="5"/>
      <c r="RAS64" s="5"/>
      <c r="RAT64" s="5"/>
      <c r="RAU64" s="5"/>
      <c r="RAV64" s="5"/>
      <c r="RAW64" s="5"/>
      <c r="RAX64" s="5"/>
      <c r="RAY64" s="5"/>
      <c r="RAZ64" s="5"/>
      <c r="RBA64" s="5"/>
      <c r="RBB64" s="5"/>
      <c r="RBC64" s="5"/>
      <c r="RBD64" s="5"/>
      <c r="RBE64" s="5"/>
      <c r="RBF64" s="5"/>
      <c r="RBG64" s="5"/>
      <c r="RBH64" s="5"/>
      <c r="RBI64" s="5"/>
      <c r="RBJ64" s="5"/>
      <c r="RBK64" s="5"/>
      <c r="RBL64" s="5"/>
      <c r="RBM64" s="5"/>
      <c r="RBN64" s="5"/>
      <c r="RBO64" s="5"/>
      <c r="RBP64" s="5"/>
      <c r="RBQ64" s="5"/>
      <c r="RBR64" s="5"/>
      <c r="RBS64" s="5"/>
      <c r="RBT64" s="5"/>
      <c r="RBU64" s="5"/>
      <c r="RBV64" s="5"/>
      <c r="RBW64" s="5"/>
      <c r="RBX64" s="5"/>
      <c r="RBY64" s="5"/>
      <c r="RBZ64" s="5"/>
      <c r="RCA64" s="5"/>
      <c r="RCB64" s="5"/>
      <c r="RCC64" s="5"/>
      <c r="RCD64" s="5"/>
      <c r="RCE64" s="5"/>
      <c r="RCF64" s="5"/>
      <c r="RCG64" s="5"/>
      <c r="RCH64" s="5"/>
      <c r="RCI64" s="5"/>
      <c r="RCJ64" s="5"/>
      <c r="RCK64" s="5"/>
      <c r="RCL64" s="5"/>
      <c r="RCM64" s="5"/>
      <c r="RCN64" s="5"/>
      <c r="RCO64" s="5"/>
      <c r="RCP64" s="5"/>
      <c r="RCQ64" s="5"/>
      <c r="RCR64" s="5"/>
      <c r="RCS64" s="5"/>
      <c r="RCT64" s="5"/>
      <c r="RCU64" s="5"/>
      <c r="RCV64" s="5"/>
      <c r="RCW64" s="5"/>
      <c r="RCX64" s="5"/>
      <c r="RCY64" s="5"/>
      <c r="RCZ64" s="5"/>
      <c r="RDA64" s="5"/>
      <c r="RDB64" s="5"/>
      <c r="RDC64" s="5"/>
      <c r="RDD64" s="5"/>
      <c r="RDE64" s="5"/>
      <c r="RDF64" s="5"/>
      <c r="RDG64" s="5"/>
      <c r="RDH64" s="5"/>
      <c r="RDI64" s="5"/>
      <c r="RDJ64" s="5"/>
      <c r="RDK64" s="5"/>
      <c r="RDL64" s="5"/>
      <c r="RDM64" s="5"/>
      <c r="RDN64" s="5"/>
      <c r="RDO64" s="5"/>
      <c r="RDP64" s="5"/>
      <c r="RDQ64" s="5"/>
      <c r="RDR64" s="5"/>
      <c r="RDS64" s="5"/>
      <c r="RDT64" s="5"/>
      <c r="RDU64" s="5"/>
      <c r="RDV64" s="5"/>
      <c r="RDW64" s="5"/>
      <c r="RDX64" s="5"/>
      <c r="RDY64" s="5"/>
      <c r="RDZ64" s="5"/>
      <c r="REA64" s="5"/>
      <c r="REB64" s="5"/>
      <c r="REC64" s="5"/>
      <c r="RED64" s="5"/>
      <c r="REE64" s="5"/>
      <c r="REF64" s="5"/>
      <c r="REG64" s="5"/>
      <c r="REH64" s="5"/>
      <c r="REI64" s="5"/>
      <c r="REJ64" s="5"/>
      <c r="REK64" s="5"/>
      <c r="REL64" s="5"/>
      <c r="REM64" s="5"/>
      <c r="REN64" s="5"/>
      <c r="REO64" s="5"/>
      <c r="REP64" s="5"/>
      <c r="REQ64" s="5"/>
      <c r="RER64" s="5"/>
      <c r="RES64" s="5"/>
      <c r="RET64" s="5"/>
      <c r="REU64" s="5"/>
      <c r="REV64" s="5"/>
      <c r="REW64" s="5"/>
      <c r="REX64" s="5"/>
      <c r="REY64" s="5"/>
      <c r="REZ64" s="5"/>
      <c r="RFA64" s="5"/>
      <c r="RFB64" s="5"/>
      <c r="RFC64" s="5"/>
      <c r="RFD64" s="5"/>
      <c r="RFE64" s="5"/>
      <c r="RFF64" s="5"/>
      <c r="RFG64" s="5"/>
      <c r="RFH64" s="5"/>
      <c r="RFI64" s="5"/>
      <c r="RFJ64" s="5"/>
      <c r="RFK64" s="5"/>
      <c r="RFL64" s="5"/>
      <c r="RFM64" s="5"/>
      <c r="RFN64" s="5"/>
      <c r="RFO64" s="5"/>
      <c r="RFP64" s="5"/>
      <c r="RFQ64" s="5"/>
      <c r="RFR64" s="5"/>
      <c r="RFS64" s="5"/>
      <c r="RFT64" s="5"/>
      <c r="RFU64" s="5"/>
      <c r="RFV64" s="5"/>
      <c r="RFW64" s="5"/>
      <c r="RFX64" s="5"/>
      <c r="RFY64" s="5"/>
      <c r="RFZ64" s="5"/>
      <c r="RGA64" s="5"/>
      <c r="RGB64" s="5"/>
      <c r="RGC64" s="5"/>
      <c r="RGD64" s="5"/>
      <c r="RGE64" s="5"/>
      <c r="RGF64" s="5"/>
      <c r="RGG64" s="5"/>
      <c r="RGH64" s="5"/>
      <c r="RGI64" s="5"/>
      <c r="RGJ64" s="5"/>
      <c r="RGK64" s="5"/>
      <c r="RGL64" s="5"/>
      <c r="RGM64" s="5"/>
      <c r="RGN64" s="5"/>
      <c r="RGO64" s="5"/>
      <c r="RGP64" s="5"/>
      <c r="RGQ64" s="5"/>
      <c r="RGR64" s="5"/>
      <c r="RGS64" s="5"/>
      <c r="RGT64" s="5"/>
      <c r="RGU64" s="5"/>
      <c r="RGV64" s="5"/>
      <c r="RGW64" s="5"/>
      <c r="RGX64" s="5"/>
      <c r="RGY64" s="5"/>
      <c r="RGZ64" s="5"/>
      <c r="RHA64" s="5"/>
      <c r="RHB64" s="5"/>
      <c r="RHC64" s="5"/>
      <c r="RHD64" s="5"/>
      <c r="RHE64" s="5"/>
      <c r="RHF64" s="5"/>
      <c r="RHG64" s="5"/>
      <c r="RHH64" s="5"/>
      <c r="RHI64" s="5"/>
      <c r="RHJ64" s="5"/>
      <c r="RHK64" s="5"/>
      <c r="RHL64" s="5"/>
      <c r="RHM64" s="5"/>
      <c r="RHN64" s="5"/>
      <c r="RHO64" s="5"/>
      <c r="RHP64" s="5"/>
      <c r="RHQ64" s="5"/>
      <c r="RHR64" s="5"/>
      <c r="RHS64" s="5"/>
      <c r="RHT64" s="5"/>
      <c r="RHU64" s="5"/>
      <c r="RHV64" s="5"/>
      <c r="RHW64" s="5"/>
      <c r="RHX64" s="5"/>
      <c r="RHY64" s="5"/>
      <c r="RHZ64" s="5"/>
      <c r="RIA64" s="5"/>
      <c r="RIB64" s="5"/>
      <c r="RIC64" s="5"/>
      <c r="RID64" s="5"/>
      <c r="RIE64" s="5"/>
      <c r="RIF64" s="5"/>
      <c r="RIG64" s="5"/>
      <c r="RIH64" s="5"/>
      <c r="RII64" s="5"/>
      <c r="RIJ64" s="5"/>
      <c r="RIK64" s="5"/>
      <c r="RIL64" s="5"/>
      <c r="RIM64" s="5"/>
      <c r="RIN64" s="5"/>
      <c r="RIO64" s="5"/>
      <c r="RIP64" s="5"/>
      <c r="RIQ64" s="5"/>
      <c r="RIR64" s="5"/>
      <c r="RIS64" s="5"/>
      <c r="RIT64" s="5"/>
      <c r="RIU64" s="5"/>
      <c r="RIV64" s="5"/>
      <c r="RIW64" s="5"/>
      <c r="RIX64" s="5"/>
      <c r="RIY64" s="5"/>
      <c r="RIZ64" s="5"/>
      <c r="RJA64" s="5"/>
      <c r="RJB64" s="5"/>
      <c r="RJC64" s="5"/>
      <c r="RJD64" s="5"/>
      <c r="RJE64" s="5"/>
      <c r="RJF64" s="5"/>
      <c r="RJG64" s="5"/>
      <c r="RJH64" s="5"/>
      <c r="RJI64" s="5"/>
      <c r="RJJ64" s="5"/>
      <c r="RJK64" s="5"/>
      <c r="RJL64" s="5"/>
      <c r="RJM64" s="5"/>
      <c r="RJN64" s="5"/>
      <c r="RJO64" s="5"/>
      <c r="RJP64" s="5"/>
      <c r="RJQ64" s="5"/>
      <c r="RJR64" s="5"/>
      <c r="RJS64" s="5"/>
      <c r="RJT64" s="5"/>
      <c r="RJU64" s="5"/>
      <c r="RJV64" s="5"/>
      <c r="RJW64" s="5"/>
      <c r="RJX64" s="5"/>
      <c r="RJY64" s="5"/>
      <c r="RJZ64" s="5"/>
      <c r="RKA64" s="5"/>
      <c r="RKB64" s="5"/>
      <c r="RKC64" s="5"/>
      <c r="RKD64" s="5"/>
      <c r="RKE64" s="5"/>
      <c r="RKF64" s="5"/>
      <c r="RKG64" s="5"/>
      <c r="RKH64" s="5"/>
      <c r="RKI64" s="5"/>
      <c r="RKJ64" s="5"/>
      <c r="RKK64" s="5"/>
      <c r="RKL64" s="5"/>
      <c r="RKM64" s="5"/>
      <c r="RKN64" s="5"/>
      <c r="RKO64" s="5"/>
      <c r="RKP64" s="5"/>
      <c r="RKQ64" s="5"/>
      <c r="RKR64" s="5"/>
      <c r="RKS64" s="5"/>
      <c r="RKT64" s="5"/>
      <c r="RKU64" s="5"/>
      <c r="RKV64" s="5"/>
      <c r="RKW64" s="5"/>
      <c r="RKX64" s="5"/>
      <c r="RKY64" s="5"/>
      <c r="RKZ64" s="5"/>
      <c r="RLA64" s="5"/>
      <c r="RLB64" s="5"/>
      <c r="RLC64" s="5"/>
      <c r="RLD64" s="5"/>
      <c r="RLE64" s="5"/>
      <c r="RLF64" s="5"/>
      <c r="RLG64" s="5"/>
      <c r="RLH64" s="5"/>
      <c r="RLI64" s="5"/>
      <c r="RLJ64" s="5"/>
      <c r="RLK64" s="5"/>
      <c r="RLL64" s="5"/>
      <c r="RLM64" s="5"/>
      <c r="RLN64" s="5"/>
      <c r="RLO64" s="5"/>
      <c r="RLP64" s="5"/>
      <c r="RLQ64" s="5"/>
      <c r="RLR64" s="5"/>
      <c r="RLS64" s="5"/>
      <c r="RLT64" s="5"/>
      <c r="RLU64" s="5"/>
      <c r="RLV64" s="5"/>
      <c r="RLW64" s="5"/>
      <c r="RLX64" s="5"/>
      <c r="RLY64" s="5"/>
      <c r="RLZ64" s="5"/>
      <c r="RMA64" s="5"/>
      <c r="RMB64" s="5"/>
      <c r="RMC64" s="5"/>
      <c r="RMD64" s="5"/>
      <c r="RME64" s="5"/>
      <c r="RMF64" s="5"/>
      <c r="RMG64" s="5"/>
      <c r="RMH64" s="5"/>
      <c r="RMI64" s="5"/>
      <c r="RMJ64" s="5"/>
      <c r="RMK64" s="5"/>
      <c r="RML64" s="5"/>
      <c r="RMM64" s="5"/>
      <c r="RMN64" s="5"/>
      <c r="RMO64" s="5"/>
      <c r="RMP64" s="5"/>
      <c r="RMQ64" s="5"/>
      <c r="RMR64" s="5"/>
      <c r="RMS64" s="5"/>
      <c r="RMT64" s="5"/>
      <c r="RMU64" s="5"/>
      <c r="RMV64" s="5"/>
      <c r="RMW64" s="5"/>
      <c r="RMX64" s="5"/>
      <c r="RMY64" s="5"/>
      <c r="RMZ64" s="5"/>
      <c r="RNA64" s="5"/>
      <c r="RNB64" s="5"/>
      <c r="RNC64" s="5"/>
      <c r="RND64" s="5"/>
      <c r="RNE64" s="5"/>
      <c r="RNF64" s="5"/>
      <c r="RNG64" s="5"/>
      <c r="RNH64" s="5"/>
      <c r="RNI64" s="5"/>
      <c r="RNJ64" s="5"/>
      <c r="RNK64" s="5"/>
      <c r="RNL64" s="5"/>
      <c r="RNM64" s="5"/>
      <c r="RNN64" s="5"/>
      <c r="RNO64" s="5"/>
      <c r="RNP64" s="5"/>
      <c r="RNQ64" s="5"/>
      <c r="RNR64" s="5"/>
      <c r="RNS64" s="5"/>
      <c r="RNT64" s="5"/>
      <c r="RNU64" s="5"/>
      <c r="RNV64" s="5"/>
      <c r="RNW64" s="5"/>
      <c r="RNX64" s="5"/>
      <c r="RNY64" s="5"/>
      <c r="RNZ64" s="5"/>
      <c r="ROA64" s="5"/>
      <c r="ROB64" s="5"/>
      <c r="ROC64" s="5"/>
      <c r="ROD64" s="5"/>
      <c r="ROE64" s="5"/>
      <c r="ROF64" s="5"/>
      <c r="ROG64" s="5"/>
      <c r="ROH64" s="5"/>
      <c r="ROI64" s="5"/>
      <c r="ROJ64" s="5"/>
      <c r="ROK64" s="5"/>
      <c r="ROL64" s="5"/>
      <c r="ROM64" s="5"/>
      <c r="RON64" s="5"/>
      <c r="ROO64" s="5"/>
      <c r="ROP64" s="5"/>
      <c r="ROQ64" s="5"/>
      <c r="ROR64" s="5"/>
      <c r="ROS64" s="5"/>
      <c r="ROT64" s="5"/>
      <c r="ROU64" s="5"/>
      <c r="ROV64" s="5"/>
      <c r="ROW64" s="5"/>
      <c r="ROX64" s="5"/>
      <c r="ROY64" s="5"/>
      <c r="ROZ64" s="5"/>
      <c r="RPA64" s="5"/>
      <c r="RPB64" s="5"/>
      <c r="RPC64" s="5"/>
      <c r="RPD64" s="5"/>
      <c r="RPE64" s="5"/>
      <c r="RPF64" s="5"/>
      <c r="RPG64" s="5"/>
      <c r="RPH64" s="5"/>
      <c r="RPI64" s="5"/>
      <c r="RPJ64" s="5"/>
      <c r="RPK64" s="5"/>
      <c r="RPL64" s="5"/>
      <c r="RPM64" s="5"/>
      <c r="RPN64" s="5"/>
      <c r="RPO64" s="5"/>
      <c r="RPP64" s="5"/>
      <c r="RPQ64" s="5"/>
      <c r="RPR64" s="5"/>
      <c r="RPS64" s="5"/>
      <c r="RPT64" s="5"/>
      <c r="RPU64" s="5"/>
      <c r="RPV64" s="5"/>
      <c r="RPW64" s="5"/>
      <c r="RPX64" s="5"/>
      <c r="RPY64" s="5"/>
      <c r="RPZ64" s="5"/>
      <c r="RQA64" s="5"/>
      <c r="RQB64" s="5"/>
      <c r="RQC64" s="5"/>
      <c r="RQD64" s="5"/>
      <c r="RQE64" s="5"/>
      <c r="RQF64" s="5"/>
      <c r="RQG64" s="5"/>
      <c r="RQH64" s="5"/>
      <c r="RQI64" s="5"/>
      <c r="RQJ64" s="5"/>
      <c r="RQK64" s="5"/>
      <c r="RQL64" s="5"/>
      <c r="RQM64" s="5"/>
      <c r="RQN64" s="5"/>
      <c r="RQO64" s="5"/>
      <c r="RQP64" s="5"/>
      <c r="RQQ64" s="5"/>
      <c r="RQR64" s="5"/>
      <c r="RQS64" s="5"/>
      <c r="RQT64" s="5"/>
      <c r="RQU64" s="5"/>
      <c r="RQV64" s="5"/>
      <c r="RQW64" s="5"/>
      <c r="RQX64" s="5"/>
      <c r="RQY64" s="5"/>
      <c r="RQZ64" s="5"/>
      <c r="RRA64" s="5"/>
      <c r="RRB64" s="5"/>
      <c r="RRC64" s="5"/>
      <c r="RRD64" s="5"/>
      <c r="RRE64" s="5"/>
      <c r="RRF64" s="5"/>
      <c r="RRG64" s="5"/>
      <c r="RRH64" s="5"/>
      <c r="RRI64" s="5"/>
      <c r="RRJ64" s="5"/>
      <c r="RRK64" s="5"/>
      <c r="RRL64" s="5"/>
      <c r="RRM64" s="5"/>
      <c r="RRN64" s="5"/>
      <c r="RRO64" s="5"/>
      <c r="RRP64" s="5"/>
      <c r="RRQ64" s="5"/>
      <c r="RRR64" s="5"/>
      <c r="RRS64" s="5"/>
      <c r="RRT64" s="5"/>
      <c r="RRU64" s="5"/>
      <c r="RRV64" s="5"/>
      <c r="RRW64" s="5"/>
      <c r="RRX64" s="5"/>
      <c r="RRY64" s="5"/>
      <c r="RRZ64" s="5"/>
      <c r="RSA64" s="5"/>
      <c r="RSB64" s="5"/>
      <c r="RSC64" s="5"/>
      <c r="RSD64" s="5"/>
      <c r="RSE64" s="5"/>
      <c r="RSF64" s="5"/>
      <c r="RSG64" s="5"/>
      <c r="RSH64" s="5"/>
      <c r="RSI64" s="5"/>
      <c r="RSJ64" s="5"/>
      <c r="RSK64" s="5"/>
      <c r="RSL64" s="5"/>
      <c r="RSM64" s="5"/>
      <c r="RSN64" s="5"/>
      <c r="RSO64" s="5"/>
      <c r="RSP64" s="5"/>
      <c r="RSQ64" s="5"/>
      <c r="RSR64" s="5"/>
      <c r="RSS64" s="5"/>
      <c r="RST64" s="5"/>
      <c r="RSU64" s="5"/>
      <c r="RSV64" s="5"/>
      <c r="RSW64" s="5"/>
      <c r="RSX64" s="5"/>
      <c r="RSY64" s="5"/>
      <c r="RSZ64" s="5"/>
      <c r="RTA64" s="5"/>
      <c r="RTB64" s="5"/>
      <c r="RTC64" s="5"/>
      <c r="RTD64" s="5"/>
      <c r="RTE64" s="5"/>
      <c r="RTF64" s="5"/>
      <c r="RTG64" s="5"/>
      <c r="RTH64" s="5"/>
      <c r="RTI64" s="5"/>
      <c r="RTJ64" s="5"/>
      <c r="RTK64" s="5"/>
      <c r="RTL64" s="5"/>
      <c r="RTM64" s="5"/>
      <c r="RTN64" s="5"/>
      <c r="RTO64" s="5"/>
      <c r="RTP64" s="5"/>
      <c r="RTQ64" s="5"/>
      <c r="RTR64" s="5"/>
      <c r="RTS64" s="5"/>
      <c r="RTT64" s="5"/>
      <c r="RTU64" s="5"/>
      <c r="RTV64" s="5"/>
      <c r="RTW64" s="5"/>
      <c r="RTX64" s="5"/>
      <c r="RTY64" s="5"/>
      <c r="RTZ64" s="5"/>
      <c r="RUA64" s="5"/>
      <c r="RUB64" s="5"/>
      <c r="RUC64" s="5"/>
      <c r="RUD64" s="5"/>
      <c r="RUE64" s="5"/>
      <c r="RUF64" s="5"/>
      <c r="RUG64" s="5"/>
      <c r="RUH64" s="5"/>
      <c r="RUI64" s="5"/>
      <c r="RUJ64" s="5"/>
      <c r="RUK64" s="5"/>
      <c r="RUL64" s="5"/>
      <c r="RUM64" s="5"/>
      <c r="RUN64" s="5"/>
      <c r="RUO64" s="5"/>
      <c r="RUP64" s="5"/>
      <c r="RUQ64" s="5"/>
      <c r="RUR64" s="5"/>
      <c r="RUS64" s="5"/>
      <c r="RUT64" s="5"/>
      <c r="RUU64" s="5"/>
      <c r="RUV64" s="5"/>
      <c r="RUW64" s="5"/>
      <c r="RUX64" s="5"/>
      <c r="RUY64" s="5"/>
      <c r="RUZ64" s="5"/>
      <c r="RVA64" s="5"/>
      <c r="RVB64" s="5"/>
      <c r="RVC64" s="5"/>
      <c r="RVD64" s="5"/>
      <c r="RVE64" s="5"/>
      <c r="RVF64" s="5"/>
      <c r="RVG64" s="5"/>
      <c r="RVH64" s="5"/>
      <c r="RVI64" s="5"/>
      <c r="RVJ64" s="5"/>
      <c r="RVK64" s="5"/>
      <c r="RVL64" s="5"/>
      <c r="RVM64" s="5"/>
      <c r="RVN64" s="5"/>
      <c r="RVO64" s="5"/>
      <c r="RVP64" s="5"/>
      <c r="RVQ64" s="5"/>
      <c r="RVR64" s="5"/>
      <c r="RVS64" s="5"/>
      <c r="RVT64" s="5"/>
      <c r="RVU64" s="5"/>
      <c r="RVV64" s="5"/>
      <c r="RVW64" s="5"/>
      <c r="RVX64" s="5"/>
      <c r="RVY64" s="5"/>
      <c r="RVZ64" s="5"/>
      <c r="RWA64" s="5"/>
      <c r="RWB64" s="5"/>
      <c r="RWC64" s="5"/>
      <c r="RWD64" s="5"/>
      <c r="RWE64" s="5"/>
      <c r="RWF64" s="5"/>
      <c r="RWG64" s="5"/>
      <c r="RWH64" s="5"/>
      <c r="RWI64" s="5"/>
      <c r="RWJ64" s="5"/>
      <c r="RWK64" s="5"/>
      <c r="RWL64" s="5"/>
      <c r="RWM64" s="5"/>
      <c r="RWN64" s="5"/>
      <c r="RWO64" s="5"/>
      <c r="RWP64" s="5"/>
      <c r="RWQ64" s="5"/>
      <c r="RWR64" s="5"/>
      <c r="RWS64" s="5"/>
      <c r="RWT64" s="5"/>
      <c r="RWU64" s="5"/>
      <c r="RWV64" s="5"/>
      <c r="RWW64" s="5"/>
      <c r="RWX64" s="5"/>
      <c r="RWY64" s="5"/>
      <c r="RWZ64" s="5"/>
      <c r="RXA64" s="5"/>
      <c r="RXB64" s="5"/>
      <c r="RXC64" s="5"/>
      <c r="RXD64" s="5"/>
      <c r="RXE64" s="5"/>
      <c r="RXF64" s="5"/>
      <c r="RXG64" s="5"/>
      <c r="RXH64" s="5"/>
      <c r="RXI64" s="5"/>
      <c r="RXJ64" s="5"/>
      <c r="RXK64" s="5"/>
      <c r="RXL64" s="5"/>
      <c r="RXM64" s="5"/>
      <c r="RXN64" s="5"/>
      <c r="RXO64" s="5"/>
      <c r="RXP64" s="5"/>
      <c r="RXQ64" s="5"/>
      <c r="RXR64" s="5"/>
      <c r="RXS64" s="5"/>
      <c r="RXT64" s="5"/>
      <c r="RXU64" s="5"/>
      <c r="RXV64" s="5"/>
      <c r="RXW64" s="5"/>
      <c r="RXX64" s="5"/>
      <c r="RXY64" s="5"/>
      <c r="RXZ64" s="5"/>
      <c r="RYA64" s="5"/>
      <c r="RYB64" s="5"/>
      <c r="RYC64" s="5"/>
      <c r="RYD64" s="5"/>
      <c r="RYE64" s="5"/>
      <c r="RYF64" s="5"/>
      <c r="RYG64" s="5"/>
      <c r="RYH64" s="5"/>
      <c r="RYI64" s="5"/>
      <c r="RYJ64" s="5"/>
      <c r="RYK64" s="5"/>
      <c r="RYL64" s="5"/>
      <c r="RYM64" s="5"/>
      <c r="RYN64" s="5"/>
      <c r="RYO64" s="5"/>
      <c r="RYP64" s="5"/>
      <c r="RYQ64" s="5"/>
      <c r="RYR64" s="5"/>
      <c r="RYS64" s="5"/>
      <c r="RYT64" s="5"/>
      <c r="RYU64" s="5"/>
      <c r="RYV64" s="5"/>
      <c r="RYW64" s="5"/>
      <c r="RYX64" s="5"/>
      <c r="RYY64" s="5"/>
      <c r="RYZ64" s="5"/>
      <c r="RZA64" s="5"/>
      <c r="RZB64" s="5"/>
      <c r="RZC64" s="5"/>
      <c r="RZD64" s="5"/>
      <c r="RZE64" s="5"/>
      <c r="RZF64" s="5"/>
      <c r="RZG64" s="5"/>
      <c r="RZH64" s="5"/>
      <c r="RZI64" s="5"/>
      <c r="RZJ64" s="5"/>
      <c r="RZK64" s="5"/>
      <c r="RZL64" s="5"/>
      <c r="RZM64" s="5"/>
      <c r="RZN64" s="5"/>
      <c r="RZO64" s="5"/>
      <c r="RZP64" s="5"/>
      <c r="RZQ64" s="5"/>
      <c r="RZR64" s="5"/>
      <c r="RZS64" s="5"/>
      <c r="RZT64" s="5"/>
      <c r="RZU64" s="5"/>
      <c r="RZV64" s="5"/>
      <c r="RZW64" s="5"/>
      <c r="RZX64" s="5"/>
      <c r="RZY64" s="5"/>
      <c r="RZZ64" s="5"/>
      <c r="SAA64" s="5"/>
      <c r="SAB64" s="5"/>
      <c r="SAC64" s="5"/>
      <c r="SAD64" s="5"/>
      <c r="SAE64" s="5"/>
      <c r="SAF64" s="5"/>
      <c r="SAG64" s="5"/>
      <c r="SAH64" s="5"/>
      <c r="SAI64" s="5"/>
      <c r="SAJ64" s="5"/>
      <c r="SAK64" s="5"/>
      <c r="SAL64" s="5"/>
      <c r="SAM64" s="5"/>
      <c r="SAN64" s="5"/>
      <c r="SAO64" s="5"/>
      <c r="SAP64" s="5"/>
      <c r="SAQ64" s="5"/>
      <c r="SAR64" s="5"/>
      <c r="SAS64" s="5"/>
      <c r="SAT64" s="5"/>
      <c r="SAU64" s="5"/>
      <c r="SAV64" s="5"/>
      <c r="SAW64" s="5"/>
      <c r="SAX64" s="5"/>
      <c r="SAY64" s="5"/>
      <c r="SAZ64" s="5"/>
      <c r="SBA64" s="5"/>
      <c r="SBB64" s="5"/>
      <c r="SBC64" s="5"/>
      <c r="SBD64" s="5"/>
      <c r="SBE64" s="5"/>
      <c r="SBF64" s="5"/>
      <c r="SBG64" s="5"/>
      <c r="SBH64" s="5"/>
      <c r="SBI64" s="5"/>
      <c r="SBJ64" s="5"/>
      <c r="SBK64" s="5"/>
      <c r="SBL64" s="5"/>
      <c r="SBM64" s="5"/>
      <c r="SBN64" s="5"/>
      <c r="SBO64" s="5"/>
      <c r="SBP64" s="5"/>
      <c r="SBQ64" s="5"/>
      <c r="SBR64" s="5"/>
      <c r="SBS64" s="5"/>
      <c r="SBT64" s="5"/>
      <c r="SBU64" s="5"/>
      <c r="SBV64" s="5"/>
      <c r="SBW64" s="5"/>
      <c r="SBX64" s="5"/>
      <c r="SBY64" s="5"/>
      <c r="SBZ64" s="5"/>
      <c r="SCA64" s="5"/>
      <c r="SCB64" s="5"/>
      <c r="SCC64" s="5"/>
      <c r="SCD64" s="5"/>
      <c r="SCE64" s="5"/>
      <c r="SCF64" s="5"/>
      <c r="SCG64" s="5"/>
      <c r="SCH64" s="5"/>
      <c r="SCI64" s="5"/>
      <c r="SCJ64" s="5"/>
      <c r="SCK64" s="5"/>
      <c r="SCL64" s="5"/>
      <c r="SCM64" s="5"/>
      <c r="SCN64" s="5"/>
      <c r="SCO64" s="5"/>
      <c r="SCP64" s="5"/>
      <c r="SCQ64" s="5"/>
      <c r="SCR64" s="5"/>
      <c r="SCS64" s="5"/>
      <c r="SCT64" s="5"/>
      <c r="SCU64" s="5"/>
      <c r="SCV64" s="5"/>
      <c r="SCW64" s="5"/>
      <c r="SCX64" s="5"/>
      <c r="SCY64" s="5"/>
      <c r="SCZ64" s="5"/>
      <c r="SDA64" s="5"/>
      <c r="SDB64" s="5"/>
      <c r="SDC64" s="5"/>
      <c r="SDD64" s="5"/>
      <c r="SDE64" s="5"/>
      <c r="SDF64" s="5"/>
      <c r="SDG64" s="5"/>
      <c r="SDH64" s="5"/>
      <c r="SDI64" s="5"/>
      <c r="SDJ64" s="5"/>
      <c r="SDK64" s="5"/>
      <c r="SDL64" s="5"/>
      <c r="SDM64" s="5"/>
      <c r="SDN64" s="5"/>
      <c r="SDO64" s="5"/>
      <c r="SDP64" s="5"/>
      <c r="SDQ64" s="5"/>
      <c r="SDR64" s="5"/>
      <c r="SDS64" s="5"/>
      <c r="SDT64" s="5"/>
      <c r="SDU64" s="5"/>
      <c r="SDV64" s="5"/>
      <c r="SDW64" s="5"/>
      <c r="SDX64" s="5"/>
      <c r="SDY64" s="5"/>
      <c r="SDZ64" s="5"/>
      <c r="SEA64" s="5"/>
      <c r="SEB64" s="5"/>
      <c r="SEC64" s="5"/>
      <c r="SED64" s="5"/>
      <c r="SEE64" s="5"/>
      <c r="SEF64" s="5"/>
      <c r="SEG64" s="5"/>
      <c r="SEH64" s="5"/>
      <c r="SEI64" s="5"/>
      <c r="SEJ64" s="5"/>
      <c r="SEK64" s="5"/>
      <c r="SEL64" s="5"/>
      <c r="SEM64" s="5"/>
      <c r="SEN64" s="5"/>
      <c r="SEO64" s="5"/>
      <c r="SEP64" s="5"/>
      <c r="SEQ64" s="5"/>
      <c r="SER64" s="5"/>
      <c r="SES64" s="5"/>
      <c r="SET64" s="5"/>
      <c r="SEU64" s="5"/>
      <c r="SEV64" s="5"/>
      <c r="SEW64" s="5"/>
      <c r="SEX64" s="5"/>
      <c r="SEY64" s="5"/>
      <c r="SEZ64" s="5"/>
      <c r="SFA64" s="5"/>
      <c r="SFB64" s="5"/>
      <c r="SFC64" s="5"/>
      <c r="SFD64" s="5"/>
      <c r="SFE64" s="5"/>
      <c r="SFF64" s="5"/>
      <c r="SFG64" s="5"/>
      <c r="SFH64" s="5"/>
      <c r="SFI64" s="5"/>
      <c r="SFJ64" s="5"/>
      <c r="SFK64" s="5"/>
      <c r="SFL64" s="5"/>
      <c r="SFM64" s="5"/>
      <c r="SFN64" s="5"/>
      <c r="SFO64" s="5"/>
      <c r="SFP64" s="5"/>
      <c r="SFQ64" s="5"/>
      <c r="SFR64" s="5"/>
      <c r="SFS64" s="5"/>
      <c r="SFT64" s="5"/>
      <c r="SFU64" s="5"/>
      <c r="SFV64" s="5"/>
      <c r="SFW64" s="5"/>
      <c r="SFX64" s="5"/>
      <c r="SFY64" s="5"/>
      <c r="SFZ64" s="5"/>
      <c r="SGA64" s="5"/>
      <c r="SGB64" s="5"/>
      <c r="SGC64" s="5"/>
      <c r="SGD64" s="5"/>
      <c r="SGE64" s="5"/>
      <c r="SGF64" s="5"/>
      <c r="SGG64" s="5"/>
      <c r="SGH64" s="5"/>
      <c r="SGI64" s="5"/>
      <c r="SGJ64" s="5"/>
      <c r="SGK64" s="5"/>
      <c r="SGL64" s="5"/>
      <c r="SGM64" s="5"/>
      <c r="SGN64" s="5"/>
      <c r="SGO64" s="5"/>
      <c r="SGP64" s="5"/>
      <c r="SGQ64" s="5"/>
      <c r="SGR64" s="5"/>
      <c r="SGS64" s="5"/>
      <c r="SGT64" s="5"/>
      <c r="SGU64" s="5"/>
      <c r="SGV64" s="5"/>
      <c r="SGW64" s="5"/>
      <c r="SGX64" s="5"/>
      <c r="SGY64" s="5"/>
      <c r="SGZ64" s="5"/>
      <c r="SHA64" s="5"/>
      <c r="SHB64" s="5"/>
      <c r="SHC64" s="5"/>
      <c r="SHD64" s="5"/>
      <c r="SHE64" s="5"/>
      <c r="SHF64" s="5"/>
      <c r="SHG64" s="5"/>
      <c r="SHH64" s="5"/>
      <c r="SHI64" s="5"/>
      <c r="SHJ64" s="5"/>
      <c r="SHK64" s="5"/>
      <c r="SHL64" s="5"/>
      <c r="SHM64" s="5"/>
      <c r="SHN64" s="5"/>
      <c r="SHO64" s="5"/>
      <c r="SHP64" s="5"/>
      <c r="SHQ64" s="5"/>
      <c r="SHR64" s="5"/>
      <c r="SHS64" s="5"/>
      <c r="SHT64" s="5"/>
      <c r="SHU64" s="5"/>
      <c r="SHV64" s="5"/>
      <c r="SHW64" s="5"/>
      <c r="SHX64" s="5"/>
      <c r="SHY64" s="5"/>
      <c r="SHZ64" s="5"/>
      <c r="SIA64" s="5"/>
      <c r="SIB64" s="5"/>
      <c r="SIC64" s="5"/>
      <c r="SID64" s="5"/>
      <c r="SIE64" s="5"/>
      <c r="SIF64" s="5"/>
      <c r="SIG64" s="5"/>
      <c r="SIH64" s="5"/>
      <c r="SII64" s="5"/>
      <c r="SIJ64" s="5"/>
      <c r="SIK64" s="5"/>
      <c r="SIL64" s="5"/>
      <c r="SIM64" s="5"/>
      <c r="SIN64" s="5"/>
      <c r="SIO64" s="5"/>
      <c r="SIP64" s="5"/>
      <c r="SIQ64" s="5"/>
      <c r="SIR64" s="5"/>
      <c r="SIS64" s="5"/>
      <c r="SIT64" s="5"/>
      <c r="SIU64" s="5"/>
      <c r="SIV64" s="5"/>
      <c r="SIW64" s="5"/>
      <c r="SIX64" s="5"/>
      <c r="SIY64" s="5"/>
      <c r="SIZ64" s="5"/>
      <c r="SJA64" s="5"/>
      <c r="SJB64" s="5"/>
      <c r="SJC64" s="5"/>
      <c r="SJD64" s="5"/>
      <c r="SJE64" s="5"/>
      <c r="SJF64" s="5"/>
      <c r="SJG64" s="5"/>
      <c r="SJH64" s="5"/>
      <c r="SJI64" s="5"/>
      <c r="SJJ64" s="5"/>
      <c r="SJK64" s="5"/>
      <c r="SJL64" s="5"/>
      <c r="SJM64" s="5"/>
      <c r="SJN64" s="5"/>
      <c r="SJO64" s="5"/>
      <c r="SJP64" s="5"/>
      <c r="SJQ64" s="5"/>
      <c r="SJR64" s="5"/>
      <c r="SJS64" s="5"/>
      <c r="SJT64" s="5"/>
      <c r="SJU64" s="5"/>
      <c r="SJV64" s="5"/>
      <c r="SJW64" s="5"/>
      <c r="SJX64" s="5"/>
      <c r="SJY64" s="5"/>
      <c r="SJZ64" s="5"/>
      <c r="SKA64" s="5"/>
      <c r="SKB64" s="5"/>
      <c r="SKC64" s="5"/>
      <c r="SKD64" s="5"/>
      <c r="SKE64" s="5"/>
      <c r="SKF64" s="5"/>
      <c r="SKG64" s="5"/>
      <c r="SKH64" s="5"/>
      <c r="SKI64" s="5"/>
      <c r="SKJ64" s="5"/>
      <c r="SKK64" s="5"/>
      <c r="SKL64" s="5"/>
      <c r="SKM64" s="5"/>
      <c r="SKN64" s="5"/>
      <c r="SKO64" s="5"/>
      <c r="SKP64" s="5"/>
      <c r="SKQ64" s="5"/>
      <c r="SKR64" s="5"/>
      <c r="SKS64" s="5"/>
      <c r="SKT64" s="5"/>
      <c r="SKU64" s="5"/>
      <c r="SKV64" s="5"/>
      <c r="SKW64" s="5"/>
      <c r="SKX64" s="5"/>
      <c r="SKY64" s="5"/>
      <c r="SKZ64" s="5"/>
      <c r="SLA64" s="5"/>
      <c r="SLB64" s="5"/>
      <c r="SLC64" s="5"/>
      <c r="SLD64" s="5"/>
      <c r="SLE64" s="5"/>
      <c r="SLF64" s="5"/>
      <c r="SLG64" s="5"/>
      <c r="SLH64" s="5"/>
      <c r="SLI64" s="5"/>
      <c r="SLJ64" s="5"/>
      <c r="SLK64" s="5"/>
      <c r="SLL64" s="5"/>
      <c r="SLM64" s="5"/>
      <c r="SLN64" s="5"/>
      <c r="SLO64" s="5"/>
      <c r="SLP64" s="5"/>
      <c r="SLQ64" s="5"/>
      <c r="SLR64" s="5"/>
      <c r="SLS64" s="5"/>
      <c r="SLT64" s="5"/>
      <c r="SLU64" s="5"/>
      <c r="SLV64" s="5"/>
      <c r="SLW64" s="5"/>
      <c r="SLX64" s="5"/>
      <c r="SLY64" s="5"/>
      <c r="SLZ64" s="5"/>
      <c r="SMA64" s="5"/>
      <c r="SMB64" s="5"/>
      <c r="SMC64" s="5"/>
      <c r="SMD64" s="5"/>
      <c r="SME64" s="5"/>
      <c r="SMF64" s="5"/>
      <c r="SMG64" s="5"/>
      <c r="SMH64" s="5"/>
      <c r="SMI64" s="5"/>
      <c r="SMJ64" s="5"/>
      <c r="SMK64" s="5"/>
      <c r="SML64" s="5"/>
      <c r="SMM64" s="5"/>
      <c r="SMN64" s="5"/>
      <c r="SMO64" s="5"/>
      <c r="SMP64" s="5"/>
      <c r="SMQ64" s="5"/>
      <c r="SMR64" s="5"/>
      <c r="SMS64" s="5"/>
      <c r="SMT64" s="5"/>
      <c r="SMU64" s="5"/>
      <c r="SMV64" s="5"/>
      <c r="SMW64" s="5"/>
      <c r="SMX64" s="5"/>
      <c r="SMY64" s="5"/>
      <c r="SMZ64" s="5"/>
      <c r="SNA64" s="5"/>
      <c r="SNB64" s="5"/>
      <c r="SNC64" s="5"/>
      <c r="SND64" s="5"/>
      <c r="SNE64" s="5"/>
      <c r="SNF64" s="5"/>
      <c r="SNG64" s="5"/>
      <c r="SNH64" s="5"/>
      <c r="SNI64" s="5"/>
      <c r="SNJ64" s="5"/>
      <c r="SNK64" s="5"/>
      <c r="SNL64" s="5"/>
      <c r="SNM64" s="5"/>
      <c r="SNN64" s="5"/>
      <c r="SNO64" s="5"/>
      <c r="SNP64" s="5"/>
      <c r="SNQ64" s="5"/>
      <c r="SNR64" s="5"/>
      <c r="SNS64" s="5"/>
      <c r="SNT64" s="5"/>
      <c r="SNU64" s="5"/>
      <c r="SNV64" s="5"/>
      <c r="SNW64" s="5"/>
      <c r="SNX64" s="5"/>
      <c r="SNY64" s="5"/>
      <c r="SNZ64" s="5"/>
      <c r="SOA64" s="5"/>
      <c r="SOB64" s="5"/>
      <c r="SOC64" s="5"/>
      <c r="SOD64" s="5"/>
      <c r="SOE64" s="5"/>
      <c r="SOF64" s="5"/>
      <c r="SOG64" s="5"/>
      <c r="SOH64" s="5"/>
      <c r="SOI64" s="5"/>
      <c r="SOJ64" s="5"/>
      <c r="SOK64" s="5"/>
      <c r="SOL64" s="5"/>
      <c r="SOM64" s="5"/>
      <c r="SON64" s="5"/>
      <c r="SOO64" s="5"/>
      <c r="SOP64" s="5"/>
      <c r="SOQ64" s="5"/>
      <c r="SOR64" s="5"/>
      <c r="SOS64" s="5"/>
      <c r="SOT64" s="5"/>
      <c r="SOU64" s="5"/>
      <c r="SOV64" s="5"/>
      <c r="SOW64" s="5"/>
      <c r="SOX64" s="5"/>
      <c r="SOY64" s="5"/>
      <c r="SOZ64" s="5"/>
      <c r="SPA64" s="5"/>
      <c r="SPB64" s="5"/>
      <c r="SPC64" s="5"/>
      <c r="SPD64" s="5"/>
      <c r="SPE64" s="5"/>
      <c r="SPF64" s="5"/>
      <c r="SPG64" s="5"/>
      <c r="SPH64" s="5"/>
      <c r="SPI64" s="5"/>
      <c r="SPJ64" s="5"/>
      <c r="SPK64" s="5"/>
      <c r="SPL64" s="5"/>
      <c r="SPM64" s="5"/>
      <c r="SPN64" s="5"/>
      <c r="SPO64" s="5"/>
      <c r="SPP64" s="5"/>
      <c r="SPQ64" s="5"/>
      <c r="SPR64" s="5"/>
      <c r="SPS64" s="5"/>
      <c r="SPT64" s="5"/>
      <c r="SPU64" s="5"/>
      <c r="SPV64" s="5"/>
      <c r="SPW64" s="5"/>
      <c r="SPX64" s="5"/>
      <c r="SPY64" s="5"/>
      <c r="SPZ64" s="5"/>
      <c r="SQA64" s="5"/>
      <c r="SQB64" s="5"/>
      <c r="SQC64" s="5"/>
      <c r="SQD64" s="5"/>
      <c r="SQE64" s="5"/>
      <c r="SQF64" s="5"/>
      <c r="SQG64" s="5"/>
      <c r="SQH64" s="5"/>
      <c r="SQI64" s="5"/>
      <c r="SQJ64" s="5"/>
      <c r="SQK64" s="5"/>
      <c r="SQL64" s="5"/>
      <c r="SQM64" s="5"/>
      <c r="SQN64" s="5"/>
      <c r="SQO64" s="5"/>
      <c r="SQP64" s="5"/>
      <c r="SQQ64" s="5"/>
      <c r="SQR64" s="5"/>
      <c r="SQS64" s="5"/>
      <c r="SQT64" s="5"/>
      <c r="SQU64" s="5"/>
      <c r="SQV64" s="5"/>
      <c r="SQW64" s="5"/>
      <c r="SQX64" s="5"/>
      <c r="SQY64" s="5"/>
      <c r="SQZ64" s="5"/>
      <c r="SRA64" s="5"/>
      <c r="SRB64" s="5"/>
      <c r="SRC64" s="5"/>
      <c r="SRD64" s="5"/>
      <c r="SRE64" s="5"/>
      <c r="SRF64" s="5"/>
      <c r="SRG64" s="5"/>
      <c r="SRH64" s="5"/>
      <c r="SRI64" s="5"/>
      <c r="SRJ64" s="5"/>
      <c r="SRK64" s="5"/>
      <c r="SRL64" s="5"/>
      <c r="SRM64" s="5"/>
      <c r="SRN64" s="5"/>
      <c r="SRO64" s="5"/>
      <c r="SRP64" s="5"/>
      <c r="SRQ64" s="5"/>
      <c r="SRR64" s="5"/>
      <c r="SRS64" s="5"/>
      <c r="SRT64" s="5"/>
      <c r="SRU64" s="5"/>
      <c r="SRV64" s="5"/>
      <c r="SRW64" s="5"/>
      <c r="SRX64" s="5"/>
      <c r="SRY64" s="5"/>
      <c r="SRZ64" s="5"/>
      <c r="SSA64" s="5"/>
      <c r="SSB64" s="5"/>
      <c r="SSC64" s="5"/>
      <c r="SSD64" s="5"/>
      <c r="SSE64" s="5"/>
      <c r="SSF64" s="5"/>
      <c r="SSG64" s="5"/>
      <c r="SSH64" s="5"/>
      <c r="SSI64" s="5"/>
      <c r="SSJ64" s="5"/>
      <c r="SSK64" s="5"/>
      <c r="SSL64" s="5"/>
      <c r="SSM64" s="5"/>
      <c r="SSN64" s="5"/>
      <c r="SSO64" s="5"/>
      <c r="SSP64" s="5"/>
      <c r="SSQ64" s="5"/>
      <c r="SSR64" s="5"/>
      <c r="SSS64" s="5"/>
      <c r="SST64" s="5"/>
      <c r="SSU64" s="5"/>
      <c r="SSV64" s="5"/>
      <c r="SSW64" s="5"/>
      <c r="SSX64" s="5"/>
      <c r="SSY64" s="5"/>
      <c r="SSZ64" s="5"/>
      <c r="STA64" s="5"/>
      <c r="STB64" s="5"/>
      <c r="STC64" s="5"/>
      <c r="STD64" s="5"/>
      <c r="STE64" s="5"/>
      <c r="STF64" s="5"/>
      <c r="STG64" s="5"/>
      <c r="STH64" s="5"/>
      <c r="STI64" s="5"/>
      <c r="STJ64" s="5"/>
      <c r="STK64" s="5"/>
      <c r="STL64" s="5"/>
      <c r="STM64" s="5"/>
      <c r="STN64" s="5"/>
      <c r="STO64" s="5"/>
      <c r="STP64" s="5"/>
      <c r="STQ64" s="5"/>
      <c r="STR64" s="5"/>
      <c r="STS64" s="5"/>
      <c r="STT64" s="5"/>
      <c r="STU64" s="5"/>
      <c r="STV64" s="5"/>
      <c r="STW64" s="5"/>
      <c r="STX64" s="5"/>
      <c r="STY64" s="5"/>
      <c r="STZ64" s="5"/>
      <c r="SUA64" s="5"/>
      <c r="SUB64" s="5"/>
      <c r="SUC64" s="5"/>
      <c r="SUD64" s="5"/>
      <c r="SUE64" s="5"/>
      <c r="SUF64" s="5"/>
      <c r="SUG64" s="5"/>
      <c r="SUH64" s="5"/>
      <c r="SUI64" s="5"/>
      <c r="SUJ64" s="5"/>
      <c r="SUK64" s="5"/>
      <c r="SUL64" s="5"/>
      <c r="SUM64" s="5"/>
      <c r="SUN64" s="5"/>
      <c r="SUO64" s="5"/>
      <c r="SUP64" s="5"/>
      <c r="SUQ64" s="5"/>
      <c r="SUR64" s="5"/>
      <c r="SUS64" s="5"/>
      <c r="SUT64" s="5"/>
      <c r="SUU64" s="5"/>
      <c r="SUV64" s="5"/>
      <c r="SUW64" s="5"/>
      <c r="SUX64" s="5"/>
      <c r="SUY64" s="5"/>
      <c r="SUZ64" s="5"/>
      <c r="SVA64" s="5"/>
      <c r="SVB64" s="5"/>
      <c r="SVC64" s="5"/>
      <c r="SVD64" s="5"/>
      <c r="SVE64" s="5"/>
      <c r="SVF64" s="5"/>
      <c r="SVG64" s="5"/>
      <c r="SVH64" s="5"/>
      <c r="SVI64" s="5"/>
      <c r="SVJ64" s="5"/>
      <c r="SVK64" s="5"/>
      <c r="SVL64" s="5"/>
      <c r="SVM64" s="5"/>
      <c r="SVN64" s="5"/>
      <c r="SVO64" s="5"/>
      <c r="SVP64" s="5"/>
      <c r="SVQ64" s="5"/>
      <c r="SVR64" s="5"/>
      <c r="SVS64" s="5"/>
      <c r="SVT64" s="5"/>
      <c r="SVU64" s="5"/>
      <c r="SVV64" s="5"/>
      <c r="SVW64" s="5"/>
      <c r="SVX64" s="5"/>
      <c r="SVY64" s="5"/>
      <c r="SVZ64" s="5"/>
      <c r="SWA64" s="5"/>
      <c r="SWB64" s="5"/>
      <c r="SWC64" s="5"/>
      <c r="SWD64" s="5"/>
      <c r="SWE64" s="5"/>
      <c r="SWF64" s="5"/>
      <c r="SWG64" s="5"/>
      <c r="SWH64" s="5"/>
      <c r="SWI64" s="5"/>
      <c r="SWJ64" s="5"/>
      <c r="SWK64" s="5"/>
      <c r="SWL64" s="5"/>
      <c r="SWM64" s="5"/>
      <c r="SWN64" s="5"/>
      <c r="SWO64" s="5"/>
      <c r="SWP64" s="5"/>
      <c r="SWQ64" s="5"/>
      <c r="SWR64" s="5"/>
      <c r="SWS64" s="5"/>
      <c r="SWT64" s="5"/>
      <c r="SWU64" s="5"/>
      <c r="SWV64" s="5"/>
      <c r="SWW64" s="5"/>
      <c r="SWX64" s="5"/>
      <c r="SWY64" s="5"/>
      <c r="SWZ64" s="5"/>
      <c r="SXA64" s="5"/>
      <c r="SXB64" s="5"/>
      <c r="SXC64" s="5"/>
      <c r="SXD64" s="5"/>
      <c r="SXE64" s="5"/>
      <c r="SXF64" s="5"/>
      <c r="SXG64" s="5"/>
      <c r="SXH64" s="5"/>
      <c r="SXI64" s="5"/>
      <c r="SXJ64" s="5"/>
      <c r="SXK64" s="5"/>
      <c r="SXL64" s="5"/>
      <c r="SXM64" s="5"/>
      <c r="SXN64" s="5"/>
      <c r="SXO64" s="5"/>
      <c r="SXP64" s="5"/>
      <c r="SXQ64" s="5"/>
      <c r="SXR64" s="5"/>
      <c r="SXS64" s="5"/>
      <c r="SXT64" s="5"/>
      <c r="SXU64" s="5"/>
      <c r="SXV64" s="5"/>
      <c r="SXW64" s="5"/>
      <c r="SXX64" s="5"/>
      <c r="SXY64" s="5"/>
      <c r="SXZ64" s="5"/>
      <c r="SYA64" s="5"/>
      <c r="SYB64" s="5"/>
      <c r="SYC64" s="5"/>
      <c r="SYD64" s="5"/>
      <c r="SYE64" s="5"/>
      <c r="SYF64" s="5"/>
      <c r="SYG64" s="5"/>
      <c r="SYH64" s="5"/>
      <c r="SYI64" s="5"/>
      <c r="SYJ64" s="5"/>
      <c r="SYK64" s="5"/>
      <c r="SYL64" s="5"/>
      <c r="SYM64" s="5"/>
      <c r="SYN64" s="5"/>
      <c r="SYO64" s="5"/>
      <c r="SYP64" s="5"/>
      <c r="SYQ64" s="5"/>
      <c r="SYR64" s="5"/>
      <c r="SYS64" s="5"/>
      <c r="SYT64" s="5"/>
      <c r="SYU64" s="5"/>
      <c r="SYV64" s="5"/>
      <c r="SYW64" s="5"/>
      <c r="SYX64" s="5"/>
      <c r="SYY64" s="5"/>
      <c r="SYZ64" s="5"/>
      <c r="SZA64" s="5"/>
      <c r="SZB64" s="5"/>
      <c r="SZC64" s="5"/>
      <c r="SZD64" s="5"/>
      <c r="SZE64" s="5"/>
      <c r="SZF64" s="5"/>
      <c r="SZG64" s="5"/>
      <c r="SZH64" s="5"/>
      <c r="SZI64" s="5"/>
      <c r="SZJ64" s="5"/>
      <c r="SZK64" s="5"/>
      <c r="SZL64" s="5"/>
      <c r="SZM64" s="5"/>
      <c r="SZN64" s="5"/>
      <c r="SZO64" s="5"/>
      <c r="SZP64" s="5"/>
      <c r="SZQ64" s="5"/>
      <c r="SZR64" s="5"/>
      <c r="SZS64" s="5"/>
      <c r="SZT64" s="5"/>
      <c r="SZU64" s="5"/>
      <c r="SZV64" s="5"/>
      <c r="SZW64" s="5"/>
      <c r="SZX64" s="5"/>
      <c r="SZY64" s="5"/>
      <c r="SZZ64" s="5"/>
      <c r="TAA64" s="5"/>
      <c r="TAB64" s="5"/>
      <c r="TAC64" s="5"/>
      <c r="TAD64" s="5"/>
      <c r="TAE64" s="5"/>
      <c r="TAF64" s="5"/>
      <c r="TAG64" s="5"/>
      <c r="TAH64" s="5"/>
      <c r="TAI64" s="5"/>
      <c r="TAJ64" s="5"/>
      <c r="TAK64" s="5"/>
      <c r="TAL64" s="5"/>
      <c r="TAM64" s="5"/>
      <c r="TAN64" s="5"/>
      <c r="TAO64" s="5"/>
      <c r="TAP64" s="5"/>
      <c r="TAQ64" s="5"/>
      <c r="TAR64" s="5"/>
      <c r="TAS64" s="5"/>
      <c r="TAT64" s="5"/>
      <c r="TAU64" s="5"/>
      <c r="TAV64" s="5"/>
      <c r="TAW64" s="5"/>
      <c r="TAX64" s="5"/>
      <c r="TAY64" s="5"/>
      <c r="TAZ64" s="5"/>
      <c r="TBA64" s="5"/>
      <c r="TBB64" s="5"/>
      <c r="TBC64" s="5"/>
      <c r="TBD64" s="5"/>
      <c r="TBE64" s="5"/>
      <c r="TBF64" s="5"/>
      <c r="TBG64" s="5"/>
      <c r="TBH64" s="5"/>
      <c r="TBI64" s="5"/>
      <c r="TBJ64" s="5"/>
      <c r="TBK64" s="5"/>
      <c r="TBL64" s="5"/>
      <c r="TBM64" s="5"/>
      <c r="TBN64" s="5"/>
      <c r="TBO64" s="5"/>
      <c r="TBP64" s="5"/>
      <c r="TBQ64" s="5"/>
      <c r="TBR64" s="5"/>
      <c r="TBS64" s="5"/>
      <c r="TBT64" s="5"/>
      <c r="TBU64" s="5"/>
      <c r="TBV64" s="5"/>
      <c r="TBW64" s="5"/>
      <c r="TBX64" s="5"/>
      <c r="TBY64" s="5"/>
      <c r="TBZ64" s="5"/>
      <c r="TCA64" s="5"/>
      <c r="TCB64" s="5"/>
      <c r="TCC64" s="5"/>
      <c r="TCD64" s="5"/>
      <c r="TCE64" s="5"/>
      <c r="TCF64" s="5"/>
      <c r="TCG64" s="5"/>
      <c r="TCH64" s="5"/>
      <c r="TCI64" s="5"/>
      <c r="TCJ64" s="5"/>
      <c r="TCK64" s="5"/>
      <c r="TCL64" s="5"/>
      <c r="TCM64" s="5"/>
      <c r="TCN64" s="5"/>
      <c r="TCO64" s="5"/>
      <c r="TCP64" s="5"/>
      <c r="TCQ64" s="5"/>
      <c r="TCR64" s="5"/>
      <c r="TCS64" s="5"/>
      <c r="TCT64" s="5"/>
      <c r="TCU64" s="5"/>
      <c r="TCV64" s="5"/>
      <c r="TCW64" s="5"/>
      <c r="TCX64" s="5"/>
      <c r="TCY64" s="5"/>
      <c r="TCZ64" s="5"/>
      <c r="TDA64" s="5"/>
      <c r="TDB64" s="5"/>
      <c r="TDC64" s="5"/>
      <c r="TDD64" s="5"/>
      <c r="TDE64" s="5"/>
      <c r="TDF64" s="5"/>
      <c r="TDG64" s="5"/>
      <c r="TDH64" s="5"/>
      <c r="TDI64" s="5"/>
      <c r="TDJ64" s="5"/>
      <c r="TDK64" s="5"/>
      <c r="TDL64" s="5"/>
      <c r="TDM64" s="5"/>
      <c r="TDN64" s="5"/>
      <c r="TDO64" s="5"/>
      <c r="TDP64" s="5"/>
      <c r="TDQ64" s="5"/>
      <c r="TDR64" s="5"/>
      <c r="TDS64" s="5"/>
      <c r="TDT64" s="5"/>
      <c r="TDU64" s="5"/>
      <c r="TDV64" s="5"/>
      <c r="TDW64" s="5"/>
      <c r="TDX64" s="5"/>
      <c r="TDY64" s="5"/>
      <c r="TDZ64" s="5"/>
      <c r="TEA64" s="5"/>
      <c r="TEB64" s="5"/>
      <c r="TEC64" s="5"/>
      <c r="TED64" s="5"/>
      <c r="TEE64" s="5"/>
      <c r="TEF64" s="5"/>
      <c r="TEG64" s="5"/>
      <c r="TEH64" s="5"/>
      <c r="TEI64" s="5"/>
      <c r="TEJ64" s="5"/>
      <c r="TEK64" s="5"/>
      <c r="TEL64" s="5"/>
      <c r="TEM64" s="5"/>
      <c r="TEN64" s="5"/>
      <c r="TEO64" s="5"/>
      <c r="TEP64" s="5"/>
      <c r="TEQ64" s="5"/>
      <c r="TER64" s="5"/>
      <c r="TES64" s="5"/>
      <c r="TET64" s="5"/>
      <c r="TEU64" s="5"/>
      <c r="TEV64" s="5"/>
      <c r="TEW64" s="5"/>
      <c r="TEX64" s="5"/>
      <c r="TEY64" s="5"/>
      <c r="TEZ64" s="5"/>
      <c r="TFA64" s="5"/>
      <c r="TFB64" s="5"/>
      <c r="TFC64" s="5"/>
      <c r="TFD64" s="5"/>
      <c r="TFE64" s="5"/>
      <c r="TFF64" s="5"/>
      <c r="TFG64" s="5"/>
      <c r="TFH64" s="5"/>
      <c r="TFI64" s="5"/>
      <c r="TFJ64" s="5"/>
      <c r="TFK64" s="5"/>
      <c r="TFL64" s="5"/>
      <c r="TFM64" s="5"/>
      <c r="TFN64" s="5"/>
      <c r="TFO64" s="5"/>
      <c r="TFP64" s="5"/>
      <c r="TFQ64" s="5"/>
      <c r="TFR64" s="5"/>
      <c r="TFS64" s="5"/>
      <c r="TFT64" s="5"/>
      <c r="TFU64" s="5"/>
      <c r="TFV64" s="5"/>
      <c r="TFW64" s="5"/>
      <c r="TFX64" s="5"/>
      <c r="TFY64" s="5"/>
      <c r="TFZ64" s="5"/>
      <c r="TGA64" s="5"/>
      <c r="TGB64" s="5"/>
      <c r="TGC64" s="5"/>
      <c r="TGD64" s="5"/>
      <c r="TGE64" s="5"/>
      <c r="TGF64" s="5"/>
      <c r="TGG64" s="5"/>
      <c r="TGH64" s="5"/>
      <c r="TGI64" s="5"/>
      <c r="TGJ64" s="5"/>
      <c r="TGK64" s="5"/>
      <c r="TGL64" s="5"/>
      <c r="TGM64" s="5"/>
      <c r="TGN64" s="5"/>
      <c r="TGO64" s="5"/>
      <c r="TGP64" s="5"/>
      <c r="TGQ64" s="5"/>
      <c r="TGR64" s="5"/>
      <c r="TGS64" s="5"/>
      <c r="TGT64" s="5"/>
      <c r="TGU64" s="5"/>
      <c r="TGV64" s="5"/>
      <c r="TGW64" s="5"/>
      <c r="TGX64" s="5"/>
      <c r="TGY64" s="5"/>
      <c r="TGZ64" s="5"/>
      <c r="THA64" s="5"/>
      <c r="THB64" s="5"/>
      <c r="THC64" s="5"/>
      <c r="THD64" s="5"/>
      <c r="THE64" s="5"/>
      <c r="THF64" s="5"/>
      <c r="THG64" s="5"/>
      <c r="THH64" s="5"/>
      <c r="THI64" s="5"/>
      <c r="THJ64" s="5"/>
      <c r="THK64" s="5"/>
      <c r="THL64" s="5"/>
      <c r="THM64" s="5"/>
      <c r="THN64" s="5"/>
      <c r="THO64" s="5"/>
      <c r="THP64" s="5"/>
      <c r="THQ64" s="5"/>
      <c r="THR64" s="5"/>
      <c r="THS64" s="5"/>
      <c r="THT64" s="5"/>
      <c r="THU64" s="5"/>
      <c r="THV64" s="5"/>
      <c r="THW64" s="5"/>
      <c r="THX64" s="5"/>
      <c r="THY64" s="5"/>
      <c r="THZ64" s="5"/>
      <c r="TIA64" s="5"/>
      <c r="TIB64" s="5"/>
      <c r="TIC64" s="5"/>
      <c r="TID64" s="5"/>
      <c r="TIE64" s="5"/>
      <c r="TIF64" s="5"/>
      <c r="TIG64" s="5"/>
      <c r="TIH64" s="5"/>
      <c r="TII64" s="5"/>
      <c r="TIJ64" s="5"/>
      <c r="TIK64" s="5"/>
      <c r="TIL64" s="5"/>
      <c r="TIM64" s="5"/>
      <c r="TIN64" s="5"/>
      <c r="TIO64" s="5"/>
      <c r="TIP64" s="5"/>
      <c r="TIQ64" s="5"/>
      <c r="TIR64" s="5"/>
      <c r="TIS64" s="5"/>
      <c r="TIT64" s="5"/>
      <c r="TIU64" s="5"/>
      <c r="TIV64" s="5"/>
      <c r="TIW64" s="5"/>
      <c r="TIX64" s="5"/>
      <c r="TIY64" s="5"/>
      <c r="TIZ64" s="5"/>
      <c r="TJA64" s="5"/>
      <c r="TJB64" s="5"/>
      <c r="TJC64" s="5"/>
      <c r="TJD64" s="5"/>
      <c r="TJE64" s="5"/>
      <c r="TJF64" s="5"/>
      <c r="TJG64" s="5"/>
      <c r="TJH64" s="5"/>
      <c r="TJI64" s="5"/>
      <c r="TJJ64" s="5"/>
      <c r="TJK64" s="5"/>
      <c r="TJL64" s="5"/>
      <c r="TJM64" s="5"/>
      <c r="TJN64" s="5"/>
      <c r="TJO64" s="5"/>
      <c r="TJP64" s="5"/>
      <c r="TJQ64" s="5"/>
      <c r="TJR64" s="5"/>
      <c r="TJS64" s="5"/>
      <c r="TJT64" s="5"/>
      <c r="TJU64" s="5"/>
      <c r="TJV64" s="5"/>
      <c r="TJW64" s="5"/>
      <c r="TJX64" s="5"/>
      <c r="TJY64" s="5"/>
      <c r="TJZ64" s="5"/>
      <c r="TKA64" s="5"/>
      <c r="TKB64" s="5"/>
      <c r="TKC64" s="5"/>
      <c r="TKD64" s="5"/>
      <c r="TKE64" s="5"/>
      <c r="TKF64" s="5"/>
      <c r="TKG64" s="5"/>
      <c r="TKH64" s="5"/>
      <c r="TKI64" s="5"/>
      <c r="TKJ64" s="5"/>
      <c r="TKK64" s="5"/>
      <c r="TKL64" s="5"/>
      <c r="TKM64" s="5"/>
      <c r="TKN64" s="5"/>
      <c r="TKO64" s="5"/>
      <c r="TKP64" s="5"/>
      <c r="TKQ64" s="5"/>
      <c r="TKR64" s="5"/>
      <c r="TKS64" s="5"/>
      <c r="TKT64" s="5"/>
      <c r="TKU64" s="5"/>
      <c r="TKV64" s="5"/>
      <c r="TKW64" s="5"/>
      <c r="TKX64" s="5"/>
      <c r="TKY64" s="5"/>
      <c r="TKZ64" s="5"/>
      <c r="TLA64" s="5"/>
      <c r="TLB64" s="5"/>
      <c r="TLC64" s="5"/>
      <c r="TLD64" s="5"/>
      <c r="TLE64" s="5"/>
      <c r="TLF64" s="5"/>
      <c r="TLG64" s="5"/>
      <c r="TLH64" s="5"/>
      <c r="TLI64" s="5"/>
      <c r="TLJ64" s="5"/>
      <c r="TLK64" s="5"/>
      <c r="TLL64" s="5"/>
      <c r="TLM64" s="5"/>
      <c r="TLN64" s="5"/>
      <c r="TLO64" s="5"/>
      <c r="TLP64" s="5"/>
      <c r="TLQ64" s="5"/>
      <c r="TLR64" s="5"/>
      <c r="TLS64" s="5"/>
      <c r="TLT64" s="5"/>
      <c r="TLU64" s="5"/>
      <c r="TLV64" s="5"/>
      <c r="TLW64" s="5"/>
      <c r="TLX64" s="5"/>
      <c r="TLY64" s="5"/>
      <c r="TLZ64" s="5"/>
      <c r="TMA64" s="5"/>
      <c r="TMB64" s="5"/>
      <c r="TMC64" s="5"/>
      <c r="TMD64" s="5"/>
      <c r="TME64" s="5"/>
      <c r="TMF64" s="5"/>
      <c r="TMG64" s="5"/>
      <c r="TMH64" s="5"/>
      <c r="TMI64" s="5"/>
      <c r="TMJ64" s="5"/>
      <c r="TMK64" s="5"/>
      <c r="TML64" s="5"/>
      <c r="TMM64" s="5"/>
      <c r="TMN64" s="5"/>
      <c r="TMO64" s="5"/>
      <c r="TMP64" s="5"/>
      <c r="TMQ64" s="5"/>
      <c r="TMR64" s="5"/>
      <c r="TMS64" s="5"/>
      <c r="TMT64" s="5"/>
      <c r="TMU64" s="5"/>
      <c r="TMV64" s="5"/>
      <c r="TMW64" s="5"/>
      <c r="TMX64" s="5"/>
      <c r="TMY64" s="5"/>
      <c r="TMZ64" s="5"/>
      <c r="TNA64" s="5"/>
      <c r="TNB64" s="5"/>
      <c r="TNC64" s="5"/>
      <c r="TND64" s="5"/>
      <c r="TNE64" s="5"/>
      <c r="TNF64" s="5"/>
      <c r="TNG64" s="5"/>
      <c r="TNH64" s="5"/>
      <c r="TNI64" s="5"/>
      <c r="TNJ64" s="5"/>
      <c r="TNK64" s="5"/>
      <c r="TNL64" s="5"/>
      <c r="TNM64" s="5"/>
      <c r="TNN64" s="5"/>
      <c r="TNO64" s="5"/>
      <c r="TNP64" s="5"/>
      <c r="TNQ64" s="5"/>
      <c r="TNR64" s="5"/>
      <c r="TNS64" s="5"/>
      <c r="TNT64" s="5"/>
      <c r="TNU64" s="5"/>
      <c r="TNV64" s="5"/>
      <c r="TNW64" s="5"/>
      <c r="TNX64" s="5"/>
      <c r="TNY64" s="5"/>
      <c r="TNZ64" s="5"/>
      <c r="TOA64" s="5"/>
      <c r="TOB64" s="5"/>
      <c r="TOC64" s="5"/>
      <c r="TOD64" s="5"/>
      <c r="TOE64" s="5"/>
      <c r="TOF64" s="5"/>
      <c r="TOG64" s="5"/>
      <c r="TOH64" s="5"/>
      <c r="TOI64" s="5"/>
      <c r="TOJ64" s="5"/>
      <c r="TOK64" s="5"/>
      <c r="TOL64" s="5"/>
      <c r="TOM64" s="5"/>
      <c r="TON64" s="5"/>
      <c r="TOO64" s="5"/>
      <c r="TOP64" s="5"/>
      <c r="TOQ64" s="5"/>
      <c r="TOR64" s="5"/>
      <c r="TOS64" s="5"/>
      <c r="TOT64" s="5"/>
      <c r="TOU64" s="5"/>
      <c r="TOV64" s="5"/>
      <c r="TOW64" s="5"/>
      <c r="TOX64" s="5"/>
      <c r="TOY64" s="5"/>
      <c r="TOZ64" s="5"/>
      <c r="TPA64" s="5"/>
      <c r="TPB64" s="5"/>
      <c r="TPC64" s="5"/>
      <c r="TPD64" s="5"/>
      <c r="TPE64" s="5"/>
      <c r="TPF64" s="5"/>
      <c r="TPG64" s="5"/>
      <c r="TPH64" s="5"/>
      <c r="TPI64" s="5"/>
      <c r="TPJ64" s="5"/>
      <c r="TPK64" s="5"/>
      <c r="TPL64" s="5"/>
      <c r="TPM64" s="5"/>
      <c r="TPN64" s="5"/>
      <c r="TPO64" s="5"/>
      <c r="TPP64" s="5"/>
      <c r="TPQ64" s="5"/>
      <c r="TPR64" s="5"/>
      <c r="TPS64" s="5"/>
      <c r="TPT64" s="5"/>
      <c r="TPU64" s="5"/>
      <c r="TPV64" s="5"/>
      <c r="TPW64" s="5"/>
      <c r="TPX64" s="5"/>
      <c r="TPY64" s="5"/>
      <c r="TPZ64" s="5"/>
      <c r="TQA64" s="5"/>
      <c r="TQB64" s="5"/>
      <c r="TQC64" s="5"/>
      <c r="TQD64" s="5"/>
      <c r="TQE64" s="5"/>
      <c r="TQF64" s="5"/>
      <c r="TQG64" s="5"/>
      <c r="TQH64" s="5"/>
      <c r="TQI64" s="5"/>
      <c r="TQJ64" s="5"/>
      <c r="TQK64" s="5"/>
      <c r="TQL64" s="5"/>
      <c r="TQM64" s="5"/>
      <c r="TQN64" s="5"/>
      <c r="TQO64" s="5"/>
      <c r="TQP64" s="5"/>
      <c r="TQQ64" s="5"/>
      <c r="TQR64" s="5"/>
      <c r="TQS64" s="5"/>
      <c r="TQT64" s="5"/>
      <c r="TQU64" s="5"/>
      <c r="TQV64" s="5"/>
      <c r="TQW64" s="5"/>
      <c r="TQX64" s="5"/>
      <c r="TQY64" s="5"/>
      <c r="TQZ64" s="5"/>
      <c r="TRA64" s="5"/>
      <c r="TRB64" s="5"/>
      <c r="TRC64" s="5"/>
      <c r="TRD64" s="5"/>
      <c r="TRE64" s="5"/>
      <c r="TRF64" s="5"/>
      <c r="TRG64" s="5"/>
      <c r="TRH64" s="5"/>
      <c r="TRI64" s="5"/>
      <c r="TRJ64" s="5"/>
      <c r="TRK64" s="5"/>
      <c r="TRL64" s="5"/>
      <c r="TRM64" s="5"/>
      <c r="TRN64" s="5"/>
      <c r="TRO64" s="5"/>
      <c r="TRP64" s="5"/>
      <c r="TRQ64" s="5"/>
      <c r="TRR64" s="5"/>
      <c r="TRS64" s="5"/>
      <c r="TRT64" s="5"/>
      <c r="TRU64" s="5"/>
      <c r="TRV64" s="5"/>
      <c r="TRW64" s="5"/>
      <c r="TRX64" s="5"/>
      <c r="TRY64" s="5"/>
      <c r="TRZ64" s="5"/>
      <c r="TSA64" s="5"/>
      <c r="TSB64" s="5"/>
      <c r="TSC64" s="5"/>
      <c r="TSD64" s="5"/>
      <c r="TSE64" s="5"/>
      <c r="TSF64" s="5"/>
      <c r="TSG64" s="5"/>
      <c r="TSH64" s="5"/>
      <c r="TSI64" s="5"/>
      <c r="TSJ64" s="5"/>
      <c r="TSK64" s="5"/>
      <c r="TSL64" s="5"/>
      <c r="TSM64" s="5"/>
      <c r="TSN64" s="5"/>
      <c r="TSO64" s="5"/>
      <c r="TSP64" s="5"/>
      <c r="TSQ64" s="5"/>
      <c r="TSR64" s="5"/>
      <c r="TSS64" s="5"/>
      <c r="TST64" s="5"/>
      <c r="TSU64" s="5"/>
      <c r="TSV64" s="5"/>
      <c r="TSW64" s="5"/>
      <c r="TSX64" s="5"/>
      <c r="TSY64" s="5"/>
      <c r="TSZ64" s="5"/>
      <c r="TTA64" s="5"/>
      <c r="TTB64" s="5"/>
      <c r="TTC64" s="5"/>
      <c r="TTD64" s="5"/>
      <c r="TTE64" s="5"/>
      <c r="TTF64" s="5"/>
      <c r="TTG64" s="5"/>
      <c r="TTH64" s="5"/>
      <c r="TTI64" s="5"/>
      <c r="TTJ64" s="5"/>
      <c r="TTK64" s="5"/>
      <c r="TTL64" s="5"/>
      <c r="TTM64" s="5"/>
      <c r="TTN64" s="5"/>
      <c r="TTO64" s="5"/>
      <c r="TTP64" s="5"/>
      <c r="TTQ64" s="5"/>
      <c r="TTR64" s="5"/>
      <c r="TTS64" s="5"/>
      <c r="TTT64" s="5"/>
      <c r="TTU64" s="5"/>
      <c r="TTV64" s="5"/>
      <c r="TTW64" s="5"/>
      <c r="TTX64" s="5"/>
      <c r="TTY64" s="5"/>
      <c r="TTZ64" s="5"/>
      <c r="TUA64" s="5"/>
      <c r="TUB64" s="5"/>
      <c r="TUC64" s="5"/>
      <c r="TUD64" s="5"/>
      <c r="TUE64" s="5"/>
      <c r="TUF64" s="5"/>
      <c r="TUG64" s="5"/>
      <c r="TUH64" s="5"/>
      <c r="TUI64" s="5"/>
      <c r="TUJ64" s="5"/>
      <c r="TUK64" s="5"/>
      <c r="TUL64" s="5"/>
      <c r="TUM64" s="5"/>
      <c r="TUN64" s="5"/>
      <c r="TUO64" s="5"/>
      <c r="TUP64" s="5"/>
      <c r="TUQ64" s="5"/>
      <c r="TUR64" s="5"/>
      <c r="TUS64" s="5"/>
      <c r="TUT64" s="5"/>
      <c r="TUU64" s="5"/>
      <c r="TUV64" s="5"/>
      <c r="TUW64" s="5"/>
      <c r="TUX64" s="5"/>
      <c r="TUY64" s="5"/>
      <c r="TUZ64" s="5"/>
      <c r="TVA64" s="5"/>
      <c r="TVB64" s="5"/>
      <c r="TVC64" s="5"/>
      <c r="TVD64" s="5"/>
      <c r="TVE64" s="5"/>
      <c r="TVF64" s="5"/>
      <c r="TVG64" s="5"/>
      <c r="TVH64" s="5"/>
      <c r="TVI64" s="5"/>
      <c r="TVJ64" s="5"/>
      <c r="TVK64" s="5"/>
      <c r="TVL64" s="5"/>
      <c r="TVM64" s="5"/>
      <c r="TVN64" s="5"/>
      <c r="TVO64" s="5"/>
      <c r="TVP64" s="5"/>
      <c r="TVQ64" s="5"/>
      <c r="TVR64" s="5"/>
      <c r="TVS64" s="5"/>
      <c r="TVT64" s="5"/>
      <c r="TVU64" s="5"/>
      <c r="TVV64" s="5"/>
      <c r="TVW64" s="5"/>
      <c r="TVX64" s="5"/>
      <c r="TVY64" s="5"/>
      <c r="TVZ64" s="5"/>
      <c r="TWA64" s="5"/>
      <c r="TWB64" s="5"/>
      <c r="TWC64" s="5"/>
      <c r="TWD64" s="5"/>
      <c r="TWE64" s="5"/>
      <c r="TWF64" s="5"/>
      <c r="TWG64" s="5"/>
      <c r="TWH64" s="5"/>
      <c r="TWI64" s="5"/>
      <c r="TWJ64" s="5"/>
      <c r="TWK64" s="5"/>
      <c r="TWL64" s="5"/>
      <c r="TWM64" s="5"/>
      <c r="TWN64" s="5"/>
      <c r="TWO64" s="5"/>
      <c r="TWP64" s="5"/>
      <c r="TWQ64" s="5"/>
      <c r="TWR64" s="5"/>
      <c r="TWS64" s="5"/>
      <c r="TWT64" s="5"/>
      <c r="TWU64" s="5"/>
      <c r="TWV64" s="5"/>
      <c r="TWW64" s="5"/>
      <c r="TWX64" s="5"/>
      <c r="TWY64" s="5"/>
      <c r="TWZ64" s="5"/>
      <c r="TXA64" s="5"/>
      <c r="TXB64" s="5"/>
      <c r="TXC64" s="5"/>
      <c r="TXD64" s="5"/>
      <c r="TXE64" s="5"/>
      <c r="TXF64" s="5"/>
      <c r="TXG64" s="5"/>
      <c r="TXH64" s="5"/>
      <c r="TXI64" s="5"/>
      <c r="TXJ64" s="5"/>
      <c r="TXK64" s="5"/>
      <c r="TXL64" s="5"/>
      <c r="TXM64" s="5"/>
      <c r="TXN64" s="5"/>
      <c r="TXO64" s="5"/>
      <c r="TXP64" s="5"/>
      <c r="TXQ64" s="5"/>
      <c r="TXR64" s="5"/>
      <c r="TXS64" s="5"/>
      <c r="TXT64" s="5"/>
      <c r="TXU64" s="5"/>
      <c r="TXV64" s="5"/>
      <c r="TXW64" s="5"/>
      <c r="TXX64" s="5"/>
      <c r="TXY64" s="5"/>
      <c r="TXZ64" s="5"/>
      <c r="TYA64" s="5"/>
      <c r="TYB64" s="5"/>
      <c r="TYC64" s="5"/>
      <c r="TYD64" s="5"/>
      <c r="TYE64" s="5"/>
      <c r="TYF64" s="5"/>
      <c r="TYG64" s="5"/>
      <c r="TYH64" s="5"/>
      <c r="TYI64" s="5"/>
      <c r="TYJ64" s="5"/>
      <c r="TYK64" s="5"/>
      <c r="TYL64" s="5"/>
      <c r="TYM64" s="5"/>
      <c r="TYN64" s="5"/>
      <c r="TYO64" s="5"/>
      <c r="TYP64" s="5"/>
      <c r="TYQ64" s="5"/>
      <c r="TYR64" s="5"/>
      <c r="TYS64" s="5"/>
      <c r="TYT64" s="5"/>
      <c r="TYU64" s="5"/>
      <c r="TYV64" s="5"/>
      <c r="TYW64" s="5"/>
      <c r="TYX64" s="5"/>
      <c r="TYY64" s="5"/>
      <c r="TYZ64" s="5"/>
      <c r="TZA64" s="5"/>
      <c r="TZB64" s="5"/>
      <c r="TZC64" s="5"/>
      <c r="TZD64" s="5"/>
      <c r="TZE64" s="5"/>
      <c r="TZF64" s="5"/>
      <c r="TZG64" s="5"/>
      <c r="TZH64" s="5"/>
      <c r="TZI64" s="5"/>
      <c r="TZJ64" s="5"/>
      <c r="TZK64" s="5"/>
      <c r="TZL64" s="5"/>
      <c r="TZM64" s="5"/>
      <c r="TZN64" s="5"/>
      <c r="TZO64" s="5"/>
      <c r="TZP64" s="5"/>
      <c r="TZQ64" s="5"/>
      <c r="TZR64" s="5"/>
      <c r="TZS64" s="5"/>
      <c r="TZT64" s="5"/>
      <c r="TZU64" s="5"/>
      <c r="TZV64" s="5"/>
      <c r="TZW64" s="5"/>
      <c r="TZX64" s="5"/>
      <c r="TZY64" s="5"/>
      <c r="TZZ64" s="5"/>
      <c r="UAA64" s="5"/>
      <c r="UAB64" s="5"/>
      <c r="UAC64" s="5"/>
      <c r="UAD64" s="5"/>
      <c r="UAE64" s="5"/>
      <c r="UAF64" s="5"/>
      <c r="UAG64" s="5"/>
      <c r="UAH64" s="5"/>
      <c r="UAI64" s="5"/>
      <c r="UAJ64" s="5"/>
      <c r="UAK64" s="5"/>
      <c r="UAL64" s="5"/>
      <c r="UAM64" s="5"/>
      <c r="UAN64" s="5"/>
      <c r="UAO64" s="5"/>
      <c r="UAP64" s="5"/>
      <c r="UAQ64" s="5"/>
      <c r="UAR64" s="5"/>
      <c r="UAS64" s="5"/>
      <c r="UAT64" s="5"/>
      <c r="UAU64" s="5"/>
      <c r="UAV64" s="5"/>
      <c r="UAW64" s="5"/>
      <c r="UAX64" s="5"/>
      <c r="UAY64" s="5"/>
      <c r="UAZ64" s="5"/>
      <c r="UBA64" s="5"/>
      <c r="UBB64" s="5"/>
      <c r="UBC64" s="5"/>
      <c r="UBD64" s="5"/>
      <c r="UBE64" s="5"/>
      <c r="UBF64" s="5"/>
      <c r="UBG64" s="5"/>
      <c r="UBH64" s="5"/>
      <c r="UBI64" s="5"/>
      <c r="UBJ64" s="5"/>
      <c r="UBK64" s="5"/>
      <c r="UBL64" s="5"/>
      <c r="UBM64" s="5"/>
      <c r="UBN64" s="5"/>
      <c r="UBO64" s="5"/>
      <c r="UBP64" s="5"/>
      <c r="UBQ64" s="5"/>
      <c r="UBR64" s="5"/>
      <c r="UBS64" s="5"/>
      <c r="UBT64" s="5"/>
      <c r="UBU64" s="5"/>
      <c r="UBV64" s="5"/>
      <c r="UBW64" s="5"/>
      <c r="UBX64" s="5"/>
      <c r="UBY64" s="5"/>
      <c r="UBZ64" s="5"/>
      <c r="UCA64" s="5"/>
      <c r="UCB64" s="5"/>
      <c r="UCC64" s="5"/>
      <c r="UCD64" s="5"/>
      <c r="UCE64" s="5"/>
      <c r="UCF64" s="5"/>
      <c r="UCG64" s="5"/>
      <c r="UCH64" s="5"/>
      <c r="UCI64" s="5"/>
      <c r="UCJ64" s="5"/>
      <c r="UCK64" s="5"/>
      <c r="UCL64" s="5"/>
      <c r="UCM64" s="5"/>
      <c r="UCN64" s="5"/>
      <c r="UCO64" s="5"/>
      <c r="UCP64" s="5"/>
      <c r="UCQ64" s="5"/>
      <c r="UCR64" s="5"/>
      <c r="UCS64" s="5"/>
      <c r="UCT64" s="5"/>
      <c r="UCU64" s="5"/>
      <c r="UCV64" s="5"/>
      <c r="UCW64" s="5"/>
      <c r="UCX64" s="5"/>
      <c r="UCY64" s="5"/>
      <c r="UCZ64" s="5"/>
      <c r="UDA64" s="5"/>
      <c r="UDB64" s="5"/>
      <c r="UDC64" s="5"/>
      <c r="UDD64" s="5"/>
      <c r="UDE64" s="5"/>
      <c r="UDF64" s="5"/>
      <c r="UDG64" s="5"/>
      <c r="UDH64" s="5"/>
      <c r="UDI64" s="5"/>
      <c r="UDJ64" s="5"/>
      <c r="UDK64" s="5"/>
      <c r="UDL64" s="5"/>
      <c r="UDM64" s="5"/>
      <c r="UDN64" s="5"/>
      <c r="UDO64" s="5"/>
      <c r="UDP64" s="5"/>
      <c r="UDQ64" s="5"/>
      <c r="UDR64" s="5"/>
      <c r="UDS64" s="5"/>
      <c r="UDT64" s="5"/>
      <c r="UDU64" s="5"/>
      <c r="UDV64" s="5"/>
      <c r="UDW64" s="5"/>
      <c r="UDX64" s="5"/>
      <c r="UDY64" s="5"/>
      <c r="UDZ64" s="5"/>
      <c r="UEA64" s="5"/>
      <c r="UEB64" s="5"/>
      <c r="UEC64" s="5"/>
      <c r="UED64" s="5"/>
      <c r="UEE64" s="5"/>
      <c r="UEF64" s="5"/>
      <c r="UEG64" s="5"/>
      <c r="UEH64" s="5"/>
      <c r="UEI64" s="5"/>
      <c r="UEJ64" s="5"/>
      <c r="UEK64" s="5"/>
      <c r="UEL64" s="5"/>
      <c r="UEM64" s="5"/>
      <c r="UEN64" s="5"/>
      <c r="UEO64" s="5"/>
      <c r="UEP64" s="5"/>
      <c r="UEQ64" s="5"/>
      <c r="UER64" s="5"/>
      <c r="UES64" s="5"/>
      <c r="UET64" s="5"/>
      <c r="UEU64" s="5"/>
      <c r="UEV64" s="5"/>
      <c r="UEW64" s="5"/>
      <c r="UEX64" s="5"/>
      <c r="UEY64" s="5"/>
      <c r="UEZ64" s="5"/>
      <c r="UFA64" s="5"/>
      <c r="UFB64" s="5"/>
      <c r="UFC64" s="5"/>
      <c r="UFD64" s="5"/>
      <c r="UFE64" s="5"/>
      <c r="UFF64" s="5"/>
      <c r="UFG64" s="5"/>
      <c r="UFH64" s="5"/>
      <c r="UFI64" s="5"/>
      <c r="UFJ64" s="5"/>
      <c r="UFK64" s="5"/>
      <c r="UFL64" s="5"/>
      <c r="UFM64" s="5"/>
      <c r="UFN64" s="5"/>
      <c r="UFO64" s="5"/>
      <c r="UFP64" s="5"/>
      <c r="UFQ64" s="5"/>
      <c r="UFR64" s="5"/>
      <c r="UFS64" s="5"/>
      <c r="UFT64" s="5"/>
      <c r="UFU64" s="5"/>
      <c r="UFV64" s="5"/>
      <c r="UFW64" s="5"/>
      <c r="UFX64" s="5"/>
      <c r="UFY64" s="5"/>
      <c r="UFZ64" s="5"/>
      <c r="UGA64" s="5"/>
      <c r="UGB64" s="5"/>
      <c r="UGC64" s="5"/>
      <c r="UGD64" s="5"/>
      <c r="UGE64" s="5"/>
      <c r="UGF64" s="5"/>
      <c r="UGG64" s="5"/>
      <c r="UGH64" s="5"/>
      <c r="UGI64" s="5"/>
      <c r="UGJ64" s="5"/>
      <c r="UGK64" s="5"/>
      <c r="UGL64" s="5"/>
      <c r="UGM64" s="5"/>
      <c r="UGN64" s="5"/>
      <c r="UGO64" s="5"/>
      <c r="UGP64" s="5"/>
      <c r="UGQ64" s="5"/>
      <c r="UGR64" s="5"/>
      <c r="UGS64" s="5"/>
      <c r="UGT64" s="5"/>
      <c r="UGU64" s="5"/>
      <c r="UGV64" s="5"/>
      <c r="UGW64" s="5"/>
      <c r="UGX64" s="5"/>
      <c r="UGY64" s="5"/>
      <c r="UGZ64" s="5"/>
      <c r="UHA64" s="5"/>
      <c r="UHB64" s="5"/>
      <c r="UHC64" s="5"/>
      <c r="UHD64" s="5"/>
      <c r="UHE64" s="5"/>
      <c r="UHF64" s="5"/>
      <c r="UHG64" s="5"/>
      <c r="UHH64" s="5"/>
      <c r="UHI64" s="5"/>
      <c r="UHJ64" s="5"/>
      <c r="UHK64" s="5"/>
      <c r="UHL64" s="5"/>
      <c r="UHM64" s="5"/>
      <c r="UHN64" s="5"/>
      <c r="UHO64" s="5"/>
      <c r="UHP64" s="5"/>
      <c r="UHQ64" s="5"/>
      <c r="UHR64" s="5"/>
      <c r="UHS64" s="5"/>
      <c r="UHT64" s="5"/>
      <c r="UHU64" s="5"/>
      <c r="UHV64" s="5"/>
      <c r="UHW64" s="5"/>
      <c r="UHX64" s="5"/>
      <c r="UHY64" s="5"/>
      <c r="UHZ64" s="5"/>
      <c r="UIA64" s="5"/>
      <c r="UIB64" s="5"/>
      <c r="UIC64" s="5"/>
      <c r="UID64" s="5"/>
      <c r="UIE64" s="5"/>
      <c r="UIF64" s="5"/>
      <c r="UIG64" s="5"/>
      <c r="UIH64" s="5"/>
      <c r="UII64" s="5"/>
      <c r="UIJ64" s="5"/>
      <c r="UIK64" s="5"/>
      <c r="UIL64" s="5"/>
      <c r="UIM64" s="5"/>
      <c r="UIN64" s="5"/>
      <c r="UIO64" s="5"/>
      <c r="UIP64" s="5"/>
      <c r="UIQ64" s="5"/>
      <c r="UIR64" s="5"/>
      <c r="UIS64" s="5"/>
      <c r="UIT64" s="5"/>
      <c r="UIU64" s="5"/>
      <c r="UIV64" s="5"/>
      <c r="UIW64" s="5"/>
      <c r="UIX64" s="5"/>
      <c r="UIY64" s="5"/>
      <c r="UIZ64" s="5"/>
      <c r="UJA64" s="5"/>
      <c r="UJB64" s="5"/>
      <c r="UJC64" s="5"/>
      <c r="UJD64" s="5"/>
      <c r="UJE64" s="5"/>
      <c r="UJF64" s="5"/>
      <c r="UJG64" s="5"/>
      <c r="UJH64" s="5"/>
      <c r="UJI64" s="5"/>
      <c r="UJJ64" s="5"/>
      <c r="UJK64" s="5"/>
      <c r="UJL64" s="5"/>
      <c r="UJM64" s="5"/>
      <c r="UJN64" s="5"/>
      <c r="UJO64" s="5"/>
      <c r="UJP64" s="5"/>
      <c r="UJQ64" s="5"/>
      <c r="UJR64" s="5"/>
      <c r="UJS64" s="5"/>
      <c r="UJT64" s="5"/>
      <c r="UJU64" s="5"/>
      <c r="UJV64" s="5"/>
      <c r="UJW64" s="5"/>
      <c r="UJX64" s="5"/>
      <c r="UJY64" s="5"/>
      <c r="UJZ64" s="5"/>
      <c r="UKA64" s="5"/>
      <c r="UKB64" s="5"/>
      <c r="UKC64" s="5"/>
      <c r="UKD64" s="5"/>
      <c r="UKE64" s="5"/>
      <c r="UKF64" s="5"/>
      <c r="UKG64" s="5"/>
      <c r="UKH64" s="5"/>
      <c r="UKI64" s="5"/>
      <c r="UKJ64" s="5"/>
      <c r="UKK64" s="5"/>
      <c r="UKL64" s="5"/>
      <c r="UKM64" s="5"/>
      <c r="UKN64" s="5"/>
      <c r="UKO64" s="5"/>
      <c r="UKP64" s="5"/>
      <c r="UKQ64" s="5"/>
      <c r="UKR64" s="5"/>
      <c r="UKS64" s="5"/>
      <c r="UKT64" s="5"/>
      <c r="UKU64" s="5"/>
      <c r="UKV64" s="5"/>
      <c r="UKW64" s="5"/>
      <c r="UKX64" s="5"/>
      <c r="UKY64" s="5"/>
      <c r="UKZ64" s="5"/>
      <c r="ULA64" s="5"/>
      <c r="ULB64" s="5"/>
      <c r="ULC64" s="5"/>
      <c r="ULD64" s="5"/>
      <c r="ULE64" s="5"/>
      <c r="ULF64" s="5"/>
      <c r="ULG64" s="5"/>
      <c r="ULH64" s="5"/>
      <c r="ULI64" s="5"/>
      <c r="ULJ64" s="5"/>
      <c r="ULK64" s="5"/>
      <c r="ULL64" s="5"/>
      <c r="ULM64" s="5"/>
      <c r="ULN64" s="5"/>
      <c r="ULO64" s="5"/>
      <c r="ULP64" s="5"/>
      <c r="ULQ64" s="5"/>
      <c r="ULR64" s="5"/>
      <c r="ULS64" s="5"/>
      <c r="ULT64" s="5"/>
      <c r="ULU64" s="5"/>
      <c r="ULV64" s="5"/>
      <c r="ULW64" s="5"/>
      <c r="ULX64" s="5"/>
      <c r="ULY64" s="5"/>
      <c r="ULZ64" s="5"/>
      <c r="UMA64" s="5"/>
      <c r="UMB64" s="5"/>
      <c r="UMC64" s="5"/>
      <c r="UMD64" s="5"/>
      <c r="UME64" s="5"/>
      <c r="UMF64" s="5"/>
      <c r="UMG64" s="5"/>
      <c r="UMH64" s="5"/>
      <c r="UMI64" s="5"/>
      <c r="UMJ64" s="5"/>
      <c r="UMK64" s="5"/>
      <c r="UML64" s="5"/>
      <c r="UMM64" s="5"/>
      <c r="UMN64" s="5"/>
      <c r="UMO64" s="5"/>
      <c r="UMP64" s="5"/>
      <c r="UMQ64" s="5"/>
      <c r="UMR64" s="5"/>
      <c r="UMS64" s="5"/>
      <c r="UMT64" s="5"/>
      <c r="UMU64" s="5"/>
      <c r="UMV64" s="5"/>
      <c r="UMW64" s="5"/>
      <c r="UMX64" s="5"/>
      <c r="UMY64" s="5"/>
      <c r="UMZ64" s="5"/>
      <c r="UNA64" s="5"/>
      <c r="UNB64" s="5"/>
      <c r="UNC64" s="5"/>
      <c r="UND64" s="5"/>
      <c r="UNE64" s="5"/>
      <c r="UNF64" s="5"/>
      <c r="UNG64" s="5"/>
      <c r="UNH64" s="5"/>
      <c r="UNI64" s="5"/>
      <c r="UNJ64" s="5"/>
      <c r="UNK64" s="5"/>
      <c r="UNL64" s="5"/>
      <c r="UNM64" s="5"/>
      <c r="UNN64" s="5"/>
      <c r="UNO64" s="5"/>
      <c r="UNP64" s="5"/>
      <c r="UNQ64" s="5"/>
      <c r="UNR64" s="5"/>
      <c r="UNS64" s="5"/>
      <c r="UNT64" s="5"/>
      <c r="UNU64" s="5"/>
      <c r="UNV64" s="5"/>
      <c r="UNW64" s="5"/>
      <c r="UNX64" s="5"/>
      <c r="UNY64" s="5"/>
      <c r="UNZ64" s="5"/>
      <c r="UOA64" s="5"/>
      <c r="UOB64" s="5"/>
      <c r="UOC64" s="5"/>
      <c r="UOD64" s="5"/>
      <c r="UOE64" s="5"/>
      <c r="UOF64" s="5"/>
      <c r="UOG64" s="5"/>
      <c r="UOH64" s="5"/>
      <c r="UOI64" s="5"/>
      <c r="UOJ64" s="5"/>
      <c r="UOK64" s="5"/>
      <c r="UOL64" s="5"/>
      <c r="UOM64" s="5"/>
      <c r="UON64" s="5"/>
      <c r="UOO64" s="5"/>
      <c r="UOP64" s="5"/>
      <c r="UOQ64" s="5"/>
      <c r="UOR64" s="5"/>
      <c r="UOS64" s="5"/>
      <c r="UOT64" s="5"/>
      <c r="UOU64" s="5"/>
      <c r="UOV64" s="5"/>
      <c r="UOW64" s="5"/>
      <c r="UOX64" s="5"/>
      <c r="UOY64" s="5"/>
      <c r="UOZ64" s="5"/>
      <c r="UPA64" s="5"/>
      <c r="UPB64" s="5"/>
      <c r="UPC64" s="5"/>
      <c r="UPD64" s="5"/>
      <c r="UPE64" s="5"/>
      <c r="UPF64" s="5"/>
      <c r="UPG64" s="5"/>
      <c r="UPH64" s="5"/>
      <c r="UPI64" s="5"/>
      <c r="UPJ64" s="5"/>
      <c r="UPK64" s="5"/>
      <c r="UPL64" s="5"/>
      <c r="UPM64" s="5"/>
      <c r="UPN64" s="5"/>
      <c r="UPO64" s="5"/>
      <c r="UPP64" s="5"/>
      <c r="UPQ64" s="5"/>
      <c r="UPR64" s="5"/>
      <c r="UPS64" s="5"/>
      <c r="UPT64" s="5"/>
      <c r="UPU64" s="5"/>
      <c r="UPV64" s="5"/>
      <c r="UPW64" s="5"/>
      <c r="UPX64" s="5"/>
      <c r="UPY64" s="5"/>
      <c r="UPZ64" s="5"/>
      <c r="UQA64" s="5"/>
      <c r="UQB64" s="5"/>
      <c r="UQC64" s="5"/>
      <c r="UQD64" s="5"/>
      <c r="UQE64" s="5"/>
      <c r="UQF64" s="5"/>
      <c r="UQG64" s="5"/>
      <c r="UQH64" s="5"/>
      <c r="UQI64" s="5"/>
      <c r="UQJ64" s="5"/>
      <c r="UQK64" s="5"/>
      <c r="UQL64" s="5"/>
      <c r="UQM64" s="5"/>
      <c r="UQN64" s="5"/>
      <c r="UQO64" s="5"/>
      <c r="UQP64" s="5"/>
      <c r="UQQ64" s="5"/>
      <c r="UQR64" s="5"/>
      <c r="UQS64" s="5"/>
      <c r="UQT64" s="5"/>
      <c r="UQU64" s="5"/>
      <c r="UQV64" s="5"/>
      <c r="UQW64" s="5"/>
      <c r="UQX64" s="5"/>
      <c r="UQY64" s="5"/>
      <c r="UQZ64" s="5"/>
      <c r="URA64" s="5"/>
      <c r="URB64" s="5"/>
      <c r="URC64" s="5"/>
      <c r="URD64" s="5"/>
      <c r="URE64" s="5"/>
      <c r="URF64" s="5"/>
      <c r="URG64" s="5"/>
      <c r="URH64" s="5"/>
      <c r="URI64" s="5"/>
      <c r="URJ64" s="5"/>
      <c r="URK64" s="5"/>
      <c r="URL64" s="5"/>
      <c r="URM64" s="5"/>
      <c r="URN64" s="5"/>
      <c r="URO64" s="5"/>
      <c r="URP64" s="5"/>
      <c r="URQ64" s="5"/>
      <c r="URR64" s="5"/>
      <c r="URS64" s="5"/>
      <c r="URT64" s="5"/>
      <c r="URU64" s="5"/>
      <c r="URV64" s="5"/>
      <c r="URW64" s="5"/>
      <c r="URX64" s="5"/>
      <c r="URY64" s="5"/>
      <c r="URZ64" s="5"/>
      <c r="USA64" s="5"/>
      <c r="USB64" s="5"/>
      <c r="USC64" s="5"/>
      <c r="USD64" s="5"/>
      <c r="USE64" s="5"/>
      <c r="USF64" s="5"/>
      <c r="USG64" s="5"/>
      <c r="USH64" s="5"/>
      <c r="USI64" s="5"/>
      <c r="USJ64" s="5"/>
      <c r="USK64" s="5"/>
      <c r="USL64" s="5"/>
      <c r="USM64" s="5"/>
      <c r="USN64" s="5"/>
      <c r="USO64" s="5"/>
      <c r="USP64" s="5"/>
      <c r="USQ64" s="5"/>
      <c r="USR64" s="5"/>
      <c r="USS64" s="5"/>
      <c r="UST64" s="5"/>
      <c r="USU64" s="5"/>
      <c r="USV64" s="5"/>
      <c r="USW64" s="5"/>
      <c r="USX64" s="5"/>
      <c r="USY64" s="5"/>
      <c r="USZ64" s="5"/>
      <c r="UTA64" s="5"/>
      <c r="UTB64" s="5"/>
      <c r="UTC64" s="5"/>
      <c r="UTD64" s="5"/>
      <c r="UTE64" s="5"/>
      <c r="UTF64" s="5"/>
      <c r="UTG64" s="5"/>
      <c r="UTH64" s="5"/>
      <c r="UTI64" s="5"/>
      <c r="UTJ64" s="5"/>
      <c r="UTK64" s="5"/>
      <c r="UTL64" s="5"/>
      <c r="UTM64" s="5"/>
      <c r="UTN64" s="5"/>
      <c r="UTO64" s="5"/>
      <c r="UTP64" s="5"/>
      <c r="UTQ64" s="5"/>
      <c r="UTR64" s="5"/>
      <c r="UTS64" s="5"/>
      <c r="UTT64" s="5"/>
      <c r="UTU64" s="5"/>
      <c r="UTV64" s="5"/>
      <c r="UTW64" s="5"/>
      <c r="UTX64" s="5"/>
      <c r="UTY64" s="5"/>
      <c r="UTZ64" s="5"/>
      <c r="UUA64" s="5"/>
      <c r="UUB64" s="5"/>
      <c r="UUC64" s="5"/>
      <c r="UUD64" s="5"/>
      <c r="UUE64" s="5"/>
      <c r="UUF64" s="5"/>
      <c r="UUG64" s="5"/>
      <c r="UUH64" s="5"/>
      <c r="UUI64" s="5"/>
      <c r="UUJ64" s="5"/>
      <c r="UUK64" s="5"/>
      <c r="UUL64" s="5"/>
      <c r="UUM64" s="5"/>
      <c r="UUN64" s="5"/>
      <c r="UUO64" s="5"/>
      <c r="UUP64" s="5"/>
      <c r="UUQ64" s="5"/>
      <c r="UUR64" s="5"/>
      <c r="UUS64" s="5"/>
      <c r="UUT64" s="5"/>
      <c r="UUU64" s="5"/>
      <c r="UUV64" s="5"/>
      <c r="UUW64" s="5"/>
      <c r="UUX64" s="5"/>
      <c r="UUY64" s="5"/>
      <c r="UUZ64" s="5"/>
      <c r="UVA64" s="5"/>
      <c r="UVB64" s="5"/>
      <c r="UVC64" s="5"/>
      <c r="UVD64" s="5"/>
      <c r="UVE64" s="5"/>
      <c r="UVF64" s="5"/>
      <c r="UVG64" s="5"/>
      <c r="UVH64" s="5"/>
      <c r="UVI64" s="5"/>
      <c r="UVJ64" s="5"/>
      <c r="UVK64" s="5"/>
      <c r="UVL64" s="5"/>
      <c r="UVM64" s="5"/>
      <c r="UVN64" s="5"/>
      <c r="UVO64" s="5"/>
      <c r="UVP64" s="5"/>
      <c r="UVQ64" s="5"/>
      <c r="UVR64" s="5"/>
      <c r="UVS64" s="5"/>
      <c r="UVT64" s="5"/>
      <c r="UVU64" s="5"/>
      <c r="UVV64" s="5"/>
      <c r="UVW64" s="5"/>
      <c r="UVX64" s="5"/>
      <c r="UVY64" s="5"/>
      <c r="UVZ64" s="5"/>
      <c r="UWA64" s="5"/>
      <c r="UWB64" s="5"/>
      <c r="UWC64" s="5"/>
      <c r="UWD64" s="5"/>
      <c r="UWE64" s="5"/>
      <c r="UWF64" s="5"/>
      <c r="UWG64" s="5"/>
      <c r="UWH64" s="5"/>
      <c r="UWI64" s="5"/>
      <c r="UWJ64" s="5"/>
      <c r="UWK64" s="5"/>
      <c r="UWL64" s="5"/>
      <c r="UWM64" s="5"/>
      <c r="UWN64" s="5"/>
      <c r="UWO64" s="5"/>
      <c r="UWP64" s="5"/>
      <c r="UWQ64" s="5"/>
      <c r="UWR64" s="5"/>
      <c r="UWS64" s="5"/>
      <c r="UWT64" s="5"/>
      <c r="UWU64" s="5"/>
      <c r="UWV64" s="5"/>
      <c r="UWW64" s="5"/>
      <c r="UWX64" s="5"/>
      <c r="UWY64" s="5"/>
      <c r="UWZ64" s="5"/>
      <c r="UXA64" s="5"/>
      <c r="UXB64" s="5"/>
      <c r="UXC64" s="5"/>
      <c r="UXD64" s="5"/>
      <c r="UXE64" s="5"/>
      <c r="UXF64" s="5"/>
      <c r="UXG64" s="5"/>
      <c r="UXH64" s="5"/>
      <c r="UXI64" s="5"/>
      <c r="UXJ64" s="5"/>
      <c r="UXK64" s="5"/>
      <c r="UXL64" s="5"/>
      <c r="UXM64" s="5"/>
      <c r="UXN64" s="5"/>
      <c r="UXO64" s="5"/>
      <c r="UXP64" s="5"/>
      <c r="UXQ64" s="5"/>
      <c r="UXR64" s="5"/>
      <c r="UXS64" s="5"/>
      <c r="UXT64" s="5"/>
      <c r="UXU64" s="5"/>
      <c r="UXV64" s="5"/>
      <c r="UXW64" s="5"/>
      <c r="UXX64" s="5"/>
      <c r="UXY64" s="5"/>
      <c r="UXZ64" s="5"/>
      <c r="UYA64" s="5"/>
      <c r="UYB64" s="5"/>
      <c r="UYC64" s="5"/>
      <c r="UYD64" s="5"/>
      <c r="UYE64" s="5"/>
      <c r="UYF64" s="5"/>
      <c r="UYG64" s="5"/>
      <c r="UYH64" s="5"/>
      <c r="UYI64" s="5"/>
      <c r="UYJ64" s="5"/>
      <c r="UYK64" s="5"/>
      <c r="UYL64" s="5"/>
      <c r="UYM64" s="5"/>
      <c r="UYN64" s="5"/>
      <c r="UYO64" s="5"/>
      <c r="UYP64" s="5"/>
      <c r="UYQ64" s="5"/>
      <c r="UYR64" s="5"/>
      <c r="UYS64" s="5"/>
      <c r="UYT64" s="5"/>
      <c r="UYU64" s="5"/>
      <c r="UYV64" s="5"/>
      <c r="UYW64" s="5"/>
      <c r="UYX64" s="5"/>
      <c r="UYY64" s="5"/>
      <c r="UYZ64" s="5"/>
      <c r="UZA64" s="5"/>
      <c r="UZB64" s="5"/>
      <c r="UZC64" s="5"/>
      <c r="UZD64" s="5"/>
      <c r="UZE64" s="5"/>
      <c r="UZF64" s="5"/>
      <c r="UZG64" s="5"/>
      <c r="UZH64" s="5"/>
      <c r="UZI64" s="5"/>
      <c r="UZJ64" s="5"/>
      <c r="UZK64" s="5"/>
      <c r="UZL64" s="5"/>
      <c r="UZM64" s="5"/>
      <c r="UZN64" s="5"/>
      <c r="UZO64" s="5"/>
      <c r="UZP64" s="5"/>
      <c r="UZQ64" s="5"/>
      <c r="UZR64" s="5"/>
      <c r="UZS64" s="5"/>
      <c r="UZT64" s="5"/>
      <c r="UZU64" s="5"/>
      <c r="UZV64" s="5"/>
      <c r="UZW64" s="5"/>
      <c r="UZX64" s="5"/>
      <c r="UZY64" s="5"/>
      <c r="UZZ64" s="5"/>
      <c r="VAA64" s="5"/>
      <c r="VAB64" s="5"/>
      <c r="VAC64" s="5"/>
      <c r="VAD64" s="5"/>
      <c r="VAE64" s="5"/>
      <c r="VAF64" s="5"/>
      <c r="VAG64" s="5"/>
      <c r="VAH64" s="5"/>
      <c r="VAI64" s="5"/>
      <c r="VAJ64" s="5"/>
      <c r="VAK64" s="5"/>
      <c r="VAL64" s="5"/>
      <c r="VAM64" s="5"/>
      <c r="VAN64" s="5"/>
      <c r="VAO64" s="5"/>
      <c r="VAP64" s="5"/>
      <c r="VAQ64" s="5"/>
      <c r="VAR64" s="5"/>
      <c r="VAS64" s="5"/>
      <c r="VAT64" s="5"/>
      <c r="VAU64" s="5"/>
      <c r="VAV64" s="5"/>
      <c r="VAW64" s="5"/>
      <c r="VAX64" s="5"/>
      <c r="VAY64" s="5"/>
      <c r="VAZ64" s="5"/>
      <c r="VBA64" s="5"/>
      <c r="VBB64" s="5"/>
      <c r="VBC64" s="5"/>
      <c r="VBD64" s="5"/>
      <c r="VBE64" s="5"/>
      <c r="VBF64" s="5"/>
      <c r="VBG64" s="5"/>
      <c r="VBH64" s="5"/>
      <c r="VBI64" s="5"/>
      <c r="VBJ64" s="5"/>
      <c r="VBK64" s="5"/>
      <c r="VBL64" s="5"/>
      <c r="VBM64" s="5"/>
      <c r="VBN64" s="5"/>
      <c r="VBO64" s="5"/>
      <c r="VBP64" s="5"/>
      <c r="VBQ64" s="5"/>
      <c r="VBR64" s="5"/>
      <c r="VBS64" s="5"/>
      <c r="VBT64" s="5"/>
      <c r="VBU64" s="5"/>
      <c r="VBV64" s="5"/>
      <c r="VBW64" s="5"/>
      <c r="VBX64" s="5"/>
      <c r="VBY64" s="5"/>
      <c r="VBZ64" s="5"/>
      <c r="VCA64" s="5"/>
      <c r="VCB64" s="5"/>
      <c r="VCC64" s="5"/>
      <c r="VCD64" s="5"/>
      <c r="VCE64" s="5"/>
      <c r="VCF64" s="5"/>
      <c r="VCG64" s="5"/>
      <c r="VCH64" s="5"/>
      <c r="VCI64" s="5"/>
      <c r="VCJ64" s="5"/>
      <c r="VCK64" s="5"/>
      <c r="VCL64" s="5"/>
      <c r="VCM64" s="5"/>
      <c r="VCN64" s="5"/>
      <c r="VCO64" s="5"/>
      <c r="VCP64" s="5"/>
      <c r="VCQ64" s="5"/>
      <c r="VCR64" s="5"/>
      <c r="VCS64" s="5"/>
      <c r="VCT64" s="5"/>
      <c r="VCU64" s="5"/>
      <c r="VCV64" s="5"/>
      <c r="VCW64" s="5"/>
      <c r="VCX64" s="5"/>
      <c r="VCY64" s="5"/>
      <c r="VCZ64" s="5"/>
      <c r="VDA64" s="5"/>
      <c r="VDB64" s="5"/>
      <c r="VDC64" s="5"/>
      <c r="VDD64" s="5"/>
      <c r="VDE64" s="5"/>
      <c r="VDF64" s="5"/>
      <c r="VDG64" s="5"/>
      <c r="VDH64" s="5"/>
      <c r="VDI64" s="5"/>
      <c r="VDJ64" s="5"/>
      <c r="VDK64" s="5"/>
      <c r="VDL64" s="5"/>
      <c r="VDM64" s="5"/>
      <c r="VDN64" s="5"/>
      <c r="VDO64" s="5"/>
      <c r="VDP64" s="5"/>
      <c r="VDQ64" s="5"/>
      <c r="VDR64" s="5"/>
      <c r="VDS64" s="5"/>
      <c r="VDT64" s="5"/>
      <c r="VDU64" s="5"/>
      <c r="VDV64" s="5"/>
      <c r="VDW64" s="5"/>
      <c r="VDX64" s="5"/>
      <c r="VDY64" s="5"/>
      <c r="VDZ64" s="5"/>
      <c r="VEA64" s="5"/>
      <c r="VEB64" s="5"/>
      <c r="VEC64" s="5"/>
      <c r="VED64" s="5"/>
      <c r="VEE64" s="5"/>
      <c r="VEF64" s="5"/>
      <c r="VEG64" s="5"/>
      <c r="VEH64" s="5"/>
      <c r="VEI64" s="5"/>
      <c r="VEJ64" s="5"/>
      <c r="VEK64" s="5"/>
      <c r="VEL64" s="5"/>
      <c r="VEM64" s="5"/>
      <c r="VEN64" s="5"/>
      <c r="VEO64" s="5"/>
      <c r="VEP64" s="5"/>
      <c r="VEQ64" s="5"/>
      <c r="VER64" s="5"/>
      <c r="VES64" s="5"/>
      <c r="VET64" s="5"/>
      <c r="VEU64" s="5"/>
      <c r="VEV64" s="5"/>
      <c r="VEW64" s="5"/>
      <c r="VEX64" s="5"/>
      <c r="VEY64" s="5"/>
      <c r="VEZ64" s="5"/>
      <c r="VFA64" s="5"/>
      <c r="VFB64" s="5"/>
      <c r="VFC64" s="5"/>
      <c r="VFD64" s="5"/>
      <c r="VFE64" s="5"/>
      <c r="VFF64" s="5"/>
      <c r="VFG64" s="5"/>
      <c r="VFH64" s="5"/>
      <c r="VFI64" s="5"/>
      <c r="VFJ64" s="5"/>
      <c r="VFK64" s="5"/>
      <c r="VFL64" s="5"/>
      <c r="VFM64" s="5"/>
      <c r="VFN64" s="5"/>
      <c r="VFO64" s="5"/>
      <c r="VFP64" s="5"/>
      <c r="VFQ64" s="5"/>
      <c r="VFR64" s="5"/>
      <c r="VFS64" s="5"/>
      <c r="VFT64" s="5"/>
      <c r="VFU64" s="5"/>
      <c r="VFV64" s="5"/>
      <c r="VFW64" s="5"/>
      <c r="VFX64" s="5"/>
      <c r="VFY64" s="5"/>
      <c r="VFZ64" s="5"/>
      <c r="VGA64" s="5"/>
      <c r="VGB64" s="5"/>
      <c r="VGC64" s="5"/>
      <c r="VGD64" s="5"/>
      <c r="VGE64" s="5"/>
      <c r="VGF64" s="5"/>
      <c r="VGG64" s="5"/>
      <c r="VGH64" s="5"/>
      <c r="VGI64" s="5"/>
      <c r="VGJ64" s="5"/>
      <c r="VGK64" s="5"/>
      <c r="VGL64" s="5"/>
      <c r="VGM64" s="5"/>
      <c r="VGN64" s="5"/>
      <c r="VGO64" s="5"/>
      <c r="VGP64" s="5"/>
      <c r="VGQ64" s="5"/>
      <c r="VGR64" s="5"/>
      <c r="VGS64" s="5"/>
      <c r="VGT64" s="5"/>
      <c r="VGU64" s="5"/>
      <c r="VGV64" s="5"/>
      <c r="VGW64" s="5"/>
      <c r="VGX64" s="5"/>
      <c r="VGY64" s="5"/>
      <c r="VGZ64" s="5"/>
      <c r="VHA64" s="5"/>
      <c r="VHB64" s="5"/>
      <c r="VHC64" s="5"/>
      <c r="VHD64" s="5"/>
      <c r="VHE64" s="5"/>
      <c r="VHF64" s="5"/>
      <c r="VHG64" s="5"/>
      <c r="VHH64" s="5"/>
      <c r="VHI64" s="5"/>
      <c r="VHJ64" s="5"/>
      <c r="VHK64" s="5"/>
      <c r="VHL64" s="5"/>
      <c r="VHM64" s="5"/>
      <c r="VHN64" s="5"/>
      <c r="VHO64" s="5"/>
      <c r="VHP64" s="5"/>
      <c r="VHQ64" s="5"/>
      <c r="VHR64" s="5"/>
      <c r="VHS64" s="5"/>
      <c r="VHT64" s="5"/>
      <c r="VHU64" s="5"/>
      <c r="VHV64" s="5"/>
      <c r="VHW64" s="5"/>
      <c r="VHX64" s="5"/>
      <c r="VHY64" s="5"/>
      <c r="VHZ64" s="5"/>
      <c r="VIA64" s="5"/>
      <c r="VIB64" s="5"/>
      <c r="VIC64" s="5"/>
      <c r="VID64" s="5"/>
      <c r="VIE64" s="5"/>
      <c r="VIF64" s="5"/>
      <c r="VIG64" s="5"/>
      <c r="VIH64" s="5"/>
      <c r="VII64" s="5"/>
      <c r="VIJ64" s="5"/>
      <c r="VIK64" s="5"/>
      <c r="VIL64" s="5"/>
      <c r="VIM64" s="5"/>
      <c r="VIN64" s="5"/>
      <c r="VIO64" s="5"/>
      <c r="VIP64" s="5"/>
      <c r="VIQ64" s="5"/>
      <c r="VIR64" s="5"/>
      <c r="VIS64" s="5"/>
      <c r="VIT64" s="5"/>
      <c r="VIU64" s="5"/>
      <c r="VIV64" s="5"/>
      <c r="VIW64" s="5"/>
      <c r="VIX64" s="5"/>
      <c r="VIY64" s="5"/>
      <c r="VIZ64" s="5"/>
      <c r="VJA64" s="5"/>
      <c r="VJB64" s="5"/>
      <c r="VJC64" s="5"/>
      <c r="VJD64" s="5"/>
      <c r="VJE64" s="5"/>
      <c r="VJF64" s="5"/>
      <c r="VJG64" s="5"/>
      <c r="VJH64" s="5"/>
      <c r="VJI64" s="5"/>
      <c r="VJJ64" s="5"/>
      <c r="VJK64" s="5"/>
      <c r="VJL64" s="5"/>
      <c r="VJM64" s="5"/>
      <c r="VJN64" s="5"/>
      <c r="VJO64" s="5"/>
      <c r="VJP64" s="5"/>
      <c r="VJQ64" s="5"/>
      <c r="VJR64" s="5"/>
      <c r="VJS64" s="5"/>
      <c r="VJT64" s="5"/>
      <c r="VJU64" s="5"/>
      <c r="VJV64" s="5"/>
      <c r="VJW64" s="5"/>
      <c r="VJX64" s="5"/>
      <c r="VJY64" s="5"/>
      <c r="VJZ64" s="5"/>
      <c r="VKA64" s="5"/>
      <c r="VKB64" s="5"/>
      <c r="VKC64" s="5"/>
      <c r="VKD64" s="5"/>
      <c r="VKE64" s="5"/>
      <c r="VKF64" s="5"/>
      <c r="VKG64" s="5"/>
      <c r="VKH64" s="5"/>
      <c r="VKI64" s="5"/>
      <c r="VKJ64" s="5"/>
      <c r="VKK64" s="5"/>
      <c r="VKL64" s="5"/>
      <c r="VKM64" s="5"/>
      <c r="VKN64" s="5"/>
      <c r="VKO64" s="5"/>
      <c r="VKP64" s="5"/>
      <c r="VKQ64" s="5"/>
      <c r="VKR64" s="5"/>
      <c r="VKS64" s="5"/>
      <c r="VKT64" s="5"/>
      <c r="VKU64" s="5"/>
      <c r="VKV64" s="5"/>
      <c r="VKW64" s="5"/>
      <c r="VKX64" s="5"/>
      <c r="VKY64" s="5"/>
      <c r="VKZ64" s="5"/>
      <c r="VLA64" s="5"/>
      <c r="VLB64" s="5"/>
      <c r="VLC64" s="5"/>
      <c r="VLD64" s="5"/>
      <c r="VLE64" s="5"/>
      <c r="VLF64" s="5"/>
      <c r="VLG64" s="5"/>
      <c r="VLH64" s="5"/>
      <c r="VLI64" s="5"/>
      <c r="VLJ64" s="5"/>
      <c r="VLK64" s="5"/>
      <c r="VLL64" s="5"/>
      <c r="VLM64" s="5"/>
      <c r="VLN64" s="5"/>
      <c r="VLO64" s="5"/>
      <c r="VLP64" s="5"/>
      <c r="VLQ64" s="5"/>
      <c r="VLR64" s="5"/>
      <c r="VLS64" s="5"/>
      <c r="VLT64" s="5"/>
      <c r="VLU64" s="5"/>
      <c r="VLV64" s="5"/>
      <c r="VLW64" s="5"/>
      <c r="VLX64" s="5"/>
      <c r="VLY64" s="5"/>
      <c r="VLZ64" s="5"/>
      <c r="VMA64" s="5"/>
      <c r="VMB64" s="5"/>
      <c r="VMC64" s="5"/>
      <c r="VMD64" s="5"/>
      <c r="VME64" s="5"/>
      <c r="VMF64" s="5"/>
      <c r="VMG64" s="5"/>
      <c r="VMH64" s="5"/>
      <c r="VMI64" s="5"/>
      <c r="VMJ64" s="5"/>
      <c r="VMK64" s="5"/>
      <c r="VML64" s="5"/>
      <c r="VMM64" s="5"/>
      <c r="VMN64" s="5"/>
      <c r="VMO64" s="5"/>
      <c r="VMP64" s="5"/>
      <c r="VMQ64" s="5"/>
      <c r="VMR64" s="5"/>
      <c r="VMS64" s="5"/>
      <c r="VMT64" s="5"/>
      <c r="VMU64" s="5"/>
      <c r="VMV64" s="5"/>
      <c r="VMW64" s="5"/>
      <c r="VMX64" s="5"/>
      <c r="VMY64" s="5"/>
      <c r="VMZ64" s="5"/>
      <c r="VNA64" s="5"/>
      <c r="VNB64" s="5"/>
      <c r="VNC64" s="5"/>
      <c r="VND64" s="5"/>
      <c r="VNE64" s="5"/>
      <c r="VNF64" s="5"/>
      <c r="VNG64" s="5"/>
      <c r="VNH64" s="5"/>
      <c r="VNI64" s="5"/>
      <c r="VNJ64" s="5"/>
      <c r="VNK64" s="5"/>
      <c r="VNL64" s="5"/>
      <c r="VNM64" s="5"/>
      <c r="VNN64" s="5"/>
      <c r="VNO64" s="5"/>
      <c r="VNP64" s="5"/>
      <c r="VNQ64" s="5"/>
      <c r="VNR64" s="5"/>
      <c r="VNS64" s="5"/>
      <c r="VNT64" s="5"/>
      <c r="VNU64" s="5"/>
      <c r="VNV64" s="5"/>
      <c r="VNW64" s="5"/>
      <c r="VNX64" s="5"/>
      <c r="VNY64" s="5"/>
      <c r="VNZ64" s="5"/>
      <c r="VOA64" s="5"/>
      <c r="VOB64" s="5"/>
      <c r="VOC64" s="5"/>
      <c r="VOD64" s="5"/>
      <c r="VOE64" s="5"/>
      <c r="VOF64" s="5"/>
      <c r="VOG64" s="5"/>
      <c r="VOH64" s="5"/>
      <c r="VOI64" s="5"/>
      <c r="VOJ64" s="5"/>
      <c r="VOK64" s="5"/>
      <c r="VOL64" s="5"/>
      <c r="VOM64" s="5"/>
      <c r="VON64" s="5"/>
      <c r="VOO64" s="5"/>
      <c r="VOP64" s="5"/>
      <c r="VOQ64" s="5"/>
      <c r="VOR64" s="5"/>
      <c r="VOS64" s="5"/>
      <c r="VOT64" s="5"/>
      <c r="VOU64" s="5"/>
      <c r="VOV64" s="5"/>
      <c r="VOW64" s="5"/>
      <c r="VOX64" s="5"/>
      <c r="VOY64" s="5"/>
      <c r="VOZ64" s="5"/>
      <c r="VPA64" s="5"/>
      <c r="VPB64" s="5"/>
      <c r="VPC64" s="5"/>
      <c r="VPD64" s="5"/>
      <c r="VPE64" s="5"/>
      <c r="VPF64" s="5"/>
      <c r="VPG64" s="5"/>
      <c r="VPH64" s="5"/>
      <c r="VPI64" s="5"/>
      <c r="VPJ64" s="5"/>
      <c r="VPK64" s="5"/>
      <c r="VPL64" s="5"/>
      <c r="VPM64" s="5"/>
      <c r="VPN64" s="5"/>
      <c r="VPO64" s="5"/>
      <c r="VPP64" s="5"/>
      <c r="VPQ64" s="5"/>
      <c r="VPR64" s="5"/>
      <c r="VPS64" s="5"/>
      <c r="VPT64" s="5"/>
      <c r="VPU64" s="5"/>
      <c r="VPV64" s="5"/>
      <c r="VPW64" s="5"/>
      <c r="VPX64" s="5"/>
      <c r="VPY64" s="5"/>
      <c r="VPZ64" s="5"/>
      <c r="VQA64" s="5"/>
      <c r="VQB64" s="5"/>
      <c r="VQC64" s="5"/>
      <c r="VQD64" s="5"/>
      <c r="VQE64" s="5"/>
      <c r="VQF64" s="5"/>
      <c r="VQG64" s="5"/>
      <c r="VQH64" s="5"/>
      <c r="VQI64" s="5"/>
      <c r="VQJ64" s="5"/>
      <c r="VQK64" s="5"/>
      <c r="VQL64" s="5"/>
      <c r="VQM64" s="5"/>
      <c r="VQN64" s="5"/>
      <c r="VQO64" s="5"/>
      <c r="VQP64" s="5"/>
      <c r="VQQ64" s="5"/>
      <c r="VQR64" s="5"/>
      <c r="VQS64" s="5"/>
      <c r="VQT64" s="5"/>
      <c r="VQU64" s="5"/>
      <c r="VQV64" s="5"/>
      <c r="VQW64" s="5"/>
      <c r="VQX64" s="5"/>
      <c r="VQY64" s="5"/>
      <c r="VQZ64" s="5"/>
      <c r="VRA64" s="5"/>
      <c r="VRB64" s="5"/>
      <c r="VRC64" s="5"/>
      <c r="VRD64" s="5"/>
      <c r="VRE64" s="5"/>
      <c r="VRF64" s="5"/>
      <c r="VRG64" s="5"/>
      <c r="VRH64" s="5"/>
      <c r="VRI64" s="5"/>
      <c r="VRJ64" s="5"/>
      <c r="VRK64" s="5"/>
      <c r="VRL64" s="5"/>
      <c r="VRM64" s="5"/>
      <c r="VRN64" s="5"/>
      <c r="VRO64" s="5"/>
      <c r="VRP64" s="5"/>
      <c r="VRQ64" s="5"/>
      <c r="VRR64" s="5"/>
      <c r="VRS64" s="5"/>
      <c r="VRT64" s="5"/>
      <c r="VRU64" s="5"/>
      <c r="VRV64" s="5"/>
      <c r="VRW64" s="5"/>
      <c r="VRX64" s="5"/>
      <c r="VRY64" s="5"/>
      <c r="VRZ64" s="5"/>
      <c r="VSA64" s="5"/>
      <c r="VSB64" s="5"/>
      <c r="VSC64" s="5"/>
      <c r="VSD64" s="5"/>
      <c r="VSE64" s="5"/>
      <c r="VSF64" s="5"/>
      <c r="VSG64" s="5"/>
      <c r="VSH64" s="5"/>
      <c r="VSI64" s="5"/>
      <c r="VSJ64" s="5"/>
      <c r="VSK64" s="5"/>
      <c r="VSL64" s="5"/>
      <c r="VSM64" s="5"/>
      <c r="VSN64" s="5"/>
      <c r="VSO64" s="5"/>
      <c r="VSP64" s="5"/>
      <c r="VSQ64" s="5"/>
      <c r="VSR64" s="5"/>
      <c r="VSS64" s="5"/>
      <c r="VST64" s="5"/>
      <c r="VSU64" s="5"/>
      <c r="VSV64" s="5"/>
      <c r="VSW64" s="5"/>
      <c r="VSX64" s="5"/>
      <c r="VSY64" s="5"/>
      <c r="VSZ64" s="5"/>
      <c r="VTA64" s="5"/>
      <c r="VTB64" s="5"/>
      <c r="VTC64" s="5"/>
      <c r="VTD64" s="5"/>
      <c r="VTE64" s="5"/>
      <c r="VTF64" s="5"/>
      <c r="VTG64" s="5"/>
      <c r="VTH64" s="5"/>
      <c r="VTI64" s="5"/>
      <c r="VTJ64" s="5"/>
      <c r="VTK64" s="5"/>
      <c r="VTL64" s="5"/>
      <c r="VTM64" s="5"/>
      <c r="VTN64" s="5"/>
      <c r="VTO64" s="5"/>
      <c r="VTP64" s="5"/>
      <c r="VTQ64" s="5"/>
      <c r="VTR64" s="5"/>
      <c r="VTS64" s="5"/>
      <c r="VTT64" s="5"/>
      <c r="VTU64" s="5"/>
      <c r="VTV64" s="5"/>
      <c r="VTW64" s="5"/>
      <c r="VTX64" s="5"/>
      <c r="VTY64" s="5"/>
      <c r="VTZ64" s="5"/>
      <c r="VUA64" s="5"/>
      <c r="VUB64" s="5"/>
      <c r="VUC64" s="5"/>
      <c r="VUD64" s="5"/>
      <c r="VUE64" s="5"/>
      <c r="VUF64" s="5"/>
      <c r="VUG64" s="5"/>
      <c r="VUH64" s="5"/>
      <c r="VUI64" s="5"/>
      <c r="VUJ64" s="5"/>
      <c r="VUK64" s="5"/>
      <c r="VUL64" s="5"/>
      <c r="VUM64" s="5"/>
      <c r="VUN64" s="5"/>
      <c r="VUO64" s="5"/>
      <c r="VUP64" s="5"/>
      <c r="VUQ64" s="5"/>
      <c r="VUR64" s="5"/>
      <c r="VUS64" s="5"/>
      <c r="VUT64" s="5"/>
      <c r="VUU64" s="5"/>
      <c r="VUV64" s="5"/>
      <c r="VUW64" s="5"/>
      <c r="VUX64" s="5"/>
      <c r="VUY64" s="5"/>
      <c r="VUZ64" s="5"/>
      <c r="VVA64" s="5"/>
      <c r="VVB64" s="5"/>
      <c r="VVC64" s="5"/>
      <c r="VVD64" s="5"/>
      <c r="VVE64" s="5"/>
      <c r="VVF64" s="5"/>
      <c r="VVG64" s="5"/>
      <c r="VVH64" s="5"/>
      <c r="VVI64" s="5"/>
      <c r="VVJ64" s="5"/>
      <c r="VVK64" s="5"/>
      <c r="VVL64" s="5"/>
      <c r="VVM64" s="5"/>
      <c r="VVN64" s="5"/>
      <c r="VVO64" s="5"/>
      <c r="VVP64" s="5"/>
      <c r="VVQ64" s="5"/>
      <c r="VVR64" s="5"/>
      <c r="VVS64" s="5"/>
      <c r="VVT64" s="5"/>
      <c r="VVU64" s="5"/>
      <c r="VVV64" s="5"/>
      <c r="VVW64" s="5"/>
      <c r="VVX64" s="5"/>
      <c r="VVY64" s="5"/>
      <c r="VVZ64" s="5"/>
      <c r="VWA64" s="5"/>
      <c r="VWB64" s="5"/>
      <c r="VWC64" s="5"/>
      <c r="VWD64" s="5"/>
      <c r="VWE64" s="5"/>
      <c r="VWF64" s="5"/>
      <c r="VWG64" s="5"/>
      <c r="VWH64" s="5"/>
      <c r="VWI64" s="5"/>
      <c r="VWJ64" s="5"/>
      <c r="VWK64" s="5"/>
      <c r="VWL64" s="5"/>
      <c r="VWM64" s="5"/>
      <c r="VWN64" s="5"/>
      <c r="VWO64" s="5"/>
      <c r="VWP64" s="5"/>
      <c r="VWQ64" s="5"/>
      <c r="VWR64" s="5"/>
      <c r="VWS64" s="5"/>
      <c r="VWT64" s="5"/>
      <c r="VWU64" s="5"/>
      <c r="VWV64" s="5"/>
      <c r="VWW64" s="5"/>
      <c r="VWX64" s="5"/>
      <c r="VWY64" s="5"/>
      <c r="VWZ64" s="5"/>
      <c r="VXA64" s="5"/>
      <c r="VXB64" s="5"/>
      <c r="VXC64" s="5"/>
      <c r="VXD64" s="5"/>
      <c r="VXE64" s="5"/>
      <c r="VXF64" s="5"/>
      <c r="VXG64" s="5"/>
      <c r="VXH64" s="5"/>
      <c r="VXI64" s="5"/>
      <c r="VXJ64" s="5"/>
      <c r="VXK64" s="5"/>
      <c r="VXL64" s="5"/>
      <c r="VXM64" s="5"/>
      <c r="VXN64" s="5"/>
      <c r="VXO64" s="5"/>
      <c r="VXP64" s="5"/>
      <c r="VXQ64" s="5"/>
      <c r="VXR64" s="5"/>
      <c r="VXS64" s="5"/>
      <c r="VXT64" s="5"/>
      <c r="VXU64" s="5"/>
      <c r="VXV64" s="5"/>
      <c r="VXW64" s="5"/>
      <c r="VXX64" s="5"/>
      <c r="VXY64" s="5"/>
      <c r="VXZ64" s="5"/>
      <c r="VYA64" s="5"/>
      <c r="VYB64" s="5"/>
      <c r="VYC64" s="5"/>
      <c r="VYD64" s="5"/>
      <c r="VYE64" s="5"/>
      <c r="VYF64" s="5"/>
      <c r="VYG64" s="5"/>
      <c r="VYH64" s="5"/>
      <c r="VYI64" s="5"/>
      <c r="VYJ64" s="5"/>
      <c r="VYK64" s="5"/>
      <c r="VYL64" s="5"/>
      <c r="VYM64" s="5"/>
      <c r="VYN64" s="5"/>
      <c r="VYO64" s="5"/>
      <c r="VYP64" s="5"/>
      <c r="VYQ64" s="5"/>
      <c r="VYR64" s="5"/>
      <c r="VYS64" s="5"/>
      <c r="VYT64" s="5"/>
      <c r="VYU64" s="5"/>
      <c r="VYV64" s="5"/>
      <c r="VYW64" s="5"/>
      <c r="VYX64" s="5"/>
      <c r="VYY64" s="5"/>
      <c r="VYZ64" s="5"/>
      <c r="VZA64" s="5"/>
      <c r="VZB64" s="5"/>
      <c r="VZC64" s="5"/>
      <c r="VZD64" s="5"/>
      <c r="VZE64" s="5"/>
      <c r="VZF64" s="5"/>
      <c r="VZG64" s="5"/>
      <c r="VZH64" s="5"/>
      <c r="VZI64" s="5"/>
      <c r="VZJ64" s="5"/>
      <c r="VZK64" s="5"/>
      <c r="VZL64" s="5"/>
      <c r="VZM64" s="5"/>
      <c r="VZN64" s="5"/>
      <c r="VZO64" s="5"/>
      <c r="VZP64" s="5"/>
      <c r="VZQ64" s="5"/>
      <c r="VZR64" s="5"/>
      <c r="VZS64" s="5"/>
      <c r="VZT64" s="5"/>
      <c r="VZU64" s="5"/>
      <c r="VZV64" s="5"/>
      <c r="VZW64" s="5"/>
      <c r="VZX64" s="5"/>
      <c r="VZY64" s="5"/>
      <c r="VZZ64" s="5"/>
      <c r="WAA64" s="5"/>
      <c r="WAB64" s="5"/>
      <c r="WAC64" s="5"/>
      <c r="WAD64" s="5"/>
      <c r="WAE64" s="5"/>
      <c r="WAF64" s="5"/>
      <c r="WAG64" s="5"/>
      <c r="WAH64" s="5"/>
      <c r="WAI64" s="5"/>
      <c r="WAJ64" s="5"/>
      <c r="WAK64" s="5"/>
      <c r="WAL64" s="5"/>
      <c r="WAM64" s="5"/>
      <c r="WAN64" s="5"/>
      <c r="WAO64" s="5"/>
      <c r="WAP64" s="5"/>
      <c r="WAQ64" s="5"/>
      <c r="WAR64" s="5"/>
      <c r="WAS64" s="5"/>
      <c r="WAT64" s="5"/>
      <c r="WAU64" s="5"/>
      <c r="WAV64" s="5"/>
      <c r="WAW64" s="5"/>
      <c r="WAX64" s="5"/>
      <c r="WAY64" s="5"/>
      <c r="WAZ64" s="5"/>
      <c r="WBA64" s="5"/>
      <c r="WBB64" s="5"/>
      <c r="WBC64" s="5"/>
      <c r="WBD64" s="5"/>
      <c r="WBE64" s="5"/>
      <c r="WBF64" s="5"/>
      <c r="WBG64" s="5"/>
      <c r="WBH64" s="5"/>
      <c r="WBI64" s="5"/>
      <c r="WBJ64" s="5"/>
      <c r="WBK64" s="5"/>
      <c r="WBL64" s="5"/>
      <c r="WBM64" s="5"/>
      <c r="WBN64" s="5"/>
      <c r="WBO64" s="5"/>
      <c r="WBP64" s="5"/>
      <c r="WBQ64" s="5"/>
      <c r="WBR64" s="5"/>
      <c r="WBS64" s="5"/>
      <c r="WBT64" s="5"/>
      <c r="WBU64" s="5"/>
      <c r="WBV64" s="5"/>
      <c r="WBW64" s="5"/>
      <c r="WBX64" s="5"/>
      <c r="WBY64" s="5"/>
      <c r="WBZ64" s="5"/>
      <c r="WCA64" s="5"/>
      <c r="WCB64" s="5"/>
      <c r="WCC64" s="5"/>
      <c r="WCD64" s="5"/>
      <c r="WCE64" s="5"/>
      <c r="WCF64" s="5"/>
      <c r="WCG64" s="5"/>
      <c r="WCH64" s="5"/>
      <c r="WCI64" s="5"/>
      <c r="WCJ64" s="5"/>
      <c r="WCK64" s="5"/>
      <c r="WCL64" s="5"/>
      <c r="WCM64" s="5"/>
      <c r="WCN64" s="5"/>
      <c r="WCO64" s="5"/>
      <c r="WCP64" s="5"/>
      <c r="WCQ64" s="5"/>
      <c r="WCR64" s="5"/>
      <c r="WCS64" s="5"/>
      <c r="WCT64" s="5"/>
      <c r="WCU64" s="5"/>
      <c r="WCV64" s="5"/>
      <c r="WCW64" s="5"/>
      <c r="WCX64" s="5"/>
      <c r="WCY64" s="5"/>
      <c r="WCZ64" s="5"/>
      <c r="WDA64" s="5"/>
      <c r="WDB64" s="5"/>
      <c r="WDC64" s="5"/>
      <c r="WDD64" s="5"/>
      <c r="WDE64" s="5"/>
      <c r="WDF64" s="5"/>
      <c r="WDG64" s="5"/>
      <c r="WDH64" s="5"/>
      <c r="WDI64" s="5"/>
      <c r="WDJ64" s="5"/>
      <c r="WDK64" s="5"/>
      <c r="WDL64" s="5"/>
      <c r="WDM64" s="5"/>
      <c r="WDN64" s="5"/>
      <c r="WDO64" s="5"/>
      <c r="WDP64" s="5"/>
      <c r="WDQ64" s="5"/>
      <c r="WDR64" s="5"/>
      <c r="WDS64" s="5"/>
      <c r="WDT64" s="5"/>
      <c r="WDU64" s="5"/>
      <c r="WDV64" s="5"/>
      <c r="WDW64" s="5"/>
      <c r="WDX64" s="5"/>
      <c r="WDY64" s="5"/>
      <c r="WDZ64" s="5"/>
      <c r="WEA64" s="5"/>
      <c r="WEB64" s="5"/>
      <c r="WEC64" s="5"/>
      <c r="WED64" s="5"/>
      <c r="WEE64" s="5"/>
      <c r="WEF64" s="5"/>
      <c r="WEG64" s="5"/>
      <c r="WEH64" s="5"/>
      <c r="WEI64" s="5"/>
      <c r="WEJ64" s="5"/>
      <c r="WEK64" s="5"/>
      <c r="WEL64" s="5"/>
      <c r="WEM64" s="5"/>
      <c r="WEN64" s="5"/>
      <c r="WEO64" s="5"/>
      <c r="WEP64" s="5"/>
      <c r="WEQ64" s="5"/>
      <c r="WER64" s="5"/>
      <c r="WES64" s="5"/>
      <c r="WET64" s="5"/>
      <c r="WEU64" s="5"/>
      <c r="WEV64" s="5"/>
      <c r="WEW64" s="5"/>
      <c r="WEX64" s="5"/>
      <c r="WEY64" s="5"/>
      <c r="WEZ64" s="5"/>
      <c r="WFA64" s="5"/>
      <c r="WFB64" s="5"/>
      <c r="WFC64" s="5"/>
      <c r="WFD64" s="5"/>
      <c r="WFE64" s="5"/>
      <c r="WFF64" s="5"/>
      <c r="WFG64" s="5"/>
      <c r="WFH64" s="5"/>
      <c r="WFI64" s="5"/>
      <c r="WFJ64" s="5"/>
      <c r="WFK64" s="5"/>
      <c r="WFL64" s="5"/>
      <c r="WFM64" s="5"/>
      <c r="WFN64" s="5"/>
      <c r="WFO64" s="5"/>
      <c r="WFP64" s="5"/>
      <c r="WFQ64" s="5"/>
      <c r="WFR64" s="5"/>
      <c r="WFS64" s="5"/>
      <c r="WFT64" s="5"/>
      <c r="WFU64" s="5"/>
      <c r="WFV64" s="5"/>
      <c r="WFW64" s="5"/>
      <c r="WFX64" s="5"/>
      <c r="WFY64" s="5"/>
      <c r="WFZ64" s="5"/>
      <c r="WGA64" s="5"/>
      <c r="WGB64" s="5"/>
      <c r="WGC64" s="5"/>
      <c r="WGD64" s="5"/>
      <c r="WGE64" s="5"/>
      <c r="WGF64" s="5"/>
      <c r="WGG64" s="5"/>
      <c r="WGH64" s="5"/>
      <c r="WGI64" s="5"/>
      <c r="WGJ64" s="5"/>
      <c r="WGK64" s="5"/>
      <c r="WGL64" s="5"/>
      <c r="WGM64" s="5"/>
      <c r="WGN64" s="5"/>
      <c r="WGO64" s="5"/>
      <c r="WGP64" s="5"/>
      <c r="WGQ64" s="5"/>
      <c r="WGR64" s="5"/>
      <c r="WGS64" s="5"/>
      <c r="WGT64" s="5"/>
      <c r="WGU64" s="5"/>
      <c r="WGV64" s="5"/>
      <c r="WGW64" s="5"/>
      <c r="WGX64" s="5"/>
      <c r="WGY64" s="5"/>
      <c r="WGZ64" s="5"/>
      <c r="WHA64" s="5"/>
      <c r="WHB64" s="5"/>
      <c r="WHC64" s="5"/>
      <c r="WHD64" s="5"/>
      <c r="WHE64" s="5"/>
      <c r="WHF64" s="5"/>
      <c r="WHG64" s="5"/>
      <c r="WHH64" s="5"/>
      <c r="WHI64" s="5"/>
      <c r="WHJ64" s="5"/>
      <c r="WHK64" s="5"/>
      <c r="WHL64" s="5"/>
      <c r="WHM64" s="5"/>
      <c r="WHN64" s="5"/>
      <c r="WHO64" s="5"/>
      <c r="WHP64" s="5"/>
      <c r="WHQ64" s="5"/>
      <c r="WHR64" s="5"/>
      <c r="WHS64" s="5"/>
      <c r="WHT64" s="5"/>
      <c r="WHU64" s="5"/>
      <c r="WHV64" s="5"/>
      <c r="WHW64" s="5"/>
      <c r="WHX64" s="5"/>
      <c r="WHY64" s="5"/>
      <c r="WHZ64" s="5"/>
      <c r="WIA64" s="5"/>
      <c r="WIB64" s="5"/>
      <c r="WIC64" s="5"/>
      <c r="WID64" s="5"/>
      <c r="WIE64" s="5"/>
      <c r="WIF64" s="5"/>
      <c r="WIG64" s="5"/>
      <c r="WIH64" s="5"/>
      <c r="WII64" s="5"/>
      <c r="WIJ64" s="5"/>
      <c r="WIK64" s="5"/>
      <c r="WIL64" s="5"/>
      <c r="WIM64" s="5"/>
      <c r="WIN64" s="5"/>
      <c r="WIO64" s="5"/>
      <c r="WIP64" s="5"/>
      <c r="WIQ64" s="5"/>
      <c r="WIR64" s="5"/>
      <c r="WIS64" s="5"/>
      <c r="WIT64" s="5"/>
      <c r="WIU64" s="5"/>
      <c r="WIV64" s="5"/>
      <c r="WIW64" s="5"/>
      <c r="WIX64" s="5"/>
      <c r="WIY64" s="5"/>
      <c r="WIZ64" s="5"/>
      <c r="WJA64" s="5"/>
      <c r="WJB64" s="5"/>
      <c r="WJC64" s="5"/>
      <c r="WJD64" s="5"/>
      <c r="WJE64" s="5"/>
      <c r="WJF64" s="5"/>
      <c r="WJG64" s="5"/>
      <c r="WJH64" s="5"/>
      <c r="WJI64" s="5"/>
      <c r="WJJ64" s="5"/>
      <c r="WJK64" s="5"/>
      <c r="WJL64" s="5"/>
      <c r="WJM64" s="5"/>
      <c r="WJN64" s="5"/>
      <c r="WJO64" s="5"/>
      <c r="WJP64" s="5"/>
      <c r="WJQ64" s="5"/>
      <c r="WJR64" s="5"/>
      <c r="WJS64" s="5"/>
      <c r="WJT64" s="5"/>
      <c r="WJU64" s="5"/>
      <c r="WJV64" s="5"/>
      <c r="WJW64" s="5"/>
      <c r="WJX64" s="5"/>
      <c r="WJY64" s="5"/>
      <c r="WJZ64" s="5"/>
      <c r="WKA64" s="5"/>
      <c r="WKB64" s="5"/>
      <c r="WKC64" s="5"/>
      <c r="WKD64" s="5"/>
      <c r="WKE64" s="5"/>
      <c r="WKF64" s="5"/>
      <c r="WKG64" s="5"/>
      <c r="WKH64" s="5"/>
      <c r="WKI64" s="5"/>
      <c r="WKJ64" s="5"/>
      <c r="WKK64" s="5"/>
      <c r="WKL64" s="5"/>
      <c r="WKM64" s="5"/>
      <c r="WKN64" s="5"/>
      <c r="WKO64" s="5"/>
      <c r="WKP64" s="5"/>
      <c r="WKQ64" s="5"/>
      <c r="WKR64" s="5"/>
      <c r="WKS64" s="5"/>
      <c r="WKT64" s="5"/>
      <c r="WKU64" s="5"/>
      <c r="WKV64" s="5"/>
      <c r="WKW64" s="5"/>
      <c r="WKX64" s="5"/>
      <c r="WKY64" s="5"/>
      <c r="WKZ64" s="5"/>
      <c r="WLA64" s="5"/>
      <c r="WLB64" s="5"/>
      <c r="WLC64" s="5"/>
      <c r="WLD64" s="5"/>
      <c r="WLE64" s="5"/>
      <c r="WLF64" s="5"/>
      <c r="WLG64" s="5"/>
      <c r="WLH64" s="5"/>
      <c r="WLI64" s="5"/>
      <c r="WLJ64" s="5"/>
      <c r="WLK64" s="5"/>
      <c r="WLL64" s="5"/>
      <c r="WLM64" s="5"/>
      <c r="WLN64" s="5"/>
      <c r="WLO64" s="5"/>
      <c r="WLP64" s="5"/>
      <c r="WLQ64" s="5"/>
      <c r="WLR64" s="5"/>
      <c r="WLS64" s="5"/>
      <c r="WLT64" s="5"/>
      <c r="WLU64" s="5"/>
      <c r="WLV64" s="5"/>
      <c r="WLW64" s="5"/>
      <c r="WLX64" s="5"/>
      <c r="WLY64" s="5"/>
      <c r="WLZ64" s="5"/>
      <c r="WMA64" s="5"/>
      <c r="WMB64" s="5"/>
      <c r="WMC64" s="5"/>
      <c r="WMD64" s="5"/>
      <c r="WME64" s="5"/>
      <c r="WMF64" s="5"/>
      <c r="WMG64" s="5"/>
      <c r="WMH64" s="5"/>
      <c r="WMI64" s="5"/>
      <c r="WMJ64" s="5"/>
      <c r="WMK64" s="5"/>
      <c r="WML64" s="5"/>
      <c r="WMM64" s="5"/>
      <c r="WMN64" s="5"/>
      <c r="WMO64" s="5"/>
      <c r="WMP64" s="5"/>
      <c r="WMQ64" s="5"/>
      <c r="WMR64" s="5"/>
      <c r="WMS64" s="5"/>
      <c r="WMT64" s="5"/>
      <c r="WMU64" s="5"/>
      <c r="WMV64" s="5"/>
      <c r="WMW64" s="5"/>
      <c r="WMX64" s="5"/>
      <c r="WMY64" s="5"/>
      <c r="WMZ64" s="5"/>
      <c r="WNA64" s="5"/>
      <c r="WNB64" s="5"/>
      <c r="WNC64" s="5"/>
      <c r="WND64" s="5"/>
      <c r="WNE64" s="5"/>
      <c r="WNF64" s="5"/>
      <c r="WNG64" s="5"/>
      <c r="WNH64" s="5"/>
      <c r="WNI64" s="5"/>
      <c r="WNJ64" s="5"/>
      <c r="WNK64" s="5"/>
      <c r="WNL64" s="5"/>
      <c r="WNM64" s="5"/>
      <c r="WNN64" s="5"/>
      <c r="WNO64" s="5"/>
      <c r="WNP64" s="5"/>
      <c r="WNQ64" s="5"/>
      <c r="WNR64" s="5"/>
      <c r="WNS64" s="5"/>
      <c r="WNT64" s="5"/>
      <c r="WNU64" s="5"/>
      <c r="WNV64" s="5"/>
      <c r="WNW64" s="5"/>
      <c r="WNX64" s="5"/>
      <c r="WNY64" s="5"/>
      <c r="WNZ64" s="5"/>
      <c r="WOA64" s="5"/>
      <c r="WOB64" s="5"/>
      <c r="WOC64" s="5"/>
      <c r="WOD64" s="5"/>
      <c r="WOE64" s="5"/>
      <c r="WOF64" s="5"/>
      <c r="WOG64" s="5"/>
      <c r="WOH64" s="5"/>
      <c r="WOI64" s="5"/>
      <c r="WOJ64" s="5"/>
      <c r="WOK64" s="5"/>
      <c r="WOL64" s="5"/>
      <c r="WOM64" s="5"/>
      <c r="WON64" s="5"/>
      <c r="WOO64" s="5"/>
      <c r="WOP64" s="5"/>
      <c r="WOQ64" s="5"/>
      <c r="WOR64" s="5"/>
      <c r="WOS64" s="5"/>
      <c r="WOT64" s="5"/>
      <c r="WOU64" s="5"/>
      <c r="WOV64" s="5"/>
      <c r="WOW64" s="5"/>
      <c r="WOX64" s="5"/>
      <c r="WOY64" s="5"/>
      <c r="WOZ64" s="5"/>
      <c r="WPA64" s="5"/>
      <c r="WPB64" s="5"/>
      <c r="WPC64" s="5"/>
      <c r="WPD64" s="5"/>
      <c r="WPE64" s="5"/>
      <c r="WPF64" s="5"/>
      <c r="WPG64" s="5"/>
      <c r="WPH64" s="5"/>
      <c r="WPI64" s="5"/>
      <c r="WPJ64" s="5"/>
      <c r="WPK64" s="5"/>
      <c r="WPL64" s="5"/>
      <c r="WPM64" s="5"/>
      <c r="WPN64" s="5"/>
      <c r="WPO64" s="5"/>
      <c r="WPP64" s="5"/>
      <c r="WPQ64" s="5"/>
      <c r="WPR64" s="5"/>
      <c r="WPS64" s="5"/>
      <c r="WPT64" s="5"/>
      <c r="WPU64" s="5"/>
      <c r="WPV64" s="5"/>
      <c r="WPW64" s="5"/>
      <c r="WPX64" s="5"/>
      <c r="WPY64" s="5"/>
      <c r="WPZ64" s="5"/>
      <c r="WQA64" s="5"/>
      <c r="WQB64" s="5"/>
      <c r="WQC64" s="5"/>
      <c r="WQD64" s="5"/>
      <c r="WQE64" s="5"/>
      <c r="WQF64" s="5"/>
      <c r="WQG64" s="5"/>
      <c r="WQH64" s="5"/>
      <c r="WQI64" s="5"/>
      <c r="WQJ64" s="5"/>
      <c r="WQK64" s="5"/>
      <c r="WQL64" s="5"/>
      <c r="WQM64" s="5"/>
      <c r="WQN64" s="5"/>
      <c r="WQO64" s="5"/>
      <c r="WQP64" s="5"/>
      <c r="WQQ64" s="5"/>
      <c r="WQR64" s="5"/>
      <c r="WQS64" s="5"/>
      <c r="WQT64" s="5"/>
      <c r="WQU64" s="5"/>
      <c r="WQV64" s="5"/>
      <c r="WQW64" s="5"/>
      <c r="WQX64" s="5"/>
      <c r="WQY64" s="5"/>
      <c r="WQZ64" s="5"/>
      <c r="WRA64" s="5"/>
      <c r="WRB64" s="5"/>
      <c r="WRC64" s="5"/>
      <c r="WRD64" s="5"/>
      <c r="WRE64" s="5"/>
      <c r="WRF64" s="5"/>
      <c r="WRG64" s="5"/>
      <c r="WRH64" s="5"/>
      <c r="WRI64" s="5"/>
      <c r="WRJ64" s="5"/>
      <c r="WRK64" s="5"/>
      <c r="WRL64" s="5"/>
      <c r="WRM64" s="5"/>
      <c r="WRN64" s="5"/>
      <c r="WRO64" s="5"/>
      <c r="WRP64" s="5"/>
      <c r="WRQ64" s="5"/>
      <c r="WRR64" s="5"/>
      <c r="WRS64" s="5"/>
      <c r="WRT64" s="5"/>
      <c r="WRU64" s="5"/>
      <c r="WRV64" s="5"/>
      <c r="WRW64" s="5"/>
      <c r="WRX64" s="5"/>
      <c r="WRY64" s="5"/>
      <c r="WRZ64" s="5"/>
      <c r="WSA64" s="5"/>
      <c r="WSB64" s="5"/>
      <c r="WSC64" s="5"/>
      <c r="WSD64" s="5"/>
      <c r="WSE64" s="5"/>
      <c r="WSF64" s="5"/>
      <c r="WSG64" s="5"/>
      <c r="WSH64" s="5"/>
      <c r="WSI64" s="5"/>
      <c r="WSJ64" s="5"/>
      <c r="WSK64" s="5"/>
      <c r="WSL64" s="5"/>
      <c r="WSM64" s="5"/>
      <c r="WSN64" s="5"/>
      <c r="WSO64" s="5"/>
      <c r="WSP64" s="5"/>
      <c r="WSQ64" s="5"/>
      <c r="WSR64" s="5"/>
      <c r="WSS64" s="5"/>
      <c r="WST64" s="5"/>
      <c r="WSU64" s="5"/>
      <c r="WSV64" s="5"/>
      <c r="WSW64" s="5"/>
      <c r="WSX64" s="5"/>
      <c r="WSY64" s="5"/>
      <c r="WSZ64" s="5"/>
      <c r="WTA64" s="5"/>
      <c r="WTB64" s="5"/>
      <c r="WTC64" s="5"/>
      <c r="WTD64" s="5"/>
      <c r="WTE64" s="5"/>
      <c r="WTF64" s="5"/>
      <c r="WTG64" s="5"/>
      <c r="WTH64" s="5"/>
      <c r="WTI64" s="5"/>
      <c r="WTJ64" s="5"/>
      <c r="WTK64" s="5"/>
      <c r="WTL64" s="5"/>
      <c r="WTM64" s="5"/>
      <c r="WTN64" s="5"/>
      <c r="WTO64" s="5"/>
      <c r="WTP64" s="5"/>
      <c r="WTQ64" s="5"/>
      <c r="WTR64" s="5"/>
      <c r="WTS64" s="5"/>
      <c r="WTT64" s="5"/>
      <c r="WTU64" s="5"/>
      <c r="WTV64" s="5"/>
      <c r="WTW64" s="5"/>
      <c r="WTX64" s="5"/>
      <c r="WTY64" s="5"/>
      <c r="WTZ64" s="5"/>
      <c r="WUA64" s="5"/>
      <c r="WUB64" s="5"/>
      <c r="WUC64" s="5"/>
      <c r="WUD64" s="5"/>
      <c r="WUE64" s="5"/>
      <c r="WUF64" s="5"/>
      <c r="WUG64" s="5"/>
      <c r="WUH64" s="5"/>
      <c r="WUI64" s="5"/>
      <c r="WUJ64" s="5"/>
      <c r="WUK64" s="5"/>
      <c r="WUL64" s="5"/>
      <c r="WUM64" s="5"/>
      <c r="WUN64" s="5"/>
      <c r="WUO64" s="5"/>
      <c r="WUP64" s="5"/>
      <c r="WUQ64" s="5"/>
      <c r="WUR64" s="5"/>
      <c r="WUS64" s="5"/>
      <c r="WUT64" s="5"/>
      <c r="WUU64" s="5"/>
      <c r="WUV64" s="5"/>
      <c r="WUW64" s="5"/>
      <c r="WUX64" s="5"/>
      <c r="WUY64" s="5"/>
      <c r="WUZ64" s="5"/>
      <c r="WVA64" s="5"/>
      <c r="WVB64" s="5"/>
      <c r="WVC64" s="5"/>
      <c r="WVD64" s="5"/>
      <c r="WVE64" s="5"/>
      <c r="WVF64" s="5"/>
      <c r="WVG64" s="5"/>
      <c r="WVH64" s="5"/>
      <c r="WVI64" s="5"/>
      <c r="WVJ64" s="5"/>
      <c r="WVK64" s="5"/>
      <c r="WVL64" s="5"/>
      <c r="WVM64" s="5"/>
      <c r="WVN64" s="5"/>
      <c r="WVO64" s="5"/>
      <c r="WVP64" s="5"/>
      <c r="WVQ64" s="5"/>
      <c r="WVR64" s="5"/>
      <c r="WVS64" s="5"/>
      <c r="WVT64" s="5"/>
      <c r="WVU64" s="5"/>
      <c r="WVV64" s="5"/>
      <c r="WVW64" s="5"/>
      <c r="WVX64" s="5"/>
      <c r="WVY64" s="5"/>
      <c r="WVZ64" s="5"/>
      <c r="WWA64" s="5"/>
      <c r="WWB64" s="5"/>
      <c r="WWC64" s="5"/>
      <c r="WWD64" s="5"/>
      <c r="WWE64" s="5"/>
      <c r="WWF64" s="5"/>
      <c r="WWG64" s="5"/>
      <c r="WWH64" s="5"/>
      <c r="WWI64" s="5"/>
      <c r="WWJ64" s="5"/>
      <c r="WWK64" s="5"/>
      <c r="WWL64" s="5"/>
      <c r="WWM64" s="5"/>
      <c r="WWN64" s="5"/>
      <c r="WWO64" s="5"/>
      <c r="WWP64" s="5"/>
      <c r="WWQ64" s="5"/>
      <c r="WWR64" s="5"/>
      <c r="WWS64" s="5"/>
      <c r="WWT64" s="5"/>
      <c r="WWU64" s="5"/>
      <c r="WWV64" s="5"/>
      <c r="WWW64" s="5"/>
      <c r="WWX64" s="5"/>
      <c r="WWY64" s="5"/>
      <c r="WWZ64" s="5"/>
      <c r="WXA64" s="5"/>
      <c r="WXB64" s="5"/>
      <c r="WXC64" s="5"/>
      <c r="WXD64" s="5"/>
      <c r="WXE64" s="5"/>
      <c r="WXF64" s="5"/>
      <c r="WXG64" s="5"/>
      <c r="WXH64" s="5"/>
      <c r="WXI64" s="5"/>
      <c r="WXJ64" s="5"/>
      <c r="WXK64" s="5"/>
      <c r="WXL64" s="5"/>
      <c r="WXM64" s="5"/>
      <c r="WXN64" s="5"/>
      <c r="WXO64" s="5"/>
      <c r="WXP64" s="5"/>
      <c r="WXQ64" s="5"/>
      <c r="WXR64" s="5"/>
      <c r="WXS64" s="5"/>
      <c r="WXT64" s="5"/>
      <c r="WXU64" s="5"/>
      <c r="WXV64" s="5"/>
      <c r="WXW64" s="5"/>
      <c r="WXX64" s="5"/>
      <c r="WXY64" s="5"/>
      <c r="WXZ64" s="5"/>
      <c r="WYA64" s="5"/>
      <c r="WYB64" s="5"/>
      <c r="WYC64" s="5"/>
      <c r="WYD64" s="5"/>
      <c r="WYE64" s="5"/>
      <c r="WYF64" s="5"/>
      <c r="WYG64" s="5"/>
      <c r="WYH64" s="5"/>
      <c r="WYI64" s="5"/>
      <c r="WYJ64" s="5"/>
      <c r="WYK64" s="5"/>
      <c r="WYL64" s="5"/>
      <c r="WYM64" s="5"/>
      <c r="WYN64" s="5"/>
      <c r="WYO64" s="5"/>
      <c r="WYP64" s="5"/>
      <c r="WYQ64" s="5"/>
      <c r="WYR64" s="5"/>
      <c r="WYS64" s="5"/>
      <c r="WYT64" s="5"/>
      <c r="WYU64" s="5"/>
      <c r="WYV64" s="5"/>
      <c r="WYW64" s="5"/>
      <c r="WYX64" s="5"/>
      <c r="WYY64" s="5"/>
      <c r="WYZ64" s="5"/>
      <c r="WZA64" s="5"/>
      <c r="WZB64" s="5"/>
      <c r="WZC64" s="5"/>
      <c r="WZD64" s="5"/>
      <c r="WZE64" s="5"/>
      <c r="WZF64" s="5"/>
      <c r="WZG64" s="5"/>
      <c r="WZH64" s="5"/>
      <c r="WZI64" s="5"/>
      <c r="WZJ64" s="5"/>
      <c r="WZK64" s="5"/>
      <c r="WZL64" s="5"/>
      <c r="WZM64" s="5"/>
      <c r="WZN64" s="5"/>
      <c r="WZO64" s="5"/>
      <c r="WZP64" s="5"/>
      <c r="WZQ64" s="5"/>
      <c r="WZR64" s="5"/>
      <c r="WZS64" s="5"/>
      <c r="WZT64" s="5"/>
      <c r="WZU64" s="5"/>
      <c r="WZV64" s="5"/>
      <c r="WZW64" s="5"/>
      <c r="WZX64" s="5"/>
      <c r="WZY64" s="5"/>
      <c r="WZZ64" s="5"/>
      <c r="XAA64" s="5"/>
      <c r="XAB64" s="5"/>
      <c r="XAC64" s="5"/>
      <c r="XAD64" s="5"/>
      <c r="XAE64" s="5"/>
      <c r="XAF64" s="5"/>
      <c r="XAG64" s="5"/>
      <c r="XAH64" s="5"/>
      <c r="XAI64" s="5"/>
      <c r="XAJ64" s="5"/>
      <c r="XAK64" s="5"/>
      <c r="XAL64" s="5"/>
      <c r="XAM64" s="5"/>
      <c r="XAN64" s="5"/>
      <c r="XAO64" s="5"/>
      <c r="XAP64" s="5"/>
      <c r="XAQ64" s="5"/>
      <c r="XAR64" s="5"/>
      <c r="XAS64" s="5"/>
      <c r="XAT64" s="5"/>
      <c r="XAU64" s="5"/>
      <c r="XAV64" s="5"/>
      <c r="XAW64" s="5"/>
      <c r="XAX64" s="5"/>
      <c r="XAY64" s="5"/>
      <c r="XAZ64" s="5"/>
      <c r="XBA64" s="5"/>
      <c r="XBB64" s="5"/>
      <c r="XBC64" s="5"/>
      <c r="XBD64" s="5"/>
      <c r="XBE64" s="5"/>
      <c r="XBF64" s="5"/>
      <c r="XBG64" s="5"/>
      <c r="XBH64" s="5"/>
      <c r="XBI64" s="5"/>
      <c r="XBJ64" s="5"/>
      <c r="XBK64" s="5"/>
      <c r="XBL64" s="5"/>
      <c r="XBM64" s="5"/>
      <c r="XBN64" s="5"/>
      <c r="XBO64" s="5"/>
      <c r="XBP64" s="5"/>
      <c r="XBQ64" s="5"/>
      <c r="XBR64" s="5"/>
      <c r="XBS64" s="5"/>
      <c r="XBT64" s="5"/>
      <c r="XBU64" s="5"/>
      <c r="XBV64" s="5"/>
      <c r="XBW64" s="5"/>
      <c r="XBX64" s="5"/>
      <c r="XBY64" s="5"/>
      <c r="XBZ64" s="5"/>
      <c r="XCA64" s="5"/>
      <c r="XCB64" s="5"/>
      <c r="XCC64" s="5"/>
      <c r="XCD64" s="5"/>
      <c r="XCE64" s="5"/>
      <c r="XCF64" s="5"/>
      <c r="XCG64" s="5"/>
      <c r="XCH64" s="5"/>
      <c r="XCI64" s="5"/>
      <c r="XCJ64" s="5"/>
      <c r="XCK64" s="5"/>
      <c r="XCL64" s="5"/>
      <c r="XCM64" s="5"/>
      <c r="XCN64" s="5"/>
      <c r="XCO64" s="5"/>
      <c r="XCP64" s="5"/>
      <c r="XCQ64" s="5"/>
      <c r="XCR64" s="5"/>
      <c r="XCS64" s="5"/>
      <c r="XCT64" s="5"/>
      <c r="XCU64" s="5"/>
      <c r="XCV64" s="5"/>
      <c r="XCW64" s="5"/>
      <c r="XCX64" s="5"/>
      <c r="XCY64" s="5"/>
      <c r="XCZ64" s="5"/>
      <c r="XDA64" s="5"/>
      <c r="XDB64" s="5"/>
      <c r="XDC64" s="5"/>
      <c r="XDD64" s="5"/>
      <c r="XDE64" s="5"/>
      <c r="XDF64" s="5"/>
      <c r="XDG64" s="5"/>
      <c r="XDH64" s="5"/>
      <c r="XDI64" s="5"/>
      <c r="XDJ64" s="5"/>
      <c r="XDK64" s="5"/>
      <c r="XDL64" s="5"/>
      <c r="XDM64" s="5"/>
      <c r="XDN64" s="5"/>
      <c r="XDO64" s="5"/>
      <c r="XDP64" s="5"/>
      <c r="XDQ64" s="5"/>
      <c r="XDR64" s="5"/>
      <c r="XDS64" s="5"/>
      <c r="XDT64" s="5"/>
      <c r="XDU64" s="5"/>
      <c r="XDV64" s="5"/>
      <c r="XDW64" s="5"/>
      <c r="XDX64" s="5"/>
      <c r="XDY64" s="5"/>
      <c r="XDZ64" s="5"/>
      <c r="XEA64" s="5"/>
      <c r="XEB64" s="5"/>
      <c r="XEC64" s="5"/>
    </row>
    <row r="65" spans="1:16357" s="4" customFormat="1" ht="28.5" customHeight="1">
      <c r="A65" s="5"/>
      <c r="B65" s="5"/>
      <c r="I65" s="58"/>
      <c r="Y65" s="39"/>
      <c r="AD65" s="39"/>
      <c r="AI65" s="39"/>
      <c r="AK65" s="91"/>
      <c r="AL65" s="5"/>
      <c r="AO65" s="39"/>
      <c r="AT65" s="39"/>
      <c r="AY65" s="39"/>
      <c r="BD65" s="39"/>
      <c r="BF65" s="635"/>
      <c r="BI65" s="39"/>
      <c r="BK65" s="630"/>
      <c r="BN65" s="39"/>
      <c r="BP65" s="630"/>
      <c r="BS65" s="39"/>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c r="GK65" s="5"/>
      <c r="GL65" s="5"/>
      <c r="GM65" s="5"/>
      <c r="GN65" s="5"/>
      <c r="GO65" s="5"/>
      <c r="GP65" s="5"/>
      <c r="GQ65" s="5"/>
      <c r="GR65" s="5"/>
      <c r="GS65" s="5"/>
      <c r="GT65" s="5"/>
      <c r="GU65" s="5"/>
      <c r="GV65" s="5"/>
      <c r="GW65" s="5"/>
      <c r="GX65" s="5"/>
      <c r="GY65" s="5"/>
      <c r="GZ65" s="5"/>
      <c r="HA65" s="5"/>
      <c r="HB65" s="5"/>
      <c r="HC65" s="5"/>
      <c r="HD65" s="5"/>
      <c r="HE65" s="5"/>
      <c r="HF65" s="5"/>
      <c r="HG65" s="5"/>
      <c r="HH65" s="5"/>
      <c r="HI65" s="5"/>
      <c r="HJ65" s="5"/>
      <c r="HK65" s="5"/>
      <c r="HL65" s="5"/>
      <c r="HM65" s="5"/>
      <c r="HN65" s="5"/>
      <c r="HO65" s="5"/>
      <c r="HP65" s="5"/>
      <c r="HQ65" s="5"/>
      <c r="HR65" s="5"/>
      <c r="HS65" s="5"/>
      <c r="HT65" s="5"/>
      <c r="HU65" s="5"/>
      <c r="HV65" s="5"/>
      <c r="HW65" s="5"/>
      <c r="HX65" s="5"/>
      <c r="HY65" s="5"/>
      <c r="HZ65" s="5"/>
      <c r="IA65" s="5"/>
      <c r="IB65" s="5"/>
      <c r="IC65" s="5"/>
      <c r="ID65" s="5"/>
      <c r="IE65" s="5"/>
      <c r="IF65" s="5"/>
      <c r="IG65" s="5"/>
      <c r="IH65" s="5"/>
      <c r="II65" s="5"/>
      <c r="IJ65" s="5"/>
      <c r="IK65" s="5"/>
      <c r="IL65" s="5"/>
      <c r="IM65" s="5"/>
      <c r="IN65" s="5"/>
      <c r="IO65" s="5"/>
      <c r="IP65" s="5"/>
      <c r="IQ65" s="5"/>
      <c r="IR65" s="5"/>
      <c r="IS65" s="5"/>
      <c r="IT65" s="5"/>
      <c r="IU65" s="5"/>
      <c r="IV65" s="5"/>
      <c r="IW65" s="5"/>
      <c r="IX65" s="5"/>
      <c r="IY65" s="5"/>
      <c r="IZ65" s="5"/>
      <c r="JA65" s="5"/>
      <c r="JB65" s="5"/>
      <c r="JC65" s="5"/>
      <c r="JD65" s="5"/>
      <c r="JE65" s="5"/>
      <c r="JF65" s="5"/>
      <c r="JG65" s="5"/>
      <c r="JH65" s="5"/>
      <c r="JI65" s="5"/>
      <c r="JJ65" s="5"/>
      <c r="JK65" s="5"/>
      <c r="JL65" s="5"/>
      <c r="JM65" s="5"/>
      <c r="JN65" s="5"/>
      <c r="JO65" s="5"/>
      <c r="JP65" s="5"/>
      <c r="JQ65" s="5"/>
      <c r="JR65" s="5"/>
      <c r="JS65" s="5"/>
      <c r="JT65" s="5"/>
      <c r="JU65" s="5"/>
      <c r="JV65" s="5"/>
      <c r="JW65" s="5"/>
      <c r="JX65" s="5"/>
      <c r="JY65" s="5"/>
      <c r="JZ65" s="5"/>
      <c r="KA65" s="5"/>
      <c r="KB65" s="5"/>
      <c r="KC65" s="5"/>
      <c r="KD65" s="5"/>
      <c r="KE65" s="5"/>
      <c r="KF65" s="5"/>
      <c r="KG65" s="5"/>
      <c r="KH65" s="5"/>
      <c r="KI65" s="5"/>
      <c r="KJ65" s="5"/>
      <c r="KK65" s="5"/>
      <c r="KL65" s="5"/>
      <c r="KM65" s="5"/>
      <c r="KN65" s="5"/>
      <c r="KO65" s="5"/>
      <c r="KP65" s="5"/>
      <c r="KQ65" s="5"/>
      <c r="KR65" s="5"/>
      <c r="KS65" s="5"/>
      <c r="KT65" s="5"/>
      <c r="KU65" s="5"/>
      <c r="KV65" s="5"/>
      <c r="KW65" s="5"/>
      <c r="KX65" s="5"/>
      <c r="KY65" s="5"/>
      <c r="KZ65" s="5"/>
      <c r="LA65" s="5"/>
      <c r="LB65" s="5"/>
      <c r="LC65" s="5"/>
      <c r="LD65" s="5"/>
      <c r="LE65" s="5"/>
      <c r="LF65" s="5"/>
      <c r="LG65" s="5"/>
      <c r="LH65" s="5"/>
      <c r="LI65" s="5"/>
      <c r="LJ65" s="5"/>
      <c r="LK65" s="5"/>
      <c r="LL65" s="5"/>
      <c r="LM65" s="5"/>
      <c r="LN65" s="5"/>
      <c r="LO65" s="5"/>
      <c r="LP65" s="5"/>
      <c r="LQ65" s="5"/>
      <c r="LR65" s="5"/>
      <c r="LS65" s="5"/>
      <c r="LT65" s="5"/>
      <c r="LU65" s="5"/>
      <c r="LV65" s="5"/>
      <c r="LW65" s="5"/>
      <c r="LX65" s="5"/>
      <c r="LY65" s="5"/>
      <c r="LZ65" s="5"/>
      <c r="MA65" s="5"/>
      <c r="MB65" s="5"/>
      <c r="MC65" s="5"/>
      <c r="MD65" s="5"/>
      <c r="ME65" s="5"/>
      <c r="MF65" s="5"/>
      <c r="MG65" s="5"/>
      <c r="MH65" s="5"/>
      <c r="MI65" s="5"/>
      <c r="MJ65" s="5"/>
      <c r="MK65" s="5"/>
      <c r="ML65" s="5"/>
      <c r="MM65" s="5"/>
      <c r="MN65" s="5"/>
      <c r="MO65" s="5"/>
      <c r="MP65" s="5"/>
      <c r="MQ65" s="5"/>
      <c r="MR65" s="5"/>
      <c r="MS65" s="5"/>
      <c r="MT65" s="5"/>
      <c r="MU65" s="5"/>
      <c r="MV65" s="5"/>
      <c r="MW65" s="5"/>
      <c r="MX65" s="5"/>
      <c r="MY65" s="5"/>
      <c r="MZ65" s="5"/>
      <c r="NA65" s="5"/>
      <c r="NB65" s="5"/>
      <c r="NC65" s="5"/>
      <c r="ND65" s="5"/>
      <c r="NE65" s="5"/>
      <c r="NF65" s="5"/>
      <c r="NG65" s="5"/>
      <c r="NH65" s="5"/>
      <c r="NI65" s="5"/>
      <c r="NJ65" s="5"/>
      <c r="NK65" s="5"/>
      <c r="NL65" s="5"/>
      <c r="NM65" s="5"/>
      <c r="NN65" s="5"/>
      <c r="NO65" s="5"/>
      <c r="NP65" s="5"/>
      <c r="NQ65" s="5"/>
      <c r="NR65" s="5"/>
      <c r="NS65" s="5"/>
      <c r="NT65" s="5"/>
      <c r="NU65" s="5"/>
      <c r="NV65" s="5"/>
      <c r="NW65" s="5"/>
      <c r="NX65" s="5"/>
      <c r="NY65" s="5"/>
      <c r="NZ65" s="5"/>
      <c r="OA65" s="5"/>
      <c r="OB65" s="5"/>
      <c r="OC65" s="5"/>
      <c r="OD65" s="5"/>
      <c r="OE65" s="5"/>
      <c r="OF65" s="5"/>
      <c r="OG65" s="5"/>
      <c r="OH65" s="5"/>
      <c r="OI65" s="5"/>
      <c r="OJ65" s="5"/>
      <c r="OK65" s="5"/>
      <c r="OL65" s="5"/>
      <c r="OM65" s="5"/>
      <c r="ON65" s="5"/>
      <c r="OO65" s="5"/>
      <c r="OP65" s="5"/>
      <c r="OQ65" s="5"/>
      <c r="OR65" s="5"/>
      <c r="OS65" s="5"/>
      <c r="OT65" s="5"/>
      <c r="OU65" s="5"/>
      <c r="OV65" s="5"/>
      <c r="OW65" s="5"/>
      <c r="OX65" s="5"/>
      <c r="OY65" s="5"/>
      <c r="OZ65" s="5"/>
      <c r="PA65" s="5"/>
      <c r="PB65" s="5"/>
      <c r="PC65" s="5"/>
      <c r="PD65" s="5"/>
      <c r="PE65" s="5"/>
      <c r="PF65" s="5"/>
      <c r="PG65" s="5"/>
      <c r="PH65" s="5"/>
      <c r="PI65" s="5"/>
      <c r="PJ65" s="5"/>
      <c r="PK65" s="5"/>
      <c r="PL65" s="5"/>
      <c r="PM65" s="5"/>
      <c r="PN65" s="5"/>
      <c r="PO65" s="5"/>
      <c r="PP65" s="5"/>
      <c r="PQ65" s="5"/>
      <c r="PR65" s="5"/>
      <c r="PS65" s="5"/>
      <c r="PT65" s="5"/>
      <c r="PU65" s="5"/>
      <c r="PV65" s="5"/>
      <c r="PW65" s="5"/>
      <c r="PX65" s="5"/>
      <c r="PY65" s="5"/>
      <c r="PZ65" s="5"/>
      <c r="QA65" s="5"/>
      <c r="QB65" s="5"/>
      <c r="QC65" s="5"/>
      <c r="QD65" s="5"/>
      <c r="QE65" s="5"/>
      <c r="QF65" s="5"/>
      <c r="QG65" s="5"/>
      <c r="QH65" s="5"/>
      <c r="QI65" s="5"/>
      <c r="QJ65" s="5"/>
      <c r="QK65" s="5"/>
      <c r="QL65" s="5"/>
      <c r="QM65" s="5"/>
      <c r="QN65" s="5"/>
      <c r="QO65" s="5"/>
      <c r="QP65" s="5"/>
      <c r="QQ65" s="5"/>
      <c r="QR65" s="5"/>
      <c r="QS65" s="5"/>
      <c r="QT65" s="5"/>
      <c r="QU65" s="5"/>
      <c r="QV65" s="5"/>
      <c r="QW65" s="5"/>
      <c r="QX65" s="5"/>
      <c r="QY65" s="5"/>
      <c r="QZ65" s="5"/>
      <c r="RA65" s="5"/>
      <c r="RB65" s="5"/>
      <c r="RC65" s="5"/>
      <c r="RD65" s="5"/>
      <c r="RE65" s="5"/>
      <c r="RF65" s="5"/>
      <c r="RG65" s="5"/>
      <c r="RH65" s="5"/>
      <c r="RI65" s="5"/>
      <c r="RJ65" s="5"/>
      <c r="RK65" s="5"/>
      <c r="RL65" s="5"/>
      <c r="RM65" s="5"/>
      <c r="RN65" s="5"/>
      <c r="RO65" s="5"/>
      <c r="RP65" s="5"/>
      <c r="RQ65" s="5"/>
      <c r="RR65" s="5"/>
      <c r="RS65" s="5"/>
      <c r="RT65" s="5"/>
      <c r="RU65" s="5"/>
      <c r="RV65" s="5"/>
      <c r="RW65" s="5"/>
      <c r="RX65" s="5"/>
      <c r="RY65" s="5"/>
      <c r="RZ65" s="5"/>
      <c r="SA65" s="5"/>
      <c r="SB65" s="5"/>
      <c r="SC65" s="5"/>
      <c r="SD65" s="5"/>
      <c r="SE65" s="5"/>
      <c r="SF65" s="5"/>
      <c r="SG65" s="5"/>
      <c r="SH65" s="5"/>
      <c r="SI65" s="5"/>
      <c r="SJ65" s="5"/>
      <c r="SK65" s="5"/>
      <c r="SL65" s="5"/>
      <c r="SM65" s="5"/>
      <c r="SN65" s="5"/>
      <c r="SO65" s="5"/>
      <c r="SP65" s="5"/>
      <c r="SQ65" s="5"/>
      <c r="SR65" s="5"/>
      <c r="SS65" s="5"/>
      <c r="ST65" s="5"/>
      <c r="SU65" s="5"/>
      <c r="SV65" s="5"/>
      <c r="SW65" s="5"/>
      <c r="SX65" s="5"/>
      <c r="SY65" s="5"/>
      <c r="SZ65" s="5"/>
      <c r="TA65" s="5"/>
      <c r="TB65" s="5"/>
      <c r="TC65" s="5"/>
      <c r="TD65" s="5"/>
      <c r="TE65" s="5"/>
      <c r="TF65" s="5"/>
      <c r="TG65" s="5"/>
      <c r="TH65" s="5"/>
      <c r="TI65" s="5"/>
      <c r="TJ65" s="5"/>
      <c r="TK65" s="5"/>
      <c r="TL65" s="5"/>
      <c r="TM65" s="5"/>
      <c r="TN65" s="5"/>
      <c r="TO65" s="5"/>
      <c r="TP65" s="5"/>
      <c r="TQ65" s="5"/>
      <c r="TR65" s="5"/>
      <c r="TS65" s="5"/>
      <c r="TT65" s="5"/>
      <c r="TU65" s="5"/>
      <c r="TV65" s="5"/>
      <c r="TW65" s="5"/>
      <c r="TX65" s="5"/>
      <c r="TY65" s="5"/>
      <c r="TZ65" s="5"/>
      <c r="UA65" s="5"/>
      <c r="UB65" s="5"/>
      <c r="UC65" s="5"/>
      <c r="UD65" s="5"/>
      <c r="UE65" s="5"/>
      <c r="UF65" s="5"/>
      <c r="UG65" s="5"/>
      <c r="UH65" s="5"/>
      <c r="UI65" s="5"/>
      <c r="UJ65" s="5"/>
      <c r="UK65" s="5"/>
      <c r="UL65" s="5"/>
      <c r="UM65" s="5"/>
      <c r="UN65" s="5"/>
      <c r="UO65" s="5"/>
      <c r="UP65" s="5"/>
      <c r="UQ65" s="5"/>
      <c r="UR65" s="5"/>
      <c r="US65" s="5"/>
      <c r="UT65" s="5"/>
      <c r="UU65" s="5"/>
      <c r="UV65" s="5"/>
      <c r="UW65" s="5"/>
      <c r="UX65" s="5"/>
      <c r="UY65" s="5"/>
      <c r="UZ65" s="5"/>
      <c r="VA65" s="5"/>
      <c r="VB65" s="5"/>
      <c r="VC65" s="5"/>
      <c r="VD65" s="5"/>
      <c r="VE65" s="5"/>
      <c r="VF65" s="5"/>
      <c r="VG65" s="5"/>
      <c r="VH65" s="5"/>
      <c r="VI65" s="5"/>
      <c r="VJ65" s="5"/>
      <c r="VK65" s="5"/>
      <c r="VL65" s="5"/>
      <c r="VM65" s="5"/>
      <c r="VN65" s="5"/>
      <c r="VO65" s="5"/>
      <c r="VP65" s="5"/>
      <c r="VQ65" s="5"/>
      <c r="VR65" s="5"/>
      <c r="VS65" s="5"/>
      <c r="VT65" s="5"/>
      <c r="VU65" s="5"/>
      <c r="VV65" s="5"/>
      <c r="VW65" s="5"/>
      <c r="VX65" s="5"/>
      <c r="VY65" s="5"/>
      <c r="VZ65" s="5"/>
      <c r="WA65" s="5"/>
      <c r="WB65" s="5"/>
      <c r="WC65" s="5"/>
      <c r="WD65" s="5"/>
      <c r="WE65" s="5"/>
      <c r="WF65" s="5"/>
      <c r="WG65" s="5"/>
      <c r="WH65" s="5"/>
      <c r="WI65" s="5"/>
      <c r="WJ65" s="5"/>
      <c r="WK65" s="5"/>
      <c r="WL65" s="5"/>
      <c r="WM65" s="5"/>
      <c r="WN65" s="5"/>
      <c r="WO65" s="5"/>
      <c r="WP65" s="5"/>
      <c r="WQ65" s="5"/>
      <c r="WR65" s="5"/>
      <c r="WS65" s="5"/>
      <c r="WT65" s="5"/>
      <c r="WU65" s="5"/>
      <c r="WV65" s="5"/>
      <c r="WW65" s="5"/>
      <c r="WX65" s="5"/>
      <c r="WY65" s="5"/>
      <c r="WZ65" s="5"/>
      <c r="XA65" s="5"/>
      <c r="XB65" s="5"/>
      <c r="XC65" s="5"/>
      <c r="XD65" s="5"/>
      <c r="XE65" s="5"/>
      <c r="XF65" s="5"/>
      <c r="XG65" s="5"/>
      <c r="XH65" s="5"/>
      <c r="XI65" s="5"/>
      <c r="XJ65" s="5"/>
      <c r="XK65" s="5"/>
      <c r="XL65" s="5"/>
      <c r="XM65" s="5"/>
      <c r="XN65" s="5"/>
      <c r="XO65" s="5"/>
      <c r="XP65" s="5"/>
      <c r="XQ65" s="5"/>
      <c r="XR65" s="5"/>
      <c r="XS65" s="5"/>
      <c r="XT65" s="5"/>
      <c r="XU65" s="5"/>
      <c r="XV65" s="5"/>
      <c r="XW65" s="5"/>
      <c r="XX65" s="5"/>
      <c r="XY65" s="5"/>
      <c r="XZ65" s="5"/>
      <c r="YA65" s="5"/>
      <c r="YB65" s="5"/>
      <c r="YC65" s="5"/>
      <c r="YD65" s="5"/>
      <c r="YE65" s="5"/>
      <c r="YF65" s="5"/>
      <c r="YG65" s="5"/>
      <c r="YH65" s="5"/>
      <c r="YI65" s="5"/>
      <c r="YJ65" s="5"/>
      <c r="YK65" s="5"/>
      <c r="YL65" s="5"/>
      <c r="YM65" s="5"/>
      <c r="YN65" s="5"/>
      <c r="YO65" s="5"/>
      <c r="YP65" s="5"/>
      <c r="YQ65" s="5"/>
      <c r="YR65" s="5"/>
      <c r="YS65" s="5"/>
      <c r="YT65" s="5"/>
      <c r="YU65" s="5"/>
      <c r="YV65" s="5"/>
      <c r="YW65" s="5"/>
      <c r="YX65" s="5"/>
      <c r="YY65" s="5"/>
      <c r="YZ65" s="5"/>
      <c r="ZA65" s="5"/>
      <c r="ZB65" s="5"/>
      <c r="ZC65" s="5"/>
      <c r="ZD65" s="5"/>
      <c r="ZE65" s="5"/>
      <c r="ZF65" s="5"/>
      <c r="ZG65" s="5"/>
      <c r="ZH65" s="5"/>
      <c r="ZI65" s="5"/>
      <c r="ZJ65" s="5"/>
      <c r="ZK65" s="5"/>
      <c r="ZL65" s="5"/>
      <c r="ZM65" s="5"/>
      <c r="ZN65" s="5"/>
      <c r="ZO65" s="5"/>
      <c r="ZP65" s="5"/>
      <c r="ZQ65" s="5"/>
      <c r="ZR65" s="5"/>
      <c r="ZS65" s="5"/>
      <c r="ZT65" s="5"/>
      <c r="ZU65" s="5"/>
      <c r="ZV65" s="5"/>
      <c r="ZW65" s="5"/>
      <c r="ZX65" s="5"/>
      <c r="ZY65" s="5"/>
      <c r="ZZ65" s="5"/>
      <c r="AAA65" s="5"/>
      <c r="AAB65" s="5"/>
      <c r="AAC65" s="5"/>
      <c r="AAD65" s="5"/>
      <c r="AAE65" s="5"/>
      <c r="AAF65" s="5"/>
      <c r="AAG65" s="5"/>
      <c r="AAH65" s="5"/>
      <c r="AAI65" s="5"/>
      <c r="AAJ65" s="5"/>
      <c r="AAK65" s="5"/>
      <c r="AAL65" s="5"/>
      <c r="AAM65" s="5"/>
      <c r="AAN65" s="5"/>
      <c r="AAO65" s="5"/>
      <c r="AAP65" s="5"/>
      <c r="AAQ65" s="5"/>
      <c r="AAR65" s="5"/>
      <c r="AAS65" s="5"/>
      <c r="AAT65" s="5"/>
      <c r="AAU65" s="5"/>
      <c r="AAV65" s="5"/>
      <c r="AAW65" s="5"/>
      <c r="AAX65" s="5"/>
      <c r="AAY65" s="5"/>
      <c r="AAZ65" s="5"/>
      <c r="ABA65" s="5"/>
      <c r="ABB65" s="5"/>
      <c r="ABC65" s="5"/>
      <c r="ABD65" s="5"/>
      <c r="ABE65" s="5"/>
      <c r="ABF65" s="5"/>
      <c r="ABG65" s="5"/>
      <c r="ABH65" s="5"/>
      <c r="ABI65" s="5"/>
      <c r="ABJ65" s="5"/>
      <c r="ABK65" s="5"/>
      <c r="ABL65" s="5"/>
      <c r="ABM65" s="5"/>
      <c r="ABN65" s="5"/>
      <c r="ABO65" s="5"/>
      <c r="ABP65" s="5"/>
      <c r="ABQ65" s="5"/>
      <c r="ABR65" s="5"/>
      <c r="ABS65" s="5"/>
      <c r="ABT65" s="5"/>
      <c r="ABU65" s="5"/>
      <c r="ABV65" s="5"/>
      <c r="ABW65" s="5"/>
      <c r="ABX65" s="5"/>
      <c r="ABY65" s="5"/>
      <c r="ABZ65" s="5"/>
      <c r="ACA65" s="5"/>
      <c r="ACB65" s="5"/>
      <c r="ACC65" s="5"/>
      <c r="ACD65" s="5"/>
      <c r="ACE65" s="5"/>
      <c r="ACF65" s="5"/>
      <c r="ACG65" s="5"/>
      <c r="ACH65" s="5"/>
      <c r="ACI65" s="5"/>
      <c r="ACJ65" s="5"/>
      <c r="ACK65" s="5"/>
      <c r="ACL65" s="5"/>
      <c r="ACM65" s="5"/>
      <c r="ACN65" s="5"/>
      <c r="ACO65" s="5"/>
      <c r="ACP65" s="5"/>
      <c r="ACQ65" s="5"/>
      <c r="ACR65" s="5"/>
      <c r="ACS65" s="5"/>
      <c r="ACT65" s="5"/>
      <c r="ACU65" s="5"/>
      <c r="ACV65" s="5"/>
      <c r="ACW65" s="5"/>
      <c r="ACX65" s="5"/>
      <c r="ACY65" s="5"/>
      <c r="ACZ65" s="5"/>
      <c r="ADA65" s="5"/>
      <c r="ADB65" s="5"/>
      <c r="ADC65" s="5"/>
      <c r="ADD65" s="5"/>
      <c r="ADE65" s="5"/>
      <c r="ADF65" s="5"/>
      <c r="ADG65" s="5"/>
      <c r="ADH65" s="5"/>
      <c r="ADI65" s="5"/>
      <c r="ADJ65" s="5"/>
      <c r="ADK65" s="5"/>
      <c r="ADL65" s="5"/>
      <c r="ADM65" s="5"/>
      <c r="ADN65" s="5"/>
      <c r="ADO65" s="5"/>
      <c r="ADP65" s="5"/>
      <c r="ADQ65" s="5"/>
      <c r="ADR65" s="5"/>
      <c r="ADS65" s="5"/>
      <c r="ADT65" s="5"/>
      <c r="ADU65" s="5"/>
      <c r="ADV65" s="5"/>
      <c r="ADW65" s="5"/>
      <c r="ADX65" s="5"/>
      <c r="ADY65" s="5"/>
      <c r="ADZ65" s="5"/>
      <c r="AEA65" s="5"/>
      <c r="AEB65" s="5"/>
      <c r="AEC65" s="5"/>
      <c r="AED65" s="5"/>
      <c r="AEE65" s="5"/>
      <c r="AEF65" s="5"/>
      <c r="AEG65" s="5"/>
      <c r="AEH65" s="5"/>
      <c r="AEI65" s="5"/>
      <c r="AEJ65" s="5"/>
      <c r="AEK65" s="5"/>
      <c r="AEL65" s="5"/>
      <c r="AEM65" s="5"/>
      <c r="AEN65" s="5"/>
      <c r="AEO65" s="5"/>
      <c r="AEP65" s="5"/>
      <c r="AEQ65" s="5"/>
      <c r="AER65" s="5"/>
      <c r="AES65" s="5"/>
      <c r="AET65" s="5"/>
      <c r="AEU65" s="5"/>
      <c r="AEV65" s="5"/>
      <c r="AEW65" s="5"/>
      <c r="AEX65" s="5"/>
      <c r="AEY65" s="5"/>
      <c r="AEZ65" s="5"/>
      <c r="AFA65" s="5"/>
      <c r="AFB65" s="5"/>
      <c r="AFC65" s="5"/>
      <c r="AFD65" s="5"/>
      <c r="AFE65" s="5"/>
      <c r="AFF65" s="5"/>
      <c r="AFG65" s="5"/>
      <c r="AFH65" s="5"/>
      <c r="AFI65" s="5"/>
      <c r="AFJ65" s="5"/>
      <c r="AFK65" s="5"/>
      <c r="AFL65" s="5"/>
      <c r="AFM65" s="5"/>
      <c r="AFN65" s="5"/>
      <c r="AFO65" s="5"/>
      <c r="AFP65" s="5"/>
      <c r="AFQ65" s="5"/>
      <c r="AFR65" s="5"/>
      <c r="AFS65" s="5"/>
      <c r="AFT65" s="5"/>
      <c r="AFU65" s="5"/>
      <c r="AFV65" s="5"/>
      <c r="AFW65" s="5"/>
      <c r="AFX65" s="5"/>
      <c r="AFY65" s="5"/>
      <c r="AFZ65" s="5"/>
      <c r="AGA65" s="5"/>
      <c r="AGB65" s="5"/>
      <c r="AGC65" s="5"/>
      <c r="AGD65" s="5"/>
      <c r="AGE65" s="5"/>
      <c r="AGF65" s="5"/>
      <c r="AGG65" s="5"/>
      <c r="AGH65" s="5"/>
      <c r="AGI65" s="5"/>
      <c r="AGJ65" s="5"/>
      <c r="AGK65" s="5"/>
      <c r="AGL65" s="5"/>
      <c r="AGM65" s="5"/>
      <c r="AGN65" s="5"/>
      <c r="AGO65" s="5"/>
      <c r="AGP65" s="5"/>
      <c r="AGQ65" s="5"/>
      <c r="AGR65" s="5"/>
      <c r="AGS65" s="5"/>
      <c r="AGT65" s="5"/>
      <c r="AGU65" s="5"/>
      <c r="AGV65" s="5"/>
      <c r="AGW65" s="5"/>
      <c r="AGX65" s="5"/>
      <c r="AGY65" s="5"/>
      <c r="AGZ65" s="5"/>
      <c r="AHA65" s="5"/>
      <c r="AHB65" s="5"/>
      <c r="AHC65" s="5"/>
      <c r="AHD65" s="5"/>
      <c r="AHE65" s="5"/>
      <c r="AHF65" s="5"/>
      <c r="AHG65" s="5"/>
      <c r="AHH65" s="5"/>
      <c r="AHI65" s="5"/>
      <c r="AHJ65" s="5"/>
      <c r="AHK65" s="5"/>
      <c r="AHL65" s="5"/>
      <c r="AHM65" s="5"/>
      <c r="AHN65" s="5"/>
      <c r="AHO65" s="5"/>
      <c r="AHP65" s="5"/>
      <c r="AHQ65" s="5"/>
      <c r="AHR65" s="5"/>
      <c r="AHS65" s="5"/>
      <c r="AHT65" s="5"/>
      <c r="AHU65" s="5"/>
      <c r="AHV65" s="5"/>
      <c r="AHW65" s="5"/>
      <c r="AHX65" s="5"/>
      <c r="AHY65" s="5"/>
      <c r="AHZ65" s="5"/>
      <c r="AIA65" s="5"/>
      <c r="AIB65" s="5"/>
      <c r="AIC65" s="5"/>
      <c r="AID65" s="5"/>
      <c r="AIE65" s="5"/>
      <c r="AIF65" s="5"/>
      <c r="AIG65" s="5"/>
      <c r="AIH65" s="5"/>
      <c r="AII65" s="5"/>
      <c r="AIJ65" s="5"/>
      <c r="AIK65" s="5"/>
      <c r="AIL65" s="5"/>
      <c r="AIM65" s="5"/>
      <c r="AIN65" s="5"/>
      <c r="AIO65" s="5"/>
      <c r="AIP65" s="5"/>
      <c r="AIQ65" s="5"/>
      <c r="AIR65" s="5"/>
      <c r="AIS65" s="5"/>
      <c r="AIT65" s="5"/>
      <c r="AIU65" s="5"/>
      <c r="AIV65" s="5"/>
      <c r="AIW65" s="5"/>
      <c r="AIX65" s="5"/>
      <c r="AIY65" s="5"/>
      <c r="AIZ65" s="5"/>
      <c r="AJA65" s="5"/>
      <c r="AJB65" s="5"/>
      <c r="AJC65" s="5"/>
      <c r="AJD65" s="5"/>
      <c r="AJE65" s="5"/>
      <c r="AJF65" s="5"/>
      <c r="AJG65" s="5"/>
      <c r="AJH65" s="5"/>
      <c r="AJI65" s="5"/>
      <c r="AJJ65" s="5"/>
      <c r="AJK65" s="5"/>
      <c r="AJL65" s="5"/>
      <c r="AJM65" s="5"/>
      <c r="AJN65" s="5"/>
      <c r="AJO65" s="5"/>
      <c r="AJP65" s="5"/>
      <c r="AJQ65" s="5"/>
      <c r="AJR65" s="5"/>
      <c r="AJS65" s="5"/>
      <c r="AJT65" s="5"/>
      <c r="AJU65" s="5"/>
      <c r="AJV65" s="5"/>
      <c r="AJW65" s="5"/>
      <c r="AJX65" s="5"/>
      <c r="AJY65" s="5"/>
      <c r="AJZ65" s="5"/>
      <c r="AKA65" s="5"/>
      <c r="AKB65" s="5"/>
      <c r="AKC65" s="5"/>
      <c r="AKD65" s="5"/>
      <c r="AKE65" s="5"/>
      <c r="AKF65" s="5"/>
      <c r="AKG65" s="5"/>
      <c r="AKH65" s="5"/>
      <c r="AKI65" s="5"/>
      <c r="AKJ65" s="5"/>
      <c r="AKK65" s="5"/>
      <c r="AKL65" s="5"/>
      <c r="AKM65" s="5"/>
      <c r="AKN65" s="5"/>
      <c r="AKO65" s="5"/>
      <c r="AKP65" s="5"/>
      <c r="AKQ65" s="5"/>
      <c r="AKR65" s="5"/>
      <c r="AKS65" s="5"/>
      <c r="AKT65" s="5"/>
      <c r="AKU65" s="5"/>
      <c r="AKV65" s="5"/>
      <c r="AKW65" s="5"/>
      <c r="AKX65" s="5"/>
      <c r="AKY65" s="5"/>
      <c r="AKZ65" s="5"/>
      <c r="ALA65" s="5"/>
      <c r="ALB65" s="5"/>
      <c r="ALC65" s="5"/>
      <c r="ALD65" s="5"/>
      <c r="ALE65" s="5"/>
      <c r="ALF65" s="5"/>
      <c r="ALG65" s="5"/>
      <c r="ALH65" s="5"/>
      <c r="ALI65" s="5"/>
      <c r="ALJ65" s="5"/>
      <c r="ALK65" s="5"/>
      <c r="ALL65" s="5"/>
      <c r="ALM65" s="5"/>
      <c r="ALN65" s="5"/>
      <c r="ALO65" s="5"/>
      <c r="ALP65" s="5"/>
      <c r="ALQ65" s="5"/>
      <c r="ALR65" s="5"/>
      <c r="ALS65" s="5"/>
      <c r="ALT65" s="5"/>
      <c r="ALU65" s="5"/>
      <c r="ALV65" s="5"/>
      <c r="ALW65" s="5"/>
      <c r="ALX65" s="5"/>
      <c r="ALY65" s="5"/>
      <c r="ALZ65" s="5"/>
      <c r="AMA65" s="5"/>
      <c r="AMB65" s="5"/>
      <c r="AMC65" s="5"/>
      <c r="AMD65" s="5"/>
      <c r="AME65" s="5"/>
      <c r="AMF65" s="5"/>
      <c r="AMG65" s="5"/>
      <c r="AMH65" s="5"/>
      <c r="AMI65" s="5"/>
      <c r="AMJ65" s="5"/>
      <c r="AMK65" s="5"/>
      <c r="AML65" s="5"/>
      <c r="AMM65" s="5"/>
      <c r="AMN65" s="5"/>
      <c r="AMO65" s="5"/>
      <c r="AMP65" s="5"/>
      <c r="AMQ65" s="5"/>
      <c r="AMR65" s="5"/>
      <c r="AMS65" s="5"/>
      <c r="AMT65" s="5"/>
      <c r="AMU65" s="5"/>
      <c r="AMV65" s="5"/>
      <c r="AMW65" s="5"/>
      <c r="AMX65" s="5"/>
      <c r="AMY65" s="5"/>
      <c r="AMZ65" s="5"/>
      <c r="ANA65" s="5"/>
      <c r="ANB65" s="5"/>
      <c r="ANC65" s="5"/>
      <c r="AND65" s="5"/>
      <c r="ANE65" s="5"/>
      <c r="ANF65" s="5"/>
      <c r="ANG65" s="5"/>
      <c r="ANH65" s="5"/>
      <c r="ANI65" s="5"/>
      <c r="ANJ65" s="5"/>
      <c r="ANK65" s="5"/>
      <c r="ANL65" s="5"/>
      <c r="ANM65" s="5"/>
      <c r="ANN65" s="5"/>
      <c r="ANO65" s="5"/>
      <c r="ANP65" s="5"/>
      <c r="ANQ65" s="5"/>
      <c r="ANR65" s="5"/>
      <c r="ANS65" s="5"/>
      <c r="ANT65" s="5"/>
      <c r="ANU65" s="5"/>
      <c r="ANV65" s="5"/>
      <c r="ANW65" s="5"/>
      <c r="ANX65" s="5"/>
      <c r="ANY65" s="5"/>
      <c r="ANZ65" s="5"/>
      <c r="AOA65" s="5"/>
      <c r="AOB65" s="5"/>
      <c r="AOC65" s="5"/>
      <c r="AOD65" s="5"/>
      <c r="AOE65" s="5"/>
      <c r="AOF65" s="5"/>
      <c r="AOG65" s="5"/>
      <c r="AOH65" s="5"/>
      <c r="AOI65" s="5"/>
      <c r="AOJ65" s="5"/>
      <c r="AOK65" s="5"/>
      <c r="AOL65" s="5"/>
      <c r="AOM65" s="5"/>
      <c r="AON65" s="5"/>
      <c r="AOO65" s="5"/>
      <c r="AOP65" s="5"/>
      <c r="AOQ65" s="5"/>
      <c r="AOR65" s="5"/>
      <c r="AOS65" s="5"/>
      <c r="AOT65" s="5"/>
      <c r="AOU65" s="5"/>
      <c r="AOV65" s="5"/>
      <c r="AOW65" s="5"/>
      <c r="AOX65" s="5"/>
      <c r="AOY65" s="5"/>
      <c r="AOZ65" s="5"/>
      <c r="APA65" s="5"/>
      <c r="APB65" s="5"/>
      <c r="APC65" s="5"/>
      <c r="APD65" s="5"/>
      <c r="APE65" s="5"/>
      <c r="APF65" s="5"/>
      <c r="APG65" s="5"/>
      <c r="APH65" s="5"/>
      <c r="API65" s="5"/>
      <c r="APJ65" s="5"/>
      <c r="APK65" s="5"/>
      <c r="APL65" s="5"/>
      <c r="APM65" s="5"/>
      <c r="APN65" s="5"/>
      <c r="APO65" s="5"/>
      <c r="APP65" s="5"/>
      <c r="APQ65" s="5"/>
      <c r="APR65" s="5"/>
      <c r="APS65" s="5"/>
      <c r="APT65" s="5"/>
      <c r="APU65" s="5"/>
      <c r="APV65" s="5"/>
      <c r="APW65" s="5"/>
      <c r="APX65" s="5"/>
      <c r="APY65" s="5"/>
      <c r="APZ65" s="5"/>
      <c r="AQA65" s="5"/>
      <c r="AQB65" s="5"/>
      <c r="AQC65" s="5"/>
      <c r="AQD65" s="5"/>
      <c r="AQE65" s="5"/>
      <c r="AQF65" s="5"/>
      <c r="AQG65" s="5"/>
      <c r="AQH65" s="5"/>
      <c r="AQI65" s="5"/>
      <c r="AQJ65" s="5"/>
      <c r="AQK65" s="5"/>
      <c r="AQL65" s="5"/>
      <c r="AQM65" s="5"/>
      <c r="AQN65" s="5"/>
      <c r="AQO65" s="5"/>
      <c r="AQP65" s="5"/>
      <c r="AQQ65" s="5"/>
      <c r="AQR65" s="5"/>
      <c r="AQS65" s="5"/>
      <c r="AQT65" s="5"/>
      <c r="AQU65" s="5"/>
      <c r="AQV65" s="5"/>
      <c r="AQW65" s="5"/>
      <c r="AQX65" s="5"/>
      <c r="AQY65" s="5"/>
      <c r="AQZ65" s="5"/>
      <c r="ARA65" s="5"/>
      <c r="ARB65" s="5"/>
      <c r="ARC65" s="5"/>
      <c r="ARD65" s="5"/>
      <c r="ARE65" s="5"/>
      <c r="ARF65" s="5"/>
      <c r="ARG65" s="5"/>
      <c r="ARH65" s="5"/>
      <c r="ARI65" s="5"/>
      <c r="ARJ65" s="5"/>
      <c r="ARK65" s="5"/>
      <c r="ARL65" s="5"/>
      <c r="ARM65" s="5"/>
      <c r="ARN65" s="5"/>
      <c r="ARO65" s="5"/>
      <c r="ARP65" s="5"/>
      <c r="ARQ65" s="5"/>
      <c r="ARR65" s="5"/>
      <c r="ARS65" s="5"/>
      <c r="ART65" s="5"/>
      <c r="ARU65" s="5"/>
      <c r="ARV65" s="5"/>
      <c r="ARW65" s="5"/>
      <c r="ARX65" s="5"/>
      <c r="ARY65" s="5"/>
      <c r="ARZ65" s="5"/>
      <c r="ASA65" s="5"/>
      <c r="ASB65" s="5"/>
      <c r="ASC65" s="5"/>
      <c r="ASD65" s="5"/>
      <c r="ASE65" s="5"/>
      <c r="ASF65" s="5"/>
      <c r="ASG65" s="5"/>
      <c r="ASH65" s="5"/>
      <c r="ASI65" s="5"/>
      <c r="ASJ65" s="5"/>
      <c r="ASK65" s="5"/>
      <c r="ASL65" s="5"/>
      <c r="ASM65" s="5"/>
      <c r="ASN65" s="5"/>
      <c r="ASO65" s="5"/>
      <c r="ASP65" s="5"/>
      <c r="ASQ65" s="5"/>
      <c r="ASR65" s="5"/>
      <c r="ASS65" s="5"/>
      <c r="AST65" s="5"/>
      <c r="ASU65" s="5"/>
      <c r="ASV65" s="5"/>
      <c r="ASW65" s="5"/>
      <c r="ASX65" s="5"/>
      <c r="ASY65" s="5"/>
      <c r="ASZ65" s="5"/>
      <c r="ATA65" s="5"/>
      <c r="ATB65" s="5"/>
      <c r="ATC65" s="5"/>
      <c r="ATD65" s="5"/>
      <c r="ATE65" s="5"/>
      <c r="ATF65" s="5"/>
      <c r="ATG65" s="5"/>
      <c r="ATH65" s="5"/>
      <c r="ATI65" s="5"/>
      <c r="ATJ65" s="5"/>
      <c r="ATK65" s="5"/>
      <c r="ATL65" s="5"/>
      <c r="ATM65" s="5"/>
      <c r="ATN65" s="5"/>
      <c r="ATO65" s="5"/>
      <c r="ATP65" s="5"/>
      <c r="ATQ65" s="5"/>
      <c r="ATR65" s="5"/>
      <c r="ATS65" s="5"/>
      <c r="ATT65" s="5"/>
      <c r="ATU65" s="5"/>
      <c r="ATV65" s="5"/>
      <c r="ATW65" s="5"/>
      <c r="ATX65" s="5"/>
      <c r="ATY65" s="5"/>
      <c r="ATZ65" s="5"/>
      <c r="AUA65" s="5"/>
      <c r="AUB65" s="5"/>
      <c r="AUC65" s="5"/>
      <c r="AUD65" s="5"/>
      <c r="AUE65" s="5"/>
      <c r="AUF65" s="5"/>
      <c r="AUG65" s="5"/>
      <c r="AUH65" s="5"/>
      <c r="AUI65" s="5"/>
      <c r="AUJ65" s="5"/>
      <c r="AUK65" s="5"/>
      <c r="AUL65" s="5"/>
      <c r="AUM65" s="5"/>
      <c r="AUN65" s="5"/>
      <c r="AUO65" s="5"/>
      <c r="AUP65" s="5"/>
      <c r="AUQ65" s="5"/>
      <c r="AUR65" s="5"/>
      <c r="AUS65" s="5"/>
      <c r="AUT65" s="5"/>
      <c r="AUU65" s="5"/>
      <c r="AUV65" s="5"/>
      <c r="AUW65" s="5"/>
      <c r="AUX65" s="5"/>
      <c r="AUY65" s="5"/>
      <c r="AUZ65" s="5"/>
      <c r="AVA65" s="5"/>
      <c r="AVB65" s="5"/>
      <c r="AVC65" s="5"/>
      <c r="AVD65" s="5"/>
      <c r="AVE65" s="5"/>
      <c r="AVF65" s="5"/>
      <c r="AVG65" s="5"/>
      <c r="AVH65" s="5"/>
      <c r="AVI65" s="5"/>
      <c r="AVJ65" s="5"/>
      <c r="AVK65" s="5"/>
      <c r="AVL65" s="5"/>
      <c r="AVM65" s="5"/>
      <c r="AVN65" s="5"/>
      <c r="AVO65" s="5"/>
      <c r="AVP65" s="5"/>
      <c r="AVQ65" s="5"/>
      <c r="AVR65" s="5"/>
      <c r="AVS65" s="5"/>
      <c r="AVT65" s="5"/>
      <c r="AVU65" s="5"/>
      <c r="AVV65" s="5"/>
      <c r="AVW65" s="5"/>
      <c r="AVX65" s="5"/>
      <c r="AVY65" s="5"/>
      <c r="AVZ65" s="5"/>
      <c r="AWA65" s="5"/>
      <c r="AWB65" s="5"/>
      <c r="AWC65" s="5"/>
      <c r="AWD65" s="5"/>
      <c r="AWE65" s="5"/>
      <c r="AWF65" s="5"/>
      <c r="AWG65" s="5"/>
      <c r="AWH65" s="5"/>
      <c r="AWI65" s="5"/>
      <c r="AWJ65" s="5"/>
      <c r="AWK65" s="5"/>
      <c r="AWL65" s="5"/>
      <c r="AWM65" s="5"/>
      <c r="AWN65" s="5"/>
      <c r="AWO65" s="5"/>
      <c r="AWP65" s="5"/>
      <c r="AWQ65" s="5"/>
      <c r="AWR65" s="5"/>
      <c r="AWS65" s="5"/>
      <c r="AWT65" s="5"/>
      <c r="AWU65" s="5"/>
      <c r="AWV65" s="5"/>
      <c r="AWW65" s="5"/>
      <c r="AWX65" s="5"/>
      <c r="AWY65" s="5"/>
      <c r="AWZ65" s="5"/>
      <c r="AXA65" s="5"/>
      <c r="AXB65" s="5"/>
      <c r="AXC65" s="5"/>
      <c r="AXD65" s="5"/>
      <c r="AXE65" s="5"/>
      <c r="AXF65" s="5"/>
      <c r="AXG65" s="5"/>
      <c r="AXH65" s="5"/>
      <c r="AXI65" s="5"/>
      <c r="AXJ65" s="5"/>
      <c r="AXK65" s="5"/>
      <c r="AXL65" s="5"/>
      <c r="AXM65" s="5"/>
      <c r="AXN65" s="5"/>
      <c r="AXO65" s="5"/>
      <c r="AXP65" s="5"/>
      <c r="AXQ65" s="5"/>
      <c r="AXR65" s="5"/>
      <c r="AXS65" s="5"/>
      <c r="AXT65" s="5"/>
      <c r="AXU65" s="5"/>
      <c r="AXV65" s="5"/>
      <c r="AXW65" s="5"/>
      <c r="AXX65" s="5"/>
      <c r="AXY65" s="5"/>
      <c r="AXZ65" s="5"/>
      <c r="AYA65" s="5"/>
      <c r="AYB65" s="5"/>
      <c r="AYC65" s="5"/>
      <c r="AYD65" s="5"/>
      <c r="AYE65" s="5"/>
      <c r="AYF65" s="5"/>
      <c r="AYG65" s="5"/>
      <c r="AYH65" s="5"/>
      <c r="AYI65" s="5"/>
      <c r="AYJ65" s="5"/>
      <c r="AYK65" s="5"/>
      <c r="AYL65" s="5"/>
      <c r="AYM65" s="5"/>
      <c r="AYN65" s="5"/>
      <c r="AYO65" s="5"/>
      <c r="AYP65" s="5"/>
      <c r="AYQ65" s="5"/>
      <c r="AYR65" s="5"/>
      <c r="AYS65" s="5"/>
      <c r="AYT65" s="5"/>
      <c r="AYU65" s="5"/>
      <c r="AYV65" s="5"/>
      <c r="AYW65" s="5"/>
      <c r="AYX65" s="5"/>
      <c r="AYY65" s="5"/>
      <c r="AYZ65" s="5"/>
      <c r="AZA65" s="5"/>
      <c r="AZB65" s="5"/>
      <c r="AZC65" s="5"/>
      <c r="AZD65" s="5"/>
      <c r="AZE65" s="5"/>
      <c r="AZF65" s="5"/>
      <c r="AZG65" s="5"/>
      <c r="AZH65" s="5"/>
      <c r="AZI65" s="5"/>
      <c r="AZJ65" s="5"/>
      <c r="AZK65" s="5"/>
      <c r="AZL65" s="5"/>
      <c r="AZM65" s="5"/>
      <c r="AZN65" s="5"/>
      <c r="AZO65" s="5"/>
      <c r="AZP65" s="5"/>
      <c r="AZQ65" s="5"/>
      <c r="AZR65" s="5"/>
      <c r="AZS65" s="5"/>
      <c r="AZT65" s="5"/>
      <c r="AZU65" s="5"/>
      <c r="AZV65" s="5"/>
      <c r="AZW65" s="5"/>
      <c r="AZX65" s="5"/>
      <c r="AZY65" s="5"/>
      <c r="AZZ65" s="5"/>
      <c r="BAA65" s="5"/>
      <c r="BAB65" s="5"/>
      <c r="BAC65" s="5"/>
      <c r="BAD65" s="5"/>
      <c r="BAE65" s="5"/>
      <c r="BAF65" s="5"/>
      <c r="BAG65" s="5"/>
      <c r="BAH65" s="5"/>
      <c r="BAI65" s="5"/>
      <c r="BAJ65" s="5"/>
      <c r="BAK65" s="5"/>
      <c r="BAL65" s="5"/>
      <c r="BAM65" s="5"/>
      <c r="BAN65" s="5"/>
      <c r="BAO65" s="5"/>
      <c r="BAP65" s="5"/>
      <c r="BAQ65" s="5"/>
      <c r="BAR65" s="5"/>
      <c r="BAS65" s="5"/>
      <c r="BAT65" s="5"/>
      <c r="BAU65" s="5"/>
      <c r="BAV65" s="5"/>
      <c r="BAW65" s="5"/>
      <c r="BAX65" s="5"/>
      <c r="BAY65" s="5"/>
      <c r="BAZ65" s="5"/>
      <c r="BBA65" s="5"/>
      <c r="BBB65" s="5"/>
      <c r="BBC65" s="5"/>
      <c r="BBD65" s="5"/>
      <c r="BBE65" s="5"/>
      <c r="BBF65" s="5"/>
      <c r="BBG65" s="5"/>
      <c r="BBH65" s="5"/>
      <c r="BBI65" s="5"/>
      <c r="BBJ65" s="5"/>
      <c r="BBK65" s="5"/>
      <c r="BBL65" s="5"/>
      <c r="BBM65" s="5"/>
      <c r="BBN65" s="5"/>
      <c r="BBO65" s="5"/>
      <c r="BBP65" s="5"/>
      <c r="BBQ65" s="5"/>
      <c r="BBR65" s="5"/>
      <c r="BBS65" s="5"/>
      <c r="BBT65" s="5"/>
      <c r="BBU65" s="5"/>
      <c r="BBV65" s="5"/>
      <c r="BBW65" s="5"/>
      <c r="BBX65" s="5"/>
      <c r="BBY65" s="5"/>
      <c r="BBZ65" s="5"/>
      <c r="BCA65" s="5"/>
      <c r="BCB65" s="5"/>
      <c r="BCC65" s="5"/>
      <c r="BCD65" s="5"/>
      <c r="BCE65" s="5"/>
      <c r="BCF65" s="5"/>
      <c r="BCG65" s="5"/>
      <c r="BCH65" s="5"/>
      <c r="BCI65" s="5"/>
      <c r="BCJ65" s="5"/>
      <c r="BCK65" s="5"/>
      <c r="BCL65" s="5"/>
      <c r="BCM65" s="5"/>
      <c r="BCN65" s="5"/>
      <c r="BCO65" s="5"/>
      <c r="BCP65" s="5"/>
      <c r="BCQ65" s="5"/>
      <c r="BCR65" s="5"/>
      <c r="BCS65" s="5"/>
      <c r="BCT65" s="5"/>
      <c r="BCU65" s="5"/>
      <c r="BCV65" s="5"/>
      <c r="BCW65" s="5"/>
      <c r="BCX65" s="5"/>
      <c r="BCY65" s="5"/>
      <c r="BCZ65" s="5"/>
      <c r="BDA65" s="5"/>
      <c r="BDB65" s="5"/>
      <c r="BDC65" s="5"/>
      <c r="BDD65" s="5"/>
      <c r="BDE65" s="5"/>
      <c r="BDF65" s="5"/>
      <c r="BDG65" s="5"/>
      <c r="BDH65" s="5"/>
      <c r="BDI65" s="5"/>
      <c r="BDJ65" s="5"/>
      <c r="BDK65" s="5"/>
      <c r="BDL65" s="5"/>
      <c r="BDM65" s="5"/>
      <c r="BDN65" s="5"/>
      <c r="BDO65" s="5"/>
      <c r="BDP65" s="5"/>
      <c r="BDQ65" s="5"/>
      <c r="BDR65" s="5"/>
      <c r="BDS65" s="5"/>
      <c r="BDT65" s="5"/>
      <c r="BDU65" s="5"/>
      <c r="BDV65" s="5"/>
      <c r="BDW65" s="5"/>
      <c r="BDX65" s="5"/>
      <c r="BDY65" s="5"/>
      <c r="BDZ65" s="5"/>
      <c r="BEA65" s="5"/>
      <c r="BEB65" s="5"/>
      <c r="BEC65" s="5"/>
      <c r="BED65" s="5"/>
      <c r="BEE65" s="5"/>
      <c r="BEF65" s="5"/>
      <c r="BEG65" s="5"/>
      <c r="BEH65" s="5"/>
      <c r="BEI65" s="5"/>
      <c r="BEJ65" s="5"/>
      <c r="BEK65" s="5"/>
      <c r="BEL65" s="5"/>
      <c r="BEM65" s="5"/>
      <c r="BEN65" s="5"/>
      <c r="BEO65" s="5"/>
      <c r="BEP65" s="5"/>
      <c r="BEQ65" s="5"/>
      <c r="BER65" s="5"/>
      <c r="BES65" s="5"/>
      <c r="BET65" s="5"/>
      <c r="BEU65" s="5"/>
      <c r="BEV65" s="5"/>
      <c r="BEW65" s="5"/>
      <c r="BEX65" s="5"/>
      <c r="BEY65" s="5"/>
      <c r="BEZ65" s="5"/>
      <c r="BFA65" s="5"/>
      <c r="BFB65" s="5"/>
      <c r="BFC65" s="5"/>
      <c r="BFD65" s="5"/>
      <c r="BFE65" s="5"/>
      <c r="BFF65" s="5"/>
      <c r="BFG65" s="5"/>
      <c r="BFH65" s="5"/>
      <c r="BFI65" s="5"/>
      <c r="BFJ65" s="5"/>
      <c r="BFK65" s="5"/>
      <c r="BFL65" s="5"/>
      <c r="BFM65" s="5"/>
      <c r="BFN65" s="5"/>
      <c r="BFO65" s="5"/>
      <c r="BFP65" s="5"/>
      <c r="BFQ65" s="5"/>
      <c r="BFR65" s="5"/>
      <c r="BFS65" s="5"/>
      <c r="BFT65" s="5"/>
      <c r="BFU65" s="5"/>
      <c r="BFV65" s="5"/>
      <c r="BFW65" s="5"/>
      <c r="BFX65" s="5"/>
      <c r="BFY65" s="5"/>
      <c r="BFZ65" s="5"/>
      <c r="BGA65" s="5"/>
      <c r="BGB65" s="5"/>
      <c r="BGC65" s="5"/>
      <c r="BGD65" s="5"/>
      <c r="BGE65" s="5"/>
      <c r="BGF65" s="5"/>
      <c r="BGG65" s="5"/>
      <c r="BGH65" s="5"/>
      <c r="BGI65" s="5"/>
      <c r="BGJ65" s="5"/>
      <c r="BGK65" s="5"/>
      <c r="BGL65" s="5"/>
      <c r="BGM65" s="5"/>
      <c r="BGN65" s="5"/>
      <c r="BGO65" s="5"/>
      <c r="BGP65" s="5"/>
      <c r="BGQ65" s="5"/>
      <c r="BGR65" s="5"/>
      <c r="BGS65" s="5"/>
      <c r="BGT65" s="5"/>
      <c r="BGU65" s="5"/>
      <c r="BGV65" s="5"/>
      <c r="BGW65" s="5"/>
      <c r="BGX65" s="5"/>
      <c r="BGY65" s="5"/>
      <c r="BGZ65" s="5"/>
      <c r="BHA65" s="5"/>
      <c r="BHB65" s="5"/>
      <c r="BHC65" s="5"/>
      <c r="BHD65" s="5"/>
      <c r="BHE65" s="5"/>
      <c r="BHF65" s="5"/>
      <c r="BHG65" s="5"/>
      <c r="BHH65" s="5"/>
      <c r="BHI65" s="5"/>
      <c r="BHJ65" s="5"/>
      <c r="BHK65" s="5"/>
      <c r="BHL65" s="5"/>
      <c r="BHM65" s="5"/>
      <c r="BHN65" s="5"/>
      <c r="BHO65" s="5"/>
      <c r="BHP65" s="5"/>
      <c r="BHQ65" s="5"/>
      <c r="BHR65" s="5"/>
      <c r="BHS65" s="5"/>
      <c r="BHT65" s="5"/>
      <c r="BHU65" s="5"/>
      <c r="BHV65" s="5"/>
      <c r="BHW65" s="5"/>
      <c r="BHX65" s="5"/>
      <c r="BHY65" s="5"/>
      <c r="BHZ65" s="5"/>
      <c r="BIA65" s="5"/>
      <c r="BIB65" s="5"/>
      <c r="BIC65" s="5"/>
      <c r="BID65" s="5"/>
      <c r="BIE65" s="5"/>
      <c r="BIF65" s="5"/>
      <c r="BIG65" s="5"/>
      <c r="BIH65" s="5"/>
      <c r="BII65" s="5"/>
      <c r="BIJ65" s="5"/>
      <c r="BIK65" s="5"/>
      <c r="BIL65" s="5"/>
      <c r="BIM65" s="5"/>
      <c r="BIN65" s="5"/>
      <c r="BIO65" s="5"/>
      <c r="BIP65" s="5"/>
      <c r="BIQ65" s="5"/>
      <c r="BIR65" s="5"/>
      <c r="BIS65" s="5"/>
      <c r="BIT65" s="5"/>
      <c r="BIU65" s="5"/>
      <c r="BIV65" s="5"/>
      <c r="BIW65" s="5"/>
      <c r="BIX65" s="5"/>
      <c r="BIY65" s="5"/>
      <c r="BIZ65" s="5"/>
      <c r="BJA65" s="5"/>
      <c r="BJB65" s="5"/>
      <c r="BJC65" s="5"/>
      <c r="BJD65" s="5"/>
      <c r="BJE65" s="5"/>
      <c r="BJF65" s="5"/>
      <c r="BJG65" s="5"/>
      <c r="BJH65" s="5"/>
      <c r="BJI65" s="5"/>
      <c r="BJJ65" s="5"/>
      <c r="BJK65" s="5"/>
      <c r="BJL65" s="5"/>
      <c r="BJM65" s="5"/>
      <c r="BJN65" s="5"/>
      <c r="BJO65" s="5"/>
      <c r="BJP65" s="5"/>
      <c r="BJQ65" s="5"/>
      <c r="BJR65" s="5"/>
      <c r="BJS65" s="5"/>
      <c r="BJT65" s="5"/>
      <c r="BJU65" s="5"/>
      <c r="BJV65" s="5"/>
      <c r="BJW65" s="5"/>
      <c r="BJX65" s="5"/>
      <c r="BJY65" s="5"/>
      <c r="BJZ65" s="5"/>
      <c r="BKA65" s="5"/>
      <c r="BKB65" s="5"/>
      <c r="BKC65" s="5"/>
      <c r="BKD65" s="5"/>
      <c r="BKE65" s="5"/>
      <c r="BKF65" s="5"/>
      <c r="BKG65" s="5"/>
      <c r="BKH65" s="5"/>
      <c r="BKI65" s="5"/>
      <c r="BKJ65" s="5"/>
      <c r="BKK65" s="5"/>
      <c r="BKL65" s="5"/>
      <c r="BKM65" s="5"/>
      <c r="BKN65" s="5"/>
      <c r="BKO65" s="5"/>
      <c r="BKP65" s="5"/>
      <c r="BKQ65" s="5"/>
      <c r="BKR65" s="5"/>
      <c r="BKS65" s="5"/>
      <c r="BKT65" s="5"/>
      <c r="BKU65" s="5"/>
      <c r="BKV65" s="5"/>
      <c r="BKW65" s="5"/>
      <c r="BKX65" s="5"/>
      <c r="BKY65" s="5"/>
      <c r="BKZ65" s="5"/>
      <c r="BLA65" s="5"/>
      <c r="BLB65" s="5"/>
      <c r="BLC65" s="5"/>
      <c r="BLD65" s="5"/>
      <c r="BLE65" s="5"/>
      <c r="BLF65" s="5"/>
      <c r="BLG65" s="5"/>
      <c r="BLH65" s="5"/>
      <c r="BLI65" s="5"/>
      <c r="BLJ65" s="5"/>
      <c r="BLK65" s="5"/>
      <c r="BLL65" s="5"/>
      <c r="BLM65" s="5"/>
      <c r="BLN65" s="5"/>
      <c r="BLO65" s="5"/>
      <c r="BLP65" s="5"/>
      <c r="BLQ65" s="5"/>
      <c r="BLR65" s="5"/>
      <c r="BLS65" s="5"/>
      <c r="BLT65" s="5"/>
      <c r="BLU65" s="5"/>
      <c r="BLV65" s="5"/>
      <c r="BLW65" s="5"/>
      <c r="BLX65" s="5"/>
      <c r="BLY65" s="5"/>
      <c r="BLZ65" s="5"/>
      <c r="BMA65" s="5"/>
      <c r="BMB65" s="5"/>
      <c r="BMC65" s="5"/>
      <c r="BMD65" s="5"/>
      <c r="BME65" s="5"/>
      <c r="BMF65" s="5"/>
      <c r="BMG65" s="5"/>
      <c r="BMH65" s="5"/>
      <c r="BMI65" s="5"/>
      <c r="BMJ65" s="5"/>
      <c r="BMK65" s="5"/>
      <c r="BML65" s="5"/>
      <c r="BMM65" s="5"/>
      <c r="BMN65" s="5"/>
      <c r="BMO65" s="5"/>
      <c r="BMP65" s="5"/>
      <c r="BMQ65" s="5"/>
      <c r="BMR65" s="5"/>
      <c r="BMS65" s="5"/>
      <c r="BMT65" s="5"/>
      <c r="BMU65" s="5"/>
      <c r="BMV65" s="5"/>
      <c r="BMW65" s="5"/>
      <c r="BMX65" s="5"/>
      <c r="BMY65" s="5"/>
      <c r="BMZ65" s="5"/>
      <c r="BNA65" s="5"/>
      <c r="BNB65" s="5"/>
      <c r="BNC65" s="5"/>
      <c r="BND65" s="5"/>
      <c r="BNE65" s="5"/>
      <c r="BNF65" s="5"/>
      <c r="BNG65" s="5"/>
      <c r="BNH65" s="5"/>
      <c r="BNI65" s="5"/>
      <c r="BNJ65" s="5"/>
      <c r="BNK65" s="5"/>
      <c r="BNL65" s="5"/>
      <c r="BNM65" s="5"/>
      <c r="BNN65" s="5"/>
      <c r="BNO65" s="5"/>
      <c r="BNP65" s="5"/>
      <c r="BNQ65" s="5"/>
      <c r="BNR65" s="5"/>
      <c r="BNS65" s="5"/>
      <c r="BNT65" s="5"/>
      <c r="BNU65" s="5"/>
      <c r="BNV65" s="5"/>
      <c r="BNW65" s="5"/>
      <c r="BNX65" s="5"/>
      <c r="BNY65" s="5"/>
      <c r="BNZ65" s="5"/>
      <c r="BOA65" s="5"/>
      <c r="BOB65" s="5"/>
      <c r="BOC65" s="5"/>
      <c r="BOD65" s="5"/>
      <c r="BOE65" s="5"/>
      <c r="BOF65" s="5"/>
      <c r="BOG65" s="5"/>
      <c r="BOH65" s="5"/>
      <c r="BOI65" s="5"/>
      <c r="BOJ65" s="5"/>
      <c r="BOK65" s="5"/>
      <c r="BOL65" s="5"/>
      <c r="BOM65" s="5"/>
      <c r="BON65" s="5"/>
      <c r="BOO65" s="5"/>
      <c r="BOP65" s="5"/>
      <c r="BOQ65" s="5"/>
      <c r="BOR65" s="5"/>
      <c r="BOS65" s="5"/>
      <c r="BOT65" s="5"/>
      <c r="BOU65" s="5"/>
      <c r="BOV65" s="5"/>
      <c r="BOW65" s="5"/>
      <c r="BOX65" s="5"/>
      <c r="BOY65" s="5"/>
      <c r="BOZ65" s="5"/>
      <c r="BPA65" s="5"/>
      <c r="BPB65" s="5"/>
      <c r="BPC65" s="5"/>
      <c r="BPD65" s="5"/>
      <c r="BPE65" s="5"/>
      <c r="BPF65" s="5"/>
      <c r="BPG65" s="5"/>
      <c r="BPH65" s="5"/>
      <c r="BPI65" s="5"/>
      <c r="BPJ65" s="5"/>
      <c r="BPK65" s="5"/>
      <c r="BPL65" s="5"/>
      <c r="BPM65" s="5"/>
      <c r="BPN65" s="5"/>
      <c r="BPO65" s="5"/>
      <c r="BPP65" s="5"/>
      <c r="BPQ65" s="5"/>
      <c r="BPR65" s="5"/>
      <c r="BPS65" s="5"/>
      <c r="BPT65" s="5"/>
      <c r="BPU65" s="5"/>
      <c r="BPV65" s="5"/>
      <c r="BPW65" s="5"/>
      <c r="BPX65" s="5"/>
      <c r="BPY65" s="5"/>
      <c r="BPZ65" s="5"/>
      <c r="BQA65" s="5"/>
      <c r="BQB65" s="5"/>
      <c r="BQC65" s="5"/>
      <c r="BQD65" s="5"/>
      <c r="BQE65" s="5"/>
      <c r="BQF65" s="5"/>
      <c r="BQG65" s="5"/>
      <c r="BQH65" s="5"/>
      <c r="BQI65" s="5"/>
      <c r="BQJ65" s="5"/>
      <c r="BQK65" s="5"/>
      <c r="BQL65" s="5"/>
      <c r="BQM65" s="5"/>
      <c r="BQN65" s="5"/>
      <c r="BQO65" s="5"/>
      <c r="BQP65" s="5"/>
      <c r="BQQ65" s="5"/>
      <c r="BQR65" s="5"/>
      <c r="BQS65" s="5"/>
      <c r="BQT65" s="5"/>
      <c r="BQU65" s="5"/>
      <c r="BQV65" s="5"/>
      <c r="BQW65" s="5"/>
      <c r="BQX65" s="5"/>
      <c r="BQY65" s="5"/>
      <c r="BQZ65" s="5"/>
      <c r="BRA65" s="5"/>
      <c r="BRB65" s="5"/>
      <c r="BRC65" s="5"/>
      <c r="BRD65" s="5"/>
      <c r="BRE65" s="5"/>
      <c r="BRF65" s="5"/>
      <c r="BRG65" s="5"/>
      <c r="BRH65" s="5"/>
      <c r="BRI65" s="5"/>
      <c r="BRJ65" s="5"/>
      <c r="BRK65" s="5"/>
      <c r="BRL65" s="5"/>
      <c r="BRM65" s="5"/>
      <c r="BRN65" s="5"/>
      <c r="BRO65" s="5"/>
      <c r="BRP65" s="5"/>
      <c r="BRQ65" s="5"/>
      <c r="BRR65" s="5"/>
      <c r="BRS65" s="5"/>
      <c r="BRT65" s="5"/>
      <c r="BRU65" s="5"/>
      <c r="BRV65" s="5"/>
      <c r="BRW65" s="5"/>
      <c r="BRX65" s="5"/>
      <c r="BRY65" s="5"/>
      <c r="BRZ65" s="5"/>
      <c r="BSA65" s="5"/>
      <c r="BSB65" s="5"/>
      <c r="BSC65" s="5"/>
      <c r="BSD65" s="5"/>
      <c r="BSE65" s="5"/>
      <c r="BSF65" s="5"/>
      <c r="BSG65" s="5"/>
      <c r="BSH65" s="5"/>
      <c r="BSI65" s="5"/>
      <c r="BSJ65" s="5"/>
      <c r="BSK65" s="5"/>
      <c r="BSL65" s="5"/>
      <c r="BSM65" s="5"/>
      <c r="BSN65" s="5"/>
      <c r="BSO65" s="5"/>
      <c r="BSP65" s="5"/>
      <c r="BSQ65" s="5"/>
      <c r="BSR65" s="5"/>
      <c r="BSS65" s="5"/>
      <c r="BST65" s="5"/>
      <c r="BSU65" s="5"/>
      <c r="BSV65" s="5"/>
      <c r="BSW65" s="5"/>
      <c r="BSX65" s="5"/>
      <c r="BSY65" s="5"/>
      <c r="BSZ65" s="5"/>
      <c r="BTA65" s="5"/>
      <c r="BTB65" s="5"/>
      <c r="BTC65" s="5"/>
      <c r="BTD65" s="5"/>
      <c r="BTE65" s="5"/>
      <c r="BTF65" s="5"/>
      <c r="BTG65" s="5"/>
      <c r="BTH65" s="5"/>
      <c r="BTI65" s="5"/>
      <c r="BTJ65" s="5"/>
      <c r="BTK65" s="5"/>
      <c r="BTL65" s="5"/>
      <c r="BTM65" s="5"/>
      <c r="BTN65" s="5"/>
      <c r="BTO65" s="5"/>
      <c r="BTP65" s="5"/>
      <c r="BTQ65" s="5"/>
      <c r="BTR65" s="5"/>
      <c r="BTS65" s="5"/>
      <c r="BTT65" s="5"/>
      <c r="BTU65" s="5"/>
      <c r="BTV65" s="5"/>
      <c r="BTW65" s="5"/>
      <c r="BTX65" s="5"/>
      <c r="BTY65" s="5"/>
      <c r="BTZ65" s="5"/>
      <c r="BUA65" s="5"/>
      <c r="BUB65" s="5"/>
      <c r="BUC65" s="5"/>
      <c r="BUD65" s="5"/>
      <c r="BUE65" s="5"/>
      <c r="BUF65" s="5"/>
      <c r="BUG65" s="5"/>
      <c r="BUH65" s="5"/>
      <c r="BUI65" s="5"/>
      <c r="BUJ65" s="5"/>
      <c r="BUK65" s="5"/>
      <c r="BUL65" s="5"/>
      <c r="BUM65" s="5"/>
      <c r="BUN65" s="5"/>
      <c r="BUO65" s="5"/>
      <c r="BUP65" s="5"/>
      <c r="BUQ65" s="5"/>
      <c r="BUR65" s="5"/>
      <c r="BUS65" s="5"/>
      <c r="BUT65" s="5"/>
      <c r="BUU65" s="5"/>
      <c r="BUV65" s="5"/>
      <c r="BUW65" s="5"/>
      <c r="BUX65" s="5"/>
      <c r="BUY65" s="5"/>
      <c r="BUZ65" s="5"/>
      <c r="BVA65" s="5"/>
      <c r="BVB65" s="5"/>
      <c r="BVC65" s="5"/>
      <c r="BVD65" s="5"/>
      <c r="BVE65" s="5"/>
      <c r="BVF65" s="5"/>
      <c r="BVG65" s="5"/>
      <c r="BVH65" s="5"/>
      <c r="BVI65" s="5"/>
      <c r="BVJ65" s="5"/>
      <c r="BVK65" s="5"/>
      <c r="BVL65" s="5"/>
      <c r="BVM65" s="5"/>
      <c r="BVN65" s="5"/>
      <c r="BVO65" s="5"/>
      <c r="BVP65" s="5"/>
      <c r="BVQ65" s="5"/>
      <c r="BVR65" s="5"/>
      <c r="BVS65" s="5"/>
      <c r="BVT65" s="5"/>
      <c r="BVU65" s="5"/>
      <c r="BVV65" s="5"/>
      <c r="BVW65" s="5"/>
      <c r="BVX65" s="5"/>
      <c r="BVY65" s="5"/>
      <c r="BVZ65" s="5"/>
      <c r="BWA65" s="5"/>
      <c r="BWB65" s="5"/>
      <c r="BWC65" s="5"/>
      <c r="BWD65" s="5"/>
      <c r="BWE65" s="5"/>
      <c r="BWF65" s="5"/>
      <c r="BWG65" s="5"/>
      <c r="BWH65" s="5"/>
      <c r="BWI65" s="5"/>
      <c r="BWJ65" s="5"/>
      <c r="BWK65" s="5"/>
      <c r="BWL65" s="5"/>
      <c r="BWM65" s="5"/>
      <c r="BWN65" s="5"/>
      <c r="BWO65" s="5"/>
      <c r="BWP65" s="5"/>
      <c r="BWQ65" s="5"/>
      <c r="BWR65" s="5"/>
      <c r="BWS65" s="5"/>
      <c r="BWT65" s="5"/>
      <c r="BWU65" s="5"/>
      <c r="BWV65" s="5"/>
      <c r="BWW65" s="5"/>
      <c r="BWX65" s="5"/>
      <c r="BWY65" s="5"/>
      <c r="BWZ65" s="5"/>
      <c r="BXA65" s="5"/>
      <c r="BXB65" s="5"/>
      <c r="BXC65" s="5"/>
      <c r="BXD65" s="5"/>
      <c r="BXE65" s="5"/>
      <c r="BXF65" s="5"/>
      <c r="BXG65" s="5"/>
      <c r="BXH65" s="5"/>
      <c r="BXI65" s="5"/>
      <c r="BXJ65" s="5"/>
      <c r="BXK65" s="5"/>
      <c r="BXL65" s="5"/>
      <c r="BXM65" s="5"/>
      <c r="BXN65" s="5"/>
      <c r="BXO65" s="5"/>
      <c r="BXP65" s="5"/>
      <c r="BXQ65" s="5"/>
      <c r="BXR65" s="5"/>
      <c r="BXS65" s="5"/>
      <c r="BXT65" s="5"/>
      <c r="BXU65" s="5"/>
      <c r="BXV65" s="5"/>
      <c r="BXW65" s="5"/>
      <c r="BXX65" s="5"/>
      <c r="BXY65" s="5"/>
      <c r="BXZ65" s="5"/>
      <c r="BYA65" s="5"/>
      <c r="BYB65" s="5"/>
      <c r="BYC65" s="5"/>
      <c r="BYD65" s="5"/>
      <c r="BYE65" s="5"/>
      <c r="BYF65" s="5"/>
      <c r="BYG65" s="5"/>
      <c r="BYH65" s="5"/>
      <c r="BYI65" s="5"/>
      <c r="BYJ65" s="5"/>
      <c r="BYK65" s="5"/>
      <c r="BYL65" s="5"/>
      <c r="BYM65" s="5"/>
      <c r="BYN65" s="5"/>
      <c r="BYO65" s="5"/>
      <c r="BYP65" s="5"/>
      <c r="BYQ65" s="5"/>
      <c r="BYR65" s="5"/>
      <c r="BYS65" s="5"/>
      <c r="BYT65" s="5"/>
      <c r="BYU65" s="5"/>
      <c r="BYV65" s="5"/>
      <c r="BYW65" s="5"/>
      <c r="BYX65" s="5"/>
      <c r="BYY65" s="5"/>
      <c r="BYZ65" s="5"/>
      <c r="BZA65" s="5"/>
      <c r="BZB65" s="5"/>
      <c r="BZC65" s="5"/>
      <c r="BZD65" s="5"/>
      <c r="BZE65" s="5"/>
      <c r="BZF65" s="5"/>
      <c r="BZG65" s="5"/>
      <c r="BZH65" s="5"/>
      <c r="BZI65" s="5"/>
      <c r="BZJ65" s="5"/>
      <c r="BZK65" s="5"/>
      <c r="BZL65" s="5"/>
      <c r="BZM65" s="5"/>
      <c r="BZN65" s="5"/>
      <c r="BZO65" s="5"/>
      <c r="BZP65" s="5"/>
      <c r="BZQ65" s="5"/>
      <c r="BZR65" s="5"/>
      <c r="BZS65" s="5"/>
      <c r="BZT65" s="5"/>
      <c r="BZU65" s="5"/>
      <c r="BZV65" s="5"/>
      <c r="BZW65" s="5"/>
      <c r="BZX65" s="5"/>
      <c r="BZY65" s="5"/>
      <c r="BZZ65" s="5"/>
      <c r="CAA65" s="5"/>
      <c r="CAB65" s="5"/>
      <c r="CAC65" s="5"/>
      <c r="CAD65" s="5"/>
      <c r="CAE65" s="5"/>
      <c r="CAF65" s="5"/>
      <c r="CAG65" s="5"/>
      <c r="CAH65" s="5"/>
      <c r="CAI65" s="5"/>
      <c r="CAJ65" s="5"/>
      <c r="CAK65" s="5"/>
      <c r="CAL65" s="5"/>
      <c r="CAM65" s="5"/>
      <c r="CAN65" s="5"/>
      <c r="CAO65" s="5"/>
      <c r="CAP65" s="5"/>
      <c r="CAQ65" s="5"/>
      <c r="CAR65" s="5"/>
      <c r="CAS65" s="5"/>
      <c r="CAT65" s="5"/>
      <c r="CAU65" s="5"/>
      <c r="CAV65" s="5"/>
      <c r="CAW65" s="5"/>
      <c r="CAX65" s="5"/>
      <c r="CAY65" s="5"/>
      <c r="CAZ65" s="5"/>
      <c r="CBA65" s="5"/>
      <c r="CBB65" s="5"/>
      <c r="CBC65" s="5"/>
      <c r="CBD65" s="5"/>
      <c r="CBE65" s="5"/>
      <c r="CBF65" s="5"/>
      <c r="CBG65" s="5"/>
      <c r="CBH65" s="5"/>
      <c r="CBI65" s="5"/>
      <c r="CBJ65" s="5"/>
      <c r="CBK65" s="5"/>
      <c r="CBL65" s="5"/>
      <c r="CBM65" s="5"/>
      <c r="CBN65" s="5"/>
      <c r="CBO65" s="5"/>
      <c r="CBP65" s="5"/>
      <c r="CBQ65" s="5"/>
      <c r="CBR65" s="5"/>
      <c r="CBS65" s="5"/>
      <c r="CBT65" s="5"/>
      <c r="CBU65" s="5"/>
      <c r="CBV65" s="5"/>
      <c r="CBW65" s="5"/>
      <c r="CBX65" s="5"/>
      <c r="CBY65" s="5"/>
      <c r="CBZ65" s="5"/>
      <c r="CCA65" s="5"/>
      <c r="CCB65" s="5"/>
      <c r="CCC65" s="5"/>
      <c r="CCD65" s="5"/>
      <c r="CCE65" s="5"/>
      <c r="CCF65" s="5"/>
      <c r="CCG65" s="5"/>
      <c r="CCH65" s="5"/>
      <c r="CCI65" s="5"/>
      <c r="CCJ65" s="5"/>
      <c r="CCK65" s="5"/>
      <c r="CCL65" s="5"/>
      <c r="CCM65" s="5"/>
      <c r="CCN65" s="5"/>
      <c r="CCO65" s="5"/>
      <c r="CCP65" s="5"/>
      <c r="CCQ65" s="5"/>
      <c r="CCR65" s="5"/>
      <c r="CCS65" s="5"/>
      <c r="CCT65" s="5"/>
      <c r="CCU65" s="5"/>
      <c r="CCV65" s="5"/>
      <c r="CCW65" s="5"/>
      <c r="CCX65" s="5"/>
      <c r="CCY65" s="5"/>
      <c r="CCZ65" s="5"/>
      <c r="CDA65" s="5"/>
      <c r="CDB65" s="5"/>
      <c r="CDC65" s="5"/>
      <c r="CDD65" s="5"/>
      <c r="CDE65" s="5"/>
      <c r="CDF65" s="5"/>
      <c r="CDG65" s="5"/>
      <c r="CDH65" s="5"/>
      <c r="CDI65" s="5"/>
      <c r="CDJ65" s="5"/>
      <c r="CDK65" s="5"/>
      <c r="CDL65" s="5"/>
      <c r="CDM65" s="5"/>
      <c r="CDN65" s="5"/>
      <c r="CDO65" s="5"/>
      <c r="CDP65" s="5"/>
      <c r="CDQ65" s="5"/>
      <c r="CDR65" s="5"/>
      <c r="CDS65" s="5"/>
      <c r="CDT65" s="5"/>
      <c r="CDU65" s="5"/>
      <c r="CDV65" s="5"/>
      <c r="CDW65" s="5"/>
      <c r="CDX65" s="5"/>
      <c r="CDY65" s="5"/>
      <c r="CDZ65" s="5"/>
      <c r="CEA65" s="5"/>
      <c r="CEB65" s="5"/>
      <c r="CEC65" s="5"/>
      <c r="CED65" s="5"/>
      <c r="CEE65" s="5"/>
      <c r="CEF65" s="5"/>
      <c r="CEG65" s="5"/>
      <c r="CEH65" s="5"/>
      <c r="CEI65" s="5"/>
      <c r="CEJ65" s="5"/>
      <c r="CEK65" s="5"/>
      <c r="CEL65" s="5"/>
      <c r="CEM65" s="5"/>
      <c r="CEN65" s="5"/>
      <c r="CEO65" s="5"/>
      <c r="CEP65" s="5"/>
      <c r="CEQ65" s="5"/>
      <c r="CER65" s="5"/>
      <c r="CES65" s="5"/>
      <c r="CET65" s="5"/>
      <c r="CEU65" s="5"/>
      <c r="CEV65" s="5"/>
      <c r="CEW65" s="5"/>
      <c r="CEX65" s="5"/>
      <c r="CEY65" s="5"/>
      <c r="CEZ65" s="5"/>
      <c r="CFA65" s="5"/>
      <c r="CFB65" s="5"/>
      <c r="CFC65" s="5"/>
      <c r="CFD65" s="5"/>
      <c r="CFE65" s="5"/>
      <c r="CFF65" s="5"/>
      <c r="CFG65" s="5"/>
      <c r="CFH65" s="5"/>
      <c r="CFI65" s="5"/>
      <c r="CFJ65" s="5"/>
      <c r="CFK65" s="5"/>
      <c r="CFL65" s="5"/>
      <c r="CFM65" s="5"/>
      <c r="CFN65" s="5"/>
      <c r="CFO65" s="5"/>
      <c r="CFP65" s="5"/>
      <c r="CFQ65" s="5"/>
      <c r="CFR65" s="5"/>
      <c r="CFS65" s="5"/>
      <c r="CFT65" s="5"/>
      <c r="CFU65" s="5"/>
      <c r="CFV65" s="5"/>
      <c r="CFW65" s="5"/>
      <c r="CFX65" s="5"/>
      <c r="CFY65" s="5"/>
      <c r="CFZ65" s="5"/>
      <c r="CGA65" s="5"/>
      <c r="CGB65" s="5"/>
      <c r="CGC65" s="5"/>
      <c r="CGD65" s="5"/>
      <c r="CGE65" s="5"/>
      <c r="CGF65" s="5"/>
      <c r="CGG65" s="5"/>
      <c r="CGH65" s="5"/>
      <c r="CGI65" s="5"/>
      <c r="CGJ65" s="5"/>
      <c r="CGK65" s="5"/>
      <c r="CGL65" s="5"/>
      <c r="CGM65" s="5"/>
      <c r="CGN65" s="5"/>
      <c r="CGO65" s="5"/>
      <c r="CGP65" s="5"/>
      <c r="CGQ65" s="5"/>
      <c r="CGR65" s="5"/>
      <c r="CGS65" s="5"/>
      <c r="CGT65" s="5"/>
      <c r="CGU65" s="5"/>
      <c r="CGV65" s="5"/>
      <c r="CGW65" s="5"/>
      <c r="CGX65" s="5"/>
      <c r="CGY65" s="5"/>
      <c r="CGZ65" s="5"/>
      <c r="CHA65" s="5"/>
      <c r="CHB65" s="5"/>
      <c r="CHC65" s="5"/>
      <c r="CHD65" s="5"/>
      <c r="CHE65" s="5"/>
      <c r="CHF65" s="5"/>
      <c r="CHG65" s="5"/>
      <c r="CHH65" s="5"/>
      <c r="CHI65" s="5"/>
      <c r="CHJ65" s="5"/>
      <c r="CHK65" s="5"/>
      <c r="CHL65" s="5"/>
      <c r="CHM65" s="5"/>
      <c r="CHN65" s="5"/>
      <c r="CHO65" s="5"/>
      <c r="CHP65" s="5"/>
      <c r="CHQ65" s="5"/>
      <c r="CHR65" s="5"/>
      <c r="CHS65" s="5"/>
      <c r="CHT65" s="5"/>
      <c r="CHU65" s="5"/>
      <c r="CHV65" s="5"/>
      <c r="CHW65" s="5"/>
      <c r="CHX65" s="5"/>
      <c r="CHY65" s="5"/>
      <c r="CHZ65" s="5"/>
      <c r="CIA65" s="5"/>
      <c r="CIB65" s="5"/>
      <c r="CIC65" s="5"/>
      <c r="CID65" s="5"/>
      <c r="CIE65" s="5"/>
      <c r="CIF65" s="5"/>
      <c r="CIG65" s="5"/>
      <c r="CIH65" s="5"/>
      <c r="CII65" s="5"/>
      <c r="CIJ65" s="5"/>
      <c r="CIK65" s="5"/>
      <c r="CIL65" s="5"/>
      <c r="CIM65" s="5"/>
      <c r="CIN65" s="5"/>
      <c r="CIO65" s="5"/>
      <c r="CIP65" s="5"/>
      <c r="CIQ65" s="5"/>
      <c r="CIR65" s="5"/>
      <c r="CIS65" s="5"/>
      <c r="CIT65" s="5"/>
      <c r="CIU65" s="5"/>
      <c r="CIV65" s="5"/>
      <c r="CIW65" s="5"/>
      <c r="CIX65" s="5"/>
      <c r="CIY65" s="5"/>
      <c r="CIZ65" s="5"/>
      <c r="CJA65" s="5"/>
      <c r="CJB65" s="5"/>
      <c r="CJC65" s="5"/>
      <c r="CJD65" s="5"/>
      <c r="CJE65" s="5"/>
      <c r="CJF65" s="5"/>
      <c r="CJG65" s="5"/>
      <c r="CJH65" s="5"/>
      <c r="CJI65" s="5"/>
      <c r="CJJ65" s="5"/>
      <c r="CJK65" s="5"/>
      <c r="CJL65" s="5"/>
      <c r="CJM65" s="5"/>
      <c r="CJN65" s="5"/>
      <c r="CJO65" s="5"/>
      <c r="CJP65" s="5"/>
      <c r="CJQ65" s="5"/>
      <c r="CJR65" s="5"/>
      <c r="CJS65" s="5"/>
      <c r="CJT65" s="5"/>
      <c r="CJU65" s="5"/>
      <c r="CJV65" s="5"/>
      <c r="CJW65" s="5"/>
      <c r="CJX65" s="5"/>
      <c r="CJY65" s="5"/>
      <c r="CJZ65" s="5"/>
      <c r="CKA65" s="5"/>
      <c r="CKB65" s="5"/>
      <c r="CKC65" s="5"/>
      <c r="CKD65" s="5"/>
      <c r="CKE65" s="5"/>
      <c r="CKF65" s="5"/>
      <c r="CKG65" s="5"/>
      <c r="CKH65" s="5"/>
      <c r="CKI65" s="5"/>
      <c r="CKJ65" s="5"/>
      <c r="CKK65" s="5"/>
      <c r="CKL65" s="5"/>
      <c r="CKM65" s="5"/>
      <c r="CKN65" s="5"/>
      <c r="CKO65" s="5"/>
      <c r="CKP65" s="5"/>
      <c r="CKQ65" s="5"/>
      <c r="CKR65" s="5"/>
      <c r="CKS65" s="5"/>
      <c r="CKT65" s="5"/>
      <c r="CKU65" s="5"/>
      <c r="CKV65" s="5"/>
      <c r="CKW65" s="5"/>
      <c r="CKX65" s="5"/>
      <c r="CKY65" s="5"/>
      <c r="CKZ65" s="5"/>
      <c r="CLA65" s="5"/>
      <c r="CLB65" s="5"/>
      <c r="CLC65" s="5"/>
      <c r="CLD65" s="5"/>
      <c r="CLE65" s="5"/>
      <c r="CLF65" s="5"/>
      <c r="CLG65" s="5"/>
      <c r="CLH65" s="5"/>
      <c r="CLI65" s="5"/>
      <c r="CLJ65" s="5"/>
      <c r="CLK65" s="5"/>
      <c r="CLL65" s="5"/>
      <c r="CLM65" s="5"/>
      <c r="CLN65" s="5"/>
      <c r="CLO65" s="5"/>
      <c r="CLP65" s="5"/>
      <c r="CLQ65" s="5"/>
      <c r="CLR65" s="5"/>
      <c r="CLS65" s="5"/>
      <c r="CLT65" s="5"/>
      <c r="CLU65" s="5"/>
      <c r="CLV65" s="5"/>
      <c r="CLW65" s="5"/>
      <c r="CLX65" s="5"/>
      <c r="CLY65" s="5"/>
      <c r="CLZ65" s="5"/>
      <c r="CMA65" s="5"/>
      <c r="CMB65" s="5"/>
      <c r="CMC65" s="5"/>
      <c r="CMD65" s="5"/>
      <c r="CME65" s="5"/>
      <c r="CMF65" s="5"/>
      <c r="CMG65" s="5"/>
      <c r="CMH65" s="5"/>
      <c r="CMI65" s="5"/>
      <c r="CMJ65" s="5"/>
      <c r="CMK65" s="5"/>
      <c r="CML65" s="5"/>
      <c r="CMM65" s="5"/>
      <c r="CMN65" s="5"/>
      <c r="CMO65" s="5"/>
      <c r="CMP65" s="5"/>
      <c r="CMQ65" s="5"/>
      <c r="CMR65" s="5"/>
      <c r="CMS65" s="5"/>
      <c r="CMT65" s="5"/>
      <c r="CMU65" s="5"/>
      <c r="CMV65" s="5"/>
      <c r="CMW65" s="5"/>
      <c r="CMX65" s="5"/>
      <c r="CMY65" s="5"/>
      <c r="CMZ65" s="5"/>
      <c r="CNA65" s="5"/>
      <c r="CNB65" s="5"/>
      <c r="CNC65" s="5"/>
      <c r="CND65" s="5"/>
      <c r="CNE65" s="5"/>
      <c r="CNF65" s="5"/>
      <c r="CNG65" s="5"/>
      <c r="CNH65" s="5"/>
      <c r="CNI65" s="5"/>
      <c r="CNJ65" s="5"/>
      <c r="CNK65" s="5"/>
      <c r="CNL65" s="5"/>
      <c r="CNM65" s="5"/>
      <c r="CNN65" s="5"/>
      <c r="CNO65" s="5"/>
      <c r="CNP65" s="5"/>
      <c r="CNQ65" s="5"/>
      <c r="CNR65" s="5"/>
      <c r="CNS65" s="5"/>
      <c r="CNT65" s="5"/>
      <c r="CNU65" s="5"/>
      <c r="CNV65" s="5"/>
      <c r="CNW65" s="5"/>
      <c r="CNX65" s="5"/>
      <c r="CNY65" s="5"/>
      <c r="CNZ65" s="5"/>
      <c r="COA65" s="5"/>
      <c r="COB65" s="5"/>
      <c r="COC65" s="5"/>
      <c r="COD65" s="5"/>
      <c r="COE65" s="5"/>
      <c r="COF65" s="5"/>
      <c r="COG65" s="5"/>
      <c r="COH65" s="5"/>
      <c r="COI65" s="5"/>
      <c r="COJ65" s="5"/>
      <c r="COK65" s="5"/>
      <c r="COL65" s="5"/>
      <c r="COM65" s="5"/>
      <c r="CON65" s="5"/>
      <c r="COO65" s="5"/>
      <c r="COP65" s="5"/>
      <c r="COQ65" s="5"/>
      <c r="COR65" s="5"/>
      <c r="COS65" s="5"/>
      <c r="COT65" s="5"/>
      <c r="COU65" s="5"/>
      <c r="COV65" s="5"/>
      <c r="COW65" s="5"/>
      <c r="COX65" s="5"/>
      <c r="COY65" s="5"/>
      <c r="COZ65" s="5"/>
      <c r="CPA65" s="5"/>
      <c r="CPB65" s="5"/>
      <c r="CPC65" s="5"/>
      <c r="CPD65" s="5"/>
      <c r="CPE65" s="5"/>
      <c r="CPF65" s="5"/>
      <c r="CPG65" s="5"/>
      <c r="CPH65" s="5"/>
      <c r="CPI65" s="5"/>
      <c r="CPJ65" s="5"/>
      <c r="CPK65" s="5"/>
      <c r="CPL65" s="5"/>
      <c r="CPM65" s="5"/>
      <c r="CPN65" s="5"/>
      <c r="CPO65" s="5"/>
      <c r="CPP65" s="5"/>
      <c r="CPQ65" s="5"/>
      <c r="CPR65" s="5"/>
      <c r="CPS65" s="5"/>
      <c r="CPT65" s="5"/>
      <c r="CPU65" s="5"/>
      <c r="CPV65" s="5"/>
      <c r="CPW65" s="5"/>
      <c r="CPX65" s="5"/>
      <c r="CPY65" s="5"/>
      <c r="CPZ65" s="5"/>
      <c r="CQA65" s="5"/>
      <c r="CQB65" s="5"/>
      <c r="CQC65" s="5"/>
      <c r="CQD65" s="5"/>
      <c r="CQE65" s="5"/>
      <c r="CQF65" s="5"/>
      <c r="CQG65" s="5"/>
      <c r="CQH65" s="5"/>
      <c r="CQI65" s="5"/>
      <c r="CQJ65" s="5"/>
      <c r="CQK65" s="5"/>
      <c r="CQL65" s="5"/>
      <c r="CQM65" s="5"/>
      <c r="CQN65" s="5"/>
      <c r="CQO65" s="5"/>
      <c r="CQP65" s="5"/>
      <c r="CQQ65" s="5"/>
      <c r="CQR65" s="5"/>
      <c r="CQS65" s="5"/>
      <c r="CQT65" s="5"/>
      <c r="CQU65" s="5"/>
      <c r="CQV65" s="5"/>
      <c r="CQW65" s="5"/>
      <c r="CQX65" s="5"/>
      <c r="CQY65" s="5"/>
      <c r="CQZ65" s="5"/>
      <c r="CRA65" s="5"/>
      <c r="CRB65" s="5"/>
      <c r="CRC65" s="5"/>
      <c r="CRD65" s="5"/>
      <c r="CRE65" s="5"/>
      <c r="CRF65" s="5"/>
      <c r="CRG65" s="5"/>
      <c r="CRH65" s="5"/>
      <c r="CRI65" s="5"/>
      <c r="CRJ65" s="5"/>
      <c r="CRK65" s="5"/>
      <c r="CRL65" s="5"/>
      <c r="CRM65" s="5"/>
      <c r="CRN65" s="5"/>
      <c r="CRO65" s="5"/>
      <c r="CRP65" s="5"/>
      <c r="CRQ65" s="5"/>
      <c r="CRR65" s="5"/>
      <c r="CRS65" s="5"/>
      <c r="CRT65" s="5"/>
      <c r="CRU65" s="5"/>
      <c r="CRV65" s="5"/>
      <c r="CRW65" s="5"/>
      <c r="CRX65" s="5"/>
      <c r="CRY65" s="5"/>
      <c r="CRZ65" s="5"/>
      <c r="CSA65" s="5"/>
      <c r="CSB65" s="5"/>
      <c r="CSC65" s="5"/>
      <c r="CSD65" s="5"/>
      <c r="CSE65" s="5"/>
      <c r="CSF65" s="5"/>
      <c r="CSG65" s="5"/>
      <c r="CSH65" s="5"/>
      <c r="CSI65" s="5"/>
      <c r="CSJ65" s="5"/>
      <c r="CSK65" s="5"/>
      <c r="CSL65" s="5"/>
      <c r="CSM65" s="5"/>
      <c r="CSN65" s="5"/>
      <c r="CSO65" s="5"/>
      <c r="CSP65" s="5"/>
      <c r="CSQ65" s="5"/>
      <c r="CSR65" s="5"/>
      <c r="CSS65" s="5"/>
      <c r="CST65" s="5"/>
      <c r="CSU65" s="5"/>
      <c r="CSV65" s="5"/>
      <c r="CSW65" s="5"/>
      <c r="CSX65" s="5"/>
      <c r="CSY65" s="5"/>
      <c r="CSZ65" s="5"/>
      <c r="CTA65" s="5"/>
      <c r="CTB65" s="5"/>
      <c r="CTC65" s="5"/>
      <c r="CTD65" s="5"/>
      <c r="CTE65" s="5"/>
      <c r="CTF65" s="5"/>
      <c r="CTG65" s="5"/>
      <c r="CTH65" s="5"/>
      <c r="CTI65" s="5"/>
      <c r="CTJ65" s="5"/>
      <c r="CTK65" s="5"/>
      <c r="CTL65" s="5"/>
      <c r="CTM65" s="5"/>
      <c r="CTN65" s="5"/>
      <c r="CTO65" s="5"/>
      <c r="CTP65" s="5"/>
      <c r="CTQ65" s="5"/>
      <c r="CTR65" s="5"/>
      <c r="CTS65" s="5"/>
      <c r="CTT65" s="5"/>
      <c r="CTU65" s="5"/>
      <c r="CTV65" s="5"/>
      <c r="CTW65" s="5"/>
      <c r="CTX65" s="5"/>
      <c r="CTY65" s="5"/>
      <c r="CTZ65" s="5"/>
      <c r="CUA65" s="5"/>
      <c r="CUB65" s="5"/>
      <c r="CUC65" s="5"/>
      <c r="CUD65" s="5"/>
      <c r="CUE65" s="5"/>
      <c r="CUF65" s="5"/>
      <c r="CUG65" s="5"/>
      <c r="CUH65" s="5"/>
      <c r="CUI65" s="5"/>
      <c r="CUJ65" s="5"/>
      <c r="CUK65" s="5"/>
      <c r="CUL65" s="5"/>
      <c r="CUM65" s="5"/>
      <c r="CUN65" s="5"/>
      <c r="CUO65" s="5"/>
      <c r="CUP65" s="5"/>
      <c r="CUQ65" s="5"/>
      <c r="CUR65" s="5"/>
      <c r="CUS65" s="5"/>
      <c r="CUT65" s="5"/>
      <c r="CUU65" s="5"/>
      <c r="CUV65" s="5"/>
      <c r="CUW65" s="5"/>
      <c r="CUX65" s="5"/>
      <c r="CUY65" s="5"/>
      <c r="CUZ65" s="5"/>
      <c r="CVA65" s="5"/>
      <c r="CVB65" s="5"/>
      <c r="CVC65" s="5"/>
      <c r="CVD65" s="5"/>
      <c r="CVE65" s="5"/>
      <c r="CVF65" s="5"/>
      <c r="CVG65" s="5"/>
      <c r="CVH65" s="5"/>
      <c r="CVI65" s="5"/>
      <c r="CVJ65" s="5"/>
      <c r="CVK65" s="5"/>
      <c r="CVL65" s="5"/>
      <c r="CVM65" s="5"/>
      <c r="CVN65" s="5"/>
      <c r="CVO65" s="5"/>
      <c r="CVP65" s="5"/>
      <c r="CVQ65" s="5"/>
      <c r="CVR65" s="5"/>
      <c r="CVS65" s="5"/>
      <c r="CVT65" s="5"/>
      <c r="CVU65" s="5"/>
      <c r="CVV65" s="5"/>
      <c r="CVW65" s="5"/>
      <c r="CVX65" s="5"/>
      <c r="CVY65" s="5"/>
      <c r="CVZ65" s="5"/>
      <c r="CWA65" s="5"/>
      <c r="CWB65" s="5"/>
      <c r="CWC65" s="5"/>
      <c r="CWD65" s="5"/>
      <c r="CWE65" s="5"/>
      <c r="CWF65" s="5"/>
      <c r="CWG65" s="5"/>
      <c r="CWH65" s="5"/>
      <c r="CWI65" s="5"/>
      <c r="CWJ65" s="5"/>
      <c r="CWK65" s="5"/>
      <c r="CWL65" s="5"/>
      <c r="CWM65" s="5"/>
      <c r="CWN65" s="5"/>
      <c r="CWO65" s="5"/>
      <c r="CWP65" s="5"/>
      <c r="CWQ65" s="5"/>
      <c r="CWR65" s="5"/>
      <c r="CWS65" s="5"/>
      <c r="CWT65" s="5"/>
      <c r="CWU65" s="5"/>
      <c r="CWV65" s="5"/>
      <c r="CWW65" s="5"/>
      <c r="CWX65" s="5"/>
      <c r="CWY65" s="5"/>
      <c r="CWZ65" s="5"/>
      <c r="CXA65" s="5"/>
      <c r="CXB65" s="5"/>
      <c r="CXC65" s="5"/>
      <c r="CXD65" s="5"/>
      <c r="CXE65" s="5"/>
      <c r="CXF65" s="5"/>
      <c r="CXG65" s="5"/>
      <c r="CXH65" s="5"/>
      <c r="CXI65" s="5"/>
      <c r="CXJ65" s="5"/>
      <c r="CXK65" s="5"/>
      <c r="CXL65" s="5"/>
      <c r="CXM65" s="5"/>
      <c r="CXN65" s="5"/>
      <c r="CXO65" s="5"/>
      <c r="CXP65" s="5"/>
      <c r="CXQ65" s="5"/>
      <c r="CXR65" s="5"/>
      <c r="CXS65" s="5"/>
      <c r="CXT65" s="5"/>
      <c r="CXU65" s="5"/>
      <c r="CXV65" s="5"/>
      <c r="CXW65" s="5"/>
      <c r="CXX65" s="5"/>
      <c r="CXY65" s="5"/>
      <c r="CXZ65" s="5"/>
      <c r="CYA65" s="5"/>
      <c r="CYB65" s="5"/>
      <c r="CYC65" s="5"/>
      <c r="CYD65" s="5"/>
      <c r="CYE65" s="5"/>
      <c r="CYF65" s="5"/>
      <c r="CYG65" s="5"/>
      <c r="CYH65" s="5"/>
      <c r="CYI65" s="5"/>
      <c r="CYJ65" s="5"/>
      <c r="CYK65" s="5"/>
      <c r="CYL65" s="5"/>
      <c r="CYM65" s="5"/>
      <c r="CYN65" s="5"/>
      <c r="CYO65" s="5"/>
      <c r="CYP65" s="5"/>
      <c r="CYQ65" s="5"/>
      <c r="CYR65" s="5"/>
      <c r="CYS65" s="5"/>
      <c r="CYT65" s="5"/>
      <c r="CYU65" s="5"/>
      <c r="CYV65" s="5"/>
      <c r="CYW65" s="5"/>
      <c r="CYX65" s="5"/>
      <c r="CYY65" s="5"/>
      <c r="CYZ65" s="5"/>
      <c r="CZA65" s="5"/>
      <c r="CZB65" s="5"/>
      <c r="CZC65" s="5"/>
      <c r="CZD65" s="5"/>
      <c r="CZE65" s="5"/>
      <c r="CZF65" s="5"/>
      <c r="CZG65" s="5"/>
      <c r="CZH65" s="5"/>
      <c r="CZI65" s="5"/>
      <c r="CZJ65" s="5"/>
      <c r="CZK65" s="5"/>
      <c r="CZL65" s="5"/>
      <c r="CZM65" s="5"/>
      <c r="CZN65" s="5"/>
      <c r="CZO65" s="5"/>
      <c r="CZP65" s="5"/>
      <c r="CZQ65" s="5"/>
      <c r="CZR65" s="5"/>
      <c r="CZS65" s="5"/>
      <c r="CZT65" s="5"/>
      <c r="CZU65" s="5"/>
      <c r="CZV65" s="5"/>
      <c r="CZW65" s="5"/>
      <c r="CZX65" s="5"/>
      <c r="CZY65" s="5"/>
      <c r="CZZ65" s="5"/>
      <c r="DAA65" s="5"/>
      <c r="DAB65" s="5"/>
      <c r="DAC65" s="5"/>
      <c r="DAD65" s="5"/>
      <c r="DAE65" s="5"/>
      <c r="DAF65" s="5"/>
      <c r="DAG65" s="5"/>
      <c r="DAH65" s="5"/>
      <c r="DAI65" s="5"/>
      <c r="DAJ65" s="5"/>
      <c r="DAK65" s="5"/>
      <c r="DAL65" s="5"/>
      <c r="DAM65" s="5"/>
      <c r="DAN65" s="5"/>
      <c r="DAO65" s="5"/>
      <c r="DAP65" s="5"/>
      <c r="DAQ65" s="5"/>
      <c r="DAR65" s="5"/>
      <c r="DAS65" s="5"/>
      <c r="DAT65" s="5"/>
      <c r="DAU65" s="5"/>
      <c r="DAV65" s="5"/>
      <c r="DAW65" s="5"/>
      <c r="DAX65" s="5"/>
      <c r="DAY65" s="5"/>
      <c r="DAZ65" s="5"/>
      <c r="DBA65" s="5"/>
      <c r="DBB65" s="5"/>
      <c r="DBC65" s="5"/>
      <c r="DBD65" s="5"/>
      <c r="DBE65" s="5"/>
      <c r="DBF65" s="5"/>
      <c r="DBG65" s="5"/>
      <c r="DBH65" s="5"/>
      <c r="DBI65" s="5"/>
      <c r="DBJ65" s="5"/>
      <c r="DBK65" s="5"/>
      <c r="DBL65" s="5"/>
      <c r="DBM65" s="5"/>
      <c r="DBN65" s="5"/>
      <c r="DBO65" s="5"/>
      <c r="DBP65" s="5"/>
      <c r="DBQ65" s="5"/>
      <c r="DBR65" s="5"/>
      <c r="DBS65" s="5"/>
      <c r="DBT65" s="5"/>
      <c r="DBU65" s="5"/>
      <c r="DBV65" s="5"/>
      <c r="DBW65" s="5"/>
      <c r="DBX65" s="5"/>
      <c r="DBY65" s="5"/>
      <c r="DBZ65" s="5"/>
      <c r="DCA65" s="5"/>
      <c r="DCB65" s="5"/>
      <c r="DCC65" s="5"/>
      <c r="DCD65" s="5"/>
      <c r="DCE65" s="5"/>
      <c r="DCF65" s="5"/>
      <c r="DCG65" s="5"/>
      <c r="DCH65" s="5"/>
      <c r="DCI65" s="5"/>
      <c r="DCJ65" s="5"/>
      <c r="DCK65" s="5"/>
      <c r="DCL65" s="5"/>
      <c r="DCM65" s="5"/>
      <c r="DCN65" s="5"/>
      <c r="DCO65" s="5"/>
      <c r="DCP65" s="5"/>
      <c r="DCQ65" s="5"/>
      <c r="DCR65" s="5"/>
      <c r="DCS65" s="5"/>
      <c r="DCT65" s="5"/>
      <c r="DCU65" s="5"/>
      <c r="DCV65" s="5"/>
      <c r="DCW65" s="5"/>
      <c r="DCX65" s="5"/>
      <c r="DCY65" s="5"/>
      <c r="DCZ65" s="5"/>
      <c r="DDA65" s="5"/>
      <c r="DDB65" s="5"/>
      <c r="DDC65" s="5"/>
      <c r="DDD65" s="5"/>
      <c r="DDE65" s="5"/>
      <c r="DDF65" s="5"/>
      <c r="DDG65" s="5"/>
      <c r="DDH65" s="5"/>
      <c r="DDI65" s="5"/>
      <c r="DDJ65" s="5"/>
      <c r="DDK65" s="5"/>
      <c r="DDL65" s="5"/>
      <c r="DDM65" s="5"/>
      <c r="DDN65" s="5"/>
      <c r="DDO65" s="5"/>
      <c r="DDP65" s="5"/>
      <c r="DDQ65" s="5"/>
      <c r="DDR65" s="5"/>
      <c r="DDS65" s="5"/>
      <c r="DDT65" s="5"/>
      <c r="DDU65" s="5"/>
      <c r="DDV65" s="5"/>
      <c r="DDW65" s="5"/>
      <c r="DDX65" s="5"/>
      <c r="DDY65" s="5"/>
      <c r="DDZ65" s="5"/>
      <c r="DEA65" s="5"/>
      <c r="DEB65" s="5"/>
      <c r="DEC65" s="5"/>
      <c r="DED65" s="5"/>
      <c r="DEE65" s="5"/>
      <c r="DEF65" s="5"/>
      <c r="DEG65" s="5"/>
      <c r="DEH65" s="5"/>
      <c r="DEI65" s="5"/>
      <c r="DEJ65" s="5"/>
      <c r="DEK65" s="5"/>
      <c r="DEL65" s="5"/>
      <c r="DEM65" s="5"/>
      <c r="DEN65" s="5"/>
      <c r="DEO65" s="5"/>
      <c r="DEP65" s="5"/>
      <c r="DEQ65" s="5"/>
      <c r="DER65" s="5"/>
      <c r="DES65" s="5"/>
      <c r="DET65" s="5"/>
      <c r="DEU65" s="5"/>
      <c r="DEV65" s="5"/>
      <c r="DEW65" s="5"/>
      <c r="DEX65" s="5"/>
      <c r="DEY65" s="5"/>
      <c r="DEZ65" s="5"/>
      <c r="DFA65" s="5"/>
      <c r="DFB65" s="5"/>
      <c r="DFC65" s="5"/>
      <c r="DFD65" s="5"/>
      <c r="DFE65" s="5"/>
      <c r="DFF65" s="5"/>
      <c r="DFG65" s="5"/>
      <c r="DFH65" s="5"/>
      <c r="DFI65" s="5"/>
      <c r="DFJ65" s="5"/>
      <c r="DFK65" s="5"/>
      <c r="DFL65" s="5"/>
      <c r="DFM65" s="5"/>
      <c r="DFN65" s="5"/>
      <c r="DFO65" s="5"/>
      <c r="DFP65" s="5"/>
      <c r="DFQ65" s="5"/>
      <c r="DFR65" s="5"/>
      <c r="DFS65" s="5"/>
      <c r="DFT65" s="5"/>
      <c r="DFU65" s="5"/>
      <c r="DFV65" s="5"/>
      <c r="DFW65" s="5"/>
      <c r="DFX65" s="5"/>
      <c r="DFY65" s="5"/>
      <c r="DFZ65" s="5"/>
      <c r="DGA65" s="5"/>
      <c r="DGB65" s="5"/>
      <c r="DGC65" s="5"/>
      <c r="DGD65" s="5"/>
      <c r="DGE65" s="5"/>
      <c r="DGF65" s="5"/>
      <c r="DGG65" s="5"/>
      <c r="DGH65" s="5"/>
      <c r="DGI65" s="5"/>
      <c r="DGJ65" s="5"/>
      <c r="DGK65" s="5"/>
      <c r="DGL65" s="5"/>
      <c r="DGM65" s="5"/>
      <c r="DGN65" s="5"/>
      <c r="DGO65" s="5"/>
      <c r="DGP65" s="5"/>
      <c r="DGQ65" s="5"/>
      <c r="DGR65" s="5"/>
      <c r="DGS65" s="5"/>
      <c r="DGT65" s="5"/>
      <c r="DGU65" s="5"/>
      <c r="DGV65" s="5"/>
      <c r="DGW65" s="5"/>
      <c r="DGX65" s="5"/>
      <c r="DGY65" s="5"/>
      <c r="DGZ65" s="5"/>
      <c r="DHA65" s="5"/>
      <c r="DHB65" s="5"/>
      <c r="DHC65" s="5"/>
      <c r="DHD65" s="5"/>
      <c r="DHE65" s="5"/>
      <c r="DHF65" s="5"/>
      <c r="DHG65" s="5"/>
      <c r="DHH65" s="5"/>
      <c r="DHI65" s="5"/>
      <c r="DHJ65" s="5"/>
      <c r="DHK65" s="5"/>
      <c r="DHL65" s="5"/>
      <c r="DHM65" s="5"/>
      <c r="DHN65" s="5"/>
      <c r="DHO65" s="5"/>
      <c r="DHP65" s="5"/>
      <c r="DHQ65" s="5"/>
      <c r="DHR65" s="5"/>
      <c r="DHS65" s="5"/>
      <c r="DHT65" s="5"/>
      <c r="DHU65" s="5"/>
      <c r="DHV65" s="5"/>
      <c r="DHW65" s="5"/>
      <c r="DHX65" s="5"/>
      <c r="DHY65" s="5"/>
      <c r="DHZ65" s="5"/>
      <c r="DIA65" s="5"/>
      <c r="DIB65" s="5"/>
      <c r="DIC65" s="5"/>
      <c r="DID65" s="5"/>
      <c r="DIE65" s="5"/>
      <c r="DIF65" s="5"/>
      <c r="DIG65" s="5"/>
      <c r="DIH65" s="5"/>
      <c r="DII65" s="5"/>
      <c r="DIJ65" s="5"/>
      <c r="DIK65" s="5"/>
      <c r="DIL65" s="5"/>
      <c r="DIM65" s="5"/>
      <c r="DIN65" s="5"/>
      <c r="DIO65" s="5"/>
      <c r="DIP65" s="5"/>
      <c r="DIQ65" s="5"/>
      <c r="DIR65" s="5"/>
      <c r="DIS65" s="5"/>
      <c r="DIT65" s="5"/>
      <c r="DIU65" s="5"/>
      <c r="DIV65" s="5"/>
      <c r="DIW65" s="5"/>
      <c r="DIX65" s="5"/>
      <c r="DIY65" s="5"/>
      <c r="DIZ65" s="5"/>
      <c r="DJA65" s="5"/>
      <c r="DJB65" s="5"/>
      <c r="DJC65" s="5"/>
      <c r="DJD65" s="5"/>
      <c r="DJE65" s="5"/>
      <c r="DJF65" s="5"/>
      <c r="DJG65" s="5"/>
      <c r="DJH65" s="5"/>
      <c r="DJI65" s="5"/>
      <c r="DJJ65" s="5"/>
      <c r="DJK65" s="5"/>
      <c r="DJL65" s="5"/>
      <c r="DJM65" s="5"/>
      <c r="DJN65" s="5"/>
      <c r="DJO65" s="5"/>
      <c r="DJP65" s="5"/>
      <c r="DJQ65" s="5"/>
      <c r="DJR65" s="5"/>
      <c r="DJS65" s="5"/>
      <c r="DJT65" s="5"/>
      <c r="DJU65" s="5"/>
      <c r="DJV65" s="5"/>
      <c r="DJW65" s="5"/>
      <c r="DJX65" s="5"/>
      <c r="DJY65" s="5"/>
      <c r="DJZ65" s="5"/>
      <c r="DKA65" s="5"/>
      <c r="DKB65" s="5"/>
      <c r="DKC65" s="5"/>
      <c r="DKD65" s="5"/>
      <c r="DKE65" s="5"/>
      <c r="DKF65" s="5"/>
      <c r="DKG65" s="5"/>
      <c r="DKH65" s="5"/>
      <c r="DKI65" s="5"/>
      <c r="DKJ65" s="5"/>
      <c r="DKK65" s="5"/>
      <c r="DKL65" s="5"/>
      <c r="DKM65" s="5"/>
      <c r="DKN65" s="5"/>
      <c r="DKO65" s="5"/>
      <c r="DKP65" s="5"/>
      <c r="DKQ65" s="5"/>
      <c r="DKR65" s="5"/>
      <c r="DKS65" s="5"/>
      <c r="DKT65" s="5"/>
      <c r="DKU65" s="5"/>
      <c r="DKV65" s="5"/>
      <c r="DKW65" s="5"/>
      <c r="DKX65" s="5"/>
      <c r="DKY65" s="5"/>
      <c r="DKZ65" s="5"/>
      <c r="DLA65" s="5"/>
      <c r="DLB65" s="5"/>
      <c r="DLC65" s="5"/>
      <c r="DLD65" s="5"/>
      <c r="DLE65" s="5"/>
      <c r="DLF65" s="5"/>
      <c r="DLG65" s="5"/>
      <c r="DLH65" s="5"/>
      <c r="DLI65" s="5"/>
      <c r="DLJ65" s="5"/>
      <c r="DLK65" s="5"/>
      <c r="DLL65" s="5"/>
      <c r="DLM65" s="5"/>
      <c r="DLN65" s="5"/>
      <c r="DLO65" s="5"/>
      <c r="DLP65" s="5"/>
      <c r="DLQ65" s="5"/>
      <c r="DLR65" s="5"/>
      <c r="DLS65" s="5"/>
      <c r="DLT65" s="5"/>
      <c r="DLU65" s="5"/>
      <c r="DLV65" s="5"/>
      <c r="DLW65" s="5"/>
      <c r="DLX65" s="5"/>
      <c r="DLY65" s="5"/>
      <c r="DLZ65" s="5"/>
      <c r="DMA65" s="5"/>
      <c r="DMB65" s="5"/>
      <c r="DMC65" s="5"/>
      <c r="DMD65" s="5"/>
      <c r="DME65" s="5"/>
      <c r="DMF65" s="5"/>
      <c r="DMG65" s="5"/>
      <c r="DMH65" s="5"/>
      <c r="DMI65" s="5"/>
      <c r="DMJ65" s="5"/>
      <c r="DMK65" s="5"/>
      <c r="DML65" s="5"/>
      <c r="DMM65" s="5"/>
      <c r="DMN65" s="5"/>
      <c r="DMO65" s="5"/>
      <c r="DMP65" s="5"/>
      <c r="DMQ65" s="5"/>
      <c r="DMR65" s="5"/>
      <c r="DMS65" s="5"/>
      <c r="DMT65" s="5"/>
      <c r="DMU65" s="5"/>
      <c r="DMV65" s="5"/>
      <c r="DMW65" s="5"/>
      <c r="DMX65" s="5"/>
      <c r="DMY65" s="5"/>
      <c r="DMZ65" s="5"/>
      <c r="DNA65" s="5"/>
      <c r="DNB65" s="5"/>
      <c r="DNC65" s="5"/>
      <c r="DND65" s="5"/>
      <c r="DNE65" s="5"/>
      <c r="DNF65" s="5"/>
      <c r="DNG65" s="5"/>
      <c r="DNH65" s="5"/>
      <c r="DNI65" s="5"/>
      <c r="DNJ65" s="5"/>
      <c r="DNK65" s="5"/>
      <c r="DNL65" s="5"/>
      <c r="DNM65" s="5"/>
      <c r="DNN65" s="5"/>
      <c r="DNO65" s="5"/>
      <c r="DNP65" s="5"/>
      <c r="DNQ65" s="5"/>
      <c r="DNR65" s="5"/>
      <c r="DNS65" s="5"/>
      <c r="DNT65" s="5"/>
      <c r="DNU65" s="5"/>
      <c r="DNV65" s="5"/>
      <c r="DNW65" s="5"/>
      <c r="DNX65" s="5"/>
      <c r="DNY65" s="5"/>
      <c r="DNZ65" s="5"/>
      <c r="DOA65" s="5"/>
      <c r="DOB65" s="5"/>
      <c r="DOC65" s="5"/>
      <c r="DOD65" s="5"/>
      <c r="DOE65" s="5"/>
      <c r="DOF65" s="5"/>
      <c r="DOG65" s="5"/>
      <c r="DOH65" s="5"/>
      <c r="DOI65" s="5"/>
      <c r="DOJ65" s="5"/>
      <c r="DOK65" s="5"/>
      <c r="DOL65" s="5"/>
      <c r="DOM65" s="5"/>
      <c r="DON65" s="5"/>
      <c r="DOO65" s="5"/>
      <c r="DOP65" s="5"/>
      <c r="DOQ65" s="5"/>
      <c r="DOR65" s="5"/>
      <c r="DOS65" s="5"/>
      <c r="DOT65" s="5"/>
      <c r="DOU65" s="5"/>
      <c r="DOV65" s="5"/>
      <c r="DOW65" s="5"/>
      <c r="DOX65" s="5"/>
      <c r="DOY65" s="5"/>
      <c r="DOZ65" s="5"/>
      <c r="DPA65" s="5"/>
      <c r="DPB65" s="5"/>
      <c r="DPC65" s="5"/>
      <c r="DPD65" s="5"/>
      <c r="DPE65" s="5"/>
      <c r="DPF65" s="5"/>
      <c r="DPG65" s="5"/>
      <c r="DPH65" s="5"/>
      <c r="DPI65" s="5"/>
      <c r="DPJ65" s="5"/>
      <c r="DPK65" s="5"/>
      <c r="DPL65" s="5"/>
      <c r="DPM65" s="5"/>
      <c r="DPN65" s="5"/>
      <c r="DPO65" s="5"/>
      <c r="DPP65" s="5"/>
      <c r="DPQ65" s="5"/>
      <c r="DPR65" s="5"/>
      <c r="DPS65" s="5"/>
      <c r="DPT65" s="5"/>
      <c r="DPU65" s="5"/>
      <c r="DPV65" s="5"/>
      <c r="DPW65" s="5"/>
      <c r="DPX65" s="5"/>
      <c r="DPY65" s="5"/>
      <c r="DPZ65" s="5"/>
      <c r="DQA65" s="5"/>
      <c r="DQB65" s="5"/>
      <c r="DQC65" s="5"/>
      <c r="DQD65" s="5"/>
      <c r="DQE65" s="5"/>
      <c r="DQF65" s="5"/>
      <c r="DQG65" s="5"/>
      <c r="DQH65" s="5"/>
      <c r="DQI65" s="5"/>
      <c r="DQJ65" s="5"/>
      <c r="DQK65" s="5"/>
      <c r="DQL65" s="5"/>
      <c r="DQM65" s="5"/>
      <c r="DQN65" s="5"/>
      <c r="DQO65" s="5"/>
      <c r="DQP65" s="5"/>
      <c r="DQQ65" s="5"/>
      <c r="DQR65" s="5"/>
      <c r="DQS65" s="5"/>
      <c r="DQT65" s="5"/>
      <c r="DQU65" s="5"/>
      <c r="DQV65" s="5"/>
      <c r="DQW65" s="5"/>
      <c r="DQX65" s="5"/>
      <c r="DQY65" s="5"/>
      <c r="DQZ65" s="5"/>
      <c r="DRA65" s="5"/>
      <c r="DRB65" s="5"/>
      <c r="DRC65" s="5"/>
      <c r="DRD65" s="5"/>
      <c r="DRE65" s="5"/>
      <c r="DRF65" s="5"/>
      <c r="DRG65" s="5"/>
      <c r="DRH65" s="5"/>
      <c r="DRI65" s="5"/>
      <c r="DRJ65" s="5"/>
      <c r="DRK65" s="5"/>
      <c r="DRL65" s="5"/>
      <c r="DRM65" s="5"/>
      <c r="DRN65" s="5"/>
      <c r="DRO65" s="5"/>
      <c r="DRP65" s="5"/>
      <c r="DRQ65" s="5"/>
      <c r="DRR65" s="5"/>
      <c r="DRS65" s="5"/>
      <c r="DRT65" s="5"/>
      <c r="DRU65" s="5"/>
      <c r="DRV65" s="5"/>
      <c r="DRW65" s="5"/>
      <c r="DRX65" s="5"/>
      <c r="DRY65" s="5"/>
      <c r="DRZ65" s="5"/>
      <c r="DSA65" s="5"/>
      <c r="DSB65" s="5"/>
      <c r="DSC65" s="5"/>
      <c r="DSD65" s="5"/>
      <c r="DSE65" s="5"/>
      <c r="DSF65" s="5"/>
      <c r="DSG65" s="5"/>
      <c r="DSH65" s="5"/>
      <c r="DSI65" s="5"/>
      <c r="DSJ65" s="5"/>
      <c r="DSK65" s="5"/>
      <c r="DSL65" s="5"/>
      <c r="DSM65" s="5"/>
      <c r="DSN65" s="5"/>
      <c r="DSO65" s="5"/>
      <c r="DSP65" s="5"/>
      <c r="DSQ65" s="5"/>
      <c r="DSR65" s="5"/>
      <c r="DSS65" s="5"/>
      <c r="DST65" s="5"/>
      <c r="DSU65" s="5"/>
      <c r="DSV65" s="5"/>
      <c r="DSW65" s="5"/>
      <c r="DSX65" s="5"/>
      <c r="DSY65" s="5"/>
      <c r="DSZ65" s="5"/>
      <c r="DTA65" s="5"/>
      <c r="DTB65" s="5"/>
      <c r="DTC65" s="5"/>
      <c r="DTD65" s="5"/>
      <c r="DTE65" s="5"/>
      <c r="DTF65" s="5"/>
      <c r="DTG65" s="5"/>
      <c r="DTH65" s="5"/>
      <c r="DTI65" s="5"/>
      <c r="DTJ65" s="5"/>
      <c r="DTK65" s="5"/>
      <c r="DTL65" s="5"/>
      <c r="DTM65" s="5"/>
      <c r="DTN65" s="5"/>
      <c r="DTO65" s="5"/>
      <c r="DTP65" s="5"/>
      <c r="DTQ65" s="5"/>
      <c r="DTR65" s="5"/>
      <c r="DTS65" s="5"/>
      <c r="DTT65" s="5"/>
      <c r="DTU65" s="5"/>
      <c r="DTV65" s="5"/>
      <c r="DTW65" s="5"/>
      <c r="DTX65" s="5"/>
      <c r="DTY65" s="5"/>
      <c r="DTZ65" s="5"/>
      <c r="DUA65" s="5"/>
      <c r="DUB65" s="5"/>
      <c r="DUC65" s="5"/>
      <c r="DUD65" s="5"/>
      <c r="DUE65" s="5"/>
      <c r="DUF65" s="5"/>
      <c r="DUG65" s="5"/>
      <c r="DUH65" s="5"/>
      <c r="DUI65" s="5"/>
      <c r="DUJ65" s="5"/>
      <c r="DUK65" s="5"/>
      <c r="DUL65" s="5"/>
      <c r="DUM65" s="5"/>
      <c r="DUN65" s="5"/>
      <c r="DUO65" s="5"/>
      <c r="DUP65" s="5"/>
      <c r="DUQ65" s="5"/>
      <c r="DUR65" s="5"/>
      <c r="DUS65" s="5"/>
      <c r="DUT65" s="5"/>
      <c r="DUU65" s="5"/>
      <c r="DUV65" s="5"/>
      <c r="DUW65" s="5"/>
      <c r="DUX65" s="5"/>
      <c r="DUY65" s="5"/>
      <c r="DUZ65" s="5"/>
      <c r="DVA65" s="5"/>
      <c r="DVB65" s="5"/>
      <c r="DVC65" s="5"/>
      <c r="DVD65" s="5"/>
      <c r="DVE65" s="5"/>
      <c r="DVF65" s="5"/>
      <c r="DVG65" s="5"/>
      <c r="DVH65" s="5"/>
      <c r="DVI65" s="5"/>
      <c r="DVJ65" s="5"/>
      <c r="DVK65" s="5"/>
      <c r="DVL65" s="5"/>
      <c r="DVM65" s="5"/>
      <c r="DVN65" s="5"/>
      <c r="DVO65" s="5"/>
      <c r="DVP65" s="5"/>
      <c r="DVQ65" s="5"/>
      <c r="DVR65" s="5"/>
      <c r="DVS65" s="5"/>
      <c r="DVT65" s="5"/>
      <c r="DVU65" s="5"/>
      <c r="DVV65" s="5"/>
      <c r="DVW65" s="5"/>
      <c r="DVX65" s="5"/>
      <c r="DVY65" s="5"/>
      <c r="DVZ65" s="5"/>
      <c r="DWA65" s="5"/>
      <c r="DWB65" s="5"/>
      <c r="DWC65" s="5"/>
      <c r="DWD65" s="5"/>
      <c r="DWE65" s="5"/>
      <c r="DWF65" s="5"/>
      <c r="DWG65" s="5"/>
      <c r="DWH65" s="5"/>
      <c r="DWI65" s="5"/>
      <c r="DWJ65" s="5"/>
      <c r="DWK65" s="5"/>
      <c r="DWL65" s="5"/>
      <c r="DWM65" s="5"/>
      <c r="DWN65" s="5"/>
      <c r="DWO65" s="5"/>
      <c r="DWP65" s="5"/>
      <c r="DWQ65" s="5"/>
      <c r="DWR65" s="5"/>
      <c r="DWS65" s="5"/>
      <c r="DWT65" s="5"/>
      <c r="DWU65" s="5"/>
      <c r="DWV65" s="5"/>
      <c r="DWW65" s="5"/>
      <c r="DWX65" s="5"/>
      <c r="DWY65" s="5"/>
      <c r="DWZ65" s="5"/>
      <c r="DXA65" s="5"/>
      <c r="DXB65" s="5"/>
      <c r="DXC65" s="5"/>
      <c r="DXD65" s="5"/>
      <c r="DXE65" s="5"/>
      <c r="DXF65" s="5"/>
      <c r="DXG65" s="5"/>
      <c r="DXH65" s="5"/>
      <c r="DXI65" s="5"/>
      <c r="DXJ65" s="5"/>
      <c r="DXK65" s="5"/>
      <c r="DXL65" s="5"/>
      <c r="DXM65" s="5"/>
      <c r="DXN65" s="5"/>
      <c r="DXO65" s="5"/>
      <c r="DXP65" s="5"/>
      <c r="DXQ65" s="5"/>
      <c r="DXR65" s="5"/>
      <c r="DXS65" s="5"/>
      <c r="DXT65" s="5"/>
      <c r="DXU65" s="5"/>
      <c r="DXV65" s="5"/>
      <c r="DXW65" s="5"/>
      <c r="DXX65" s="5"/>
      <c r="DXY65" s="5"/>
      <c r="DXZ65" s="5"/>
      <c r="DYA65" s="5"/>
      <c r="DYB65" s="5"/>
      <c r="DYC65" s="5"/>
      <c r="DYD65" s="5"/>
      <c r="DYE65" s="5"/>
      <c r="DYF65" s="5"/>
      <c r="DYG65" s="5"/>
      <c r="DYH65" s="5"/>
      <c r="DYI65" s="5"/>
      <c r="DYJ65" s="5"/>
      <c r="DYK65" s="5"/>
      <c r="DYL65" s="5"/>
      <c r="DYM65" s="5"/>
      <c r="DYN65" s="5"/>
      <c r="DYO65" s="5"/>
      <c r="DYP65" s="5"/>
      <c r="DYQ65" s="5"/>
      <c r="DYR65" s="5"/>
      <c r="DYS65" s="5"/>
      <c r="DYT65" s="5"/>
      <c r="DYU65" s="5"/>
      <c r="DYV65" s="5"/>
      <c r="DYW65" s="5"/>
      <c r="DYX65" s="5"/>
      <c r="DYY65" s="5"/>
      <c r="DYZ65" s="5"/>
      <c r="DZA65" s="5"/>
      <c r="DZB65" s="5"/>
      <c r="DZC65" s="5"/>
      <c r="DZD65" s="5"/>
      <c r="DZE65" s="5"/>
      <c r="DZF65" s="5"/>
      <c r="DZG65" s="5"/>
      <c r="DZH65" s="5"/>
      <c r="DZI65" s="5"/>
      <c r="DZJ65" s="5"/>
      <c r="DZK65" s="5"/>
      <c r="DZL65" s="5"/>
      <c r="DZM65" s="5"/>
      <c r="DZN65" s="5"/>
      <c r="DZO65" s="5"/>
      <c r="DZP65" s="5"/>
      <c r="DZQ65" s="5"/>
      <c r="DZR65" s="5"/>
      <c r="DZS65" s="5"/>
      <c r="DZT65" s="5"/>
      <c r="DZU65" s="5"/>
      <c r="DZV65" s="5"/>
      <c r="DZW65" s="5"/>
      <c r="DZX65" s="5"/>
      <c r="DZY65" s="5"/>
      <c r="DZZ65" s="5"/>
      <c r="EAA65" s="5"/>
      <c r="EAB65" s="5"/>
      <c r="EAC65" s="5"/>
      <c r="EAD65" s="5"/>
      <c r="EAE65" s="5"/>
      <c r="EAF65" s="5"/>
      <c r="EAG65" s="5"/>
      <c r="EAH65" s="5"/>
      <c r="EAI65" s="5"/>
      <c r="EAJ65" s="5"/>
      <c r="EAK65" s="5"/>
      <c r="EAL65" s="5"/>
      <c r="EAM65" s="5"/>
      <c r="EAN65" s="5"/>
      <c r="EAO65" s="5"/>
      <c r="EAP65" s="5"/>
      <c r="EAQ65" s="5"/>
      <c r="EAR65" s="5"/>
      <c r="EAS65" s="5"/>
      <c r="EAT65" s="5"/>
      <c r="EAU65" s="5"/>
      <c r="EAV65" s="5"/>
      <c r="EAW65" s="5"/>
      <c r="EAX65" s="5"/>
      <c r="EAY65" s="5"/>
      <c r="EAZ65" s="5"/>
      <c r="EBA65" s="5"/>
      <c r="EBB65" s="5"/>
      <c r="EBC65" s="5"/>
      <c r="EBD65" s="5"/>
      <c r="EBE65" s="5"/>
      <c r="EBF65" s="5"/>
      <c r="EBG65" s="5"/>
      <c r="EBH65" s="5"/>
      <c r="EBI65" s="5"/>
      <c r="EBJ65" s="5"/>
      <c r="EBK65" s="5"/>
      <c r="EBL65" s="5"/>
      <c r="EBM65" s="5"/>
      <c r="EBN65" s="5"/>
      <c r="EBO65" s="5"/>
      <c r="EBP65" s="5"/>
      <c r="EBQ65" s="5"/>
      <c r="EBR65" s="5"/>
      <c r="EBS65" s="5"/>
      <c r="EBT65" s="5"/>
      <c r="EBU65" s="5"/>
      <c r="EBV65" s="5"/>
      <c r="EBW65" s="5"/>
      <c r="EBX65" s="5"/>
      <c r="EBY65" s="5"/>
      <c r="EBZ65" s="5"/>
      <c r="ECA65" s="5"/>
      <c r="ECB65" s="5"/>
      <c r="ECC65" s="5"/>
      <c r="ECD65" s="5"/>
      <c r="ECE65" s="5"/>
      <c r="ECF65" s="5"/>
      <c r="ECG65" s="5"/>
      <c r="ECH65" s="5"/>
      <c r="ECI65" s="5"/>
      <c r="ECJ65" s="5"/>
      <c r="ECK65" s="5"/>
      <c r="ECL65" s="5"/>
      <c r="ECM65" s="5"/>
      <c r="ECN65" s="5"/>
      <c r="ECO65" s="5"/>
      <c r="ECP65" s="5"/>
      <c r="ECQ65" s="5"/>
      <c r="ECR65" s="5"/>
      <c r="ECS65" s="5"/>
      <c r="ECT65" s="5"/>
      <c r="ECU65" s="5"/>
      <c r="ECV65" s="5"/>
      <c r="ECW65" s="5"/>
      <c r="ECX65" s="5"/>
      <c r="ECY65" s="5"/>
      <c r="ECZ65" s="5"/>
      <c r="EDA65" s="5"/>
      <c r="EDB65" s="5"/>
      <c r="EDC65" s="5"/>
      <c r="EDD65" s="5"/>
      <c r="EDE65" s="5"/>
      <c r="EDF65" s="5"/>
      <c r="EDG65" s="5"/>
      <c r="EDH65" s="5"/>
      <c r="EDI65" s="5"/>
      <c r="EDJ65" s="5"/>
      <c r="EDK65" s="5"/>
      <c r="EDL65" s="5"/>
      <c r="EDM65" s="5"/>
      <c r="EDN65" s="5"/>
      <c r="EDO65" s="5"/>
      <c r="EDP65" s="5"/>
      <c r="EDQ65" s="5"/>
      <c r="EDR65" s="5"/>
      <c r="EDS65" s="5"/>
      <c r="EDT65" s="5"/>
      <c r="EDU65" s="5"/>
      <c r="EDV65" s="5"/>
      <c r="EDW65" s="5"/>
      <c r="EDX65" s="5"/>
      <c r="EDY65" s="5"/>
      <c r="EDZ65" s="5"/>
      <c r="EEA65" s="5"/>
      <c r="EEB65" s="5"/>
      <c r="EEC65" s="5"/>
      <c r="EED65" s="5"/>
      <c r="EEE65" s="5"/>
      <c r="EEF65" s="5"/>
      <c r="EEG65" s="5"/>
      <c r="EEH65" s="5"/>
      <c r="EEI65" s="5"/>
      <c r="EEJ65" s="5"/>
      <c r="EEK65" s="5"/>
      <c r="EEL65" s="5"/>
      <c r="EEM65" s="5"/>
      <c r="EEN65" s="5"/>
      <c r="EEO65" s="5"/>
      <c r="EEP65" s="5"/>
      <c r="EEQ65" s="5"/>
      <c r="EER65" s="5"/>
      <c r="EES65" s="5"/>
      <c r="EET65" s="5"/>
      <c r="EEU65" s="5"/>
      <c r="EEV65" s="5"/>
      <c r="EEW65" s="5"/>
      <c r="EEX65" s="5"/>
      <c r="EEY65" s="5"/>
      <c r="EEZ65" s="5"/>
      <c r="EFA65" s="5"/>
      <c r="EFB65" s="5"/>
      <c r="EFC65" s="5"/>
      <c r="EFD65" s="5"/>
      <c r="EFE65" s="5"/>
      <c r="EFF65" s="5"/>
      <c r="EFG65" s="5"/>
      <c r="EFH65" s="5"/>
      <c r="EFI65" s="5"/>
      <c r="EFJ65" s="5"/>
      <c r="EFK65" s="5"/>
      <c r="EFL65" s="5"/>
      <c r="EFM65" s="5"/>
      <c r="EFN65" s="5"/>
      <c r="EFO65" s="5"/>
      <c r="EFP65" s="5"/>
      <c r="EFQ65" s="5"/>
      <c r="EFR65" s="5"/>
      <c r="EFS65" s="5"/>
      <c r="EFT65" s="5"/>
      <c r="EFU65" s="5"/>
      <c r="EFV65" s="5"/>
      <c r="EFW65" s="5"/>
      <c r="EFX65" s="5"/>
      <c r="EFY65" s="5"/>
      <c r="EFZ65" s="5"/>
      <c r="EGA65" s="5"/>
      <c r="EGB65" s="5"/>
      <c r="EGC65" s="5"/>
      <c r="EGD65" s="5"/>
      <c r="EGE65" s="5"/>
      <c r="EGF65" s="5"/>
      <c r="EGG65" s="5"/>
      <c r="EGH65" s="5"/>
      <c r="EGI65" s="5"/>
      <c r="EGJ65" s="5"/>
      <c r="EGK65" s="5"/>
      <c r="EGL65" s="5"/>
      <c r="EGM65" s="5"/>
      <c r="EGN65" s="5"/>
      <c r="EGO65" s="5"/>
      <c r="EGP65" s="5"/>
      <c r="EGQ65" s="5"/>
      <c r="EGR65" s="5"/>
      <c r="EGS65" s="5"/>
      <c r="EGT65" s="5"/>
      <c r="EGU65" s="5"/>
      <c r="EGV65" s="5"/>
      <c r="EGW65" s="5"/>
      <c r="EGX65" s="5"/>
      <c r="EGY65" s="5"/>
      <c r="EGZ65" s="5"/>
      <c r="EHA65" s="5"/>
      <c r="EHB65" s="5"/>
      <c r="EHC65" s="5"/>
      <c r="EHD65" s="5"/>
      <c r="EHE65" s="5"/>
      <c r="EHF65" s="5"/>
      <c r="EHG65" s="5"/>
      <c r="EHH65" s="5"/>
      <c r="EHI65" s="5"/>
      <c r="EHJ65" s="5"/>
      <c r="EHK65" s="5"/>
      <c r="EHL65" s="5"/>
      <c r="EHM65" s="5"/>
      <c r="EHN65" s="5"/>
      <c r="EHO65" s="5"/>
      <c r="EHP65" s="5"/>
      <c r="EHQ65" s="5"/>
      <c r="EHR65" s="5"/>
      <c r="EHS65" s="5"/>
      <c r="EHT65" s="5"/>
      <c r="EHU65" s="5"/>
      <c r="EHV65" s="5"/>
      <c r="EHW65" s="5"/>
      <c r="EHX65" s="5"/>
      <c r="EHY65" s="5"/>
      <c r="EHZ65" s="5"/>
      <c r="EIA65" s="5"/>
      <c r="EIB65" s="5"/>
      <c r="EIC65" s="5"/>
      <c r="EID65" s="5"/>
      <c r="EIE65" s="5"/>
      <c r="EIF65" s="5"/>
      <c r="EIG65" s="5"/>
      <c r="EIH65" s="5"/>
      <c r="EII65" s="5"/>
      <c r="EIJ65" s="5"/>
      <c r="EIK65" s="5"/>
      <c r="EIL65" s="5"/>
      <c r="EIM65" s="5"/>
      <c r="EIN65" s="5"/>
      <c r="EIO65" s="5"/>
      <c r="EIP65" s="5"/>
      <c r="EIQ65" s="5"/>
      <c r="EIR65" s="5"/>
      <c r="EIS65" s="5"/>
      <c r="EIT65" s="5"/>
      <c r="EIU65" s="5"/>
      <c r="EIV65" s="5"/>
      <c r="EIW65" s="5"/>
      <c r="EIX65" s="5"/>
      <c r="EIY65" s="5"/>
      <c r="EIZ65" s="5"/>
      <c r="EJA65" s="5"/>
      <c r="EJB65" s="5"/>
      <c r="EJC65" s="5"/>
      <c r="EJD65" s="5"/>
      <c r="EJE65" s="5"/>
      <c r="EJF65" s="5"/>
      <c r="EJG65" s="5"/>
      <c r="EJH65" s="5"/>
      <c r="EJI65" s="5"/>
      <c r="EJJ65" s="5"/>
      <c r="EJK65" s="5"/>
      <c r="EJL65" s="5"/>
      <c r="EJM65" s="5"/>
      <c r="EJN65" s="5"/>
      <c r="EJO65" s="5"/>
      <c r="EJP65" s="5"/>
      <c r="EJQ65" s="5"/>
      <c r="EJR65" s="5"/>
      <c r="EJS65" s="5"/>
      <c r="EJT65" s="5"/>
      <c r="EJU65" s="5"/>
      <c r="EJV65" s="5"/>
      <c r="EJW65" s="5"/>
      <c r="EJX65" s="5"/>
      <c r="EJY65" s="5"/>
      <c r="EJZ65" s="5"/>
      <c r="EKA65" s="5"/>
      <c r="EKB65" s="5"/>
      <c r="EKC65" s="5"/>
      <c r="EKD65" s="5"/>
      <c r="EKE65" s="5"/>
      <c r="EKF65" s="5"/>
      <c r="EKG65" s="5"/>
      <c r="EKH65" s="5"/>
      <c r="EKI65" s="5"/>
      <c r="EKJ65" s="5"/>
      <c r="EKK65" s="5"/>
      <c r="EKL65" s="5"/>
      <c r="EKM65" s="5"/>
      <c r="EKN65" s="5"/>
      <c r="EKO65" s="5"/>
      <c r="EKP65" s="5"/>
      <c r="EKQ65" s="5"/>
      <c r="EKR65" s="5"/>
      <c r="EKS65" s="5"/>
      <c r="EKT65" s="5"/>
      <c r="EKU65" s="5"/>
      <c r="EKV65" s="5"/>
      <c r="EKW65" s="5"/>
      <c r="EKX65" s="5"/>
      <c r="EKY65" s="5"/>
      <c r="EKZ65" s="5"/>
      <c r="ELA65" s="5"/>
      <c r="ELB65" s="5"/>
      <c r="ELC65" s="5"/>
      <c r="ELD65" s="5"/>
      <c r="ELE65" s="5"/>
      <c r="ELF65" s="5"/>
      <c r="ELG65" s="5"/>
      <c r="ELH65" s="5"/>
      <c r="ELI65" s="5"/>
      <c r="ELJ65" s="5"/>
      <c r="ELK65" s="5"/>
      <c r="ELL65" s="5"/>
      <c r="ELM65" s="5"/>
      <c r="ELN65" s="5"/>
      <c r="ELO65" s="5"/>
      <c r="ELP65" s="5"/>
      <c r="ELQ65" s="5"/>
      <c r="ELR65" s="5"/>
      <c r="ELS65" s="5"/>
      <c r="ELT65" s="5"/>
      <c r="ELU65" s="5"/>
      <c r="ELV65" s="5"/>
      <c r="ELW65" s="5"/>
      <c r="ELX65" s="5"/>
      <c r="ELY65" s="5"/>
      <c r="ELZ65" s="5"/>
      <c r="EMA65" s="5"/>
      <c r="EMB65" s="5"/>
      <c r="EMC65" s="5"/>
      <c r="EMD65" s="5"/>
      <c r="EME65" s="5"/>
      <c r="EMF65" s="5"/>
      <c r="EMG65" s="5"/>
      <c r="EMH65" s="5"/>
      <c r="EMI65" s="5"/>
      <c r="EMJ65" s="5"/>
      <c r="EMK65" s="5"/>
      <c r="EML65" s="5"/>
      <c r="EMM65" s="5"/>
      <c r="EMN65" s="5"/>
      <c r="EMO65" s="5"/>
      <c r="EMP65" s="5"/>
      <c r="EMQ65" s="5"/>
      <c r="EMR65" s="5"/>
      <c r="EMS65" s="5"/>
      <c r="EMT65" s="5"/>
      <c r="EMU65" s="5"/>
      <c r="EMV65" s="5"/>
      <c r="EMW65" s="5"/>
      <c r="EMX65" s="5"/>
      <c r="EMY65" s="5"/>
      <c r="EMZ65" s="5"/>
      <c r="ENA65" s="5"/>
      <c r="ENB65" s="5"/>
      <c r="ENC65" s="5"/>
      <c r="END65" s="5"/>
      <c r="ENE65" s="5"/>
      <c r="ENF65" s="5"/>
      <c r="ENG65" s="5"/>
      <c r="ENH65" s="5"/>
      <c r="ENI65" s="5"/>
      <c r="ENJ65" s="5"/>
      <c r="ENK65" s="5"/>
      <c r="ENL65" s="5"/>
      <c r="ENM65" s="5"/>
      <c r="ENN65" s="5"/>
      <c r="ENO65" s="5"/>
      <c r="ENP65" s="5"/>
      <c r="ENQ65" s="5"/>
      <c r="ENR65" s="5"/>
      <c r="ENS65" s="5"/>
      <c r="ENT65" s="5"/>
      <c r="ENU65" s="5"/>
      <c r="ENV65" s="5"/>
      <c r="ENW65" s="5"/>
      <c r="ENX65" s="5"/>
      <c r="ENY65" s="5"/>
      <c r="ENZ65" s="5"/>
      <c r="EOA65" s="5"/>
      <c r="EOB65" s="5"/>
      <c r="EOC65" s="5"/>
      <c r="EOD65" s="5"/>
      <c r="EOE65" s="5"/>
      <c r="EOF65" s="5"/>
      <c r="EOG65" s="5"/>
      <c r="EOH65" s="5"/>
      <c r="EOI65" s="5"/>
      <c r="EOJ65" s="5"/>
      <c r="EOK65" s="5"/>
      <c r="EOL65" s="5"/>
      <c r="EOM65" s="5"/>
      <c r="EON65" s="5"/>
      <c r="EOO65" s="5"/>
      <c r="EOP65" s="5"/>
      <c r="EOQ65" s="5"/>
      <c r="EOR65" s="5"/>
      <c r="EOS65" s="5"/>
      <c r="EOT65" s="5"/>
      <c r="EOU65" s="5"/>
      <c r="EOV65" s="5"/>
      <c r="EOW65" s="5"/>
      <c r="EOX65" s="5"/>
      <c r="EOY65" s="5"/>
      <c r="EOZ65" s="5"/>
      <c r="EPA65" s="5"/>
      <c r="EPB65" s="5"/>
      <c r="EPC65" s="5"/>
      <c r="EPD65" s="5"/>
      <c r="EPE65" s="5"/>
      <c r="EPF65" s="5"/>
      <c r="EPG65" s="5"/>
      <c r="EPH65" s="5"/>
      <c r="EPI65" s="5"/>
      <c r="EPJ65" s="5"/>
      <c r="EPK65" s="5"/>
      <c r="EPL65" s="5"/>
      <c r="EPM65" s="5"/>
      <c r="EPN65" s="5"/>
      <c r="EPO65" s="5"/>
      <c r="EPP65" s="5"/>
      <c r="EPQ65" s="5"/>
      <c r="EPR65" s="5"/>
      <c r="EPS65" s="5"/>
      <c r="EPT65" s="5"/>
      <c r="EPU65" s="5"/>
      <c r="EPV65" s="5"/>
      <c r="EPW65" s="5"/>
      <c r="EPX65" s="5"/>
      <c r="EPY65" s="5"/>
      <c r="EPZ65" s="5"/>
      <c r="EQA65" s="5"/>
      <c r="EQB65" s="5"/>
      <c r="EQC65" s="5"/>
      <c r="EQD65" s="5"/>
      <c r="EQE65" s="5"/>
      <c r="EQF65" s="5"/>
      <c r="EQG65" s="5"/>
      <c r="EQH65" s="5"/>
      <c r="EQI65" s="5"/>
      <c r="EQJ65" s="5"/>
      <c r="EQK65" s="5"/>
      <c r="EQL65" s="5"/>
      <c r="EQM65" s="5"/>
      <c r="EQN65" s="5"/>
      <c r="EQO65" s="5"/>
      <c r="EQP65" s="5"/>
      <c r="EQQ65" s="5"/>
      <c r="EQR65" s="5"/>
      <c r="EQS65" s="5"/>
      <c r="EQT65" s="5"/>
      <c r="EQU65" s="5"/>
      <c r="EQV65" s="5"/>
      <c r="EQW65" s="5"/>
      <c r="EQX65" s="5"/>
      <c r="EQY65" s="5"/>
      <c r="EQZ65" s="5"/>
      <c r="ERA65" s="5"/>
      <c r="ERB65" s="5"/>
      <c r="ERC65" s="5"/>
      <c r="ERD65" s="5"/>
      <c r="ERE65" s="5"/>
      <c r="ERF65" s="5"/>
      <c r="ERG65" s="5"/>
      <c r="ERH65" s="5"/>
      <c r="ERI65" s="5"/>
      <c r="ERJ65" s="5"/>
      <c r="ERK65" s="5"/>
      <c r="ERL65" s="5"/>
      <c r="ERM65" s="5"/>
      <c r="ERN65" s="5"/>
      <c r="ERO65" s="5"/>
      <c r="ERP65" s="5"/>
      <c r="ERQ65" s="5"/>
      <c r="ERR65" s="5"/>
      <c r="ERS65" s="5"/>
      <c r="ERT65" s="5"/>
      <c r="ERU65" s="5"/>
      <c r="ERV65" s="5"/>
      <c r="ERW65" s="5"/>
      <c r="ERX65" s="5"/>
      <c r="ERY65" s="5"/>
      <c r="ERZ65" s="5"/>
      <c r="ESA65" s="5"/>
      <c r="ESB65" s="5"/>
      <c r="ESC65" s="5"/>
      <c r="ESD65" s="5"/>
      <c r="ESE65" s="5"/>
      <c r="ESF65" s="5"/>
      <c r="ESG65" s="5"/>
      <c r="ESH65" s="5"/>
      <c r="ESI65" s="5"/>
      <c r="ESJ65" s="5"/>
      <c r="ESK65" s="5"/>
      <c r="ESL65" s="5"/>
      <c r="ESM65" s="5"/>
      <c r="ESN65" s="5"/>
      <c r="ESO65" s="5"/>
      <c r="ESP65" s="5"/>
      <c r="ESQ65" s="5"/>
      <c r="ESR65" s="5"/>
      <c r="ESS65" s="5"/>
      <c r="EST65" s="5"/>
      <c r="ESU65" s="5"/>
      <c r="ESV65" s="5"/>
      <c r="ESW65" s="5"/>
      <c r="ESX65" s="5"/>
      <c r="ESY65" s="5"/>
      <c r="ESZ65" s="5"/>
      <c r="ETA65" s="5"/>
      <c r="ETB65" s="5"/>
      <c r="ETC65" s="5"/>
      <c r="ETD65" s="5"/>
      <c r="ETE65" s="5"/>
      <c r="ETF65" s="5"/>
      <c r="ETG65" s="5"/>
      <c r="ETH65" s="5"/>
      <c r="ETI65" s="5"/>
      <c r="ETJ65" s="5"/>
      <c r="ETK65" s="5"/>
      <c r="ETL65" s="5"/>
      <c r="ETM65" s="5"/>
      <c r="ETN65" s="5"/>
      <c r="ETO65" s="5"/>
      <c r="ETP65" s="5"/>
      <c r="ETQ65" s="5"/>
      <c r="ETR65" s="5"/>
      <c r="ETS65" s="5"/>
      <c r="ETT65" s="5"/>
      <c r="ETU65" s="5"/>
      <c r="ETV65" s="5"/>
      <c r="ETW65" s="5"/>
      <c r="ETX65" s="5"/>
      <c r="ETY65" s="5"/>
      <c r="ETZ65" s="5"/>
      <c r="EUA65" s="5"/>
      <c r="EUB65" s="5"/>
      <c r="EUC65" s="5"/>
      <c r="EUD65" s="5"/>
      <c r="EUE65" s="5"/>
      <c r="EUF65" s="5"/>
      <c r="EUG65" s="5"/>
      <c r="EUH65" s="5"/>
      <c r="EUI65" s="5"/>
      <c r="EUJ65" s="5"/>
      <c r="EUK65" s="5"/>
      <c r="EUL65" s="5"/>
      <c r="EUM65" s="5"/>
      <c r="EUN65" s="5"/>
      <c r="EUO65" s="5"/>
      <c r="EUP65" s="5"/>
      <c r="EUQ65" s="5"/>
      <c r="EUR65" s="5"/>
      <c r="EUS65" s="5"/>
      <c r="EUT65" s="5"/>
      <c r="EUU65" s="5"/>
      <c r="EUV65" s="5"/>
      <c r="EUW65" s="5"/>
      <c r="EUX65" s="5"/>
      <c r="EUY65" s="5"/>
      <c r="EUZ65" s="5"/>
      <c r="EVA65" s="5"/>
      <c r="EVB65" s="5"/>
      <c r="EVC65" s="5"/>
      <c r="EVD65" s="5"/>
      <c r="EVE65" s="5"/>
      <c r="EVF65" s="5"/>
      <c r="EVG65" s="5"/>
      <c r="EVH65" s="5"/>
      <c r="EVI65" s="5"/>
      <c r="EVJ65" s="5"/>
      <c r="EVK65" s="5"/>
      <c r="EVL65" s="5"/>
      <c r="EVM65" s="5"/>
      <c r="EVN65" s="5"/>
      <c r="EVO65" s="5"/>
      <c r="EVP65" s="5"/>
      <c r="EVQ65" s="5"/>
      <c r="EVR65" s="5"/>
      <c r="EVS65" s="5"/>
      <c r="EVT65" s="5"/>
      <c r="EVU65" s="5"/>
      <c r="EVV65" s="5"/>
      <c r="EVW65" s="5"/>
      <c r="EVX65" s="5"/>
      <c r="EVY65" s="5"/>
      <c r="EVZ65" s="5"/>
      <c r="EWA65" s="5"/>
      <c r="EWB65" s="5"/>
      <c r="EWC65" s="5"/>
      <c r="EWD65" s="5"/>
      <c r="EWE65" s="5"/>
      <c r="EWF65" s="5"/>
      <c r="EWG65" s="5"/>
      <c r="EWH65" s="5"/>
      <c r="EWI65" s="5"/>
      <c r="EWJ65" s="5"/>
      <c r="EWK65" s="5"/>
      <c r="EWL65" s="5"/>
      <c r="EWM65" s="5"/>
      <c r="EWN65" s="5"/>
      <c r="EWO65" s="5"/>
      <c r="EWP65" s="5"/>
      <c r="EWQ65" s="5"/>
      <c r="EWR65" s="5"/>
      <c r="EWS65" s="5"/>
      <c r="EWT65" s="5"/>
      <c r="EWU65" s="5"/>
      <c r="EWV65" s="5"/>
      <c r="EWW65" s="5"/>
      <c r="EWX65" s="5"/>
      <c r="EWY65" s="5"/>
      <c r="EWZ65" s="5"/>
      <c r="EXA65" s="5"/>
      <c r="EXB65" s="5"/>
      <c r="EXC65" s="5"/>
      <c r="EXD65" s="5"/>
      <c r="EXE65" s="5"/>
      <c r="EXF65" s="5"/>
      <c r="EXG65" s="5"/>
      <c r="EXH65" s="5"/>
      <c r="EXI65" s="5"/>
      <c r="EXJ65" s="5"/>
      <c r="EXK65" s="5"/>
      <c r="EXL65" s="5"/>
      <c r="EXM65" s="5"/>
      <c r="EXN65" s="5"/>
      <c r="EXO65" s="5"/>
      <c r="EXP65" s="5"/>
      <c r="EXQ65" s="5"/>
      <c r="EXR65" s="5"/>
      <c r="EXS65" s="5"/>
      <c r="EXT65" s="5"/>
      <c r="EXU65" s="5"/>
      <c r="EXV65" s="5"/>
      <c r="EXW65" s="5"/>
      <c r="EXX65" s="5"/>
      <c r="EXY65" s="5"/>
      <c r="EXZ65" s="5"/>
      <c r="EYA65" s="5"/>
      <c r="EYB65" s="5"/>
      <c r="EYC65" s="5"/>
      <c r="EYD65" s="5"/>
      <c r="EYE65" s="5"/>
      <c r="EYF65" s="5"/>
      <c r="EYG65" s="5"/>
      <c r="EYH65" s="5"/>
      <c r="EYI65" s="5"/>
      <c r="EYJ65" s="5"/>
      <c r="EYK65" s="5"/>
      <c r="EYL65" s="5"/>
      <c r="EYM65" s="5"/>
      <c r="EYN65" s="5"/>
      <c r="EYO65" s="5"/>
      <c r="EYP65" s="5"/>
      <c r="EYQ65" s="5"/>
      <c r="EYR65" s="5"/>
      <c r="EYS65" s="5"/>
      <c r="EYT65" s="5"/>
      <c r="EYU65" s="5"/>
      <c r="EYV65" s="5"/>
      <c r="EYW65" s="5"/>
      <c r="EYX65" s="5"/>
      <c r="EYY65" s="5"/>
      <c r="EYZ65" s="5"/>
      <c r="EZA65" s="5"/>
      <c r="EZB65" s="5"/>
      <c r="EZC65" s="5"/>
      <c r="EZD65" s="5"/>
      <c r="EZE65" s="5"/>
      <c r="EZF65" s="5"/>
      <c r="EZG65" s="5"/>
      <c r="EZH65" s="5"/>
      <c r="EZI65" s="5"/>
      <c r="EZJ65" s="5"/>
      <c r="EZK65" s="5"/>
      <c r="EZL65" s="5"/>
      <c r="EZM65" s="5"/>
      <c r="EZN65" s="5"/>
      <c r="EZO65" s="5"/>
      <c r="EZP65" s="5"/>
      <c r="EZQ65" s="5"/>
      <c r="EZR65" s="5"/>
      <c r="EZS65" s="5"/>
      <c r="EZT65" s="5"/>
      <c r="EZU65" s="5"/>
      <c r="EZV65" s="5"/>
      <c r="EZW65" s="5"/>
      <c r="EZX65" s="5"/>
      <c r="EZY65" s="5"/>
      <c r="EZZ65" s="5"/>
      <c r="FAA65" s="5"/>
      <c r="FAB65" s="5"/>
      <c r="FAC65" s="5"/>
      <c r="FAD65" s="5"/>
      <c r="FAE65" s="5"/>
      <c r="FAF65" s="5"/>
      <c r="FAG65" s="5"/>
      <c r="FAH65" s="5"/>
      <c r="FAI65" s="5"/>
      <c r="FAJ65" s="5"/>
      <c r="FAK65" s="5"/>
      <c r="FAL65" s="5"/>
      <c r="FAM65" s="5"/>
      <c r="FAN65" s="5"/>
      <c r="FAO65" s="5"/>
      <c r="FAP65" s="5"/>
      <c r="FAQ65" s="5"/>
      <c r="FAR65" s="5"/>
      <c r="FAS65" s="5"/>
      <c r="FAT65" s="5"/>
      <c r="FAU65" s="5"/>
      <c r="FAV65" s="5"/>
      <c r="FAW65" s="5"/>
      <c r="FAX65" s="5"/>
      <c r="FAY65" s="5"/>
      <c r="FAZ65" s="5"/>
      <c r="FBA65" s="5"/>
      <c r="FBB65" s="5"/>
      <c r="FBC65" s="5"/>
      <c r="FBD65" s="5"/>
      <c r="FBE65" s="5"/>
      <c r="FBF65" s="5"/>
      <c r="FBG65" s="5"/>
      <c r="FBH65" s="5"/>
      <c r="FBI65" s="5"/>
      <c r="FBJ65" s="5"/>
      <c r="FBK65" s="5"/>
      <c r="FBL65" s="5"/>
      <c r="FBM65" s="5"/>
      <c r="FBN65" s="5"/>
      <c r="FBO65" s="5"/>
      <c r="FBP65" s="5"/>
      <c r="FBQ65" s="5"/>
      <c r="FBR65" s="5"/>
      <c r="FBS65" s="5"/>
      <c r="FBT65" s="5"/>
      <c r="FBU65" s="5"/>
      <c r="FBV65" s="5"/>
      <c r="FBW65" s="5"/>
      <c r="FBX65" s="5"/>
      <c r="FBY65" s="5"/>
      <c r="FBZ65" s="5"/>
      <c r="FCA65" s="5"/>
      <c r="FCB65" s="5"/>
      <c r="FCC65" s="5"/>
      <c r="FCD65" s="5"/>
      <c r="FCE65" s="5"/>
      <c r="FCF65" s="5"/>
      <c r="FCG65" s="5"/>
      <c r="FCH65" s="5"/>
      <c r="FCI65" s="5"/>
      <c r="FCJ65" s="5"/>
      <c r="FCK65" s="5"/>
      <c r="FCL65" s="5"/>
      <c r="FCM65" s="5"/>
      <c r="FCN65" s="5"/>
      <c r="FCO65" s="5"/>
      <c r="FCP65" s="5"/>
      <c r="FCQ65" s="5"/>
      <c r="FCR65" s="5"/>
      <c r="FCS65" s="5"/>
      <c r="FCT65" s="5"/>
      <c r="FCU65" s="5"/>
      <c r="FCV65" s="5"/>
      <c r="FCW65" s="5"/>
      <c r="FCX65" s="5"/>
      <c r="FCY65" s="5"/>
      <c r="FCZ65" s="5"/>
      <c r="FDA65" s="5"/>
      <c r="FDB65" s="5"/>
      <c r="FDC65" s="5"/>
      <c r="FDD65" s="5"/>
      <c r="FDE65" s="5"/>
      <c r="FDF65" s="5"/>
      <c r="FDG65" s="5"/>
      <c r="FDH65" s="5"/>
      <c r="FDI65" s="5"/>
      <c r="FDJ65" s="5"/>
      <c r="FDK65" s="5"/>
      <c r="FDL65" s="5"/>
      <c r="FDM65" s="5"/>
      <c r="FDN65" s="5"/>
      <c r="FDO65" s="5"/>
      <c r="FDP65" s="5"/>
      <c r="FDQ65" s="5"/>
      <c r="FDR65" s="5"/>
      <c r="FDS65" s="5"/>
      <c r="FDT65" s="5"/>
      <c r="FDU65" s="5"/>
      <c r="FDV65" s="5"/>
      <c r="FDW65" s="5"/>
      <c r="FDX65" s="5"/>
      <c r="FDY65" s="5"/>
      <c r="FDZ65" s="5"/>
      <c r="FEA65" s="5"/>
      <c r="FEB65" s="5"/>
      <c r="FEC65" s="5"/>
      <c r="FED65" s="5"/>
      <c r="FEE65" s="5"/>
      <c r="FEF65" s="5"/>
      <c r="FEG65" s="5"/>
      <c r="FEH65" s="5"/>
      <c r="FEI65" s="5"/>
      <c r="FEJ65" s="5"/>
      <c r="FEK65" s="5"/>
      <c r="FEL65" s="5"/>
      <c r="FEM65" s="5"/>
      <c r="FEN65" s="5"/>
      <c r="FEO65" s="5"/>
      <c r="FEP65" s="5"/>
      <c r="FEQ65" s="5"/>
      <c r="FER65" s="5"/>
      <c r="FES65" s="5"/>
      <c r="FET65" s="5"/>
      <c r="FEU65" s="5"/>
      <c r="FEV65" s="5"/>
      <c r="FEW65" s="5"/>
      <c r="FEX65" s="5"/>
      <c r="FEY65" s="5"/>
      <c r="FEZ65" s="5"/>
      <c r="FFA65" s="5"/>
      <c r="FFB65" s="5"/>
      <c r="FFC65" s="5"/>
      <c r="FFD65" s="5"/>
      <c r="FFE65" s="5"/>
      <c r="FFF65" s="5"/>
      <c r="FFG65" s="5"/>
      <c r="FFH65" s="5"/>
      <c r="FFI65" s="5"/>
      <c r="FFJ65" s="5"/>
      <c r="FFK65" s="5"/>
      <c r="FFL65" s="5"/>
      <c r="FFM65" s="5"/>
      <c r="FFN65" s="5"/>
      <c r="FFO65" s="5"/>
      <c r="FFP65" s="5"/>
      <c r="FFQ65" s="5"/>
      <c r="FFR65" s="5"/>
      <c r="FFS65" s="5"/>
      <c r="FFT65" s="5"/>
      <c r="FFU65" s="5"/>
      <c r="FFV65" s="5"/>
      <c r="FFW65" s="5"/>
      <c r="FFX65" s="5"/>
      <c r="FFY65" s="5"/>
      <c r="FFZ65" s="5"/>
      <c r="FGA65" s="5"/>
      <c r="FGB65" s="5"/>
      <c r="FGC65" s="5"/>
      <c r="FGD65" s="5"/>
      <c r="FGE65" s="5"/>
      <c r="FGF65" s="5"/>
      <c r="FGG65" s="5"/>
      <c r="FGH65" s="5"/>
      <c r="FGI65" s="5"/>
      <c r="FGJ65" s="5"/>
      <c r="FGK65" s="5"/>
      <c r="FGL65" s="5"/>
      <c r="FGM65" s="5"/>
      <c r="FGN65" s="5"/>
      <c r="FGO65" s="5"/>
      <c r="FGP65" s="5"/>
      <c r="FGQ65" s="5"/>
      <c r="FGR65" s="5"/>
      <c r="FGS65" s="5"/>
      <c r="FGT65" s="5"/>
      <c r="FGU65" s="5"/>
      <c r="FGV65" s="5"/>
      <c r="FGW65" s="5"/>
      <c r="FGX65" s="5"/>
      <c r="FGY65" s="5"/>
      <c r="FGZ65" s="5"/>
      <c r="FHA65" s="5"/>
      <c r="FHB65" s="5"/>
      <c r="FHC65" s="5"/>
      <c r="FHD65" s="5"/>
      <c r="FHE65" s="5"/>
      <c r="FHF65" s="5"/>
      <c r="FHG65" s="5"/>
      <c r="FHH65" s="5"/>
      <c r="FHI65" s="5"/>
      <c r="FHJ65" s="5"/>
      <c r="FHK65" s="5"/>
      <c r="FHL65" s="5"/>
      <c r="FHM65" s="5"/>
      <c r="FHN65" s="5"/>
      <c r="FHO65" s="5"/>
      <c r="FHP65" s="5"/>
      <c r="FHQ65" s="5"/>
      <c r="FHR65" s="5"/>
      <c r="FHS65" s="5"/>
      <c r="FHT65" s="5"/>
      <c r="FHU65" s="5"/>
      <c r="FHV65" s="5"/>
      <c r="FHW65" s="5"/>
      <c r="FHX65" s="5"/>
      <c r="FHY65" s="5"/>
      <c r="FHZ65" s="5"/>
      <c r="FIA65" s="5"/>
      <c r="FIB65" s="5"/>
      <c r="FIC65" s="5"/>
      <c r="FID65" s="5"/>
      <c r="FIE65" s="5"/>
      <c r="FIF65" s="5"/>
      <c r="FIG65" s="5"/>
      <c r="FIH65" s="5"/>
      <c r="FII65" s="5"/>
      <c r="FIJ65" s="5"/>
      <c r="FIK65" s="5"/>
      <c r="FIL65" s="5"/>
      <c r="FIM65" s="5"/>
      <c r="FIN65" s="5"/>
      <c r="FIO65" s="5"/>
      <c r="FIP65" s="5"/>
      <c r="FIQ65" s="5"/>
      <c r="FIR65" s="5"/>
      <c r="FIS65" s="5"/>
      <c r="FIT65" s="5"/>
      <c r="FIU65" s="5"/>
      <c r="FIV65" s="5"/>
      <c r="FIW65" s="5"/>
      <c r="FIX65" s="5"/>
      <c r="FIY65" s="5"/>
      <c r="FIZ65" s="5"/>
      <c r="FJA65" s="5"/>
      <c r="FJB65" s="5"/>
      <c r="FJC65" s="5"/>
      <c r="FJD65" s="5"/>
      <c r="FJE65" s="5"/>
      <c r="FJF65" s="5"/>
      <c r="FJG65" s="5"/>
      <c r="FJH65" s="5"/>
      <c r="FJI65" s="5"/>
      <c r="FJJ65" s="5"/>
      <c r="FJK65" s="5"/>
      <c r="FJL65" s="5"/>
      <c r="FJM65" s="5"/>
      <c r="FJN65" s="5"/>
      <c r="FJO65" s="5"/>
      <c r="FJP65" s="5"/>
      <c r="FJQ65" s="5"/>
      <c r="FJR65" s="5"/>
      <c r="FJS65" s="5"/>
      <c r="FJT65" s="5"/>
      <c r="FJU65" s="5"/>
      <c r="FJV65" s="5"/>
      <c r="FJW65" s="5"/>
      <c r="FJX65" s="5"/>
      <c r="FJY65" s="5"/>
      <c r="FJZ65" s="5"/>
      <c r="FKA65" s="5"/>
      <c r="FKB65" s="5"/>
      <c r="FKC65" s="5"/>
      <c r="FKD65" s="5"/>
      <c r="FKE65" s="5"/>
      <c r="FKF65" s="5"/>
      <c r="FKG65" s="5"/>
      <c r="FKH65" s="5"/>
      <c r="FKI65" s="5"/>
      <c r="FKJ65" s="5"/>
      <c r="FKK65" s="5"/>
      <c r="FKL65" s="5"/>
      <c r="FKM65" s="5"/>
      <c r="FKN65" s="5"/>
      <c r="FKO65" s="5"/>
      <c r="FKP65" s="5"/>
      <c r="FKQ65" s="5"/>
      <c r="FKR65" s="5"/>
      <c r="FKS65" s="5"/>
      <c r="FKT65" s="5"/>
      <c r="FKU65" s="5"/>
      <c r="FKV65" s="5"/>
      <c r="FKW65" s="5"/>
      <c r="FKX65" s="5"/>
      <c r="FKY65" s="5"/>
      <c r="FKZ65" s="5"/>
      <c r="FLA65" s="5"/>
      <c r="FLB65" s="5"/>
      <c r="FLC65" s="5"/>
      <c r="FLD65" s="5"/>
      <c r="FLE65" s="5"/>
      <c r="FLF65" s="5"/>
      <c r="FLG65" s="5"/>
      <c r="FLH65" s="5"/>
      <c r="FLI65" s="5"/>
      <c r="FLJ65" s="5"/>
      <c r="FLK65" s="5"/>
      <c r="FLL65" s="5"/>
      <c r="FLM65" s="5"/>
      <c r="FLN65" s="5"/>
      <c r="FLO65" s="5"/>
      <c r="FLP65" s="5"/>
      <c r="FLQ65" s="5"/>
      <c r="FLR65" s="5"/>
      <c r="FLS65" s="5"/>
      <c r="FLT65" s="5"/>
      <c r="FLU65" s="5"/>
      <c r="FLV65" s="5"/>
      <c r="FLW65" s="5"/>
      <c r="FLX65" s="5"/>
      <c r="FLY65" s="5"/>
      <c r="FLZ65" s="5"/>
      <c r="FMA65" s="5"/>
      <c r="FMB65" s="5"/>
      <c r="FMC65" s="5"/>
      <c r="FMD65" s="5"/>
      <c r="FME65" s="5"/>
      <c r="FMF65" s="5"/>
      <c r="FMG65" s="5"/>
      <c r="FMH65" s="5"/>
      <c r="FMI65" s="5"/>
      <c r="FMJ65" s="5"/>
      <c r="FMK65" s="5"/>
      <c r="FML65" s="5"/>
      <c r="FMM65" s="5"/>
      <c r="FMN65" s="5"/>
      <c r="FMO65" s="5"/>
      <c r="FMP65" s="5"/>
      <c r="FMQ65" s="5"/>
      <c r="FMR65" s="5"/>
      <c r="FMS65" s="5"/>
      <c r="FMT65" s="5"/>
      <c r="FMU65" s="5"/>
      <c r="FMV65" s="5"/>
      <c r="FMW65" s="5"/>
      <c r="FMX65" s="5"/>
      <c r="FMY65" s="5"/>
      <c r="FMZ65" s="5"/>
      <c r="FNA65" s="5"/>
      <c r="FNB65" s="5"/>
      <c r="FNC65" s="5"/>
      <c r="FND65" s="5"/>
      <c r="FNE65" s="5"/>
      <c r="FNF65" s="5"/>
      <c r="FNG65" s="5"/>
      <c r="FNH65" s="5"/>
      <c r="FNI65" s="5"/>
      <c r="FNJ65" s="5"/>
      <c r="FNK65" s="5"/>
      <c r="FNL65" s="5"/>
      <c r="FNM65" s="5"/>
      <c r="FNN65" s="5"/>
      <c r="FNO65" s="5"/>
      <c r="FNP65" s="5"/>
      <c r="FNQ65" s="5"/>
      <c r="FNR65" s="5"/>
      <c r="FNS65" s="5"/>
      <c r="FNT65" s="5"/>
      <c r="FNU65" s="5"/>
      <c r="FNV65" s="5"/>
      <c r="FNW65" s="5"/>
      <c r="FNX65" s="5"/>
      <c r="FNY65" s="5"/>
      <c r="FNZ65" s="5"/>
      <c r="FOA65" s="5"/>
      <c r="FOB65" s="5"/>
      <c r="FOC65" s="5"/>
      <c r="FOD65" s="5"/>
      <c r="FOE65" s="5"/>
      <c r="FOF65" s="5"/>
      <c r="FOG65" s="5"/>
      <c r="FOH65" s="5"/>
      <c r="FOI65" s="5"/>
      <c r="FOJ65" s="5"/>
      <c r="FOK65" s="5"/>
      <c r="FOL65" s="5"/>
      <c r="FOM65" s="5"/>
      <c r="FON65" s="5"/>
      <c r="FOO65" s="5"/>
      <c r="FOP65" s="5"/>
      <c r="FOQ65" s="5"/>
      <c r="FOR65" s="5"/>
      <c r="FOS65" s="5"/>
      <c r="FOT65" s="5"/>
      <c r="FOU65" s="5"/>
      <c r="FOV65" s="5"/>
      <c r="FOW65" s="5"/>
      <c r="FOX65" s="5"/>
      <c r="FOY65" s="5"/>
      <c r="FOZ65" s="5"/>
      <c r="FPA65" s="5"/>
      <c r="FPB65" s="5"/>
      <c r="FPC65" s="5"/>
      <c r="FPD65" s="5"/>
      <c r="FPE65" s="5"/>
      <c r="FPF65" s="5"/>
      <c r="FPG65" s="5"/>
      <c r="FPH65" s="5"/>
      <c r="FPI65" s="5"/>
      <c r="FPJ65" s="5"/>
      <c r="FPK65" s="5"/>
      <c r="FPL65" s="5"/>
      <c r="FPM65" s="5"/>
      <c r="FPN65" s="5"/>
      <c r="FPO65" s="5"/>
      <c r="FPP65" s="5"/>
      <c r="FPQ65" s="5"/>
      <c r="FPR65" s="5"/>
      <c r="FPS65" s="5"/>
      <c r="FPT65" s="5"/>
      <c r="FPU65" s="5"/>
      <c r="FPV65" s="5"/>
      <c r="FPW65" s="5"/>
      <c r="FPX65" s="5"/>
      <c r="FPY65" s="5"/>
      <c r="FPZ65" s="5"/>
      <c r="FQA65" s="5"/>
      <c r="FQB65" s="5"/>
      <c r="FQC65" s="5"/>
      <c r="FQD65" s="5"/>
      <c r="FQE65" s="5"/>
      <c r="FQF65" s="5"/>
      <c r="FQG65" s="5"/>
      <c r="FQH65" s="5"/>
      <c r="FQI65" s="5"/>
      <c r="FQJ65" s="5"/>
      <c r="FQK65" s="5"/>
      <c r="FQL65" s="5"/>
      <c r="FQM65" s="5"/>
      <c r="FQN65" s="5"/>
      <c r="FQO65" s="5"/>
      <c r="FQP65" s="5"/>
      <c r="FQQ65" s="5"/>
      <c r="FQR65" s="5"/>
      <c r="FQS65" s="5"/>
      <c r="FQT65" s="5"/>
      <c r="FQU65" s="5"/>
      <c r="FQV65" s="5"/>
      <c r="FQW65" s="5"/>
      <c r="FQX65" s="5"/>
      <c r="FQY65" s="5"/>
      <c r="FQZ65" s="5"/>
      <c r="FRA65" s="5"/>
      <c r="FRB65" s="5"/>
      <c r="FRC65" s="5"/>
      <c r="FRD65" s="5"/>
      <c r="FRE65" s="5"/>
      <c r="FRF65" s="5"/>
      <c r="FRG65" s="5"/>
      <c r="FRH65" s="5"/>
      <c r="FRI65" s="5"/>
      <c r="FRJ65" s="5"/>
      <c r="FRK65" s="5"/>
      <c r="FRL65" s="5"/>
      <c r="FRM65" s="5"/>
      <c r="FRN65" s="5"/>
      <c r="FRO65" s="5"/>
      <c r="FRP65" s="5"/>
      <c r="FRQ65" s="5"/>
      <c r="FRR65" s="5"/>
      <c r="FRS65" s="5"/>
      <c r="FRT65" s="5"/>
      <c r="FRU65" s="5"/>
      <c r="FRV65" s="5"/>
      <c r="FRW65" s="5"/>
      <c r="FRX65" s="5"/>
      <c r="FRY65" s="5"/>
      <c r="FRZ65" s="5"/>
      <c r="FSA65" s="5"/>
      <c r="FSB65" s="5"/>
      <c r="FSC65" s="5"/>
      <c r="FSD65" s="5"/>
      <c r="FSE65" s="5"/>
      <c r="FSF65" s="5"/>
      <c r="FSG65" s="5"/>
      <c r="FSH65" s="5"/>
      <c r="FSI65" s="5"/>
      <c r="FSJ65" s="5"/>
      <c r="FSK65" s="5"/>
      <c r="FSL65" s="5"/>
      <c r="FSM65" s="5"/>
      <c r="FSN65" s="5"/>
      <c r="FSO65" s="5"/>
      <c r="FSP65" s="5"/>
      <c r="FSQ65" s="5"/>
      <c r="FSR65" s="5"/>
      <c r="FSS65" s="5"/>
      <c r="FST65" s="5"/>
      <c r="FSU65" s="5"/>
      <c r="FSV65" s="5"/>
      <c r="FSW65" s="5"/>
      <c r="FSX65" s="5"/>
      <c r="FSY65" s="5"/>
      <c r="FSZ65" s="5"/>
      <c r="FTA65" s="5"/>
      <c r="FTB65" s="5"/>
      <c r="FTC65" s="5"/>
      <c r="FTD65" s="5"/>
      <c r="FTE65" s="5"/>
      <c r="FTF65" s="5"/>
      <c r="FTG65" s="5"/>
      <c r="FTH65" s="5"/>
      <c r="FTI65" s="5"/>
      <c r="FTJ65" s="5"/>
      <c r="FTK65" s="5"/>
      <c r="FTL65" s="5"/>
      <c r="FTM65" s="5"/>
      <c r="FTN65" s="5"/>
      <c r="FTO65" s="5"/>
      <c r="FTP65" s="5"/>
      <c r="FTQ65" s="5"/>
      <c r="FTR65" s="5"/>
      <c r="FTS65" s="5"/>
      <c r="FTT65" s="5"/>
      <c r="FTU65" s="5"/>
      <c r="FTV65" s="5"/>
      <c r="FTW65" s="5"/>
      <c r="FTX65" s="5"/>
      <c r="FTY65" s="5"/>
      <c r="FTZ65" s="5"/>
      <c r="FUA65" s="5"/>
      <c r="FUB65" s="5"/>
      <c r="FUC65" s="5"/>
      <c r="FUD65" s="5"/>
      <c r="FUE65" s="5"/>
      <c r="FUF65" s="5"/>
      <c r="FUG65" s="5"/>
      <c r="FUH65" s="5"/>
      <c r="FUI65" s="5"/>
      <c r="FUJ65" s="5"/>
      <c r="FUK65" s="5"/>
      <c r="FUL65" s="5"/>
      <c r="FUM65" s="5"/>
      <c r="FUN65" s="5"/>
      <c r="FUO65" s="5"/>
      <c r="FUP65" s="5"/>
      <c r="FUQ65" s="5"/>
      <c r="FUR65" s="5"/>
      <c r="FUS65" s="5"/>
      <c r="FUT65" s="5"/>
      <c r="FUU65" s="5"/>
      <c r="FUV65" s="5"/>
      <c r="FUW65" s="5"/>
      <c r="FUX65" s="5"/>
      <c r="FUY65" s="5"/>
      <c r="FUZ65" s="5"/>
      <c r="FVA65" s="5"/>
      <c r="FVB65" s="5"/>
      <c r="FVC65" s="5"/>
      <c r="FVD65" s="5"/>
      <c r="FVE65" s="5"/>
      <c r="FVF65" s="5"/>
      <c r="FVG65" s="5"/>
      <c r="FVH65" s="5"/>
      <c r="FVI65" s="5"/>
      <c r="FVJ65" s="5"/>
      <c r="FVK65" s="5"/>
      <c r="FVL65" s="5"/>
      <c r="FVM65" s="5"/>
      <c r="FVN65" s="5"/>
      <c r="FVO65" s="5"/>
      <c r="FVP65" s="5"/>
      <c r="FVQ65" s="5"/>
      <c r="FVR65" s="5"/>
      <c r="FVS65" s="5"/>
      <c r="FVT65" s="5"/>
      <c r="FVU65" s="5"/>
      <c r="FVV65" s="5"/>
      <c r="FVW65" s="5"/>
      <c r="FVX65" s="5"/>
      <c r="FVY65" s="5"/>
      <c r="FVZ65" s="5"/>
      <c r="FWA65" s="5"/>
      <c r="FWB65" s="5"/>
      <c r="FWC65" s="5"/>
      <c r="FWD65" s="5"/>
      <c r="FWE65" s="5"/>
      <c r="FWF65" s="5"/>
      <c r="FWG65" s="5"/>
      <c r="FWH65" s="5"/>
      <c r="FWI65" s="5"/>
      <c r="FWJ65" s="5"/>
      <c r="FWK65" s="5"/>
      <c r="FWL65" s="5"/>
      <c r="FWM65" s="5"/>
      <c r="FWN65" s="5"/>
      <c r="FWO65" s="5"/>
      <c r="FWP65" s="5"/>
      <c r="FWQ65" s="5"/>
      <c r="FWR65" s="5"/>
      <c r="FWS65" s="5"/>
      <c r="FWT65" s="5"/>
      <c r="FWU65" s="5"/>
      <c r="FWV65" s="5"/>
      <c r="FWW65" s="5"/>
      <c r="FWX65" s="5"/>
      <c r="FWY65" s="5"/>
      <c r="FWZ65" s="5"/>
      <c r="FXA65" s="5"/>
      <c r="FXB65" s="5"/>
      <c r="FXC65" s="5"/>
      <c r="FXD65" s="5"/>
      <c r="FXE65" s="5"/>
      <c r="FXF65" s="5"/>
      <c r="FXG65" s="5"/>
      <c r="FXH65" s="5"/>
      <c r="FXI65" s="5"/>
      <c r="FXJ65" s="5"/>
      <c r="FXK65" s="5"/>
      <c r="FXL65" s="5"/>
      <c r="FXM65" s="5"/>
      <c r="FXN65" s="5"/>
      <c r="FXO65" s="5"/>
      <c r="FXP65" s="5"/>
      <c r="FXQ65" s="5"/>
      <c r="FXR65" s="5"/>
      <c r="FXS65" s="5"/>
      <c r="FXT65" s="5"/>
      <c r="FXU65" s="5"/>
      <c r="FXV65" s="5"/>
      <c r="FXW65" s="5"/>
      <c r="FXX65" s="5"/>
      <c r="FXY65" s="5"/>
      <c r="FXZ65" s="5"/>
      <c r="FYA65" s="5"/>
      <c r="FYB65" s="5"/>
      <c r="FYC65" s="5"/>
      <c r="FYD65" s="5"/>
      <c r="FYE65" s="5"/>
      <c r="FYF65" s="5"/>
      <c r="FYG65" s="5"/>
      <c r="FYH65" s="5"/>
      <c r="FYI65" s="5"/>
      <c r="FYJ65" s="5"/>
      <c r="FYK65" s="5"/>
      <c r="FYL65" s="5"/>
      <c r="FYM65" s="5"/>
      <c r="FYN65" s="5"/>
      <c r="FYO65" s="5"/>
      <c r="FYP65" s="5"/>
      <c r="FYQ65" s="5"/>
      <c r="FYR65" s="5"/>
      <c r="FYS65" s="5"/>
      <c r="FYT65" s="5"/>
      <c r="FYU65" s="5"/>
      <c r="FYV65" s="5"/>
      <c r="FYW65" s="5"/>
      <c r="FYX65" s="5"/>
      <c r="FYY65" s="5"/>
      <c r="FYZ65" s="5"/>
      <c r="FZA65" s="5"/>
      <c r="FZB65" s="5"/>
      <c r="FZC65" s="5"/>
      <c r="FZD65" s="5"/>
      <c r="FZE65" s="5"/>
      <c r="FZF65" s="5"/>
      <c r="FZG65" s="5"/>
      <c r="FZH65" s="5"/>
      <c r="FZI65" s="5"/>
      <c r="FZJ65" s="5"/>
      <c r="FZK65" s="5"/>
      <c r="FZL65" s="5"/>
      <c r="FZM65" s="5"/>
      <c r="FZN65" s="5"/>
      <c r="FZO65" s="5"/>
      <c r="FZP65" s="5"/>
      <c r="FZQ65" s="5"/>
      <c r="FZR65" s="5"/>
      <c r="FZS65" s="5"/>
      <c r="FZT65" s="5"/>
      <c r="FZU65" s="5"/>
      <c r="FZV65" s="5"/>
      <c r="FZW65" s="5"/>
      <c r="FZX65" s="5"/>
      <c r="FZY65" s="5"/>
      <c r="FZZ65" s="5"/>
      <c r="GAA65" s="5"/>
      <c r="GAB65" s="5"/>
      <c r="GAC65" s="5"/>
      <c r="GAD65" s="5"/>
      <c r="GAE65" s="5"/>
      <c r="GAF65" s="5"/>
      <c r="GAG65" s="5"/>
      <c r="GAH65" s="5"/>
      <c r="GAI65" s="5"/>
      <c r="GAJ65" s="5"/>
      <c r="GAK65" s="5"/>
      <c r="GAL65" s="5"/>
      <c r="GAM65" s="5"/>
      <c r="GAN65" s="5"/>
      <c r="GAO65" s="5"/>
      <c r="GAP65" s="5"/>
      <c r="GAQ65" s="5"/>
      <c r="GAR65" s="5"/>
      <c r="GAS65" s="5"/>
      <c r="GAT65" s="5"/>
      <c r="GAU65" s="5"/>
      <c r="GAV65" s="5"/>
      <c r="GAW65" s="5"/>
      <c r="GAX65" s="5"/>
      <c r="GAY65" s="5"/>
      <c r="GAZ65" s="5"/>
      <c r="GBA65" s="5"/>
      <c r="GBB65" s="5"/>
      <c r="GBC65" s="5"/>
      <c r="GBD65" s="5"/>
      <c r="GBE65" s="5"/>
      <c r="GBF65" s="5"/>
      <c r="GBG65" s="5"/>
      <c r="GBH65" s="5"/>
      <c r="GBI65" s="5"/>
      <c r="GBJ65" s="5"/>
      <c r="GBK65" s="5"/>
      <c r="GBL65" s="5"/>
      <c r="GBM65" s="5"/>
      <c r="GBN65" s="5"/>
      <c r="GBO65" s="5"/>
      <c r="GBP65" s="5"/>
      <c r="GBQ65" s="5"/>
      <c r="GBR65" s="5"/>
      <c r="GBS65" s="5"/>
      <c r="GBT65" s="5"/>
      <c r="GBU65" s="5"/>
      <c r="GBV65" s="5"/>
      <c r="GBW65" s="5"/>
      <c r="GBX65" s="5"/>
      <c r="GBY65" s="5"/>
      <c r="GBZ65" s="5"/>
      <c r="GCA65" s="5"/>
      <c r="GCB65" s="5"/>
      <c r="GCC65" s="5"/>
      <c r="GCD65" s="5"/>
      <c r="GCE65" s="5"/>
      <c r="GCF65" s="5"/>
      <c r="GCG65" s="5"/>
      <c r="GCH65" s="5"/>
      <c r="GCI65" s="5"/>
      <c r="GCJ65" s="5"/>
      <c r="GCK65" s="5"/>
      <c r="GCL65" s="5"/>
      <c r="GCM65" s="5"/>
      <c r="GCN65" s="5"/>
      <c r="GCO65" s="5"/>
      <c r="GCP65" s="5"/>
      <c r="GCQ65" s="5"/>
      <c r="GCR65" s="5"/>
      <c r="GCS65" s="5"/>
      <c r="GCT65" s="5"/>
      <c r="GCU65" s="5"/>
      <c r="GCV65" s="5"/>
      <c r="GCW65" s="5"/>
      <c r="GCX65" s="5"/>
      <c r="GCY65" s="5"/>
      <c r="GCZ65" s="5"/>
      <c r="GDA65" s="5"/>
      <c r="GDB65" s="5"/>
      <c r="GDC65" s="5"/>
      <c r="GDD65" s="5"/>
      <c r="GDE65" s="5"/>
      <c r="GDF65" s="5"/>
      <c r="GDG65" s="5"/>
      <c r="GDH65" s="5"/>
      <c r="GDI65" s="5"/>
      <c r="GDJ65" s="5"/>
      <c r="GDK65" s="5"/>
      <c r="GDL65" s="5"/>
      <c r="GDM65" s="5"/>
      <c r="GDN65" s="5"/>
      <c r="GDO65" s="5"/>
      <c r="GDP65" s="5"/>
      <c r="GDQ65" s="5"/>
      <c r="GDR65" s="5"/>
      <c r="GDS65" s="5"/>
      <c r="GDT65" s="5"/>
      <c r="GDU65" s="5"/>
      <c r="GDV65" s="5"/>
      <c r="GDW65" s="5"/>
      <c r="GDX65" s="5"/>
      <c r="GDY65" s="5"/>
      <c r="GDZ65" s="5"/>
      <c r="GEA65" s="5"/>
      <c r="GEB65" s="5"/>
      <c r="GEC65" s="5"/>
      <c r="GED65" s="5"/>
      <c r="GEE65" s="5"/>
      <c r="GEF65" s="5"/>
      <c r="GEG65" s="5"/>
      <c r="GEH65" s="5"/>
      <c r="GEI65" s="5"/>
      <c r="GEJ65" s="5"/>
      <c r="GEK65" s="5"/>
      <c r="GEL65" s="5"/>
      <c r="GEM65" s="5"/>
      <c r="GEN65" s="5"/>
      <c r="GEO65" s="5"/>
      <c r="GEP65" s="5"/>
      <c r="GEQ65" s="5"/>
      <c r="GER65" s="5"/>
      <c r="GES65" s="5"/>
      <c r="GET65" s="5"/>
      <c r="GEU65" s="5"/>
      <c r="GEV65" s="5"/>
      <c r="GEW65" s="5"/>
      <c r="GEX65" s="5"/>
      <c r="GEY65" s="5"/>
      <c r="GEZ65" s="5"/>
      <c r="GFA65" s="5"/>
      <c r="GFB65" s="5"/>
      <c r="GFC65" s="5"/>
      <c r="GFD65" s="5"/>
      <c r="GFE65" s="5"/>
      <c r="GFF65" s="5"/>
      <c r="GFG65" s="5"/>
      <c r="GFH65" s="5"/>
      <c r="GFI65" s="5"/>
      <c r="GFJ65" s="5"/>
      <c r="GFK65" s="5"/>
      <c r="GFL65" s="5"/>
      <c r="GFM65" s="5"/>
      <c r="GFN65" s="5"/>
      <c r="GFO65" s="5"/>
      <c r="GFP65" s="5"/>
      <c r="GFQ65" s="5"/>
      <c r="GFR65" s="5"/>
      <c r="GFS65" s="5"/>
      <c r="GFT65" s="5"/>
      <c r="GFU65" s="5"/>
      <c r="GFV65" s="5"/>
      <c r="GFW65" s="5"/>
      <c r="GFX65" s="5"/>
      <c r="GFY65" s="5"/>
      <c r="GFZ65" s="5"/>
      <c r="GGA65" s="5"/>
      <c r="GGB65" s="5"/>
      <c r="GGC65" s="5"/>
      <c r="GGD65" s="5"/>
      <c r="GGE65" s="5"/>
      <c r="GGF65" s="5"/>
      <c r="GGG65" s="5"/>
      <c r="GGH65" s="5"/>
      <c r="GGI65" s="5"/>
      <c r="GGJ65" s="5"/>
      <c r="GGK65" s="5"/>
      <c r="GGL65" s="5"/>
      <c r="GGM65" s="5"/>
      <c r="GGN65" s="5"/>
      <c r="GGO65" s="5"/>
      <c r="GGP65" s="5"/>
      <c r="GGQ65" s="5"/>
      <c r="GGR65" s="5"/>
      <c r="GGS65" s="5"/>
      <c r="GGT65" s="5"/>
      <c r="GGU65" s="5"/>
      <c r="GGV65" s="5"/>
      <c r="GGW65" s="5"/>
      <c r="GGX65" s="5"/>
      <c r="GGY65" s="5"/>
      <c r="GGZ65" s="5"/>
      <c r="GHA65" s="5"/>
      <c r="GHB65" s="5"/>
      <c r="GHC65" s="5"/>
      <c r="GHD65" s="5"/>
      <c r="GHE65" s="5"/>
      <c r="GHF65" s="5"/>
      <c r="GHG65" s="5"/>
      <c r="GHH65" s="5"/>
      <c r="GHI65" s="5"/>
      <c r="GHJ65" s="5"/>
      <c r="GHK65" s="5"/>
      <c r="GHL65" s="5"/>
      <c r="GHM65" s="5"/>
      <c r="GHN65" s="5"/>
      <c r="GHO65" s="5"/>
      <c r="GHP65" s="5"/>
      <c r="GHQ65" s="5"/>
      <c r="GHR65" s="5"/>
      <c r="GHS65" s="5"/>
      <c r="GHT65" s="5"/>
      <c r="GHU65" s="5"/>
      <c r="GHV65" s="5"/>
      <c r="GHW65" s="5"/>
      <c r="GHX65" s="5"/>
      <c r="GHY65" s="5"/>
      <c r="GHZ65" s="5"/>
      <c r="GIA65" s="5"/>
      <c r="GIB65" s="5"/>
      <c r="GIC65" s="5"/>
      <c r="GID65" s="5"/>
      <c r="GIE65" s="5"/>
      <c r="GIF65" s="5"/>
      <c r="GIG65" s="5"/>
      <c r="GIH65" s="5"/>
      <c r="GII65" s="5"/>
      <c r="GIJ65" s="5"/>
      <c r="GIK65" s="5"/>
      <c r="GIL65" s="5"/>
      <c r="GIM65" s="5"/>
      <c r="GIN65" s="5"/>
      <c r="GIO65" s="5"/>
      <c r="GIP65" s="5"/>
      <c r="GIQ65" s="5"/>
      <c r="GIR65" s="5"/>
      <c r="GIS65" s="5"/>
      <c r="GIT65" s="5"/>
      <c r="GIU65" s="5"/>
      <c r="GIV65" s="5"/>
      <c r="GIW65" s="5"/>
      <c r="GIX65" s="5"/>
      <c r="GIY65" s="5"/>
      <c r="GIZ65" s="5"/>
      <c r="GJA65" s="5"/>
      <c r="GJB65" s="5"/>
      <c r="GJC65" s="5"/>
      <c r="GJD65" s="5"/>
      <c r="GJE65" s="5"/>
      <c r="GJF65" s="5"/>
      <c r="GJG65" s="5"/>
      <c r="GJH65" s="5"/>
      <c r="GJI65" s="5"/>
      <c r="GJJ65" s="5"/>
      <c r="GJK65" s="5"/>
      <c r="GJL65" s="5"/>
      <c r="GJM65" s="5"/>
      <c r="GJN65" s="5"/>
      <c r="GJO65" s="5"/>
      <c r="GJP65" s="5"/>
      <c r="GJQ65" s="5"/>
      <c r="GJR65" s="5"/>
      <c r="GJS65" s="5"/>
      <c r="GJT65" s="5"/>
      <c r="GJU65" s="5"/>
      <c r="GJV65" s="5"/>
      <c r="GJW65" s="5"/>
      <c r="GJX65" s="5"/>
      <c r="GJY65" s="5"/>
      <c r="GJZ65" s="5"/>
      <c r="GKA65" s="5"/>
      <c r="GKB65" s="5"/>
      <c r="GKC65" s="5"/>
      <c r="GKD65" s="5"/>
      <c r="GKE65" s="5"/>
      <c r="GKF65" s="5"/>
      <c r="GKG65" s="5"/>
      <c r="GKH65" s="5"/>
      <c r="GKI65" s="5"/>
      <c r="GKJ65" s="5"/>
      <c r="GKK65" s="5"/>
      <c r="GKL65" s="5"/>
      <c r="GKM65" s="5"/>
      <c r="GKN65" s="5"/>
      <c r="GKO65" s="5"/>
      <c r="GKP65" s="5"/>
      <c r="GKQ65" s="5"/>
      <c r="GKR65" s="5"/>
      <c r="GKS65" s="5"/>
      <c r="GKT65" s="5"/>
      <c r="GKU65" s="5"/>
      <c r="GKV65" s="5"/>
      <c r="GKW65" s="5"/>
      <c r="GKX65" s="5"/>
      <c r="GKY65" s="5"/>
      <c r="GKZ65" s="5"/>
      <c r="GLA65" s="5"/>
      <c r="GLB65" s="5"/>
      <c r="GLC65" s="5"/>
      <c r="GLD65" s="5"/>
      <c r="GLE65" s="5"/>
      <c r="GLF65" s="5"/>
      <c r="GLG65" s="5"/>
      <c r="GLH65" s="5"/>
      <c r="GLI65" s="5"/>
      <c r="GLJ65" s="5"/>
      <c r="GLK65" s="5"/>
      <c r="GLL65" s="5"/>
      <c r="GLM65" s="5"/>
      <c r="GLN65" s="5"/>
      <c r="GLO65" s="5"/>
      <c r="GLP65" s="5"/>
      <c r="GLQ65" s="5"/>
      <c r="GLR65" s="5"/>
      <c r="GLS65" s="5"/>
      <c r="GLT65" s="5"/>
      <c r="GLU65" s="5"/>
      <c r="GLV65" s="5"/>
      <c r="GLW65" s="5"/>
      <c r="GLX65" s="5"/>
      <c r="GLY65" s="5"/>
      <c r="GLZ65" s="5"/>
      <c r="GMA65" s="5"/>
      <c r="GMB65" s="5"/>
      <c r="GMC65" s="5"/>
      <c r="GMD65" s="5"/>
      <c r="GME65" s="5"/>
      <c r="GMF65" s="5"/>
      <c r="GMG65" s="5"/>
      <c r="GMH65" s="5"/>
      <c r="GMI65" s="5"/>
      <c r="GMJ65" s="5"/>
      <c r="GMK65" s="5"/>
      <c r="GML65" s="5"/>
      <c r="GMM65" s="5"/>
      <c r="GMN65" s="5"/>
      <c r="GMO65" s="5"/>
      <c r="GMP65" s="5"/>
      <c r="GMQ65" s="5"/>
      <c r="GMR65" s="5"/>
      <c r="GMS65" s="5"/>
      <c r="GMT65" s="5"/>
      <c r="GMU65" s="5"/>
      <c r="GMV65" s="5"/>
      <c r="GMW65" s="5"/>
      <c r="GMX65" s="5"/>
      <c r="GMY65" s="5"/>
      <c r="GMZ65" s="5"/>
      <c r="GNA65" s="5"/>
      <c r="GNB65" s="5"/>
      <c r="GNC65" s="5"/>
      <c r="GND65" s="5"/>
      <c r="GNE65" s="5"/>
      <c r="GNF65" s="5"/>
      <c r="GNG65" s="5"/>
      <c r="GNH65" s="5"/>
      <c r="GNI65" s="5"/>
      <c r="GNJ65" s="5"/>
      <c r="GNK65" s="5"/>
      <c r="GNL65" s="5"/>
      <c r="GNM65" s="5"/>
      <c r="GNN65" s="5"/>
      <c r="GNO65" s="5"/>
      <c r="GNP65" s="5"/>
      <c r="GNQ65" s="5"/>
      <c r="GNR65" s="5"/>
      <c r="GNS65" s="5"/>
      <c r="GNT65" s="5"/>
      <c r="GNU65" s="5"/>
      <c r="GNV65" s="5"/>
      <c r="GNW65" s="5"/>
      <c r="GNX65" s="5"/>
      <c r="GNY65" s="5"/>
      <c r="GNZ65" s="5"/>
      <c r="GOA65" s="5"/>
      <c r="GOB65" s="5"/>
      <c r="GOC65" s="5"/>
      <c r="GOD65" s="5"/>
      <c r="GOE65" s="5"/>
      <c r="GOF65" s="5"/>
      <c r="GOG65" s="5"/>
      <c r="GOH65" s="5"/>
      <c r="GOI65" s="5"/>
      <c r="GOJ65" s="5"/>
      <c r="GOK65" s="5"/>
      <c r="GOL65" s="5"/>
      <c r="GOM65" s="5"/>
      <c r="GON65" s="5"/>
      <c r="GOO65" s="5"/>
      <c r="GOP65" s="5"/>
      <c r="GOQ65" s="5"/>
      <c r="GOR65" s="5"/>
      <c r="GOS65" s="5"/>
      <c r="GOT65" s="5"/>
      <c r="GOU65" s="5"/>
      <c r="GOV65" s="5"/>
      <c r="GOW65" s="5"/>
      <c r="GOX65" s="5"/>
      <c r="GOY65" s="5"/>
      <c r="GOZ65" s="5"/>
      <c r="GPA65" s="5"/>
      <c r="GPB65" s="5"/>
      <c r="GPC65" s="5"/>
      <c r="GPD65" s="5"/>
      <c r="GPE65" s="5"/>
      <c r="GPF65" s="5"/>
      <c r="GPG65" s="5"/>
      <c r="GPH65" s="5"/>
      <c r="GPI65" s="5"/>
      <c r="GPJ65" s="5"/>
      <c r="GPK65" s="5"/>
      <c r="GPL65" s="5"/>
      <c r="GPM65" s="5"/>
      <c r="GPN65" s="5"/>
      <c r="GPO65" s="5"/>
      <c r="GPP65" s="5"/>
      <c r="GPQ65" s="5"/>
      <c r="GPR65" s="5"/>
      <c r="GPS65" s="5"/>
      <c r="GPT65" s="5"/>
      <c r="GPU65" s="5"/>
      <c r="GPV65" s="5"/>
      <c r="GPW65" s="5"/>
      <c r="GPX65" s="5"/>
      <c r="GPY65" s="5"/>
      <c r="GPZ65" s="5"/>
      <c r="GQA65" s="5"/>
      <c r="GQB65" s="5"/>
      <c r="GQC65" s="5"/>
      <c r="GQD65" s="5"/>
      <c r="GQE65" s="5"/>
      <c r="GQF65" s="5"/>
      <c r="GQG65" s="5"/>
      <c r="GQH65" s="5"/>
      <c r="GQI65" s="5"/>
      <c r="GQJ65" s="5"/>
      <c r="GQK65" s="5"/>
      <c r="GQL65" s="5"/>
      <c r="GQM65" s="5"/>
      <c r="GQN65" s="5"/>
      <c r="GQO65" s="5"/>
      <c r="GQP65" s="5"/>
      <c r="GQQ65" s="5"/>
      <c r="GQR65" s="5"/>
      <c r="GQS65" s="5"/>
      <c r="GQT65" s="5"/>
      <c r="GQU65" s="5"/>
      <c r="GQV65" s="5"/>
      <c r="GQW65" s="5"/>
      <c r="GQX65" s="5"/>
      <c r="GQY65" s="5"/>
      <c r="GQZ65" s="5"/>
      <c r="GRA65" s="5"/>
      <c r="GRB65" s="5"/>
      <c r="GRC65" s="5"/>
      <c r="GRD65" s="5"/>
      <c r="GRE65" s="5"/>
      <c r="GRF65" s="5"/>
      <c r="GRG65" s="5"/>
      <c r="GRH65" s="5"/>
      <c r="GRI65" s="5"/>
      <c r="GRJ65" s="5"/>
      <c r="GRK65" s="5"/>
      <c r="GRL65" s="5"/>
      <c r="GRM65" s="5"/>
      <c r="GRN65" s="5"/>
      <c r="GRO65" s="5"/>
      <c r="GRP65" s="5"/>
      <c r="GRQ65" s="5"/>
      <c r="GRR65" s="5"/>
      <c r="GRS65" s="5"/>
      <c r="GRT65" s="5"/>
      <c r="GRU65" s="5"/>
      <c r="GRV65" s="5"/>
      <c r="GRW65" s="5"/>
      <c r="GRX65" s="5"/>
      <c r="GRY65" s="5"/>
      <c r="GRZ65" s="5"/>
      <c r="GSA65" s="5"/>
      <c r="GSB65" s="5"/>
      <c r="GSC65" s="5"/>
      <c r="GSD65" s="5"/>
      <c r="GSE65" s="5"/>
      <c r="GSF65" s="5"/>
      <c r="GSG65" s="5"/>
      <c r="GSH65" s="5"/>
      <c r="GSI65" s="5"/>
      <c r="GSJ65" s="5"/>
      <c r="GSK65" s="5"/>
      <c r="GSL65" s="5"/>
      <c r="GSM65" s="5"/>
      <c r="GSN65" s="5"/>
      <c r="GSO65" s="5"/>
      <c r="GSP65" s="5"/>
      <c r="GSQ65" s="5"/>
      <c r="GSR65" s="5"/>
      <c r="GSS65" s="5"/>
      <c r="GST65" s="5"/>
      <c r="GSU65" s="5"/>
      <c r="GSV65" s="5"/>
      <c r="GSW65" s="5"/>
      <c r="GSX65" s="5"/>
      <c r="GSY65" s="5"/>
      <c r="GSZ65" s="5"/>
      <c r="GTA65" s="5"/>
      <c r="GTB65" s="5"/>
      <c r="GTC65" s="5"/>
      <c r="GTD65" s="5"/>
      <c r="GTE65" s="5"/>
      <c r="GTF65" s="5"/>
      <c r="GTG65" s="5"/>
      <c r="GTH65" s="5"/>
      <c r="GTI65" s="5"/>
      <c r="GTJ65" s="5"/>
      <c r="GTK65" s="5"/>
      <c r="GTL65" s="5"/>
      <c r="GTM65" s="5"/>
      <c r="GTN65" s="5"/>
      <c r="GTO65" s="5"/>
      <c r="GTP65" s="5"/>
      <c r="GTQ65" s="5"/>
      <c r="GTR65" s="5"/>
      <c r="GTS65" s="5"/>
      <c r="GTT65" s="5"/>
      <c r="GTU65" s="5"/>
      <c r="GTV65" s="5"/>
      <c r="GTW65" s="5"/>
      <c r="GTX65" s="5"/>
      <c r="GTY65" s="5"/>
      <c r="GTZ65" s="5"/>
      <c r="GUA65" s="5"/>
      <c r="GUB65" s="5"/>
      <c r="GUC65" s="5"/>
      <c r="GUD65" s="5"/>
      <c r="GUE65" s="5"/>
      <c r="GUF65" s="5"/>
      <c r="GUG65" s="5"/>
      <c r="GUH65" s="5"/>
      <c r="GUI65" s="5"/>
      <c r="GUJ65" s="5"/>
      <c r="GUK65" s="5"/>
      <c r="GUL65" s="5"/>
      <c r="GUM65" s="5"/>
      <c r="GUN65" s="5"/>
      <c r="GUO65" s="5"/>
      <c r="GUP65" s="5"/>
      <c r="GUQ65" s="5"/>
      <c r="GUR65" s="5"/>
      <c r="GUS65" s="5"/>
      <c r="GUT65" s="5"/>
      <c r="GUU65" s="5"/>
      <c r="GUV65" s="5"/>
      <c r="GUW65" s="5"/>
      <c r="GUX65" s="5"/>
      <c r="GUY65" s="5"/>
      <c r="GUZ65" s="5"/>
      <c r="GVA65" s="5"/>
      <c r="GVB65" s="5"/>
      <c r="GVC65" s="5"/>
      <c r="GVD65" s="5"/>
      <c r="GVE65" s="5"/>
      <c r="GVF65" s="5"/>
      <c r="GVG65" s="5"/>
      <c r="GVH65" s="5"/>
      <c r="GVI65" s="5"/>
      <c r="GVJ65" s="5"/>
      <c r="GVK65" s="5"/>
      <c r="GVL65" s="5"/>
      <c r="GVM65" s="5"/>
      <c r="GVN65" s="5"/>
      <c r="GVO65" s="5"/>
      <c r="GVP65" s="5"/>
      <c r="GVQ65" s="5"/>
      <c r="GVR65" s="5"/>
      <c r="GVS65" s="5"/>
      <c r="GVT65" s="5"/>
      <c r="GVU65" s="5"/>
      <c r="GVV65" s="5"/>
      <c r="GVW65" s="5"/>
      <c r="GVX65" s="5"/>
      <c r="GVY65" s="5"/>
      <c r="GVZ65" s="5"/>
      <c r="GWA65" s="5"/>
      <c r="GWB65" s="5"/>
      <c r="GWC65" s="5"/>
      <c r="GWD65" s="5"/>
      <c r="GWE65" s="5"/>
      <c r="GWF65" s="5"/>
      <c r="GWG65" s="5"/>
      <c r="GWH65" s="5"/>
      <c r="GWI65" s="5"/>
      <c r="GWJ65" s="5"/>
      <c r="GWK65" s="5"/>
      <c r="GWL65" s="5"/>
      <c r="GWM65" s="5"/>
      <c r="GWN65" s="5"/>
      <c r="GWO65" s="5"/>
      <c r="GWP65" s="5"/>
      <c r="GWQ65" s="5"/>
      <c r="GWR65" s="5"/>
      <c r="GWS65" s="5"/>
      <c r="GWT65" s="5"/>
      <c r="GWU65" s="5"/>
      <c r="GWV65" s="5"/>
      <c r="GWW65" s="5"/>
      <c r="GWX65" s="5"/>
      <c r="GWY65" s="5"/>
      <c r="GWZ65" s="5"/>
      <c r="GXA65" s="5"/>
      <c r="GXB65" s="5"/>
      <c r="GXC65" s="5"/>
      <c r="GXD65" s="5"/>
      <c r="GXE65" s="5"/>
      <c r="GXF65" s="5"/>
      <c r="GXG65" s="5"/>
      <c r="GXH65" s="5"/>
      <c r="GXI65" s="5"/>
      <c r="GXJ65" s="5"/>
      <c r="GXK65" s="5"/>
      <c r="GXL65" s="5"/>
      <c r="GXM65" s="5"/>
      <c r="GXN65" s="5"/>
      <c r="GXO65" s="5"/>
      <c r="GXP65" s="5"/>
      <c r="GXQ65" s="5"/>
      <c r="GXR65" s="5"/>
      <c r="GXS65" s="5"/>
      <c r="GXT65" s="5"/>
      <c r="GXU65" s="5"/>
      <c r="GXV65" s="5"/>
      <c r="GXW65" s="5"/>
      <c r="GXX65" s="5"/>
      <c r="GXY65" s="5"/>
      <c r="GXZ65" s="5"/>
      <c r="GYA65" s="5"/>
      <c r="GYB65" s="5"/>
      <c r="GYC65" s="5"/>
      <c r="GYD65" s="5"/>
      <c r="GYE65" s="5"/>
      <c r="GYF65" s="5"/>
      <c r="GYG65" s="5"/>
      <c r="GYH65" s="5"/>
      <c r="GYI65" s="5"/>
      <c r="GYJ65" s="5"/>
      <c r="GYK65" s="5"/>
      <c r="GYL65" s="5"/>
      <c r="GYM65" s="5"/>
      <c r="GYN65" s="5"/>
      <c r="GYO65" s="5"/>
      <c r="GYP65" s="5"/>
      <c r="GYQ65" s="5"/>
      <c r="GYR65" s="5"/>
      <c r="GYS65" s="5"/>
      <c r="GYT65" s="5"/>
      <c r="GYU65" s="5"/>
      <c r="GYV65" s="5"/>
      <c r="GYW65" s="5"/>
      <c r="GYX65" s="5"/>
      <c r="GYY65" s="5"/>
      <c r="GYZ65" s="5"/>
      <c r="GZA65" s="5"/>
      <c r="GZB65" s="5"/>
      <c r="GZC65" s="5"/>
      <c r="GZD65" s="5"/>
      <c r="GZE65" s="5"/>
      <c r="GZF65" s="5"/>
      <c r="GZG65" s="5"/>
      <c r="GZH65" s="5"/>
      <c r="GZI65" s="5"/>
      <c r="GZJ65" s="5"/>
      <c r="GZK65" s="5"/>
      <c r="GZL65" s="5"/>
      <c r="GZM65" s="5"/>
      <c r="GZN65" s="5"/>
      <c r="GZO65" s="5"/>
      <c r="GZP65" s="5"/>
      <c r="GZQ65" s="5"/>
      <c r="GZR65" s="5"/>
      <c r="GZS65" s="5"/>
      <c r="GZT65" s="5"/>
      <c r="GZU65" s="5"/>
      <c r="GZV65" s="5"/>
      <c r="GZW65" s="5"/>
      <c r="GZX65" s="5"/>
      <c r="GZY65" s="5"/>
      <c r="GZZ65" s="5"/>
      <c r="HAA65" s="5"/>
      <c r="HAB65" s="5"/>
      <c r="HAC65" s="5"/>
      <c r="HAD65" s="5"/>
      <c r="HAE65" s="5"/>
      <c r="HAF65" s="5"/>
      <c r="HAG65" s="5"/>
      <c r="HAH65" s="5"/>
      <c r="HAI65" s="5"/>
      <c r="HAJ65" s="5"/>
      <c r="HAK65" s="5"/>
      <c r="HAL65" s="5"/>
      <c r="HAM65" s="5"/>
      <c r="HAN65" s="5"/>
      <c r="HAO65" s="5"/>
      <c r="HAP65" s="5"/>
      <c r="HAQ65" s="5"/>
      <c r="HAR65" s="5"/>
      <c r="HAS65" s="5"/>
      <c r="HAT65" s="5"/>
      <c r="HAU65" s="5"/>
      <c r="HAV65" s="5"/>
      <c r="HAW65" s="5"/>
      <c r="HAX65" s="5"/>
      <c r="HAY65" s="5"/>
      <c r="HAZ65" s="5"/>
      <c r="HBA65" s="5"/>
      <c r="HBB65" s="5"/>
      <c r="HBC65" s="5"/>
      <c r="HBD65" s="5"/>
      <c r="HBE65" s="5"/>
      <c r="HBF65" s="5"/>
      <c r="HBG65" s="5"/>
      <c r="HBH65" s="5"/>
      <c r="HBI65" s="5"/>
      <c r="HBJ65" s="5"/>
      <c r="HBK65" s="5"/>
      <c r="HBL65" s="5"/>
      <c r="HBM65" s="5"/>
      <c r="HBN65" s="5"/>
      <c r="HBO65" s="5"/>
      <c r="HBP65" s="5"/>
      <c r="HBQ65" s="5"/>
      <c r="HBR65" s="5"/>
      <c r="HBS65" s="5"/>
      <c r="HBT65" s="5"/>
      <c r="HBU65" s="5"/>
      <c r="HBV65" s="5"/>
      <c r="HBW65" s="5"/>
      <c r="HBX65" s="5"/>
      <c r="HBY65" s="5"/>
      <c r="HBZ65" s="5"/>
      <c r="HCA65" s="5"/>
      <c r="HCB65" s="5"/>
      <c r="HCC65" s="5"/>
      <c r="HCD65" s="5"/>
      <c r="HCE65" s="5"/>
      <c r="HCF65" s="5"/>
      <c r="HCG65" s="5"/>
      <c r="HCH65" s="5"/>
      <c r="HCI65" s="5"/>
      <c r="HCJ65" s="5"/>
      <c r="HCK65" s="5"/>
      <c r="HCL65" s="5"/>
      <c r="HCM65" s="5"/>
      <c r="HCN65" s="5"/>
      <c r="HCO65" s="5"/>
      <c r="HCP65" s="5"/>
      <c r="HCQ65" s="5"/>
      <c r="HCR65" s="5"/>
      <c r="HCS65" s="5"/>
      <c r="HCT65" s="5"/>
      <c r="HCU65" s="5"/>
      <c r="HCV65" s="5"/>
      <c r="HCW65" s="5"/>
      <c r="HCX65" s="5"/>
      <c r="HCY65" s="5"/>
      <c r="HCZ65" s="5"/>
      <c r="HDA65" s="5"/>
      <c r="HDB65" s="5"/>
      <c r="HDC65" s="5"/>
      <c r="HDD65" s="5"/>
      <c r="HDE65" s="5"/>
      <c r="HDF65" s="5"/>
      <c r="HDG65" s="5"/>
      <c r="HDH65" s="5"/>
      <c r="HDI65" s="5"/>
      <c r="HDJ65" s="5"/>
      <c r="HDK65" s="5"/>
      <c r="HDL65" s="5"/>
      <c r="HDM65" s="5"/>
      <c r="HDN65" s="5"/>
      <c r="HDO65" s="5"/>
      <c r="HDP65" s="5"/>
      <c r="HDQ65" s="5"/>
      <c r="HDR65" s="5"/>
      <c r="HDS65" s="5"/>
      <c r="HDT65" s="5"/>
      <c r="HDU65" s="5"/>
      <c r="HDV65" s="5"/>
      <c r="HDW65" s="5"/>
      <c r="HDX65" s="5"/>
      <c r="HDY65" s="5"/>
      <c r="HDZ65" s="5"/>
      <c r="HEA65" s="5"/>
      <c r="HEB65" s="5"/>
      <c r="HEC65" s="5"/>
      <c r="HED65" s="5"/>
      <c r="HEE65" s="5"/>
      <c r="HEF65" s="5"/>
      <c r="HEG65" s="5"/>
      <c r="HEH65" s="5"/>
      <c r="HEI65" s="5"/>
      <c r="HEJ65" s="5"/>
      <c r="HEK65" s="5"/>
      <c r="HEL65" s="5"/>
      <c r="HEM65" s="5"/>
      <c r="HEN65" s="5"/>
      <c r="HEO65" s="5"/>
      <c r="HEP65" s="5"/>
      <c r="HEQ65" s="5"/>
      <c r="HER65" s="5"/>
      <c r="HES65" s="5"/>
      <c r="HET65" s="5"/>
      <c r="HEU65" s="5"/>
      <c r="HEV65" s="5"/>
      <c r="HEW65" s="5"/>
      <c r="HEX65" s="5"/>
      <c r="HEY65" s="5"/>
      <c r="HEZ65" s="5"/>
      <c r="HFA65" s="5"/>
      <c r="HFB65" s="5"/>
      <c r="HFC65" s="5"/>
      <c r="HFD65" s="5"/>
      <c r="HFE65" s="5"/>
      <c r="HFF65" s="5"/>
      <c r="HFG65" s="5"/>
      <c r="HFH65" s="5"/>
      <c r="HFI65" s="5"/>
      <c r="HFJ65" s="5"/>
      <c r="HFK65" s="5"/>
      <c r="HFL65" s="5"/>
      <c r="HFM65" s="5"/>
      <c r="HFN65" s="5"/>
      <c r="HFO65" s="5"/>
      <c r="HFP65" s="5"/>
      <c r="HFQ65" s="5"/>
      <c r="HFR65" s="5"/>
      <c r="HFS65" s="5"/>
      <c r="HFT65" s="5"/>
      <c r="HFU65" s="5"/>
      <c r="HFV65" s="5"/>
      <c r="HFW65" s="5"/>
      <c r="HFX65" s="5"/>
      <c r="HFY65" s="5"/>
      <c r="HFZ65" s="5"/>
      <c r="HGA65" s="5"/>
      <c r="HGB65" s="5"/>
      <c r="HGC65" s="5"/>
      <c r="HGD65" s="5"/>
      <c r="HGE65" s="5"/>
      <c r="HGF65" s="5"/>
      <c r="HGG65" s="5"/>
      <c r="HGH65" s="5"/>
      <c r="HGI65" s="5"/>
      <c r="HGJ65" s="5"/>
      <c r="HGK65" s="5"/>
      <c r="HGL65" s="5"/>
      <c r="HGM65" s="5"/>
      <c r="HGN65" s="5"/>
      <c r="HGO65" s="5"/>
      <c r="HGP65" s="5"/>
      <c r="HGQ65" s="5"/>
      <c r="HGR65" s="5"/>
      <c r="HGS65" s="5"/>
      <c r="HGT65" s="5"/>
      <c r="HGU65" s="5"/>
      <c r="HGV65" s="5"/>
      <c r="HGW65" s="5"/>
      <c r="HGX65" s="5"/>
      <c r="HGY65" s="5"/>
      <c r="HGZ65" s="5"/>
      <c r="HHA65" s="5"/>
      <c r="HHB65" s="5"/>
      <c r="HHC65" s="5"/>
      <c r="HHD65" s="5"/>
      <c r="HHE65" s="5"/>
      <c r="HHF65" s="5"/>
      <c r="HHG65" s="5"/>
      <c r="HHH65" s="5"/>
      <c r="HHI65" s="5"/>
      <c r="HHJ65" s="5"/>
      <c r="HHK65" s="5"/>
      <c r="HHL65" s="5"/>
      <c r="HHM65" s="5"/>
      <c r="HHN65" s="5"/>
      <c r="HHO65" s="5"/>
      <c r="HHP65" s="5"/>
      <c r="HHQ65" s="5"/>
      <c r="HHR65" s="5"/>
      <c r="HHS65" s="5"/>
      <c r="HHT65" s="5"/>
      <c r="HHU65" s="5"/>
      <c r="HHV65" s="5"/>
      <c r="HHW65" s="5"/>
      <c r="HHX65" s="5"/>
      <c r="HHY65" s="5"/>
      <c r="HHZ65" s="5"/>
      <c r="HIA65" s="5"/>
      <c r="HIB65" s="5"/>
      <c r="HIC65" s="5"/>
      <c r="HID65" s="5"/>
      <c r="HIE65" s="5"/>
      <c r="HIF65" s="5"/>
      <c r="HIG65" s="5"/>
      <c r="HIH65" s="5"/>
      <c r="HII65" s="5"/>
      <c r="HIJ65" s="5"/>
      <c r="HIK65" s="5"/>
      <c r="HIL65" s="5"/>
      <c r="HIM65" s="5"/>
      <c r="HIN65" s="5"/>
      <c r="HIO65" s="5"/>
      <c r="HIP65" s="5"/>
      <c r="HIQ65" s="5"/>
      <c r="HIR65" s="5"/>
      <c r="HIS65" s="5"/>
      <c r="HIT65" s="5"/>
      <c r="HIU65" s="5"/>
      <c r="HIV65" s="5"/>
      <c r="HIW65" s="5"/>
      <c r="HIX65" s="5"/>
      <c r="HIY65" s="5"/>
      <c r="HIZ65" s="5"/>
      <c r="HJA65" s="5"/>
      <c r="HJB65" s="5"/>
      <c r="HJC65" s="5"/>
      <c r="HJD65" s="5"/>
      <c r="HJE65" s="5"/>
      <c r="HJF65" s="5"/>
      <c r="HJG65" s="5"/>
      <c r="HJH65" s="5"/>
      <c r="HJI65" s="5"/>
      <c r="HJJ65" s="5"/>
      <c r="HJK65" s="5"/>
      <c r="HJL65" s="5"/>
      <c r="HJM65" s="5"/>
      <c r="HJN65" s="5"/>
      <c r="HJO65" s="5"/>
      <c r="HJP65" s="5"/>
      <c r="HJQ65" s="5"/>
      <c r="HJR65" s="5"/>
      <c r="HJS65" s="5"/>
      <c r="HJT65" s="5"/>
      <c r="HJU65" s="5"/>
      <c r="HJV65" s="5"/>
      <c r="HJW65" s="5"/>
      <c r="HJX65" s="5"/>
      <c r="HJY65" s="5"/>
      <c r="HJZ65" s="5"/>
      <c r="HKA65" s="5"/>
      <c r="HKB65" s="5"/>
      <c r="HKC65" s="5"/>
      <c r="HKD65" s="5"/>
      <c r="HKE65" s="5"/>
      <c r="HKF65" s="5"/>
      <c r="HKG65" s="5"/>
      <c r="HKH65" s="5"/>
      <c r="HKI65" s="5"/>
      <c r="HKJ65" s="5"/>
      <c r="HKK65" s="5"/>
      <c r="HKL65" s="5"/>
      <c r="HKM65" s="5"/>
      <c r="HKN65" s="5"/>
      <c r="HKO65" s="5"/>
      <c r="HKP65" s="5"/>
      <c r="HKQ65" s="5"/>
      <c r="HKR65" s="5"/>
      <c r="HKS65" s="5"/>
      <c r="HKT65" s="5"/>
      <c r="HKU65" s="5"/>
      <c r="HKV65" s="5"/>
      <c r="HKW65" s="5"/>
      <c r="HKX65" s="5"/>
      <c r="HKY65" s="5"/>
      <c r="HKZ65" s="5"/>
      <c r="HLA65" s="5"/>
      <c r="HLB65" s="5"/>
      <c r="HLC65" s="5"/>
      <c r="HLD65" s="5"/>
      <c r="HLE65" s="5"/>
      <c r="HLF65" s="5"/>
      <c r="HLG65" s="5"/>
      <c r="HLH65" s="5"/>
      <c r="HLI65" s="5"/>
      <c r="HLJ65" s="5"/>
      <c r="HLK65" s="5"/>
      <c r="HLL65" s="5"/>
      <c r="HLM65" s="5"/>
      <c r="HLN65" s="5"/>
      <c r="HLO65" s="5"/>
      <c r="HLP65" s="5"/>
      <c r="HLQ65" s="5"/>
      <c r="HLR65" s="5"/>
      <c r="HLS65" s="5"/>
      <c r="HLT65" s="5"/>
      <c r="HLU65" s="5"/>
      <c r="HLV65" s="5"/>
      <c r="HLW65" s="5"/>
      <c r="HLX65" s="5"/>
      <c r="HLY65" s="5"/>
      <c r="HLZ65" s="5"/>
      <c r="HMA65" s="5"/>
      <c r="HMB65" s="5"/>
      <c r="HMC65" s="5"/>
      <c r="HMD65" s="5"/>
      <c r="HME65" s="5"/>
      <c r="HMF65" s="5"/>
      <c r="HMG65" s="5"/>
      <c r="HMH65" s="5"/>
      <c r="HMI65" s="5"/>
      <c r="HMJ65" s="5"/>
      <c r="HMK65" s="5"/>
      <c r="HML65" s="5"/>
      <c r="HMM65" s="5"/>
      <c r="HMN65" s="5"/>
      <c r="HMO65" s="5"/>
      <c r="HMP65" s="5"/>
      <c r="HMQ65" s="5"/>
      <c r="HMR65" s="5"/>
      <c r="HMS65" s="5"/>
      <c r="HMT65" s="5"/>
      <c r="HMU65" s="5"/>
      <c r="HMV65" s="5"/>
      <c r="HMW65" s="5"/>
      <c r="HMX65" s="5"/>
      <c r="HMY65" s="5"/>
      <c r="HMZ65" s="5"/>
      <c r="HNA65" s="5"/>
      <c r="HNB65" s="5"/>
      <c r="HNC65" s="5"/>
      <c r="HND65" s="5"/>
      <c r="HNE65" s="5"/>
      <c r="HNF65" s="5"/>
      <c r="HNG65" s="5"/>
      <c r="HNH65" s="5"/>
      <c r="HNI65" s="5"/>
      <c r="HNJ65" s="5"/>
      <c r="HNK65" s="5"/>
      <c r="HNL65" s="5"/>
      <c r="HNM65" s="5"/>
      <c r="HNN65" s="5"/>
      <c r="HNO65" s="5"/>
      <c r="HNP65" s="5"/>
      <c r="HNQ65" s="5"/>
      <c r="HNR65" s="5"/>
      <c r="HNS65" s="5"/>
      <c r="HNT65" s="5"/>
      <c r="HNU65" s="5"/>
      <c r="HNV65" s="5"/>
      <c r="HNW65" s="5"/>
      <c r="HNX65" s="5"/>
      <c r="HNY65" s="5"/>
      <c r="HNZ65" s="5"/>
      <c r="HOA65" s="5"/>
      <c r="HOB65" s="5"/>
      <c r="HOC65" s="5"/>
      <c r="HOD65" s="5"/>
      <c r="HOE65" s="5"/>
      <c r="HOF65" s="5"/>
      <c r="HOG65" s="5"/>
      <c r="HOH65" s="5"/>
      <c r="HOI65" s="5"/>
      <c r="HOJ65" s="5"/>
      <c r="HOK65" s="5"/>
      <c r="HOL65" s="5"/>
      <c r="HOM65" s="5"/>
      <c r="HON65" s="5"/>
      <c r="HOO65" s="5"/>
      <c r="HOP65" s="5"/>
      <c r="HOQ65" s="5"/>
      <c r="HOR65" s="5"/>
      <c r="HOS65" s="5"/>
      <c r="HOT65" s="5"/>
      <c r="HOU65" s="5"/>
      <c r="HOV65" s="5"/>
      <c r="HOW65" s="5"/>
      <c r="HOX65" s="5"/>
      <c r="HOY65" s="5"/>
      <c r="HOZ65" s="5"/>
      <c r="HPA65" s="5"/>
      <c r="HPB65" s="5"/>
      <c r="HPC65" s="5"/>
      <c r="HPD65" s="5"/>
      <c r="HPE65" s="5"/>
      <c r="HPF65" s="5"/>
      <c r="HPG65" s="5"/>
      <c r="HPH65" s="5"/>
      <c r="HPI65" s="5"/>
      <c r="HPJ65" s="5"/>
      <c r="HPK65" s="5"/>
      <c r="HPL65" s="5"/>
      <c r="HPM65" s="5"/>
      <c r="HPN65" s="5"/>
      <c r="HPO65" s="5"/>
      <c r="HPP65" s="5"/>
      <c r="HPQ65" s="5"/>
      <c r="HPR65" s="5"/>
      <c r="HPS65" s="5"/>
      <c r="HPT65" s="5"/>
      <c r="HPU65" s="5"/>
      <c r="HPV65" s="5"/>
      <c r="HPW65" s="5"/>
      <c r="HPX65" s="5"/>
      <c r="HPY65" s="5"/>
      <c r="HPZ65" s="5"/>
      <c r="HQA65" s="5"/>
      <c r="HQB65" s="5"/>
      <c r="HQC65" s="5"/>
      <c r="HQD65" s="5"/>
      <c r="HQE65" s="5"/>
      <c r="HQF65" s="5"/>
      <c r="HQG65" s="5"/>
      <c r="HQH65" s="5"/>
      <c r="HQI65" s="5"/>
      <c r="HQJ65" s="5"/>
      <c r="HQK65" s="5"/>
      <c r="HQL65" s="5"/>
      <c r="HQM65" s="5"/>
      <c r="HQN65" s="5"/>
      <c r="HQO65" s="5"/>
      <c r="HQP65" s="5"/>
      <c r="HQQ65" s="5"/>
      <c r="HQR65" s="5"/>
      <c r="HQS65" s="5"/>
      <c r="HQT65" s="5"/>
      <c r="HQU65" s="5"/>
      <c r="HQV65" s="5"/>
      <c r="HQW65" s="5"/>
      <c r="HQX65" s="5"/>
      <c r="HQY65" s="5"/>
      <c r="HQZ65" s="5"/>
      <c r="HRA65" s="5"/>
      <c r="HRB65" s="5"/>
      <c r="HRC65" s="5"/>
      <c r="HRD65" s="5"/>
      <c r="HRE65" s="5"/>
      <c r="HRF65" s="5"/>
      <c r="HRG65" s="5"/>
      <c r="HRH65" s="5"/>
      <c r="HRI65" s="5"/>
      <c r="HRJ65" s="5"/>
      <c r="HRK65" s="5"/>
      <c r="HRL65" s="5"/>
      <c r="HRM65" s="5"/>
      <c r="HRN65" s="5"/>
      <c r="HRO65" s="5"/>
      <c r="HRP65" s="5"/>
      <c r="HRQ65" s="5"/>
      <c r="HRR65" s="5"/>
      <c r="HRS65" s="5"/>
      <c r="HRT65" s="5"/>
      <c r="HRU65" s="5"/>
      <c r="HRV65" s="5"/>
      <c r="HRW65" s="5"/>
      <c r="HRX65" s="5"/>
      <c r="HRY65" s="5"/>
      <c r="HRZ65" s="5"/>
      <c r="HSA65" s="5"/>
      <c r="HSB65" s="5"/>
      <c r="HSC65" s="5"/>
      <c r="HSD65" s="5"/>
      <c r="HSE65" s="5"/>
      <c r="HSF65" s="5"/>
      <c r="HSG65" s="5"/>
      <c r="HSH65" s="5"/>
      <c r="HSI65" s="5"/>
      <c r="HSJ65" s="5"/>
      <c r="HSK65" s="5"/>
      <c r="HSL65" s="5"/>
      <c r="HSM65" s="5"/>
      <c r="HSN65" s="5"/>
      <c r="HSO65" s="5"/>
      <c r="HSP65" s="5"/>
      <c r="HSQ65" s="5"/>
      <c r="HSR65" s="5"/>
      <c r="HSS65" s="5"/>
      <c r="HST65" s="5"/>
      <c r="HSU65" s="5"/>
      <c r="HSV65" s="5"/>
      <c r="HSW65" s="5"/>
      <c r="HSX65" s="5"/>
      <c r="HSY65" s="5"/>
      <c r="HSZ65" s="5"/>
      <c r="HTA65" s="5"/>
      <c r="HTB65" s="5"/>
      <c r="HTC65" s="5"/>
      <c r="HTD65" s="5"/>
      <c r="HTE65" s="5"/>
      <c r="HTF65" s="5"/>
      <c r="HTG65" s="5"/>
      <c r="HTH65" s="5"/>
      <c r="HTI65" s="5"/>
      <c r="HTJ65" s="5"/>
      <c r="HTK65" s="5"/>
      <c r="HTL65" s="5"/>
      <c r="HTM65" s="5"/>
      <c r="HTN65" s="5"/>
      <c r="HTO65" s="5"/>
      <c r="HTP65" s="5"/>
      <c r="HTQ65" s="5"/>
      <c r="HTR65" s="5"/>
      <c r="HTS65" s="5"/>
      <c r="HTT65" s="5"/>
      <c r="HTU65" s="5"/>
      <c r="HTV65" s="5"/>
      <c r="HTW65" s="5"/>
      <c r="HTX65" s="5"/>
      <c r="HTY65" s="5"/>
      <c r="HTZ65" s="5"/>
      <c r="HUA65" s="5"/>
      <c r="HUB65" s="5"/>
      <c r="HUC65" s="5"/>
      <c r="HUD65" s="5"/>
      <c r="HUE65" s="5"/>
      <c r="HUF65" s="5"/>
      <c r="HUG65" s="5"/>
      <c r="HUH65" s="5"/>
      <c r="HUI65" s="5"/>
      <c r="HUJ65" s="5"/>
      <c r="HUK65" s="5"/>
      <c r="HUL65" s="5"/>
      <c r="HUM65" s="5"/>
      <c r="HUN65" s="5"/>
      <c r="HUO65" s="5"/>
      <c r="HUP65" s="5"/>
      <c r="HUQ65" s="5"/>
      <c r="HUR65" s="5"/>
      <c r="HUS65" s="5"/>
      <c r="HUT65" s="5"/>
      <c r="HUU65" s="5"/>
      <c r="HUV65" s="5"/>
      <c r="HUW65" s="5"/>
      <c r="HUX65" s="5"/>
      <c r="HUY65" s="5"/>
      <c r="HUZ65" s="5"/>
      <c r="HVA65" s="5"/>
      <c r="HVB65" s="5"/>
      <c r="HVC65" s="5"/>
      <c r="HVD65" s="5"/>
      <c r="HVE65" s="5"/>
      <c r="HVF65" s="5"/>
      <c r="HVG65" s="5"/>
      <c r="HVH65" s="5"/>
      <c r="HVI65" s="5"/>
      <c r="HVJ65" s="5"/>
      <c r="HVK65" s="5"/>
      <c r="HVL65" s="5"/>
      <c r="HVM65" s="5"/>
      <c r="HVN65" s="5"/>
      <c r="HVO65" s="5"/>
      <c r="HVP65" s="5"/>
      <c r="HVQ65" s="5"/>
      <c r="HVR65" s="5"/>
      <c r="HVS65" s="5"/>
      <c r="HVT65" s="5"/>
      <c r="HVU65" s="5"/>
      <c r="HVV65" s="5"/>
      <c r="HVW65" s="5"/>
      <c r="HVX65" s="5"/>
      <c r="HVY65" s="5"/>
      <c r="HVZ65" s="5"/>
      <c r="HWA65" s="5"/>
      <c r="HWB65" s="5"/>
      <c r="HWC65" s="5"/>
      <c r="HWD65" s="5"/>
      <c r="HWE65" s="5"/>
      <c r="HWF65" s="5"/>
      <c r="HWG65" s="5"/>
      <c r="HWH65" s="5"/>
      <c r="HWI65" s="5"/>
      <c r="HWJ65" s="5"/>
      <c r="HWK65" s="5"/>
      <c r="HWL65" s="5"/>
      <c r="HWM65" s="5"/>
      <c r="HWN65" s="5"/>
      <c r="HWO65" s="5"/>
      <c r="HWP65" s="5"/>
      <c r="HWQ65" s="5"/>
      <c r="HWR65" s="5"/>
      <c r="HWS65" s="5"/>
      <c r="HWT65" s="5"/>
      <c r="HWU65" s="5"/>
      <c r="HWV65" s="5"/>
      <c r="HWW65" s="5"/>
      <c r="HWX65" s="5"/>
      <c r="HWY65" s="5"/>
      <c r="HWZ65" s="5"/>
      <c r="HXA65" s="5"/>
      <c r="HXB65" s="5"/>
      <c r="HXC65" s="5"/>
      <c r="HXD65" s="5"/>
      <c r="HXE65" s="5"/>
      <c r="HXF65" s="5"/>
      <c r="HXG65" s="5"/>
      <c r="HXH65" s="5"/>
      <c r="HXI65" s="5"/>
      <c r="HXJ65" s="5"/>
      <c r="HXK65" s="5"/>
      <c r="HXL65" s="5"/>
      <c r="HXM65" s="5"/>
      <c r="HXN65" s="5"/>
      <c r="HXO65" s="5"/>
      <c r="HXP65" s="5"/>
      <c r="HXQ65" s="5"/>
      <c r="HXR65" s="5"/>
      <c r="HXS65" s="5"/>
      <c r="HXT65" s="5"/>
      <c r="HXU65" s="5"/>
      <c r="HXV65" s="5"/>
      <c r="HXW65" s="5"/>
      <c r="HXX65" s="5"/>
      <c r="HXY65" s="5"/>
      <c r="HXZ65" s="5"/>
      <c r="HYA65" s="5"/>
      <c r="HYB65" s="5"/>
      <c r="HYC65" s="5"/>
      <c r="HYD65" s="5"/>
      <c r="HYE65" s="5"/>
      <c r="HYF65" s="5"/>
      <c r="HYG65" s="5"/>
      <c r="HYH65" s="5"/>
      <c r="HYI65" s="5"/>
      <c r="HYJ65" s="5"/>
      <c r="HYK65" s="5"/>
      <c r="HYL65" s="5"/>
      <c r="HYM65" s="5"/>
      <c r="HYN65" s="5"/>
      <c r="HYO65" s="5"/>
      <c r="HYP65" s="5"/>
      <c r="HYQ65" s="5"/>
      <c r="HYR65" s="5"/>
      <c r="HYS65" s="5"/>
      <c r="HYT65" s="5"/>
      <c r="HYU65" s="5"/>
      <c r="HYV65" s="5"/>
      <c r="HYW65" s="5"/>
      <c r="HYX65" s="5"/>
      <c r="HYY65" s="5"/>
      <c r="HYZ65" s="5"/>
      <c r="HZA65" s="5"/>
      <c r="HZB65" s="5"/>
      <c r="HZC65" s="5"/>
      <c r="HZD65" s="5"/>
      <c r="HZE65" s="5"/>
      <c r="HZF65" s="5"/>
      <c r="HZG65" s="5"/>
      <c r="HZH65" s="5"/>
      <c r="HZI65" s="5"/>
      <c r="HZJ65" s="5"/>
      <c r="HZK65" s="5"/>
      <c r="HZL65" s="5"/>
      <c r="HZM65" s="5"/>
      <c r="HZN65" s="5"/>
      <c r="HZO65" s="5"/>
      <c r="HZP65" s="5"/>
      <c r="HZQ65" s="5"/>
      <c r="HZR65" s="5"/>
      <c r="HZS65" s="5"/>
      <c r="HZT65" s="5"/>
      <c r="HZU65" s="5"/>
      <c r="HZV65" s="5"/>
      <c r="HZW65" s="5"/>
      <c r="HZX65" s="5"/>
      <c r="HZY65" s="5"/>
      <c r="HZZ65" s="5"/>
      <c r="IAA65" s="5"/>
      <c r="IAB65" s="5"/>
      <c r="IAC65" s="5"/>
      <c r="IAD65" s="5"/>
      <c r="IAE65" s="5"/>
      <c r="IAF65" s="5"/>
      <c r="IAG65" s="5"/>
      <c r="IAH65" s="5"/>
      <c r="IAI65" s="5"/>
      <c r="IAJ65" s="5"/>
      <c r="IAK65" s="5"/>
      <c r="IAL65" s="5"/>
      <c r="IAM65" s="5"/>
      <c r="IAN65" s="5"/>
      <c r="IAO65" s="5"/>
      <c r="IAP65" s="5"/>
      <c r="IAQ65" s="5"/>
      <c r="IAR65" s="5"/>
      <c r="IAS65" s="5"/>
      <c r="IAT65" s="5"/>
      <c r="IAU65" s="5"/>
      <c r="IAV65" s="5"/>
      <c r="IAW65" s="5"/>
      <c r="IAX65" s="5"/>
      <c r="IAY65" s="5"/>
      <c r="IAZ65" s="5"/>
      <c r="IBA65" s="5"/>
      <c r="IBB65" s="5"/>
      <c r="IBC65" s="5"/>
      <c r="IBD65" s="5"/>
      <c r="IBE65" s="5"/>
      <c r="IBF65" s="5"/>
      <c r="IBG65" s="5"/>
      <c r="IBH65" s="5"/>
      <c r="IBI65" s="5"/>
      <c r="IBJ65" s="5"/>
      <c r="IBK65" s="5"/>
      <c r="IBL65" s="5"/>
      <c r="IBM65" s="5"/>
      <c r="IBN65" s="5"/>
      <c r="IBO65" s="5"/>
      <c r="IBP65" s="5"/>
      <c r="IBQ65" s="5"/>
      <c r="IBR65" s="5"/>
      <c r="IBS65" s="5"/>
      <c r="IBT65" s="5"/>
      <c r="IBU65" s="5"/>
      <c r="IBV65" s="5"/>
      <c r="IBW65" s="5"/>
      <c r="IBX65" s="5"/>
      <c r="IBY65" s="5"/>
      <c r="IBZ65" s="5"/>
      <c r="ICA65" s="5"/>
      <c r="ICB65" s="5"/>
      <c r="ICC65" s="5"/>
      <c r="ICD65" s="5"/>
      <c r="ICE65" s="5"/>
      <c r="ICF65" s="5"/>
      <c r="ICG65" s="5"/>
      <c r="ICH65" s="5"/>
      <c r="ICI65" s="5"/>
      <c r="ICJ65" s="5"/>
      <c r="ICK65" s="5"/>
      <c r="ICL65" s="5"/>
      <c r="ICM65" s="5"/>
      <c r="ICN65" s="5"/>
      <c r="ICO65" s="5"/>
      <c r="ICP65" s="5"/>
      <c r="ICQ65" s="5"/>
      <c r="ICR65" s="5"/>
      <c r="ICS65" s="5"/>
      <c r="ICT65" s="5"/>
      <c r="ICU65" s="5"/>
      <c r="ICV65" s="5"/>
      <c r="ICW65" s="5"/>
      <c r="ICX65" s="5"/>
      <c r="ICY65" s="5"/>
      <c r="ICZ65" s="5"/>
      <c r="IDA65" s="5"/>
      <c r="IDB65" s="5"/>
      <c r="IDC65" s="5"/>
      <c r="IDD65" s="5"/>
      <c r="IDE65" s="5"/>
      <c r="IDF65" s="5"/>
      <c r="IDG65" s="5"/>
      <c r="IDH65" s="5"/>
      <c r="IDI65" s="5"/>
      <c r="IDJ65" s="5"/>
      <c r="IDK65" s="5"/>
      <c r="IDL65" s="5"/>
      <c r="IDM65" s="5"/>
      <c r="IDN65" s="5"/>
      <c r="IDO65" s="5"/>
      <c r="IDP65" s="5"/>
      <c r="IDQ65" s="5"/>
      <c r="IDR65" s="5"/>
      <c r="IDS65" s="5"/>
      <c r="IDT65" s="5"/>
      <c r="IDU65" s="5"/>
      <c r="IDV65" s="5"/>
      <c r="IDW65" s="5"/>
      <c r="IDX65" s="5"/>
      <c r="IDY65" s="5"/>
      <c r="IDZ65" s="5"/>
      <c r="IEA65" s="5"/>
      <c r="IEB65" s="5"/>
      <c r="IEC65" s="5"/>
      <c r="IED65" s="5"/>
      <c r="IEE65" s="5"/>
      <c r="IEF65" s="5"/>
      <c r="IEG65" s="5"/>
      <c r="IEH65" s="5"/>
      <c r="IEI65" s="5"/>
      <c r="IEJ65" s="5"/>
      <c r="IEK65" s="5"/>
      <c r="IEL65" s="5"/>
      <c r="IEM65" s="5"/>
      <c r="IEN65" s="5"/>
      <c r="IEO65" s="5"/>
      <c r="IEP65" s="5"/>
      <c r="IEQ65" s="5"/>
      <c r="IER65" s="5"/>
      <c r="IES65" s="5"/>
      <c r="IET65" s="5"/>
      <c r="IEU65" s="5"/>
      <c r="IEV65" s="5"/>
      <c r="IEW65" s="5"/>
      <c r="IEX65" s="5"/>
      <c r="IEY65" s="5"/>
      <c r="IEZ65" s="5"/>
      <c r="IFA65" s="5"/>
      <c r="IFB65" s="5"/>
      <c r="IFC65" s="5"/>
      <c r="IFD65" s="5"/>
      <c r="IFE65" s="5"/>
      <c r="IFF65" s="5"/>
      <c r="IFG65" s="5"/>
      <c r="IFH65" s="5"/>
      <c r="IFI65" s="5"/>
      <c r="IFJ65" s="5"/>
      <c r="IFK65" s="5"/>
      <c r="IFL65" s="5"/>
      <c r="IFM65" s="5"/>
      <c r="IFN65" s="5"/>
      <c r="IFO65" s="5"/>
      <c r="IFP65" s="5"/>
      <c r="IFQ65" s="5"/>
      <c r="IFR65" s="5"/>
      <c r="IFS65" s="5"/>
      <c r="IFT65" s="5"/>
      <c r="IFU65" s="5"/>
      <c r="IFV65" s="5"/>
      <c r="IFW65" s="5"/>
      <c r="IFX65" s="5"/>
      <c r="IFY65" s="5"/>
      <c r="IFZ65" s="5"/>
      <c r="IGA65" s="5"/>
      <c r="IGB65" s="5"/>
      <c r="IGC65" s="5"/>
      <c r="IGD65" s="5"/>
      <c r="IGE65" s="5"/>
      <c r="IGF65" s="5"/>
      <c r="IGG65" s="5"/>
      <c r="IGH65" s="5"/>
      <c r="IGI65" s="5"/>
      <c r="IGJ65" s="5"/>
      <c r="IGK65" s="5"/>
      <c r="IGL65" s="5"/>
      <c r="IGM65" s="5"/>
      <c r="IGN65" s="5"/>
      <c r="IGO65" s="5"/>
      <c r="IGP65" s="5"/>
      <c r="IGQ65" s="5"/>
      <c r="IGR65" s="5"/>
      <c r="IGS65" s="5"/>
      <c r="IGT65" s="5"/>
      <c r="IGU65" s="5"/>
      <c r="IGV65" s="5"/>
      <c r="IGW65" s="5"/>
      <c r="IGX65" s="5"/>
      <c r="IGY65" s="5"/>
      <c r="IGZ65" s="5"/>
      <c r="IHA65" s="5"/>
      <c r="IHB65" s="5"/>
      <c r="IHC65" s="5"/>
      <c r="IHD65" s="5"/>
      <c r="IHE65" s="5"/>
      <c r="IHF65" s="5"/>
      <c r="IHG65" s="5"/>
      <c r="IHH65" s="5"/>
      <c r="IHI65" s="5"/>
      <c r="IHJ65" s="5"/>
      <c r="IHK65" s="5"/>
      <c r="IHL65" s="5"/>
      <c r="IHM65" s="5"/>
      <c r="IHN65" s="5"/>
      <c r="IHO65" s="5"/>
      <c r="IHP65" s="5"/>
      <c r="IHQ65" s="5"/>
      <c r="IHR65" s="5"/>
      <c r="IHS65" s="5"/>
      <c r="IHT65" s="5"/>
      <c r="IHU65" s="5"/>
      <c r="IHV65" s="5"/>
      <c r="IHW65" s="5"/>
      <c r="IHX65" s="5"/>
      <c r="IHY65" s="5"/>
      <c r="IHZ65" s="5"/>
      <c r="IIA65" s="5"/>
      <c r="IIB65" s="5"/>
      <c r="IIC65" s="5"/>
      <c r="IID65" s="5"/>
      <c r="IIE65" s="5"/>
      <c r="IIF65" s="5"/>
      <c r="IIG65" s="5"/>
      <c r="IIH65" s="5"/>
      <c r="III65" s="5"/>
      <c r="IIJ65" s="5"/>
      <c r="IIK65" s="5"/>
      <c r="IIL65" s="5"/>
      <c r="IIM65" s="5"/>
      <c r="IIN65" s="5"/>
      <c r="IIO65" s="5"/>
      <c r="IIP65" s="5"/>
      <c r="IIQ65" s="5"/>
      <c r="IIR65" s="5"/>
      <c r="IIS65" s="5"/>
      <c r="IIT65" s="5"/>
      <c r="IIU65" s="5"/>
      <c r="IIV65" s="5"/>
      <c r="IIW65" s="5"/>
      <c r="IIX65" s="5"/>
      <c r="IIY65" s="5"/>
      <c r="IIZ65" s="5"/>
      <c r="IJA65" s="5"/>
      <c r="IJB65" s="5"/>
      <c r="IJC65" s="5"/>
      <c r="IJD65" s="5"/>
      <c r="IJE65" s="5"/>
      <c r="IJF65" s="5"/>
      <c r="IJG65" s="5"/>
      <c r="IJH65" s="5"/>
      <c r="IJI65" s="5"/>
      <c r="IJJ65" s="5"/>
      <c r="IJK65" s="5"/>
      <c r="IJL65" s="5"/>
      <c r="IJM65" s="5"/>
      <c r="IJN65" s="5"/>
      <c r="IJO65" s="5"/>
      <c r="IJP65" s="5"/>
      <c r="IJQ65" s="5"/>
      <c r="IJR65" s="5"/>
      <c r="IJS65" s="5"/>
      <c r="IJT65" s="5"/>
      <c r="IJU65" s="5"/>
      <c r="IJV65" s="5"/>
      <c r="IJW65" s="5"/>
      <c r="IJX65" s="5"/>
      <c r="IJY65" s="5"/>
      <c r="IJZ65" s="5"/>
      <c r="IKA65" s="5"/>
      <c r="IKB65" s="5"/>
      <c r="IKC65" s="5"/>
      <c r="IKD65" s="5"/>
      <c r="IKE65" s="5"/>
      <c r="IKF65" s="5"/>
      <c r="IKG65" s="5"/>
      <c r="IKH65" s="5"/>
      <c r="IKI65" s="5"/>
      <c r="IKJ65" s="5"/>
      <c r="IKK65" s="5"/>
      <c r="IKL65" s="5"/>
      <c r="IKM65" s="5"/>
      <c r="IKN65" s="5"/>
      <c r="IKO65" s="5"/>
      <c r="IKP65" s="5"/>
      <c r="IKQ65" s="5"/>
      <c r="IKR65" s="5"/>
      <c r="IKS65" s="5"/>
      <c r="IKT65" s="5"/>
      <c r="IKU65" s="5"/>
      <c r="IKV65" s="5"/>
      <c r="IKW65" s="5"/>
      <c r="IKX65" s="5"/>
      <c r="IKY65" s="5"/>
      <c r="IKZ65" s="5"/>
      <c r="ILA65" s="5"/>
      <c r="ILB65" s="5"/>
      <c r="ILC65" s="5"/>
      <c r="ILD65" s="5"/>
      <c r="ILE65" s="5"/>
      <c r="ILF65" s="5"/>
      <c r="ILG65" s="5"/>
      <c r="ILH65" s="5"/>
      <c r="ILI65" s="5"/>
      <c r="ILJ65" s="5"/>
      <c r="ILK65" s="5"/>
      <c r="ILL65" s="5"/>
      <c r="ILM65" s="5"/>
      <c r="ILN65" s="5"/>
      <c r="ILO65" s="5"/>
      <c r="ILP65" s="5"/>
      <c r="ILQ65" s="5"/>
      <c r="ILR65" s="5"/>
      <c r="ILS65" s="5"/>
      <c r="ILT65" s="5"/>
      <c r="ILU65" s="5"/>
      <c r="ILV65" s="5"/>
      <c r="ILW65" s="5"/>
      <c r="ILX65" s="5"/>
      <c r="ILY65" s="5"/>
      <c r="ILZ65" s="5"/>
      <c r="IMA65" s="5"/>
      <c r="IMB65" s="5"/>
      <c r="IMC65" s="5"/>
      <c r="IMD65" s="5"/>
      <c r="IME65" s="5"/>
      <c r="IMF65" s="5"/>
      <c r="IMG65" s="5"/>
      <c r="IMH65" s="5"/>
      <c r="IMI65" s="5"/>
      <c r="IMJ65" s="5"/>
      <c r="IMK65" s="5"/>
      <c r="IML65" s="5"/>
      <c r="IMM65" s="5"/>
      <c r="IMN65" s="5"/>
      <c r="IMO65" s="5"/>
      <c r="IMP65" s="5"/>
      <c r="IMQ65" s="5"/>
      <c r="IMR65" s="5"/>
      <c r="IMS65" s="5"/>
      <c r="IMT65" s="5"/>
      <c r="IMU65" s="5"/>
      <c r="IMV65" s="5"/>
      <c r="IMW65" s="5"/>
      <c r="IMX65" s="5"/>
      <c r="IMY65" s="5"/>
      <c r="IMZ65" s="5"/>
      <c r="INA65" s="5"/>
      <c r="INB65" s="5"/>
      <c r="INC65" s="5"/>
      <c r="IND65" s="5"/>
      <c r="INE65" s="5"/>
      <c r="INF65" s="5"/>
      <c r="ING65" s="5"/>
      <c r="INH65" s="5"/>
      <c r="INI65" s="5"/>
      <c r="INJ65" s="5"/>
      <c r="INK65" s="5"/>
      <c r="INL65" s="5"/>
      <c r="INM65" s="5"/>
      <c r="INN65" s="5"/>
      <c r="INO65" s="5"/>
      <c r="INP65" s="5"/>
      <c r="INQ65" s="5"/>
      <c r="INR65" s="5"/>
      <c r="INS65" s="5"/>
      <c r="INT65" s="5"/>
      <c r="INU65" s="5"/>
      <c r="INV65" s="5"/>
      <c r="INW65" s="5"/>
      <c r="INX65" s="5"/>
      <c r="INY65" s="5"/>
      <c r="INZ65" s="5"/>
      <c r="IOA65" s="5"/>
      <c r="IOB65" s="5"/>
      <c r="IOC65" s="5"/>
      <c r="IOD65" s="5"/>
      <c r="IOE65" s="5"/>
      <c r="IOF65" s="5"/>
      <c r="IOG65" s="5"/>
      <c r="IOH65" s="5"/>
      <c r="IOI65" s="5"/>
      <c r="IOJ65" s="5"/>
      <c r="IOK65" s="5"/>
      <c r="IOL65" s="5"/>
      <c r="IOM65" s="5"/>
      <c r="ION65" s="5"/>
      <c r="IOO65" s="5"/>
      <c r="IOP65" s="5"/>
      <c r="IOQ65" s="5"/>
      <c r="IOR65" s="5"/>
      <c r="IOS65" s="5"/>
      <c r="IOT65" s="5"/>
      <c r="IOU65" s="5"/>
      <c r="IOV65" s="5"/>
      <c r="IOW65" s="5"/>
      <c r="IOX65" s="5"/>
      <c r="IOY65" s="5"/>
      <c r="IOZ65" s="5"/>
      <c r="IPA65" s="5"/>
      <c r="IPB65" s="5"/>
      <c r="IPC65" s="5"/>
      <c r="IPD65" s="5"/>
      <c r="IPE65" s="5"/>
      <c r="IPF65" s="5"/>
      <c r="IPG65" s="5"/>
      <c r="IPH65" s="5"/>
      <c r="IPI65" s="5"/>
      <c r="IPJ65" s="5"/>
      <c r="IPK65" s="5"/>
      <c r="IPL65" s="5"/>
      <c r="IPM65" s="5"/>
      <c r="IPN65" s="5"/>
      <c r="IPO65" s="5"/>
      <c r="IPP65" s="5"/>
      <c r="IPQ65" s="5"/>
      <c r="IPR65" s="5"/>
      <c r="IPS65" s="5"/>
      <c r="IPT65" s="5"/>
      <c r="IPU65" s="5"/>
      <c r="IPV65" s="5"/>
      <c r="IPW65" s="5"/>
      <c r="IPX65" s="5"/>
      <c r="IPY65" s="5"/>
      <c r="IPZ65" s="5"/>
      <c r="IQA65" s="5"/>
      <c r="IQB65" s="5"/>
      <c r="IQC65" s="5"/>
      <c r="IQD65" s="5"/>
      <c r="IQE65" s="5"/>
      <c r="IQF65" s="5"/>
      <c r="IQG65" s="5"/>
      <c r="IQH65" s="5"/>
      <c r="IQI65" s="5"/>
      <c r="IQJ65" s="5"/>
      <c r="IQK65" s="5"/>
      <c r="IQL65" s="5"/>
      <c r="IQM65" s="5"/>
      <c r="IQN65" s="5"/>
      <c r="IQO65" s="5"/>
      <c r="IQP65" s="5"/>
      <c r="IQQ65" s="5"/>
      <c r="IQR65" s="5"/>
      <c r="IQS65" s="5"/>
      <c r="IQT65" s="5"/>
      <c r="IQU65" s="5"/>
      <c r="IQV65" s="5"/>
      <c r="IQW65" s="5"/>
      <c r="IQX65" s="5"/>
      <c r="IQY65" s="5"/>
      <c r="IQZ65" s="5"/>
      <c r="IRA65" s="5"/>
      <c r="IRB65" s="5"/>
      <c r="IRC65" s="5"/>
      <c r="IRD65" s="5"/>
      <c r="IRE65" s="5"/>
      <c r="IRF65" s="5"/>
      <c r="IRG65" s="5"/>
      <c r="IRH65" s="5"/>
      <c r="IRI65" s="5"/>
      <c r="IRJ65" s="5"/>
      <c r="IRK65" s="5"/>
      <c r="IRL65" s="5"/>
      <c r="IRM65" s="5"/>
      <c r="IRN65" s="5"/>
      <c r="IRO65" s="5"/>
      <c r="IRP65" s="5"/>
      <c r="IRQ65" s="5"/>
      <c r="IRR65" s="5"/>
      <c r="IRS65" s="5"/>
      <c r="IRT65" s="5"/>
      <c r="IRU65" s="5"/>
      <c r="IRV65" s="5"/>
      <c r="IRW65" s="5"/>
      <c r="IRX65" s="5"/>
      <c r="IRY65" s="5"/>
      <c r="IRZ65" s="5"/>
      <c r="ISA65" s="5"/>
      <c r="ISB65" s="5"/>
      <c r="ISC65" s="5"/>
      <c r="ISD65" s="5"/>
      <c r="ISE65" s="5"/>
      <c r="ISF65" s="5"/>
      <c r="ISG65" s="5"/>
      <c r="ISH65" s="5"/>
      <c r="ISI65" s="5"/>
      <c r="ISJ65" s="5"/>
      <c r="ISK65" s="5"/>
      <c r="ISL65" s="5"/>
      <c r="ISM65" s="5"/>
      <c r="ISN65" s="5"/>
      <c r="ISO65" s="5"/>
      <c r="ISP65" s="5"/>
      <c r="ISQ65" s="5"/>
      <c r="ISR65" s="5"/>
      <c r="ISS65" s="5"/>
      <c r="IST65" s="5"/>
      <c r="ISU65" s="5"/>
      <c r="ISV65" s="5"/>
      <c r="ISW65" s="5"/>
      <c r="ISX65" s="5"/>
      <c r="ISY65" s="5"/>
      <c r="ISZ65" s="5"/>
      <c r="ITA65" s="5"/>
      <c r="ITB65" s="5"/>
      <c r="ITC65" s="5"/>
      <c r="ITD65" s="5"/>
      <c r="ITE65" s="5"/>
      <c r="ITF65" s="5"/>
      <c r="ITG65" s="5"/>
      <c r="ITH65" s="5"/>
      <c r="ITI65" s="5"/>
      <c r="ITJ65" s="5"/>
      <c r="ITK65" s="5"/>
      <c r="ITL65" s="5"/>
      <c r="ITM65" s="5"/>
      <c r="ITN65" s="5"/>
      <c r="ITO65" s="5"/>
      <c r="ITP65" s="5"/>
      <c r="ITQ65" s="5"/>
      <c r="ITR65" s="5"/>
      <c r="ITS65" s="5"/>
      <c r="ITT65" s="5"/>
      <c r="ITU65" s="5"/>
      <c r="ITV65" s="5"/>
      <c r="ITW65" s="5"/>
      <c r="ITX65" s="5"/>
      <c r="ITY65" s="5"/>
      <c r="ITZ65" s="5"/>
      <c r="IUA65" s="5"/>
      <c r="IUB65" s="5"/>
      <c r="IUC65" s="5"/>
      <c r="IUD65" s="5"/>
      <c r="IUE65" s="5"/>
      <c r="IUF65" s="5"/>
      <c r="IUG65" s="5"/>
      <c r="IUH65" s="5"/>
      <c r="IUI65" s="5"/>
      <c r="IUJ65" s="5"/>
      <c r="IUK65" s="5"/>
      <c r="IUL65" s="5"/>
      <c r="IUM65" s="5"/>
      <c r="IUN65" s="5"/>
      <c r="IUO65" s="5"/>
      <c r="IUP65" s="5"/>
      <c r="IUQ65" s="5"/>
      <c r="IUR65" s="5"/>
      <c r="IUS65" s="5"/>
      <c r="IUT65" s="5"/>
      <c r="IUU65" s="5"/>
      <c r="IUV65" s="5"/>
      <c r="IUW65" s="5"/>
      <c r="IUX65" s="5"/>
      <c r="IUY65" s="5"/>
      <c r="IUZ65" s="5"/>
      <c r="IVA65" s="5"/>
      <c r="IVB65" s="5"/>
      <c r="IVC65" s="5"/>
      <c r="IVD65" s="5"/>
      <c r="IVE65" s="5"/>
      <c r="IVF65" s="5"/>
      <c r="IVG65" s="5"/>
      <c r="IVH65" s="5"/>
      <c r="IVI65" s="5"/>
      <c r="IVJ65" s="5"/>
      <c r="IVK65" s="5"/>
      <c r="IVL65" s="5"/>
      <c r="IVM65" s="5"/>
      <c r="IVN65" s="5"/>
      <c r="IVO65" s="5"/>
      <c r="IVP65" s="5"/>
      <c r="IVQ65" s="5"/>
      <c r="IVR65" s="5"/>
      <c r="IVS65" s="5"/>
      <c r="IVT65" s="5"/>
      <c r="IVU65" s="5"/>
      <c r="IVV65" s="5"/>
      <c r="IVW65" s="5"/>
      <c r="IVX65" s="5"/>
      <c r="IVY65" s="5"/>
      <c r="IVZ65" s="5"/>
      <c r="IWA65" s="5"/>
      <c r="IWB65" s="5"/>
      <c r="IWC65" s="5"/>
      <c r="IWD65" s="5"/>
      <c r="IWE65" s="5"/>
      <c r="IWF65" s="5"/>
      <c r="IWG65" s="5"/>
      <c r="IWH65" s="5"/>
      <c r="IWI65" s="5"/>
      <c r="IWJ65" s="5"/>
      <c r="IWK65" s="5"/>
      <c r="IWL65" s="5"/>
      <c r="IWM65" s="5"/>
      <c r="IWN65" s="5"/>
      <c r="IWO65" s="5"/>
      <c r="IWP65" s="5"/>
      <c r="IWQ65" s="5"/>
      <c r="IWR65" s="5"/>
      <c r="IWS65" s="5"/>
      <c r="IWT65" s="5"/>
      <c r="IWU65" s="5"/>
      <c r="IWV65" s="5"/>
      <c r="IWW65" s="5"/>
      <c r="IWX65" s="5"/>
      <c r="IWY65" s="5"/>
      <c r="IWZ65" s="5"/>
      <c r="IXA65" s="5"/>
      <c r="IXB65" s="5"/>
      <c r="IXC65" s="5"/>
      <c r="IXD65" s="5"/>
      <c r="IXE65" s="5"/>
      <c r="IXF65" s="5"/>
      <c r="IXG65" s="5"/>
      <c r="IXH65" s="5"/>
      <c r="IXI65" s="5"/>
      <c r="IXJ65" s="5"/>
      <c r="IXK65" s="5"/>
      <c r="IXL65" s="5"/>
      <c r="IXM65" s="5"/>
      <c r="IXN65" s="5"/>
      <c r="IXO65" s="5"/>
      <c r="IXP65" s="5"/>
      <c r="IXQ65" s="5"/>
      <c r="IXR65" s="5"/>
      <c r="IXS65" s="5"/>
      <c r="IXT65" s="5"/>
      <c r="IXU65" s="5"/>
      <c r="IXV65" s="5"/>
      <c r="IXW65" s="5"/>
      <c r="IXX65" s="5"/>
      <c r="IXY65" s="5"/>
      <c r="IXZ65" s="5"/>
      <c r="IYA65" s="5"/>
      <c r="IYB65" s="5"/>
      <c r="IYC65" s="5"/>
      <c r="IYD65" s="5"/>
      <c r="IYE65" s="5"/>
      <c r="IYF65" s="5"/>
      <c r="IYG65" s="5"/>
      <c r="IYH65" s="5"/>
      <c r="IYI65" s="5"/>
      <c r="IYJ65" s="5"/>
      <c r="IYK65" s="5"/>
      <c r="IYL65" s="5"/>
      <c r="IYM65" s="5"/>
      <c r="IYN65" s="5"/>
      <c r="IYO65" s="5"/>
      <c r="IYP65" s="5"/>
      <c r="IYQ65" s="5"/>
      <c r="IYR65" s="5"/>
      <c r="IYS65" s="5"/>
      <c r="IYT65" s="5"/>
      <c r="IYU65" s="5"/>
      <c r="IYV65" s="5"/>
      <c r="IYW65" s="5"/>
      <c r="IYX65" s="5"/>
      <c r="IYY65" s="5"/>
      <c r="IYZ65" s="5"/>
      <c r="IZA65" s="5"/>
      <c r="IZB65" s="5"/>
      <c r="IZC65" s="5"/>
      <c r="IZD65" s="5"/>
      <c r="IZE65" s="5"/>
      <c r="IZF65" s="5"/>
      <c r="IZG65" s="5"/>
      <c r="IZH65" s="5"/>
      <c r="IZI65" s="5"/>
      <c r="IZJ65" s="5"/>
      <c r="IZK65" s="5"/>
      <c r="IZL65" s="5"/>
      <c r="IZM65" s="5"/>
      <c r="IZN65" s="5"/>
      <c r="IZO65" s="5"/>
      <c r="IZP65" s="5"/>
      <c r="IZQ65" s="5"/>
      <c r="IZR65" s="5"/>
      <c r="IZS65" s="5"/>
      <c r="IZT65" s="5"/>
      <c r="IZU65" s="5"/>
      <c r="IZV65" s="5"/>
      <c r="IZW65" s="5"/>
      <c r="IZX65" s="5"/>
      <c r="IZY65" s="5"/>
      <c r="IZZ65" s="5"/>
      <c r="JAA65" s="5"/>
      <c r="JAB65" s="5"/>
      <c r="JAC65" s="5"/>
      <c r="JAD65" s="5"/>
      <c r="JAE65" s="5"/>
      <c r="JAF65" s="5"/>
      <c r="JAG65" s="5"/>
      <c r="JAH65" s="5"/>
      <c r="JAI65" s="5"/>
      <c r="JAJ65" s="5"/>
      <c r="JAK65" s="5"/>
      <c r="JAL65" s="5"/>
      <c r="JAM65" s="5"/>
      <c r="JAN65" s="5"/>
      <c r="JAO65" s="5"/>
      <c r="JAP65" s="5"/>
      <c r="JAQ65" s="5"/>
      <c r="JAR65" s="5"/>
      <c r="JAS65" s="5"/>
      <c r="JAT65" s="5"/>
      <c r="JAU65" s="5"/>
      <c r="JAV65" s="5"/>
      <c r="JAW65" s="5"/>
      <c r="JAX65" s="5"/>
      <c r="JAY65" s="5"/>
      <c r="JAZ65" s="5"/>
      <c r="JBA65" s="5"/>
      <c r="JBB65" s="5"/>
      <c r="JBC65" s="5"/>
      <c r="JBD65" s="5"/>
      <c r="JBE65" s="5"/>
      <c r="JBF65" s="5"/>
      <c r="JBG65" s="5"/>
      <c r="JBH65" s="5"/>
      <c r="JBI65" s="5"/>
      <c r="JBJ65" s="5"/>
      <c r="JBK65" s="5"/>
      <c r="JBL65" s="5"/>
      <c r="JBM65" s="5"/>
      <c r="JBN65" s="5"/>
      <c r="JBO65" s="5"/>
      <c r="JBP65" s="5"/>
      <c r="JBQ65" s="5"/>
      <c r="JBR65" s="5"/>
      <c r="JBS65" s="5"/>
      <c r="JBT65" s="5"/>
      <c r="JBU65" s="5"/>
      <c r="JBV65" s="5"/>
      <c r="JBW65" s="5"/>
      <c r="JBX65" s="5"/>
      <c r="JBY65" s="5"/>
      <c r="JBZ65" s="5"/>
      <c r="JCA65" s="5"/>
      <c r="JCB65" s="5"/>
      <c r="JCC65" s="5"/>
      <c r="JCD65" s="5"/>
      <c r="JCE65" s="5"/>
      <c r="JCF65" s="5"/>
      <c r="JCG65" s="5"/>
      <c r="JCH65" s="5"/>
      <c r="JCI65" s="5"/>
      <c r="JCJ65" s="5"/>
      <c r="JCK65" s="5"/>
      <c r="JCL65" s="5"/>
      <c r="JCM65" s="5"/>
      <c r="JCN65" s="5"/>
      <c r="JCO65" s="5"/>
      <c r="JCP65" s="5"/>
      <c r="JCQ65" s="5"/>
      <c r="JCR65" s="5"/>
      <c r="JCS65" s="5"/>
      <c r="JCT65" s="5"/>
      <c r="JCU65" s="5"/>
      <c r="JCV65" s="5"/>
      <c r="JCW65" s="5"/>
      <c r="JCX65" s="5"/>
      <c r="JCY65" s="5"/>
      <c r="JCZ65" s="5"/>
      <c r="JDA65" s="5"/>
      <c r="JDB65" s="5"/>
      <c r="JDC65" s="5"/>
      <c r="JDD65" s="5"/>
      <c r="JDE65" s="5"/>
      <c r="JDF65" s="5"/>
      <c r="JDG65" s="5"/>
      <c r="JDH65" s="5"/>
      <c r="JDI65" s="5"/>
      <c r="JDJ65" s="5"/>
      <c r="JDK65" s="5"/>
      <c r="JDL65" s="5"/>
      <c r="JDM65" s="5"/>
      <c r="JDN65" s="5"/>
      <c r="JDO65" s="5"/>
      <c r="JDP65" s="5"/>
      <c r="JDQ65" s="5"/>
      <c r="JDR65" s="5"/>
      <c r="JDS65" s="5"/>
      <c r="JDT65" s="5"/>
      <c r="JDU65" s="5"/>
      <c r="JDV65" s="5"/>
      <c r="JDW65" s="5"/>
      <c r="JDX65" s="5"/>
      <c r="JDY65" s="5"/>
      <c r="JDZ65" s="5"/>
      <c r="JEA65" s="5"/>
      <c r="JEB65" s="5"/>
      <c r="JEC65" s="5"/>
      <c r="JED65" s="5"/>
      <c r="JEE65" s="5"/>
      <c r="JEF65" s="5"/>
      <c r="JEG65" s="5"/>
      <c r="JEH65" s="5"/>
      <c r="JEI65" s="5"/>
      <c r="JEJ65" s="5"/>
      <c r="JEK65" s="5"/>
      <c r="JEL65" s="5"/>
      <c r="JEM65" s="5"/>
      <c r="JEN65" s="5"/>
      <c r="JEO65" s="5"/>
      <c r="JEP65" s="5"/>
      <c r="JEQ65" s="5"/>
      <c r="JER65" s="5"/>
      <c r="JES65" s="5"/>
      <c r="JET65" s="5"/>
      <c r="JEU65" s="5"/>
      <c r="JEV65" s="5"/>
      <c r="JEW65" s="5"/>
      <c r="JEX65" s="5"/>
      <c r="JEY65" s="5"/>
      <c r="JEZ65" s="5"/>
      <c r="JFA65" s="5"/>
      <c r="JFB65" s="5"/>
      <c r="JFC65" s="5"/>
      <c r="JFD65" s="5"/>
      <c r="JFE65" s="5"/>
      <c r="JFF65" s="5"/>
      <c r="JFG65" s="5"/>
      <c r="JFH65" s="5"/>
      <c r="JFI65" s="5"/>
      <c r="JFJ65" s="5"/>
      <c r="JFK65" s="5"/>
      <c r="JFL65" s="5"/>
      <c r="JFM65" s="5"/>
      <c r="JFN65" s="5"/>
      <c r="JFO65" s="5"/>
      <c r="JFP65" s="5"/>
      <c r="JFQ65" s="5"/>
      <c r="JFR65" s="5"/>
      <c r="JFS65" s="5"/>
      <c r="JFT65" s="5"/>
      <c r="JFU65" s="5"/>
      <c r="JFV65" s="5"/>
      <c r="JFW65" s="5"/>
      <c r="JFX65" s="5"/>
      <c r="JFY65" s="5"/>
      <c r="JFZ65" s="5"/>
      <c r="JGA65" s="5"/>
      <c r="JGB65" s="5"/>
      <c r="JGC65" s="5"/>
      <c r="JGD65" s="5"/>
      <c r="JGE65" s="5"/>
      <c r="JGF65" s="5"/>
      <c r="JGG65" s="5"/>
      <c r="JGH65" s="5"/>
      <c r="JGI65" s="5"/>
      <c r="JGJ65" s="5"/>
      <c r="JGK65" s="5"/>
      <c r="JGL65" s="5"/>
      <c r="JGM65" s="5"/>
      <c r="JGN65" s="5"/>
      <c r="JGO65" s="5"/>
      <c r="JGP65" s="5"/>
      <c r="JGQ65" s="5"/>
      <c r="JGR65" s="5"/>
      <c r="JGS65" s="5"/>
      <c r="JGT65" s="5"/>
      <c r="JGU65" s="5"/>
      <c r="JGV65" s="5"/>
      <c r="JGW65" s="5"/>
      <c r="JGX65" s="5"/>
      <c r="JGY65" s="5"/>
      <c r="JGZ65" s="5"/>
      <c r="JHA65" s="5"/>
      <c r="JHB65" s="5"/>
      <c r="JHC65" s="5"/>
      <c r="JHD65" s="5"/>
      <c r="JHE65" s="5"/>
      <c r="JHF65" s="5"/>
      <c r="JHG65" s="5"/>
      <c r="JHH65" s="5"/>
      <c r="JHI65" s="5"/>
      <c r="JHJ65" s="5"/>
      <c r="JHK65" s="5"/>
      <c r="JHL65" s="5"/>
      <c r="JHM65" s="5"/>
      <c r="JHN65" s="5"/>
      <c r="JHO65" s="5"/>
      <c r="JHP65" s="5"/>
      <c r="JHQ65" s="5"/>
      <c r="JHR65" s="5"/>
      <c r="JHS65" s="5"/>
      <c r="JHT65" s="5"/>
      <c r="JHU65" s="5"/>
      <c r="JHV65" s="5"/>
      <c r="JHW65" s="5"/>
      <c r="JHX65" s="5"/>
      <c r="JHY65" s="5"/>
      <c r="JHZ65" s="5"/>
      <c r="JIA65" s="5"/>
      <c r="JIB65" s="5"/>
      <c r="JIC65" s="5"/>
      <c r="JID65" s="5"/>
      <c r="JIE65" s="5"/>
      <c r="JIF65" s="5"/>
      <c r="JIG65" s="5"/>
      <c r="JIH65" s="5"/>
      <c r="JII65" s="5"/>
      <c r="JIJ65" s="5"/>
      <c r="JIK65" s="5"/>
      <c r="JIL65" s="5"/>
      <c r="JIM65" s="5"/>
      <c r="JIN65" s="5"/>
      <c r="JIO65" s="5"/>
      <c r="JIP65" s="5"/>
      <c r="JIQ65" s="5"/>
      <c r="JIR65" s="5"/>
      <c r="JIS65" s="5"/>
      <c r="JIT65" s="5"/>
      <c r="JIU65" s="5"/>
      <c r="JIV65" s="5"/>
      <c r="JIW65" s="5"/>
      <c r="JIX65" s="5"/>
      <c r="JIY65" s="5"/>
      <c r="JIZ65" s="5"/>
      <c r="JJA65" s="5"/>
      <c r="JJB65" s="5"/>
      <c r="JJC65" s="5"/>
      <c r="JJD65" s="5"/>
      <c r="JJE65" s="5"/>
      <c r="JJF65" s="5"/>
      <c r="JJG65" s="5"/>
      <c r="JJH65" s="5"/>
      <c r="JJI65" s="5"/>
      <c r="JJJ65" s="5"/>
      <c r="JJK65" s="5"/>
      <c r="JJL65" s="5"/>
      <c r="JJM65" s="5"/>
      <c r="JJN65" s="5"/>
      <c r="JJO65" s="5"/>
      <c r="JJP65" s="5"/>
      <c r="JJQ65" s="5"/>
      <c r="JJR65" s="5"/>
      <c r="JJS65" s="5"/>
      <c r="JJT65" s="5"/>
      <c r="JJU65" s="5"/>
      <c r="JJV65" s="5"/>
      <c r="JJW65" s="5"/>
      <c r="JJX65" s="5"/>
      <c r="JJY65" s="5"/>
      <c r="JJZ65" s="5"/>
      <c r="JKA65" s="5"/>
      <c r="JKB65" s="5"/>
      <c r="JKC65" s="5"/>
      <c r="JKD65" s="5"/>
      <c r="JKE65" s="5"/>
      <c r="JKF65" s="5"/>
      <c r="JKG65" s="5"/>
      <c r="JKH65" s="5"/>
      <c r="JKI65" s="5"/>
      <c r="JKJ65" s="5"/>
      <c r="JKK65" s="5"/>
      <c r="JKL65" s="5"/>
      <c r="JKM65" s="5"/>
      <c r="JKN65" s="5"/>
      <c r="JKO65" s="5"/>
      <c r="JKP65" s="5"/>
      <c r="JKQ65" s="5"/>
      <c r="JKR65" s="5"/>
      <c r="JKS65" s="5"/>
      <c r="JKT65" s="5"/>
      <c r="JKU65" s="5"/>
      <c r="JKV65" s="5"/>
      <c r="JKW65" s="5"/>
      <c r="JKX65" s="5"/>
      <c r="JKY65" s="5"/>
      <c r="JKZ65" s="5"/>
      <c r="JLA65" s="5"/>
      <c r="JLB65" s="5"/>
      <c r="JLC65" s="5"/>
      <c r="JLD65" s="5"/>
      <c r="JLE65" s="5"/>
      <c r="JLF65" s="5"/>
      <c r="JLG65" s="5"/>
      <c r="JLH65" s="5"/>
      <c r="JLI65" s="5"/>
      <c r="JLJ65" s="5"/>
      <c r="JLK65" s="5"/>
      <c r="JLL65" s="5"/>
      <c r="JLM65" s="5"/>
      <c r="JLN65" s="5"/>
      <c r="JLO65" s="5"/>
      <c r="JLP65" s="5"/>
      <c r="JLQ65" s="5"/>
      <c r="JLR65" s="5"/>
      <c r="JLS65" s="5"/>
      <c r="JLT65" s="5"/>
      <c r="JLU65" s="5"/>
      <c r="JLV65" s="5"/>
      <c r="JLW65" s="5"/>
      <c r="JLX65" s="5"/>
      <c r="JLY65" s="5"/>
      <c r="JLZ65" s="5"/>
      <c r="JMA65" s="5"/>
      <c r="JMB65" s="5"/>
      <c r="JMC65" s="5"/>
      <c r="JMD65" s="5"/>
      <c r="JME65" s="5"/>
      <c r="JMF65" s="5"/>
      <c r="JMG65" s="5"/>
      <c r="JMH65" s="5"/>
      <c r="JMI65" s="5"/>
      <c r="JMJ65" s="5"/>
      <c r="JMK65" s="5"/>
      <c r="JML65" s="5"/>
      <c r="JMM65" s="5"/>
      <c r="JMN65" s="5"/>
      <c r="JMO65" s="5"/>
      <c r="JMP65" s="5"/>
      <c r="JMQ65" s="5"/>
      <c r="JMR65" s="5"/>
      <c r="JMS65" s="5"/>
      <c r="JMT65" s="5"/>
      <c r="JMU65" s="5"/>
      <c r="JMV65" s="5"/>
      <c r="JMW65" s="5"/>
      <c r="JMX65" s="5"/>
      <c r="JMY65" s="5"/>
      <c r="JMZ65" s="5"/>
      <c r="JNA65" s="5"/>
      <c r="JNB65" s="5"/>
      <c r="JNC65" s="5"/>
      <c r="JND65" s="5"/>
      <c r="JNE65" s="5"/>
      <c r="JNF65" s="5"/>
      <c r="JNG65" s="5"/>
      <c r="JNH65" s="5"/>
      <c r="JNI65" s="5"/>
      <c r="JNJ65" s="5"/>
      <c r="JNK65" s="5"/>
      <c r="JNL65" s="5"/>
      <c r="JNM65" s="5"/>
      <c r="JNN65" s="5"/>
      <c r="JNO65" s="5"/>
      <c r="JNP65" s="5"/>
      <c r="JNQ65" s="5"/>
      <c r="JNR65" s="5"/>
      <c r="JNS65" s="5"/>
      <c r="JNT65" s="5"/>
      <c r="JNU65" s="5"/>
      <c r="JNV65" s="5"/>
      <c r="JNW65" s="5"/>
      <c r="JNX65" s="5"/>
      <c r="JNY65" s="5"/>
      <c r="JNZ65" s="5"/>
      <c r="JOA65" s="5"/>
      <c r="JOB65" s="5"/>
      <c r="JOC65" s="5"/>
      <c r="JOD65" s="5"/>
      <c r="JOE65" s="5"/>
      <c r="JOF65" s="5"/>
      <c r="JOG65" s="5"/>
      <c r="JOH65" s="5"/>
      <c r="JOI65" s="5"/>
      <c r="JOJ65" s="5"/>
      <c r="JOK65" s="5"/>
      <c r="JOL65" s="5"/>
      <c r="JOM65" s="5"/>
      <c r="JON65" s="5"/>
      <c r="JOO65" s="5"/>
      <c r="JOP65" s="5"/>
      <c r="JOQ65" s="5"/>
      <c r="JOR65" s="5"/>
      <c r="JOS65" s="5"/>
      <c r="JOT65" s="5"/>
      <c r="JOU65" s="5"/>
      <c r="JOV65" s="5"/>
      <c r="JOW65" s="5"/>
      <c r="JOX65" s="5"/>
      <c r="JOY65" s="5"/>
      <c r="JOZ65" s="5"/>
      <c r="JPA65" s="5"/>
      <c r="JPB65" s="5"/>
      <c r="JPC65" s="5"/>
      <c r="JPD65" s="5"/>
      <c r="JPE65" s="5"/>
      <c r="JPF65" s="5"/>
      <c r="JPG65" s="5"/>
      <c r="JPH65" s="5"/>
      <c r="JPI65" s="5"/>
      <c r="JPJ65" s="5"/>
      <c r="JPK65" s="5"/>
      <c r="JPL65" s="5"/>
      <c r="JPM65" s="5"/>
      <c r="JPN65" s="5"/>
      <c r="JPO65" s="5"/>
      <c r="JPP65" s="5"/>
      <c r="JPQ65" s="5"/>
      <c r="JPR65" s="5"/>
      <c r="JPS65" s="5"/>
      <c r="JPT65" s="5"/>
      <c r="JPU65" s="5"/>
      <c r="JPV65" s="5"/>
      <c r="JPW65" s="5"/>
      <c r="JPX65" s="5"/>
      <c r="JPY65" s="5"/>
      <c r="JPZ65" s="5"/>
      <c r="JQA65" s="5"/>
      <c r="JQB65" s="5"/>
      <c r="JQC65" s="5"/>
      <c r="JQD65" s="5"/>
      <c r="JQE65" s="5"/>
      <c r="JQF65" s="5"/>
      <c r="JQG65" s="5"/>
      <c r="JQH65" s="5"/>
      <c r="JQI65" s="5"/>
      <c r="JQJ65" s="5"/>
      <c r="JQK65" s="5"/>
      <c r="JQL65" s="5"/>
      <c r="JQM65" s="5"/>
      <c r="JQN65" s="5"/>
      <c r="JQO65" s="5"/>
      <c r="JQP65" s="5"/>
      <c r="JQQ65" s="5"/>
      <c r="JQR65" s="5"/>
      <c r="JQS65" s="5"/>
      <c r="JQT65" s="5"/>
      <c r="JQU65" s="5"/>
      <c r="JQV65" s="5"/>
      <c r="JQW65" s="5"/>
      <c r="JQX65" s="5"/>
      <c r="JQY65" s="5"/>
      <c r="JQZ65" s="5"/>
      <c r="JRA65" s="5"/>
      <c r="JRB65" s="5"/>
      <c r="JRC65" s="5"/>
      <c r="JRD65" s="5"/>
      <c r="JRE65" s="5"/>
      <c r="JRF65" s="5"/>
      <c r="JRG65" s="5"/>
      <c r="JRH65" s="5"/>
      <c r="JRI65" s="5"/>
      <c r="JRJ65" s="5"/>
      <c r="JRK65" s="5"/>
      <c r="JRL65" s="5"/>
      <c r="JRM65" s="5"/>
      <c r="JRN65" s="5"/>
      <c r="JRO65" s="5"/>
      <c r="JRP65" s="5"/>
      <c r="JRQ65" s="5"/>
      <c r="JRR65" s="5"/>
      <c r="JRS65" s="5"/>
      <c r="JRT65" s="5"/>
      <c r="JRU65" s="5"/>
      <c r="JRV65" s="5"/>
      <c r="JRW65" s="5"/>
      <c r="JRX65" s="5"/>
      <c r="JRY65" s="5"/>
      <c r="JRZ65" s="5"/>
      <c r="JSA65" s="5"/>
      <c r="JSB65" s="5"/>
      <c r="JSC65" s="5"/>
      <c r="JSD65" s="5"/>
      <c r="JSE65" s="5"/>
      <c r="JSF65" s="5"/>
      <c r="JSG65" s="5"/>
      <c r="JSH65" s="5"/>
      <c r="JSI65" s="5"/>
      <c r="JSJ65" s="5"/>
      <c r="JSK65" s="5"/>
      <c r="JSL65" s="5"/>
      <c r="JSM65" s="5"/>
      <c r="JSN65" s="5"/>
      <c r="JSO65" s="5"/>
      <c r="JSP65" s="5"/>
      <c r="JSQ65" s="5"/>
      <c r="JSR65" s="5"/>
      <c r="JSS65" s="5"/>
      <c r="JST65" s="5"/>
      <c r="JSU65" s="5"/>
      <c r="JSV65" s="5"/>
      <c r="JSW65" s="5"/>
      <c r="JSX65" s="5"/>
      <c r="JSY65" s="5"/>
      <c r="JSZ65" s="5"/>
      <c r="JTA65" s="5"/>
      <c r="JTB65" s="5"/>
      <c r="JTC65" s="5"/>
      <c r="JTD65" s="5"/>
      <c r="JTE65" s="5"/>
      <c r="JTF65" s="5"/>
      <c r="JTG65" s="5"/>
      <c r="JTH65" s="5"/>
      <c r="JTI65" s="5"/>
      <c r="JTJ65" s="5"/>
      <c r="JTK65" s="5"/>
      <c r="JTL65" s="5"/>
      <c r="JTM65" s="5"/>
      <c r="JTN65" s="5"/>
      <c r="JTO65" s="5"/>
      <c r="JTP65" s="5"/>
      <c r="JTQ65" s="5"/>
      <c r="JTR65" s="5"/>
      <c r="JTS65" s="5"/>
      <c r="JTT65" s="5"/>
      <c r="JTU65" s="5"/>
      <c r="JTV65" s="5"/>
      <c r="JTW65" s="5"/>
      <c r="JTX65" s="5"/>
      <c r="JTY65" s="5"/>
      <c r="JTZ65" s="5"/>
      <c r="JUA65" s="5"/>
      <c r="JUB65" s="5"/>
      <c r="JUC65" s="5"/>
      <c r="JUD65" s="5"/>
      <c r="JUE65" s="5"/>
      <c r="JUF65" s="5"/>
      <c r="JUG65" s="5"/>
      <c r="JUH65" s="5"/>
      <c r="JUI65" s="5"/>
      <c r="JUJ65" s="5"/>
      <c r="JUK65" s="5"/>
      <c r="JUL65" s="5"/>
      <c r="JUM65" s="5"/>
      <c r="JUN65" s="5"/>
      <c r="JUO65" s="5"/>
      <c r="JUP65" s="5"/>
      <c r="JUQ65" s="5"/>
      <c r="JUR65" s="5"/>
      <c r="JUS65" s="5"/>
      <c r="JUT65" s="5"/>
      <c r="JUU65" s="5"/>
      <c r="JUV65" s="5"/>
      <c r="JUW65" s="5"/>
      <c r="JUX65" s="5"/>
      <c r="JUY65" s="5"/>
      <c r="JUZ65" s="5"/>
      <c r="JVA65" s="5"/>
      <c r="JVB65" s="5"/>
      <c r="JVC65" s="5"/>
      <c r="JVD65" s="5"/>
      <c r="JVE65" s="5"/>
      <c r="JVF65" s="5"/>
      <c r="JVG65" s="5"/>
      <c r="JVH65" s="5"/>
      <c r="JVI65" s="5"/>
      <c r="JVJ65" s="5"/>
      <c r="JVK65" s="5"/>
      <c r="JVL65" s="5"/>
      <c r="JVM65" s="5"/>
      <c r="JVN65" s="5"/>
      <c r="JVO65" s="5"/>
      <c r="JVP65" s="5"/>
      <c r="JVQ65" s="5"/>
      <c r="JVR65" s="5"/>
      <c r="JVS65" s="5"/>
      <c r="JVT65" s="5"/>
      <c r="JVU65" s="5"/>
      <c r="JVV65" s="5"/>
      <c r="JVW65" s="5"/>
      <c r="JVX65" s="5"/>
      <c r="JVY65" s="5"/>
      <c r="JVZ65" s="5"/>
      <c r="JWA65" s="5"/>
      <c r="JWB65" s="5"/>
      <c r="JWC65" s="5"/>
      <c r="JWD65" s="5"/>
      <c r="JWE65" s="5"/>
      <c r="JWF65" s="5"/>
      <c r="JWG65" s="5"/>
      <c r="JWH65" s="5"/>
      <c r="JWI65" s="5"/>
      <c r="JWJ65" s="5"/>
      <c r="JWK65" s="5"/>
      <c r="JWL65" s="5"/>
      <c r="JWM65" s="5"/>
      <c r="JWN65" s="5"/>
      <c r="JWO65" s="5"/>
      <c r="JWP65" s="5"/>
      <c r="JWQ65" s="5"/>
      <c r="JWR65" s="5"/>
      <c r="JWS65" s="5"/>
      <c r="JWT65" s="5"/>
      <c r="JWU65" s="5"/>
      <c r="JWV65" s="5"/>
      <c r="JWW65" s="5"/>
      <c r="JWX65" s="5"/>
      <c r="JWY65" s="5"/>
      <c r="JWZ65" s="5"/>
      <c r="JXA65" s="5"/>
      <c r="JXB65" s="5"/>
      <c r="JXC65" s="5"/>
      <c r="JXD65" s="5"/>
      <c r="JXE65" s="5"/>
      <c r="JXF65" s="5"/>
      <c r="JXG65" s="5"/>
      <c r="JXH65" s="5"/>
      <c r="JXI65" s="5"/>
      <c r="JXJ65" s="5"/>
      <c r="JXK65" s="5"/>
      <c r="JXL65" s="5"/>
      <c r="JXM65" s="5"/>
      <c r="JXN65" s="5"/>
      <c r="JXO65" s="5"/>
      <c r="JXP65" s="5"/>
      <c r="JXQ65" s="5"/>
      <c r="JXR65" s="5"/>
      <c r="JXS65" s="5"/>
      <c r="JXT65" s="5"/>
      <c r="JXU65" s="5"/>
      <c r="JXV65" s="5"/>
      <c r="JXW65" s="5"/>
      <c r="JXX65" s="5"/>
      <c r="JXY65" s="5"/>
      <c r="JXZ65" s="5"/>
      <c r="JYA65" s="5"/>
      <c r="JYB65" s="5"/>
      <c r="JYC65" s="5"/>
      <c r="JYD65" s="5"/>
      <c r="JYE65" s="5"/>
      <c r="JYF65" s="5"/>
      <c r="JYG65" s="5"/>
      <c r="JYH65" s="5"/>
      <c r="JYI65" s="5"/>
      <c r="JYJ65" s="5"/>
      <c r="JYK65" s="5"/>
      <c r="JYL65" s="5"/>
      <c r="JYM65" s="5"/>
      <c r="JYN65" s="5"/>
      <c r="JYO65" s="5"/>
      <c r="JYP65" s="5"/>
      <c r="JYQ65" s="5"/>
      <c r="JYR65" s="5"/>
      <c r="JYS65" s="5"/>
      <c r="JYT65" s="5"/>
      <c r="JYU65" s="5"/>
      <c r="JYV65" s="5"/>
      <c r="JYW65" s="5"/>
      <c r="JYX65" s="5"/>
      <c r="JYY65" s="5"/>
      <c r="JYZ65" s="5"/>
      <c r="JZA65" s="5"/>
      <c r="JZB65" s="5"/>
      <c r="JZC65" s="5"/>
      <c r="JZD65" s="5"/>
      <c r="JZE65" s="5"/>
      <c r="JZF65" s="5"/>
      <c r="JZG65" s="5"/>
      <c r="JZH65" s="5"/>
      <c r="JZI65" s="5"/>
      <c r="JZJ65" s="5"/>
      <c r="JZK65" s="5"/>
      <c r="JZL65" s="5"/>
      <c r="JZM65" s="5"/>
      <c r="JZN65" s="5"/>
      <c r="JZO65" s="5"/>
      <c r="JZP65" s="5"/>
      <c r="JZQ65" s="5"/>
      <c r="JZR65" s="5"/>
      <c r="JZS65" s="5"/>
      <c r="JZT65" s="5"/>
      <c r="JZU65" s="5"/>
      <c r="JZV65" s="5"/>
      <c r="JZW65" s="5"/>
      <c r="JZX65" s="5"/>
      <c r="JZY65" s="5"/>
      <c r="JZZ65" s="5"/>
      <c r="KAA65" s="5"/>
      <c r="KAB65" s="5"/>
      <c r="KAC65" s="5"/>
      <c r="KAD65" s="5"/>
      <c r="KAE65" s="5"/>
      <c r="KAF65" s="5"/>
      <c r="KAG65" s="5"/>
      <c r="KAH65" s="5"/>
      <c r="KAI65" s="5"/>
      <c r="KAJ65" s="5"/>
      <c r="KAK65" s="5"/>
      <c r="KAL65" s="5"/>
      <c r="KAM65" s="5"/>
      <c r="KAN65" s="5"/>
      <c r="KAO65" s="5"/>
      <c r="KAP65" s="5"/>
      <c r="KAQ65" s="5"/>
      <c r="KAR65" s="5"/>
      <c r="KAS65" s="5"/>
      <c r="KAT65" s="5"/>
      <c r="KAU65" s="5"/>
      <c r="KAV65" s="5"/>
      <c r="KAW65" s="5"/>
      <c r="KAX65" s="5"/>
      <c r="KAY65" s="5"/>
      <c r="KAZ65" s="5"/>
      <c r="KBA65" s="5"/>
      <c r="KBB65" s="5"/>
      <c r="KBC65" s="5"/>
      <c r="KBD65" s="5"/>
      <c r="KBE65" s="5"/>
      <c r="KBF65" s="5"/>
      <c r="KBG65" s="5"/>
      <c r="KBH65" s="5"/>
      <c r="KBI65" s="5"/>
      <c r="KBJ65" s="5"/>
      <c r="KBK65" s="5"/>
      <c r="KBL65" s="5"/>
      <c r="KBM65" s="5"/>
      <c r="KBN65" s="5"/>
      <c r="KBO65" s="5"/>
      <c r="KBP65" s="5"/>
      <c r="KBQ65" s="5"/>
      <c r="KBR65" s="5"/>
      <c r="KBS65" s="5"/>
      <c r="KBT65" s="5"/>
      <c r="KBU65" s="5"/>
      <c r="KBV65" s="5"/>
      <c r="KBW65" s="5"/>
      <c r="KBX65" s="5"/>
      <c r="KBY65" s="5"/>
      <c r="KBZ65" s="5"/>
      <c r="KCA65" s="5"/>
      <c r="KCB65" s="5"/>
      <c r="KCC65" s="5"/>
      <c r="KCD65" s="5"/>
      <c r="KCE65" s="5"/>
      <c r="KCF65" s="5"/>
      <c r="KCG65" s="5"/>
      <c r="KCH65" s="5"/>
      <c r="KCI65" s="5"/>
      <c r="KCJ65" s="5"/>
      <c r="KCK65" s="5"/>
      <c r="KCL65" s="5"/>
      <c r="KCM65" s="5"/>
      <c r="KCN65" s="5"/>
      <c r="KCO65" s="5"/>
      <c r="KCP65" s="5"/>
      <c r="KCQ65" s="5"/>
      <c r="KCR65" s="5"/>
      <c r="KCS65" s="5"/>
      <c r="KCT65" s="5"/>
      <c r="KCU65" s="5"/>
      <c r="KCV65" s="5"/>
      <c r="KCW65" s="5"/>
      <c r="KCX65" s="5"/>
      <c r="KCY65" s="5"/>
      <c r="KCZ65" s="5"/>
      <c r="KDA65" s="5"/>
      <c r="KDB65" s="5"/>
      <c r="KDC65" s="5"/>
      <c r="KDD65" s="5"/>
      <c r="KDE65" s="5"/>
      <c r="KDF65" s="5"/>
      <c r="KDG65" s="5"/>
      <c r="KDH65" s="5"/>
      <c r="KDI65" s="5"/>
      <c r="KDJ65" s="5"/>
      <c r="KDK65" s="5"/>
      <c r="KDL65" s="5"/>
      <c r="KDM65" s="5"/>
      <c r="KDN65" s="5"/>
      <c r="KDO65" s="5"/>
      <c r="KDP65" s="5"/>
      <c r="KDQ65" s="5"/>
      <c r="KDR65" s="5"/>
      <c r="KDS65" s="5"/>
      <c r="KDT65" s="5"/>
      <c r="KDU65" s="5"/>
      <c r="KDV65" s="5"/>
      <c r="KDW65" s="5"/>
      <c r="KDX65" s="5"/>
      <c r="KDY65" s="5"/>
      <c r="KDZ65" s="5"/>
      <c r="KEA65" s="5"/>
      <c r="KEB65" s="5"/>
      <c r="KEC65" s="5"/>
      <c r="KED65" s="5"/>
      <c r="KEE65" s="5"/>
      <c r="KEF65" s="5"/>
      <c r="KEG65" s="5"/>
      <c r="KEH65" s="5"/>
      <c r="KEI65" s="5"/>
      <c r="KEJ65" s="5"/>
      <c r="KEK65" s="5"/>
      <c r="KEL65" s="5"/>
      <c r="KEM65" s="5"/>
      <c r="KEN65" s="5"/>
      <c r="KEO65" s="5"/>
      <c r="KEP65" s="5"/>
      <c r="KEQ65" s="5"/>
      <c r="KER65" s="5"/>
      <c r="KES65" s="5"/>
      <c r="KET65" s="5"/>
      <c r="KEU65" s="5"/>
      <c r="KEV65" s="5"/>
      <c r="KEW65" s="5"/>
      <c r="KEX65" s="5"/>
      <c r="KEY65" s="5"/>
      <c r="KEZ65" s="5"/>
      <c r="KFA65" s="5"/>
      <c r="KFB65" s="5"/>
      <c r="KFC65" s="5"/>
      <c r="KFD65" s="5"/>
      <c r="KFE65" s="5"/>
      <c r="KFF65" s="5"/>
      <c r="KFG65" s="5"/>
      <c r="KFH65" s="5"/>
      <c r="KFI65" s="5"/>
      <c r="KFJ65" s="5"/>
      <c r="KFK65" s="5"/>
      <c r="KFL65" s="5"/>
      <c r="KFM65" s="5"/>
      <c r="KFN65" s="5"/>
      <c r="KFO65" s="5"/>
      <c r="KFP65" s="5"/>
      <c r="KFQ65" s="5"/>
      <c r="KFR65" s="5"/>
      <c r="KFS65" s="5"/>
      <c r="KFT65" s="5"/>
      <c r="KFU65" s="5"/>
      <c r="KFV65" s="5"/>
      <c r="KFW65" s="5"/>
      <c r="KFX65" s="5"/>
      <c r="KFY65" s="5"/>
      <c r="KFZ65" s="5"/>
      <c r="KGA65" s="5"/>
      <c r="KGB65" s="5"/>
      <c r="KGC65" s="5"/>
      <c r="KGD65" s="5"/>
      <c r="KGE65" s="5"/>
      <c r="KGF65" s="5"/>
      <c r="KGG65" s="5"/>
      <c r="KGH65" s="5"/>
      <c r="KGI65" s="5"/>
      <c r="KGJ65" s="5"/>
      <c r="KGK65" s="5"/>
      <c r="KGL65" s="5"/>
      <c r="KGM65" s="5"/>
      <c r="KGN65" s="5"/>
      <c r="KGO65" s="5"/>
      <c r="KGP65" s="5"/>
      <c r="KGQ65" s="5"/>
      <c r="KGR65" s="5"/>
      <c r="KGS65" s="5"/>
      <c r="KGT65" s="5"/>
      <c r="KGU65" s="5"/>
      <c r="KGV65" s="5"/>
      <c r="KGW65" s="5"/>
      <c r="KGX65" s="5"/>
      <c r="KGY65" s="5"/>
      <c r="KGZ65" s="5"/>
      <c r="KHA65" s="5"/>
      <c r="KHB65" s="5"/>
      <c r="KHC65" s="5"/>
      <c r="KHD65" s="5"/>
      <c r="KHE65" s="5"/>
      <c r="KHF65" s="5"/>
      <c r="KHG65" s="5"/>
      <c r="KHH65" s="5"/>
      <c r="KHI65" s="5"/>
      <c r="KHJ65" s="5"/>
      <c r="KHK65" s="5"/>
      <c r="KHL65" s="5"/>
      <c r="KHM65" s="5"/>
      <c r="KHN65" s="5"/>
      <c r="KHO65" s="5"/>
      <c r="KHP65" s="5"/>
      <c r="KHQ65" s="5"/>
      <c r="KHR65" s="5"/>
      <c r="KHS65" s="5"/>
      <c r="KHT65" s="5"/>
      <c r="KHU65" s="5"/>
      <c r="KHV65" s="5"/>
      <c r="KHW65" s="5"/>
      <c r="KHX65" s="5"/>
      <c r="KHY65" s="5"/>
      <c r="KHZ65" s="5"/>
      <c r="KIA65" s="5"/>
      <c r="KIB65" s="5"/>
      <c r="KIC65" s="5"/>
      <c r="KID65" s="5"/>
      <c r="KIE65" s="5"/>
      <c r="KIF65" s="5"/>
      <c r="KIG65" s="5"/>
      <c r="KIH65" s="5"/>
      <c r="KII65" s="5"/>
      <c r="KIJ65" s="5"/>
      <c r="KIK65" s="5"/>
      <c r="KIL65" s="5"/>
      <c r="KIM65" s="5"/>
      <c r="KIN65" s="5"/>
      <c r="KIO65" s="5"/>
      <c r="KIP65" s="5"/>
      <c r="KIQ65" s="5"/>
      <c r="KIR65" s="5"/>
      <c r="KIS65" s="5"/>
      <c r="KIT65" s="5"/>
      <c r="KIU65" s="5"/>
      <c r="KIV65" s="5"/>
      <c r="KIW65" s="5"/>
      <c r="KIX65" s="5"/>
      <c r="KIY65" s="5"/>
      <c r="KIZ65" s="5"/>
      <c r="KJA65" s="5"/>
      <c r="KJB65" s="5"/>
      <c r="KJC65" s="5"/>
      <c r="KJD65" s="5"/>
      <c r="KJE65" s="5"/>
      <c r="KJF65" s="5"/>
      <c r="KJG65" s="5"/>
      <c r="KJH65" s="5"/>
      <c r="KJI65" s="5"/>
      <c r="KJJ65" s="5"/>
      <c r="KJK65" s="5"/>
      <c r="KJL65" s="5"/>
      <c r="KJM65" s="5"/>
      <c r="KJN65" s="5"/>
      <c r="KJO65" s="5"/>
      <c r="KJP65" s="5"/>
      <c r="KJQ65" s="5"/>
      <c r="KJR65" s="5"/>
      <c r="KJS65" s="5"/>
      <c r="KJT65" s="5"/>
      <c r="KJU65" s="5"/>
      <c r="KJV65" s="5"/>
      <c r="KJW65" s="5"/>
      <c r="KJX65" s="5"/>
      <c r="KJY65" s="5"/>
      <c r="KJZ65" s="5"/>
      <c r="KKA65" s="5"/>
      <c r="KKB65" s="5"/>
      <c r="KKC65" s="5"/>
      <c r="KKD65" s="5"/>
      <c r="KKE65" s="5"/>
      <c r="KKF65" s="5"/>
      <c r="KKG65" s="5"/>
      <c r="KKH65" s="5"/>
      <c r="KKI65" s="5"/>
      <c r="KKJ65" s="5"/>
      <c r="KKK65" s="5"/>
      <c r="KKL65" s="5"/>
      <c r="KKM65" s="5"/>
      <c r="KKN65" s="5"/>
      <c r="KKO65" s="5"/>
      <c r="KKP65" s="5"/>
      <c r="KKQ65" s="5"/>
      <c r="KKR65" s="5"/>
      <c r="KKS65" s="5"/>
      <c r="KKT65" s="5"/>
      <c r="KKU65" s="5"/>
      <c r="KKV65" s="5"/>
      <c r="KKW65" s="5"/>
      <c r="KKX65" s="5"/>
      <c r="KKY65" s="5"/>
      <c r="KKZ65" s="5"/>
      <c r="KLA65" s="5"/>
      <c r="KLB65" s="5"/>
      <c r="KLC65" s="5"/>
      <c r="KLD65" s="5"/>
      <c r="KLE65" s="5"/>
      <c r="KLF65" s="5"/>
      <c r="KLG65" s="5"/>
      <c r="KLH65" s="5"/>
      <c r="KLI65" s="5"/>
      <c r="KLJ65" s="5"/>
      <c r="KLK65" s="5"/>
      <c r="KLL65" s="5"/>
      <c r="KLM65" s="5"/>
      <c r="KLN65" s="5"/>
      <c r="KLO65" s="5"/>
      <c r="KLP65" s="5"/>
      <c r="KLQ65" s="5"/>
      <c r="KLR65" s="5"/>
      <c r="KLS65" s="5"/>
      <c r="KLT65" s="5"/>
      <c r="KLU65" s="5"/>
      <c r="KLV65" s="5"/>
      <c r="KLW65" s="5"/>
      <c r="KLX65" s="5"/>
      <c r="KLY65" s="5"/>
      <c r="KLZ65" s="5"/>
      <c r="KMA65" s="5"/>
      <c r="KMB65" s="5"/>
      <c r="KMC65" s="5"/>
      <c r="KMD65" s="5"/>
      <c r="KME65" s="5"/>
      <c r="KMF65" s="5"/>
      <c r="KMG65" s="5"/>
      <c r="KMH65" s="5"/>
      <c r="KMI65" s="5"/>
      <c r="KMJ65" s="5"/>
      <c r="KMK65" s="5"/>
      <c r="KML65" s="5"/>
      <c r="KMM65" s="5"/>
      <c r="KMN65" s="5"/>
      <c r="KMO65" s="5"/>
      <c r="KMP65" s="5"/>
      <c r="KMQ65" s="5"/>
      <c r="KMR65" s="5"/>
      <c r="KMS65" s="5"/>
      <c r="KMT65" s="5"/>
      <c r="KMU65" s="5"/>
      <c r="KMV65" s="5"/>
      <c r="KMW65" s="5"/>
      <c r="KMX65" s="5"/>
      <c r="KMY65" s="5"/>
      <c r="KMZ65" s="5"/>
      <c r="KNA65" s="5"/>
      <c r="KNB65" s="5"/>
      <c r="KNC65" s="5"/>
      <c r="KND65" s="5"/>
      <c r="KNE65" s="5"/>
      <c r="KNF65" s="5"/>
      <c r="KNG65" s="5"/>
      <c r="KNH65" s="5"/>
      <c r="KNI65" s="5"/>
      <c r="KNJ65" s="5"/>
      <c r="KNK65" s="5"/>
      <c r="KNL65" s="5"/>
      <c r="KNM65" s="5"/>
      <c r="KNN65" s="5"/>
      <c r="KNO65" s="5"/>
      <c r="KNP65" s="5"/>
      <c r="KNQ65" s="5"/>
      <c r="KNR65" s="5"/>
      <c r="KNS65" s="5"/>
      <c r="KNT65" s="5"/>
      <c r="KNU65" s="5"/>
      <c r="KNV65" s="5"/>
      <c r="KNW65" s="5"/>
      <c r="KNX65" s="5"/>
      <c r="KNY65" s="5"/>
      <c r="KNZ65" s="5"/>
      <c r="KOA65" s="5"/>
      <c r="KOB65" s="5"/>
      <c r="KOC65" s="5"/>
      <c r="KOD65" s="5"/>
      <c r="KOE65" s="5"/>
      <c r="KOF65" s="5"/>
      <c r="KOG65" s="5"/>
      <c r="KOH65" s="5"/>
      <c r="KOI65" s="5"/>
      <c r="KOJ65" s="5"/>
      <c r="KOK65" s="5"/>
      <c r="KOL65" s="5"/>
      <c r="KOM65" s="5"/>
      <c r="KON65" s="5"/>
      <c r="KOO65" s="5"/>
      <c r="KOP65" s="5"/>
      <c r="KOQ65" s="5"/>
      <c r="KOR65" s="5"/>
      <c r="KOS65" s="5"/>
      <c r="KOT65" s="5"/>
      <c r="KOU65" s="5"/>
      <c r="KOV65" s="5"/>
      <c r="KOW65" s="5"/>
      <c r="KOX65" s="5"/>
      <c r="KOY65" s="5"/>
      <c r="KOZ65" s="5"/>
      <c r="KPA65" s="5"/>
      <c r="KPB65" s="5"/>
      <c r="KPC65" s="5"/>
      <c r="KPD65" s="5"/>
      <c r="KPE65" s="5"/>
      <c r="KPF65" s="5"/>
      <c r="KPG65" s="5"/>
      <c r="KPH65" s="5"/>
      <c r="KPI65" s="5"/>
      <c r="KPJ65" s="5"/>
      <c r="KPK65" s="5"/>
      <c r="KPL65" s="5"/>
      <c r="KPM65" s="5"/>
      <c r="KPN65" s="5"/>
      <c r="KPO65" s="5"/>
      <c r="KPP65" s="5"/>
      <c r="KPQ65" s="5"/>
      <c r="KPR65" s="5"/>
      <c r="KPS65" s="5"/>
      <c r="KPT65" s="5"/>
      <c r="KPU65" s="5"/>
      <c r="KPV65" s="5"/>
      <c r="KPW65" s="5"/>
      <c r="KPX65" s="5"/>
      <c r="KPY65" s="5"/>
      <c r="KPZ65" s="5"/>
      <c r="KQA65" s="5"/>
      <c r="KQB65" s="5"/>
      <c r="KQC65" s="5"/>
      <c r="KQD65" s="5"/>
      <c r="KQE65" s="5"/>
      <c r="KQF65" s="5"/>
      <c r="KQG65" s="5"/>
      <c r="KQH65" s="5"/>
      <c r="KQI65" s="5"/>
      <c r="KQJ65" s="5"/>
      <c r="KQK65" s="5"/>
      <c r="KQL65" s="5"/>
      <c r="KQM65" s="5"/>
      <c r="KQN65" s="5"/>
      <c r="KQO65" s="5"/>
      <c r="KQP65" s="5"/>
      <c r="KQQ65" s="5"/>
      <c r="KQR65" s="5"/>
      <c r="KQS65" s="5"/>
      <c r="KQT65" s="5"/>
      <c r="KQU65" s="5"/>
      <c r="KQV65" s="5"/>
      <c r="KQW65" s="5"/>
      <c r="KQX65" s="5"/>
      <c r="KQY65" s="5"/>
      <c r="KQZ65" s="5"/>
      <c r="KRA65" s="5"/>
      <c r="KRB65" s="5"/>
      <c r="KRC65" s="5"/>
      <c r="KRD65" s="5"/>
      <c r="KRE65" s="5"/>
      <c r="KRF65" s="5"/>
      <c r="KRG65" s="5"/>
      <c r="KRH65" s="5"/>
      <c r="KRI65" s="5"/>
      <c r="KRJ65" s="5"/>
      <c r="KRK65" s="5"/>
      <c r="KRL65" s="5"/>
      <c r="KRM65" s="5"/>
      <c r="KRN65" s="5"/>
      <c r="KRO65" s="5"/>
      <c r="KRP65" s="5"/>
      <c r="KRQ65" s="5"/>
      <c r="KRR65" s="5"/>
      <c r="KRS65" s="5"/>
      <c r="KRT65" s="5"/>
      <c r="KRU65" s="5"/>
      <c r="KRV65" s="5"/>
      <c r="KRW65" s="5"/>
      <c r="KRX65" s="5"/>
      <c r="KRY65" s="5"/>
      <c r="KRZ65" s="5"/>
      <c r="KSA65" s="5"/>
      <c r="KSB65" s="5"/>
      <c r="KSC65" s="5"/>
      <c r="KSD65" s="5"/>
      <c r="KSE65" s="5"/>
      <c r="KSF65" s="5"/>
      <c r="KSG65" s="5"/>
      <c r="KSH65" s="5"/>
      <c r="KSI65" s="5"/>
      <c r="KSJ65" s="5"/>
      <c r="KSK65" s="5"/>
      <c r="KSL65" s="5"/>
      <c r="KSM65" s="5"/>
      <c r="KSN65" s="5"/>
      <c r="KSO65" s="5"/>
      <c r="KSP65" s="5"/>
      <c r="KSQ65" s="5"/>
      <c r="KSR65" s="5"/>
      <c r="KSS65" s="5"/>
      <c r="KST65" s="5"/>
      <c r="KSU65" s="5"/>
      <c r="KSV65" s="5"/>
      <c r="KSW65" s="5"/>
      <c r="KSX65" s="5"/>
      <c r="KSY65" s="5"/>
      <c r="KSZ65" s="5"/>
      <c r="KTA65" s="5"/>
      <c r="KTB65" s="5"/>
      <c r="KTC65" s="5"/>
      <c r="KTD65" s="5"/>
      <c r="KTE65" s="5"/>
      <c r="KTF65" s="5"/>
      <c r="KTG65" s="5"/>
      <c r="KTH65" s="5"/>
      <c r="KTI65" s="5"/>
      <c r="KTJ65" s="5"/>
      <c r="KTK65" s="5"/>
      <c r="KTL65" s="5"/>
      <c r="KTM65" s="5"/>
      <c r="KTN65" s="5"/>
      <c r="KTO65" s="5"/>
      <c r="KTP65" s="5"/>
      <c r="KTQ65" s="5"/>
      <c r="KTR65" s="5"/>
      <c r="KTS65" s="5"/>
      <c r="KTT65" s="5"/>
      <c r="KTU65" s="5"/>
      <c r="KTV65" s="5"/>
      <c r="KTW65" s="5"/>
      <c r="KTX65" s="5"/>
      <c r="KTY65" s="5"/>
      <c r="KTZ65" s="5"/>
      <c r="KUA65" s="5"/>
      <c r="KUB65" s="5"/>
      <c r="KUC65" s="5"/>
      <c r="KUD65" s="5"/>
      <c r="KUE65" s="5"/>
      <c r="KUF65" s="5"/>
      <c r="KUG65" s="5"/>
      <c r="KUH65" s="5"/>
      <c r="KUI65" s="5"/>
      <c r="KUJ65" s="5"/>
      <c r="KUK65" s="5"/>
      <c r="KUL65" s="5"/>
      <c r="KUM65" s="5"/>
      <c r="KUN65" s="5"/>
      <c r="KUO65" s="5"/>
      <c r="KUP65" s="5"/>
      <c r="KUQ65" s="5"/>
      <c r="KUR65" s="5"/>
      <c r="KUS65" s="5"/>
      <c r="KUT65" s="5"/>
      <c r="KUU65" s="5"/>
      <c r="KUV65" s="5"/>
      <c r="KUW65" s="5"/>
      <c r="KUX65" s="5"/>
      <c r="KUY65" s="5"/>
      <c r="KUZ65" s="5"/>
      <c r="KVA65" s="5"/>
      <c r="KVB65" s="5"/>
      <c r="KVC65" s="5"/>
      <c r="KVD65" s="5"/>
      <c r="KVE65" s="5"/>
      <c r="KVF65" s="5"/>
      <c r="KVG65" s="5"/>
      <c r="KVH65" s="5"/>
      <c r="KVI65" s="5"/>
      <c r="KVJ65" s="5"/>
      <c r="KVK65" s="5"/>
      <c r="KVL65" s="5"/>
      <c r="KVM65" s="5"/>
      <c r="KVN65" s="5"/>
      <c r="KVO65" s="5"/>
      <c r="KVP65" s="5"/>
      <c r="KVQ65" s="5"/>
      <c r="KVR65" s="5"/>
      <c r="KVS65" s="5"/>
      <c r="KVT65" s="5"/>
      <c r="KVU65" s="5"/>
      <c r="KVV65" s="5"/>
      <c r="KVW65" s="5"/>
      <c r="KVX65" s="5"/>
      <c r="KVY65" s="5"/>
      <c r="KVZ65" s="5"/>
      <c r="KWA65" s="5"/>
      <c r="KWB65" s="5"/>
      <c r="KWC65" s="5"/>
      <c r="KWD65" s="5"/>
      <c r="KWE65" s="5"/>
      <c r="KWF65" s="5"/>
      <c r="KWG65" s="5"/>
      <c r="KWH65" s="5"/>
      <c r="KWI65" s="5"/>
      <c r="KWJ65" s="5"/>
      <c r="KWK65" s="5"/>
      <c r="KWL65" s="5"/>
      <c r="KWM65" s="5"/>
      <c r="KWN65" s="5"/>
      <c r="KWO65" s="5"/>
      <c r="KWP65" s="5"/>
      <c r="KWQ65" s="5"/>
      <c r="KWR65" s="5"/>
      <c r="KWS65" s="5"/>
      <c r="KWT65" s="5"/>
      <c r="KWU65" s="5"/>
      <c r="KWV65" s="5"/>
      <c r="KWW65" s="5"/>
      <c r="KWX65" s="5"/>
      <c r="KWY65" s="5"/>
      <c r="KWZ65" s="5"/>
      <c r="KXA65" s="5"/>
      <c r="KXB65" s="5"/>
      <c r="KXC65" s="5"/>
      <c r="KXD65" s="5"/>
      <c r="KXE65" s="5"/>
      <c r="KXF65" s="5"/>
      <c r="KXG65" s="5"/>
      <c r="KXH65" s="5"/>
      <c r="KXI65" s="5"/>
      <c r="KXJ65" s="5"/>
      <c r="KXK65" s="5"/>
      <c r="KXL65" s="5"/>
      <c r="KXM65" s="5"/>
      <c r="KXN65" s="5"/>
      <c r="KXO65" s="5"/>
      <c r="KXP65" s="5"/>
      <c r="KXQ65" s="5"/>
      <c r="KXR65" s="5"/>
      <c r="KXS65" s="5"/>
      <c r="KXT65" s="5"/>
      <c r="KXU65" s="5"/>
      <c r="KXV65" s="5"/>
      <c r="KXW65" s="5"/>
      <c r="KXX65" s="5"/>
      <c r="KXY65" s="5"/>
      <c r="KXZ65" s="5"/>
      <c r="KYA65" s="5"/>
      <c r="KYB65" s="5"/>
      <c r="KYC65" s="5"/>
      <c r="KYD65" s="5"/>
      <c r="KYE65" s="5"/>
      <c r="KYF65" s="5"/>
      <c r="KYG65" s="5"/>
      <c r="KYH65" s="5"/>
      <c r="KYI65" s="5"/>
      <c r="KYJ65" s="5"/>
      <c r="KYK65" s="5"/>
      <c r="KYL65" s="5"/>
      <c r="KYM65" s="5"/>
      <c r="KYN65" s="5"/>
      <c r="KYO65" s="5"/>
      <c r="KYP65" s="5"/>
      <c r="KYQ65" s="5"/>
      <c r="KYR65" s="5"/>
      <c r="KYS65" s="5"/>
      <c r="KYT65" s="5"/>
      <c r="KYU65" s="5"/>
      <c r="KYV65" s="5"/>
      <c r="KYW65" s="5"/>
      <c r="KYX65" s="5"/>
      <c r="KYY65" s="5"/>
      <c r="KYZ65" s="5"/>
      <c r="KZA65" s="5"/>
      <c r="KZB65" s="5"/>
      <c r="KZC65" s="5"/>
      <c r="KZD65" s="5"/>
      <c r="KZE65" s="5"/>
      <c r="KZF65" s="5"/>
      <c r="KZG65" s="5"/>
      <c r="KZH65" s="5"/>
      <c r="KZI65" s="5"/>
      <c r="KZJ65" s="5"/>
      <c r="KZK65" s="5"/>
      <c r="KZL65" s="5"/>
      <c r="KZM65" s="5"/>
      <c r="KZN65" s="5"/>
      <c r="KZO65" s="5"/>
      <c r="KZP65" s="5"/>
      <c r="KZQ65" s="5"/>
      <c r="KZR65" s="5"/>
      <c r="KZS65" s="5"/>
      <c r="KZT65" s="5"/>
      <c r="KZU65" s="5"/>
      <c r="KZV65" s="5"/>
      <c r="KZW65" s="5"/>
      <c r="KZX65" s="5"/>
      <c r="KZY65" s="5"/>
      <c r="KZZ65" s="5"/>
      <c r="LAA65" s="5"/>
      <c r="LAB65" s="5"/>
      <c r="LAC65" s="5"/>
      <c r="LAD65" s="5"/>
      <c r="LAE65" s="5"/>
      <c r="LAF65" s="5"/>
      <c r="LAG65" s="5"/>
      <c r="LAH65" s="5"/>
      <c r="LAI65" s="5"/>
      <c r="LAJ65" s="5"/>
      <c r="LAK65" s="5"/>
      <c r="LAL65" s="5"/>
      <c r="LAM65" s="5"/>
      <c r="LAN65" s="5"/>
      <c r="LAO65" s="5"/>
      <c r="LAP65" s="5"/>
      <c r="LAQ65" s="5"/>
      <c r="LAR65" s="5"/>
      <c r="LAS65" s="5"/>
      <c r="LAT65" s="5"/>
      <c r="LAU65" s="5"/>
      <c r="LAV65" s="5"/>
      <c r="LAW65" s="5"/>
      <c r="LAX65" s="5"/>
      <c r="LAY65" s="5"/>
      <c r="LAZ65" s="5"/>
      <c r="LBA65" s="5"/>
      <c r="LBB65" s="5"/>
      <c r="LBC65" s="5"/>
      <c r="LBD65" s="5"/>
      <c r="LBE65" s="5"/>
      <c r="LBF65" s="5"/>
      <c r="LBG65" s="5"/>
      <c r="LBH65" s="5"/>
      <c r="LBI65" s="5"/>
      <c r="LBJ65" s="5"/>
      <c r="LBK65" s="5"/>
      <c r="LBL65" s="5"/>
      <c r="LBM65" s="5"/>
      <c r="LBN65" s="5"/>
      <c r="LBO65" s="5"/>
      <c r="LBP65" s="5"/>
      <c r="LBQ65" s="5"/>
      <c r="LBR65" s="5"/>
      <c r="LBS65" s="5"/>
      <c r="LBT65" s="5"/>
      <c r="LBU65" s="5"/>
      <c r="LBV65" s="5"/>
      <c r="LBW65" s="5"/>
      <c r="LBX65" s="5"/>
      <c r="LBY65" s="5"/>
      <c r="LBZ65" s="5"/>
      <c r="LCA65" s="5"/>
      <c r="LCB65" s="5"/>
      <c r="LCC65" s="5"/>
      <c r="LCD65" s="5"/>
      <c r="LCE65" s="5"/>
      <c r="LCF65" s="5"/>
      <c r="LCG65" s="5"/>
      <c r="LCH65" s="5"/>
      <c r="LCI65" s="5"/>
      <c r="LCJ65" s="5"/>
      <c r="LCK65" s="5"/>
      <c r="LCL65" s="5"/>
      <c r="LCM65" s="5"/>
      <c r="LCN65" s="5"/>
      <c r="LCO65" s="5"/>
      <c r="LCP65" s="5"/>
      <c r="LCQ65" s="5"/>
      <c r="LCR65" s="5"/>
      <c r="LCS65" s="5"/>
      <c r="LCT65" s="5"/>
      <c r="LCU65" s="5"/>
      <c r="LCV65" s="5"/>
      <c r="LCW65" s="5"/>
      <c r="LCX65" s="5"/>
      <c r="LCY65" s="5"/>
      <c r="LCZ65" s="5"/>
      <c r="LDA65" s="5"/>
      <c r="LDB65" s="5"/>
      <c r="LDC65" s="5"/>
      <c r="LDD65" s="5"/>
      <c r="LDE65" s="5"/>
      <c r="LDF65" s="5"/>
      <c r="LDG65" s="5"/>
      <c r="LDH65" s="5"/>
      <c r="LDI65" s="5"/>
      <c r="LDJ65" s="5"/>
      <c r="LDK65" s="5"/>
      <c r="LDL65" s="5"/>
      <c r="LDM65" s="5"/>
      <c r="LDN65" s="5"/>
      <c r="LDO65" s="5"/>
      <c r="LDP65" s="5"/>
      <c r="LDQ65" s="5"/>
      <c r="LDR65" s="5"/>
      <c r="LDS65" s="5"/>
      <c r="LDT65" s="5"/>
      <c r="LDU65" s="5"/>
      <c r="LDV65" s="5"/>
      <c r="LDW65" s="5"/>
      <c r="LDX65" s="5"/>
      <c r="LDY65" s="5"/>
      <c r="LDZ65" s="5"/>
      <c r="LEA65" s="5"/>
      <c r="LEB65" s="5"/>
      <c r="LEC65" s="5"/>
      <c r="LED65" s="5"/>
      <c r="LEE65" s="5"/>
      <c r="LEF65" s="5"/>
      <c r="LEG65" s="5"/>
      <c r="LEH65" s="5"/>
      <c r="LEI65" s="5"/>
      <c r="LEJ65" s="5"/>
      <c r="LEK65" s="5"/>
      <c r="LEL65" s="5"/>
      <c r="LEM65" s="5"/>
      <c r="LEN65" s="5"/>
      <c r="LEO65" s="5"/>
      <c r="LEP65" s="5"/>
      <c r="LEQ65" s="5"/>
      <c r="LER65" s="5"/>
      <c r="LES65" s="5"/>
      <c r="LET65" s="5"/>
      <c r="LEU65" s="5"/>
      <c r="LEV65" s="5"/>
      <c r="LEW65" s="5"/>
      <c r="LEX65" s="5"/>
      <c r="LEY65" s="5"/>
      <c r="LEZ65" s="5"/>
      <c r="LFA65" s="5"/>
      <c r="LFB65" s="5"/>
      <c r="LFC65" s="5"/>
      <c r="LFD65" s="5"/>
      <c r="LFE65" s="5"/>
      <c r="LFF65" s="5"/>
      <c r="LFG65" s="5"/>
      <c r="LFH65" s="5"/>
      <c r="LFI65" s="5"/>
      <c r="LFJ65" s="5"/>
      <c r="LFK65" s="5"/>
      <c r="LFL65" s="5"/>
      <c r="LFM65" s="5"/>
      <c r="LFN65" s="5"/>
      <c r="LFO65" s="5"/>
      <c r="LFP65" s="5"/>
      <c r="LFQ65" s="5"/>
      <c r="LFR65" s="5"/>
      <c r="LFS65" s="5"/>
      <c r="LFT65" s="5"/>
      <c r="LFU65" s="5"/>
      <c r="LFV65" s="5"/>
      <c r="LFW65" s="5"/>
      <c r="LFX65" s="5"/>
      <c r="LFY65" s="5"/>
      <c r="LFZ65" s="5"/>
      <c r="LGA65" s="5"/>
      <c r="LGB65" s="5"/>
      <c r="LGC65" s="5"/>
      <c r="LGD65" s="5"/>
      <c r="LGE65" s="5"/>
      <c r="LGF65" s="5"/>
      <c r="LGG65" s="5"/>
      <c r="LGH65" s="5"/>
      <c r="LGI65" s="5"/>
      <c r="LGJ65" s="5"/>
      <c r="LGK65" s="5"/>
      <c r="LGL65" s="5"/>
      <c r="LGM65" s="5"/>
      <c r="LGN65" s="5"/>
      <c r="LGO65" s="5"/>
      <c r="LGP65" s="5"/>
      <c r="LGQ65" s="5"/>
      <c r="LGR65" s="5"/>
      <c r="LGS65" s="5"/>
      <c r="LGT65" s="5"/>
      <c r="LGU65" s="5"/>
      <c r="LGV65" s="5"/>
      <c r="LGW65" s="5"/>
      <c r="LGX65" s="5"/>
      <c r="LGY65" s="5"/>
      <c r="LGZ65" s="5"/>
      <c r="LHA65" s="5"/>
      <c r="LHB65" s="5"/>
      <c r="LHC65" s="5"/>
      <c r="LHD65" s="5"/>
      <c r="LHE65" s="5"/>
      <c r="LHF65" s="5"/>
      <c r="LHG65" s="5"/>
      <c r="LHH65" s="5"/>
      <c r="LHI65" s="5"/>
      <c r="LHJ65" s="5"/>
      <c r="LHK65" s="5"/>
      <c r="LHL65" s="5"/>
      <c r="LHM65" s="5"/>
      <c r="LHN65" s="5"/>
      <c r="LHO65" s="5"/>
      <c r="LHP65" s="5"/>
      <c r="LHQ65" s="5"/>
      <c r="LHR65" s="5"/>
      <c r="LHS65" s="5"/>
      <c r="LHT65" s="5"/>
      <c r="LHU65" s="5"/>
      <c r="LHV65" s="5"/>
      <c r="LHW65" s="5"/>
      <c r="LHX65" s="5"/>
      <c r="LHY65" s="5"/>
      <c r="LHZ65" s="5"/>
      <c r="LIA65" s="5"/>
      <c r="LIB65" s="5"/>
      <c r="LIC65" s="5"/>
      <c r="LID65" s="5"/>
      <c r="LIE65" s="5"/>
      <c r="LIF65" s="5"/>
      <c r="LIG65" s="5"/>
      <c r="LIH65" s="5"/>
      <c r="LII65" s="5"/>
      <c r="LIJ65" s="5"/>
      <c r="LIK65" s="5"/>
      <c r="LIL65" s="5"/>
      <c r="LIM65" s="5"/>
      <c r="LIN65" s="5"/>
      <c r="LIO65" s="5"/>
      <c r="LIP65" s="5"/>
      <c r="LIQ65" s="5"/>
      <c r="LIR65" s="5"/>
      <c r="LIS65" s="5"/>
      <c r="LIT65" s="5"/>
      <c r="LIU65" s="5"/>
      <c r="LIV65" s="5"/>
      <c r="LIW65" s="5"/>
      <c r="LIX65" s="5"/>
      <c r="LIY65" s="5"/>
      <c r="LIZ65" s="5"/>
      <c r="LJA65" s="5"/>
      <c r="LJB65" s="5"/>
      <c r="LJC65" s="5"/>
      <c r="LJD65" s="5"/>
      <c r="LJE65" s="5"/>
      <c r="LJF65" s="5"/>
      <c r="LJG65" s="5"/>
      <c r="LJH65" s="5"/>
      <c r="LJI65" s="5"/>
      <c r="LJJ65" s="5"/>
      <c r="LJK65" s="5"/>
      <c r="LJL65" s="5"/>
      <c r="LJM65" s="5"/>
      <c r="LJN65" s="5"/>
      <c r="LJO65" s="5"/>
      <c r="LJP65" s="5"/>
      <c r="LJQ65" s="5"/>
      <c r="LJR65" s="5"/>
      <c r="LJS65" s="5"/>
      <c r="LJT65" s="5"/>
      <c r="LJU65" s="5"/>
      <c r="LJV65" s="5"/>
      <c r="LJW65" s="5"/>
      <c r="LJX65" s="5"/>
      <c r="LJY65" s="5"/>
      <c r="LJZ65" s="5"/>
      <c r="LKA65" s="5"/>
      <c r="LKB65" s="5"/>
      <c r="LKC65" s="5"/>
      <c r="LKD65" s="5"/>
      <c r="LKE65" s="5"/>
      <c r="LKF65" s="5"/>
      <c r="LKG65" s="5"/>
      <c r="LKH65" s="5"/>
      <c r="LKI65" s="5"/>
      <c r="LKJ65" s="5"/>
      <c r="LKK65" s="5"/>
      <c r="LKL65" s="5"/>
      <c r="LKM65" s="5"/>
      <c r="LKN65" s="5"/>
      <c r="LKO65" s="5"/>
      <c r="LKP65" s="5"/>
      <c r="LKQ65" s="5"/>
      <c r="LKR65" s="5"/>
      <c r="LKS65" s="5"/>
      <c r="LKT65" s="5"/>
      <c r="LKU65" s="5"/>
      <c r="LKV65" s="5"/>
      <c r="LKW65" s="5"/>
      <c r="LKX65" s="5"/>
      <c r="LKY65" s="5"/>
      <c r="LKZ65" s="5"/>
      <c r="LLA65" s="5"/>
      <c r="LLB65" s="5"/>
      <c r="LLC65" s="5"/>
      <c r="LLD65" s="5"/>
      <c r="LLE65" s="5"/>
      <c r="LLF65" s="5"/>
      <c r="LLG65" s="5"/>
      <c r="LLH65" s="5"/>
      <c r="LLI65" s="5"/>
      <c r="LLJ65" s="5"/>
      <c r="LLK65" s="5"/>
      <c r="LLL65" s="5"/>
      <c r="LLM65" s="5"/>
      <c r="LLN65" s="5"/>
      <c r="LLO65" s="5"/>
      <c r="LLP65" s="5"/>
      <c r="LLQ65" s="5"/>
      <c r="LLR65" s="5"/>
      <c r="LLS65" s="5"/>
      <c r="LLT65" s="5"/>
      <c r="LLU65" s="5"/>
      <c r="LLV65" s="5"/>
      <c r="LLW65" s="5"/>
      <c r="LLX65" s="5"/>
      <c r="LLY65" s="5"/>
      <c r="LLZ65" s="5"/>
      <c r="LMA65" s="5"/>
      <c r="LMB65" s="5"/>
      <c r="LMC65" s="5"/>
      <c r="LMD65" s="5"/>
      <c r="LME65" s="5"/>
      <c r="LMF65" s="5"/>
      <c r="LMG65" s="5"/>
      <c r="LMH65" s="5"/>
      <c r="LMI65" s="5"/>
      <c r="LMJ65" s="5"/>
      <c r="LMK65" s="5"/>
      <c r="LML65" s="5"/>
      <c r="LMM65" s="5"/>
      <c r="LMN65" s="5"/>
      <c r="LMO65" s="5"/>
      <c r="LMP65" s="5"/>
      <c r="LMQ65" s="5"/>
      <c r="LMR65" s="5"/>
      <c r="LMS65" s="5"/>
      <c r="LMT65" s="5"/>
      <c r="LMU65" s="5"/>
      <c r="LMV65" s="5"/>
      <c r="LMW65" s="5"/>
      <c r="LMX65" s="5"/>
      <c r="LMY65" s="5"/>
      <c r="LMZ65" s="5"/>
      <c r="LNA65" s="5"/>
      <c r="LNB65" s="5"/>
      <c r="LNC65" s="5"/>
      <c r="LND65" s="5"/>
      <c r="LNE65" s="5"/>
      <c r="LNF65" s="5"/>
      <c r="LNG65" s="5"/>
      <c r="LNH65" s="5"/>
      <c r="LNI65" s="5"/>
      <c r="LNJ65" s="5"/>
      <c r="LNK65" s="5"/>
      <c r="LNL65" s="5"/>
      <c r="LNM65" s="5"/>
      <c r="LNN65" s="5"/>
      <c r="LNO65" s="5"/>
      <c r="LNP65" s="5"/>
      <c r="LNQ65" s="5"/>
      <c r="LNR65" s="5"/>
      <c r="LNS65" s="5"/>
      <c r="LNT65" s="5"/>
      <c r="LNU65" s="5"/>
      <c r="LNV65" s="5"/>
      <c r="LNW65" s="5"/>
      <c r="LNX65" s="5"/>
      <c r="LNY65" s="5"/>
      <c r="LNZ65" s="5"/>
      <c r="LOA65" s="5"/>
      <c r="LOB65" s="5"/>
      <c r="LOC65" s="5"/>
      <c r="LOD65" s="5"/>
      <c r="LOE65" s="5"/>
      <c r="LOF65" s="5"/>
      <c r="LOG65" s="5"/>
      <c r="LOH65" s="5"/>
      <c r="LOI65" s="5"/>
      <c r="LOJ65" s="5"/>
      <c r="LOK65" s="5"/>
      <c r="LOL65" s="5"/>
      <c r="LOM65" s="5"/>
      <c r="LON65" s="5"/>
      <c r="LOO65" s="5"/>
      <c r="LOP65" s="5"/>
      <c r="LOQ65" s="5"/>
      <c r="LOR65" s="5"/>
      <c r="LOS65" s="5"/>
      <c r="LOT65" s="5"/>
      <c r="LOU65" s="5"/>
      <c r="LOV65" s="5"/>
      <c r="LOW65" s="5"/>
      <c r="LOX65" s="5"/>
      <c r="LOY65" s="5"/>
      <c r="LOZ65" s="5"/>
      <c r="LPA65" s="5"/>
      <c r="LPB65" s="5"/>
      <c r="LPC65" s="5"/>
      <c r="LPD65" s="5"/>
      <c r="LPE65" s="5"/>
      <c r="LPF65" s="5"/>
      <c r="LPG65" s="5"/>
      <c r="LPH65" s="5"/>
      <c r="LPI65" s="5"/>
      <c r="LPJ65" s="5"/>
      <c r="LPK65" s="5"/>
      <c r="LPL65" s="5"/>
      <c r="LPM65" s="5"/>
      <c r="LPN65" s="5"/>
      <c r="LPO65" s="5"/>
      <c r="LPP65" s="5"/>
      <c r="LPQ65" s="5"/>
      <c r="LPR65" s="5"/>
      <c r="LPS65" s="5"/>
      <c r="LPT65" s="5"/>
      <c r="LPU65" s="5"/>
      <c r="LPV65" s="5"/>
      <c r="LPW65" s="5"/>
      <c r="LPX65" s="5"/>
      <c r="LPY65" s="5"/>
      <c r="LPZ65" s="5"/>
      <c r="LQA65" s="5"/>
      <c r="LQB65" s="5"/>
      <c r="LQC65" s="5"/>
      <c r="LQD65" s="5"/>
      <c r="LQE65" s="5"/>
      <c r="LQF65" s="5"/>
      <c r="LQG65" s="5"/>
      <c r="LQH65" s="5"/>
      <c r="LQI65" s="5"/>
      <c r="LQJ65" s="5"/>
      <c r="LQK65" s="5"/>
      <c r="LQL65" s="5"/>
      <c r="LQM65" s="5"/>
      <c r="LQN65" s="5"/>
      <c r="LQO65" s="5"/>
      <c r="LQP65" s="5"/>
      <c r="LQQ65" s="5"/>
      <c r="LQR65" s="5"/>
      <c r="LQS65" s="5"/>
      <c r="LQT65" s="5"/>
      <c r="LQU65" s="5"/>
      <c r="LQV65" s="5"/>
      <c r="LQW65" s="5"/>
      <c r="LQX65" s="5"/>
      <c r="LQY65" s="5"/>
      <c r="LQZ65" s="5"/>
      <c r="LRA65" s="5"/>
      <c r="LRB65" s="5"/>
      <c r="LRC65" s="5"/>
      <c r="LRD65" s="5"/>
      <c r="LRE65" s="5"/>
      <c r="LRF65" s="5"/>
      <c r="LRG65" s="5"/>
      <c r="LRH65" s="5"/>
      <c r="LRI65" s="5"/>
      <c r="LRJ65" s="5"/>
      <c r="LRK65" s="5"/>
      <c r="LRL65" s="5"/>
      <c r="LRM65" s="5"/>
      <c r="LRN65" s="5"/>
      <c r="LRO65" s="5"/>
      <c r="LRP65" s="5"/>
      <c r="LRQ65" s="5"/>
      <c r="LRR65" s="5"/>
      <c r="LRS65" s="5"/>
      <c r="LRT65" s="5"/>
      <c r="LRU65" s="5"/>
      <c r="LRV65" s="5"/>
      <c r="LRW65" s="5"/>
      <c r="LRX65" s="5"/>
      <c r="LRY65" s="5"/>
      <c r="LRZ65" s="5"/>
      <c r="LSA65" s="5"/>
      <c r="LSB65" s="5"/>
      <c r="LSC65" s="5"/>
      <c r="LSD65" s="5"/>
      <c r="LSE65" s="5"/>
      <c r="LSF65" s="5"/>
      <c r="LSG65" s="5"/>
      <c r="LSH65" s="5"/>
      <c r="LSI65" s="5"/>
      <c r="LSJ65" s="5"/>
      <c r="LSK65" s="5"/>
      <c r="LSL65" s="5"/>
      <c r="LSM65" s="5"/>
      <c r="LSN65" s="5"/>
      <c r="LSO65" s="5"/>
      <c r="LSP65" s="5"/>
      <c r="LSQ65" s="5"/>
      <c r="LSR65" s="5"/>
      <c r="LSS65" s="5"/>
      <c r="LST65" s="5"/>
      <c r="LSU65" s="5"/>
      <c r="LSV65" s="5"/>
      <c r="LSW65" s="5"/>
      <c r="LSX65" s="5"/>
      <c r="LSY65" s="5"/>
      <c r="LSZ65" s="5"/>
      <c r="LTA65" s="5"/>
      <c r="LTB65" s="5"/>
      <c r="LTC65" s="5"/>
      <c r="LTD65" s="5"/>
      <c r="LTE65" s="5"/>
      <c r="LTF65" s="5"/>
      <c r="LTG65" s="5"/>
      <c r="LTH65" s="5"/>
      <c r="LTI65" s="5"/>
      <c r="LTJ65" s="5"/>
      <c r="LTK65" s="5"/>
      <c r="LTL65" s="5"/>
      <c r="LTM65" s="5"/>
      <c r="LTN65" s="5"/>
      <c r="LTO65" s="5"/>
      <c r="LTP65" s="5"/>
      <c r="LTQ65" s="5"/>
      <c r="LTR65" s="5"/>
      <c r="LTS65" s="5"/>
      <c r="LTT65" s="5"/>
      <c r="LTU65" s="5"/>
      <c r="LTV65" s="5"/>
      <c r="LTW65" s="5"/>
      <c r="LTX65" s="5"/>
      <c r="LTY65" s="5"/>
      <c r="LTZ65" s="5"/>
      <c r="LUA65" s="5"/>
      <c r="LUB65" s="5"/>
      <c r="LUC65" s="5"/>
      <c r="LUD65" s="5"/>
      <c r="LUE65" s="5"/>
      <c r="LUF65" s="5"/>
      <c r="LUG65" s="5"/>
      <c r="LUH65" s="5"/>
      <c r="LUI65" s="5"/>
      <c r="LUJ65" s="5"/>
      <c r="LUK65" s="5"/>
      <c r="LUL65" s="5"/>
      <c r="LUM65" s="5"/>
      <c r="LUN65" s="5"/>
      <c r="LUO65" s="5"/>
      <c r="LUP65" s="5"/>
      <c r="LUQ65" s="5"/>
      <c r="LUR65" s="5"/>
      <c r="LUS65" s="5"/>
      <c r="LUT65" s="5"/>
      <c r="LUU65" s="5"/>
      <c r="LUV65" s="5"/>
      <c r="LUW65" s="5"/>
      <c r="LUX65" s="5"/>
      <c r="LUY65" s="5"/>
      <c r="LUZ65" s="5"/>
      <c r="LVA65" s="5"/>
      <c r="LVB65" s="5"/>
      <c r="LVC65" s="5"/>
      <c r="LVD65" s="5"/>
      <c r="LVE65" s="5"/>
      <c r="LVF65" s="5"/>
      <c r="LVG65" s="5"/>
      <c r="LVH65" s="5"/>
      <c r="LVI65" s="5"/>
      <c r="LVJ65" s="5"/>
      <c r="LVK65" s="5"/>
      <c r="LVL65" s="5"/>
      <c r="LVM65" s="5"/>
      <c r="LVN65" s="5"/>
      <c r="LVO65" s="5"/>
      <c r="LVP65" s="5"/>
      <c r="LVQ65" s="5"/>
      <c r="LVR65" s="5"/>
      <c r="LVS65" s="5"/>
      <c r="LVT65" s="5"/>
      <c r="LVU65" s="5"/>
      <c r="LVV65" s="5"/>
      <c r="LVW65" s="5"/>
      <c r="LVX65" s="5"/>
      <c r="LVY65" s="5"/>
      <c r="LVZ65" s="5"/>
      <c r="LWA65" s="5"/>
      <c r="LWB65" s="5"/>
      <c r="LWC65" s="5"/>
      <c r="LWD65" s="5"/>
      <c r="LWE65" s="5"/>
      <c r="LWF65" s="5"/>
      <c r="LWG65" s="5"/>
      <c r="LWH65" s="5"/>
      <c r="LWI65" s="5"/>
      <c r="LWJ65" s="5"/>
      <c r="LWK65" s="5"/>
      <c r="LWL65" s="5"/>
      <c r="LWM65" s="5"/>
      <c r="LWN65" s="5"/>
      <c r="LWO65" s="5"/>
      <c r="LWP65" s="5"/>
      <c r="LWQ65" s="5"/>
      <c r="LWR65" s="5"/>
      <c r="LWS65" s="5"/>
      <c r="LWT65" s="5"/>
      <c r="LWU65" s="5"/>
      <c r="LWV65" s="5"/>
      <c r="LWW65" s="5"/>
      <c r="LWX65" s="5"/>
      <c r="LWY65" s="5"/>
      <c r="LWZ65" s="5"/>
      <c r="LXA65" s="5"/>
      <c r="LXB65" s="5"/>
      <c r="LXC65" s="5"/>
      <c r="LXD65" s="5"/>
      <c r="LXE65" s="5"/>
      <c r="LXF65" s="5"/>
      <c r="LXG65" s="5"/>
      <c r="LXH65" s="5"/>
      <c r="LXI65" s="5"/>
      <c r="LXJ65" s="5"/>
      <c r="LXK65" s="5"/>
      <c r="LXL65" s="5"/>
      <c r="LXM65" s="5"/>
      <c r="LXN65" s="5"/>
      <c r="LXO65" s="5"/>
      <c r="LXP65" s="5"/>
      <c r="LXQ65" s="5"/>
      <c r="LXR65" s="5"/>
      <c r="LXS65" s="5"/>
      <c r="LXT65" s="5"/>
      <c r="LXU65" s="5"/>
      <c r="LXV65" s="5"/>
      <c r="LXW65" s="5"/>
      <c r="LXX65" s="5"/>
      <c r="LXY65" s="5"/>
      <c r="LXZ65" s="5"/>
      <c r="LYA65" s="5"/>
      <c r="LYB65" s="5"/>
      <c r="LYC65" s="5"/>
      <c r="LYD65" s="5"/>
      <c r="LYE65" s="5"/>
      <c r="LYF65" s="5"/>
      <c r="LYG65" s="5"/>
      <c r="LYH65" s="5"/>
      <c r="LYI65" s="5"/>
      <c r="LYJ65" s="5"/>
      <c r="LYK65" s="5"/>
      <c r="LYL65" s="5"/>
      <c r="LYM65" s="5"/>
      <c r="LYN65" s="5"/>
      <c r="LYO65" s="5"/>
      <c r="LYP65" s="5"/>
      <c r="LYQ65" s="5"/>
      <c r="LYR65" s="5"/>
      <c r="LYS65" s="5"/>
      <c r="LYT65" s="5"/>
      <c r="LYU65" s="5"/>
      <c r="LYV65" s="5"/>
      <c r="LYW65" s="5"/>
      <c r="LYX65" s="5"/>
      <c r="LYY65" s="5"/>
      <c r="LYZ65" s="5"/>
      <c r="LZA65" s="5"/>
      <c r="LZB65" s="5"/>
      <c r="LZC65" s="5"/>
      <c r="LZD65" s="5"/>
      <c r="LZE65" s="5"/>
      <c r="LZF65" s="5"/>
      <c r="LZG65" s="5"/>
      <c r="LZH65" s="5"/>
      <c r="LZI65" s="5"/>
      <c r="LZJ65" s="5"/>
      <c r="LZK65" s="5"/>
      <c r="LZL65" s="5"/>
      <c r="LZM65" s="5"/>
      <c r="LZN65" s="5"/>
      <c r="LZO65" s="5"/>
      <c r="LZP65" s="5"/>
      <c r="LZQ65" s="5"/>
      <c r="LZR65" s="5"/>
      <c r="LZS65" s="5"/>
      <c r="LZT65" s="5"/>
      <c r="LZU65" s="5"/>
      <c r="LZV65" s="5"/>
      <c r="LZW65" s="5"/>
      <c r="LZX65" s="5"/>
      <c r="LZY65" s="5"/>
      <c r="LZZ65" s="5"/>
      <c r="MAA65" s="5"/>
      <c r="MAB65" s="5"/>
      <c r="MAC65" s="5"/>
      <c r="MAD65" s="5"/>
      <c r="MAE65" s="5"/>
      <c r="MAF65" s="5"/>
      <c r="MAG65" s="5"/>
      <c r="MAH65" s="5"/>
      <c r="MAI65" s="5"/>
      <c r="MAJ65" s="5"/>
      <c r="MAK65" s="5"/>
      <c r="MAL65" s="5"/>
      <c r="MAM65" s="5"/>
      <c r="MAN65" s="5"/>
      <c r="MAO65" s="5"/>
      <c r="MAP65" s="5"/>
      <c r="MAQ65" s="5"/>
      <c r="MAR65" s="5"/>
      <c r="MAS65" s="5"/>
      <c r="MAT65" s="5"/>
      <c r="MAU65" s="5"/>
      <c r="MAV65" s="5"/>
      <c r="MAW65" s="5"/>
      <c r="MAX65" s="5"/>
      <c r="MAY65" s="5"/>
      <c r="MAZ65" s="5"/>
      <c r="MBA65" s="5"/>
      <c r="MBB65" s="5"/>
      <c r="MBC65" s="5"/>
      <c r="MBD65" s="5"/>
      <c r="MBE65" s="5"/>
      <c r="MBF65" s="5"/>
      <c r="MBG65" s="5"/>
      <c r="MBH65" s="5"/>
      <c r="MBI65" s="5"/>
      <c r="MBJ65" s="5"/>
      <c r="MBK65" s="5"/>
      <c r="MBL65" s="5"/>
      <c r="MBM65" s="5"/>
      <c r="MBN65" s="5"/>
      <c r="MBO65" s="5"/>
      <c r="MBP65" s="5"/>
      <c r="MBQ65" s="5"/>
      <c r="MBR65" s="5"/>
      <c r="MBS65" s="5"/>
      <c r="MBT65" s="5"/>
      <c r="MBU65" s="5"/>
      <c r="MBV65" s="5"/>
      <c r="MBW65" s="5"/>
      <c r="MBX65" s="5"/>
      <c r="MBY65" s="5"/>
      <c r="MBZ65" s="5"/>
      <c r="MCA65" s="5"/>
      <c r="MCB65" s="5"/>
      <c r="MCC65" s="5"/>
      <c r="MCD65" s="5"/>
      <c r="MCE65" s="5"/>
      <c r="MCF65" s="5"/>
      <c r="MCG65" s="5"/>
      <c r="MCH65" s="5"/>
      <c r="MCI65" s="5"/>
      <c r="MCJ65" s="5"/>
      <c r="MCK65" s="5"/>
      <c r="MCL65" s="5"/>
      <c r="MCM65" s="5"/>
      <c r="MCN65" s="5"/>
      <c r="MCO65" s="5"/>
      <c r="MCP65" s="5"/>
      <c r="MCQ65" s="5"/>
      <c r="MCR65" s="5"/>
      <c r="MCS65" s="5"/>
      <c r="MCT65" s="5"/>
      <c r="MCU65" s="5"/>
      <c r="MCV65" s="5"/>
      <c r="MCW65" s="5"/>
      <c r="MCX65" s="5"/>
      <c r="MCY65" s="5"/>
      <c r="MCZ65" s="5"/>
      <c r="MDA65" s="5"/>
      <c r="MDB65" s="5"/>
      <c r="MDC65" s="5"/>
      <c r="MDD65" s="5"/>
      <c r="MDE65" s="5"/>
      <c r="MDF65" s="5"/>
      <c r="MDG65" s="5"/>
      <c r="MDH65" s="5"/>
      <c r="MDI65" s="5"/>
      <c r="MDJ65" s="5"/>
      <c r="MDK65" s="5"/>
      <c r="MDL65" s="5"/>
      <c r="MDM65" s="5"/>
      <c r="MDN65" s="5"/>
      <c r="MDO65" s="5"/>
      <c r="MDP65" s="5"/>
      <c r="MDQ65" s="5"/>
      <c r="MDR65" s="5"/>
      <c r="MDS65" s="5"/>
      <c r="MDT65" s="5"/>
      <c r="MDU65" s="5"/>
      <c r="MDV65" s="5"/>
      <c r="MDW65" s="5"/>
      <c r="MDX65" s="5"/>
      <c r="MDY65" s="5"/>
      <c r="MDZ65" s="5"/>
      <c r="MEA65" s="5"/>
      <c r="MEB65" s="5"/>
      <c r="MEC65" s="5"/>
      <c r="MED65" s="5"/>
      <c r="MEE65" s="5"/>
      <c r="MEF65" s="5"/>
      <c r="MEG65" s="5"/>
      <c r="MEH65" s="5"/>
      <c r="MEI65" s="5"/>
      <c r="MEJ65" s="5"/>
      <c r="MEK65" s="5"/>
      <c r="MEL65" s="5"/>
      <c r="MEM65" s="5"/>
      <c r="MEN65" s="5"/>
      <c r="MEO65" s="5"/>
      <c r="MEP65" s="5"/>
      <c r="MEQ65" s="5"/>
      <c r="MER65" s="5"/>
      <c r="MES65" s="5"/>
      <c r="MET65" s="5"/>
      <c r="MEU65" s="5"/>
      <c r="MEV65" s="5"/>
      <c r="MEW65" s="5"/>
      <c r="MEX65" s="5"/>
      <c r="MEY65" s="5"/>
      <c r="MEZ65" s="5"/>
      <c r="MFA65" s="5"/>
      <c r="MFB65" s="5"/>
      <c r="MFC65" s="5"/>
      <c r="MFD65" s="5"/>
      <c r="MFE65" s="5"/>
      <c r="MFF65" s="5"/>
      <c r="MFG65" s="5"/>
      <c r="MFH65" s="5"/>
      <c r="MFI65" s="5"/>
      <c r="MFJ65" s="5"/>
      <c r="MFK65" s="5"/>
      <c r="MFL65" s="5"/>
      <c r="MFM65" s="5"/>
      <c r="MFN65" s="5"/>
      <c r="MFO65" s="5"/>
      <c r="MFP65" s="5"/>
      <c r="MFQ65" s="5"/>
      <c r="MFR65" s="5"/>
      <c r="MFS65" s="5"/>
      <c r="MFT65" s="5"/>
      <c r="MFU65" s="5"/>
      <c r="MFV65" s="5"/>
      <c r="MFW65" s="5"/>
      <c r="MFX65" s="5"/>
      <c r="MFY65" s="5"/>
      <c r="MFZ65" s="5"/>
      <c r="MGA65" s="5"/>
      <c r="MGB65" s="5"/>
      <c r="MGC65" s="5"/>
      <c r="MGD65" s="5"/>
      <c r="MGE65" s="5"/>
      <c r="MGF65" s="5"/>
      <c r="MGG65" s="5"/>
      <c r="MGH65" s="5"/>
      <c r="MGI65" s="5"/>
      <c r="MGJ65" s="5"/>
      <c r="MGK65" s="5"/>
      <c r="MGL65" s="5"/>
      <c r="MGM65" s="5"/>
      <c r="MGN65" s="5"/>
      <c r="MGO65" s="5"/>
      <c r="MGP65" s="5"/>
      <c r="MGQ65" s="5"/>
      <c r="MGR65" s="5"/>
      <c r="MGS65" s="5"/>
      <c r="MGT65" s="5"/>
      <c r="MGU65" s="5"/>
      <c r="MGV65" s="5"/>
      <c r="MGW65" s="5"/>
      <c r="MGX65" s="5"/>
      <c r="MGY65" s="5"/>
      <c r="MGZ65" s="5"/>
      <c r="MHA65" s="5"/>
      <c r="MHB65" s="5"/>
      <c r="MHC65" s="5"/>
      <c r="MHD65" s="5"/>
      <c r="MHE65" s="5"/>
      <c r="MHF65" s="5"/>
      <c r="MHG65" s="5"/>
      <c r="MHH65" s="5"/>
      <c r="MHI65" s="5"/>
      <c r="MHJ65" s="5"/>
      <c r="MHK65" s="5"/>
      <c r="MHL65" s="5"/>
      <c r="MHM65" s="5"/>
      <c r="MHN65" s="5"/>
      <c r="MHO65" s="5"/>
      <c r="MHP65" s="5"/>
      <c r="MHQ65" s="5"/>
      <c r="MHR65" s="5"/>
      <c r="MHS65" s="5"/>
      <c r="MHT65" s="5"/>
      <c r="MHU65" s="5"/>
      <c r="MHV65" s="5"/>
      <c r="MHW65" s="5"/>
      <c r="MHX65" s="5"/>
      <c r="MHY65" s="5"/>
      <c r="MHZ65" s="5"/>
      <c r="MIA65" s="5"/>
      <c r="MIB65" s="5"/>
      <c r="MIC65" s="5"/>
      <c r="MID65" s="5"/>
      <c r="MIE65" s="5"/>
      <c r="MIF65" s="5"/>
      <c r="MIG65" s="5"/>
      <c r="MIH65" s="5"/>
      <c r="MII65" s="5"/>
      <c r="MIJ65" s="5"/>
      <c r="MIK65" s="5"/>
      <c r="MIL65" s="5"/>
      <c r="MIM65" s="5"/>
      <c r="MIN65" s="5"/>
      <c r="MIO65" s="5"/>
      <c r="MIP65" s="5"/>
      <c r="MIQ65" s="5"/>
      <c r="MIR65" s="5"/>
      <c r="MIS65" s="5"/>
      <c r="MIT65" s="5"/>
      <c r="MIU65" s="5"/>
      <c r="MIV65" s="5"/>
      <c r="MIW65" s="5"/>
      <c r="MIX65" s="5"/>
      <c r="MIY65" s="5"/>
      <c r="MIZ65" s="5"/>
      <c r="MJA65" s="5"/>
      <c r="MJB65" s="5"/>
      <c r="MJC65" s="5"/>
      <c r="MJD65" s="5"/>
      <c r="MJE65" s="5"/>
      <c r="MJF65" s="5"/>
      <c r="MJG65" s="5"/>
      <c r="MJH65" s="5"/>
      <c r="MJI65" s="5"/>
      <c r="MJJ65" s="5"/>
      <c r="MJK65" s="5"/>
      <c r="MJL65" s="5"/>
      <c r="MJM65" s="5"/>
      <c r="MJN65" s="5"/>
      <c r="MJO65" s="5"/>
      <c r="MJP65" s="5"/>
      <c r="MJQ65" s="5"/>
      <c r="MJR65" s="5"/>
      <c r="MJS65" s="5"/>
      <c r="MJT65" s="5"/>
      <c r="MJU65" s="5"/>
      <c r="MJV65" s="5"/>
      <c r="MJW65" s="5"/>
      <c r="MJX65" s="5"/>
      <c r="MJY65" s="5"/>
      <c r="MJZ65" s="5"/>
      <c r="MKA65" s="5"/>
      <c r="MKB65" s="5"/>
      <c r="MKC65" s="5"/>
      <c r="MKD65" s="5"/>
      <c r="MKE65" s="5"/>
      <c r="MKF65" s="5"/>
      <c r="MKG65" s="5"/>
      <c r="MKH65" s="5"/>
      <c r="MKI65" s="5"/>
      <c r="MKJ65" s="5"/>
      <c r="MKK65" s="5"/>
      <c r="MKL65" s="5"/>
      <c r="MKM65" s="5"/>
      <c r="MKN65" s="5"/>
      <c r="MKO65" s="5"/>
      <c r="MKP65" s="5"/>
      <c r="MKQ65" s="5"/>
      <c r="MKR65" s="5"/>
      <c r="MKS65" s="5"/>
      <c r="MKT65" s="5"/>
      <c r="MKU65" s="5"/>
      <c r="MKV65" s="5"/>
      <c r="MKW65" s="5"/>
      <c r="MKX65" s="5"/>
      <c r="MKY65" s="5"/>
      <c r="MKZ65" s="5"/>
      <c r="MLA65" s="5"/>
      <c r="MLB65" s="5"/>
      <c r="MLC65" s="5"/>
      <c r="MLD65" s="5"/>
      <c r="MLE65" s="5"/>
      <c r="MLF65" s="5"/>
      <c r="MLG65" s="5"/>
      <c r="MLH65" s="5"/>
      <c r="MLI65" s="5"/>
      <c r="MLJ65" s="5"/>
      <c r="MLK65" s="5"/>
      <c r="MLL65" s="5"/>
      <c r="MLM65" s="5"/>
      <c r="MLN65" s="5"/>
      <c r="MLO65" s="5"/>
      <c r="MLP65" s="5"/>
      <c r="MLQ65" s="5"/>
      <c r="MLR65" s="5"/>
      <c r="MLS65" s="5"/>
      <c r="MLT65" s="5"/>
      <c r="MLU65" s="5"/>
      <c r="MLV65" s="5"/>
      <c r="MLW65" s="5"/>
      <c r="MLX65" s="5"/>
      <c r="MLY65" s="5"/>
      <c r="MLZ65" s="5"/>
      <c r="MMA65" s="5"/>
      <c r="MMB65" s="5"/>
      <c r="MMC65" s="5"/>
      <c r="MMD65" s="5"/>
      <c r="MME65" s="5"/>
      <c r="MMF65" s="5"/>
      <c r="MMG65" s="5"/>
      <c r="MMH65" s="5"/>
      <c r="MMI65" s="5"/>
      <c r="MMJ65" s="5"/>
      <c r="MMK65" s="5"/>
      <c r="MML65" s="5"/>
      <c r="MMM65" s="5"/>
      <c r="MMN65" s="5"/>
      <c r="MMO65" s="5"/>
      <c r="MMP65" s="5"/>
      <c r="MMQ65" s="5"/>
      <c r="MMR65" s="5"/>
      <c r="MMS65" s="5"/>
      <c r="MMT65" s="5"/>
      <c r="MMU65" s="5"/>
      <c r="MMV65" s="5"/>
      <c r="MMW65" s="5"/>
      <c r="MMX65" s="5"/>
      <c r="MMY65" s="5"/>
      <c r="MMZ65" s="5"/>
      <c r="MNA65" s="5"/>
      <c r="MNB65" s="5"/>
      <c r="MNC65" s="5"/>
      <c r="MND65" s="5"/>
      <c r="MNE65" s="5"/>
      <c r="MNF65" s="5"/>
      <c r="MNG65" s="5"/>
      <c r="MNH65" s="5"/>
      <c r="MNI65" s="5"/>
      <c r="MNJ65" s="5"/>
      <c r="MNK65" s="5"/>
      <c r="MNL65" s="5"/>
      <c r="MNM65" s="5"/>
      <c r="MNN65" s="5"/>
      <c r="MNO65" s="5"/>
      <c r="MNP65" s="5"/>
      <c r="MNQ65" s="5"/>
      <c r="MNR65" s="5"/>
      <c r="MNS65" s="5"/>
      <c r="MNT65" s="5"/>
      <c r="MNU65" s="5"/>
      <c r="MNV65" s="5"/>
      <c r="MNW65" s="5"/>
      <c r="MNX65" s="5"/>
      <c r="MNY65" s="5"/>
      <c r="MNZ65" s="5"/>
      <c r="MOA65" s="5"/>
      <c r="MOB65" s="5"/>
      <c r="MOC65" s="5"/>
      <c r="MOD65" s="5"/>
      <c r="MOE65" s="5"/>
      <c r="MOF65" s="5"/>
      <c r="MOG65" s="5"/>
      <c r="MOH65" s="5"/>
      <c r="MOI65" s="5"/>
      <c r="MOJ65" s="5"/>
      <c r="MOK65" s="5"/>
      <c r="MOL65" s="5"/>
      <c r="MOM65" s="5"/>
      <c r="MON65" s="5"/>
      <c r="MOO65" s="5"/>
      <c r="MOP65" s="5"/>
      <c r="MOQ65" s="5"/>
      <c r="MOR65" s="5"/>
      <c r="MOS65" s="5"/>
      <c r="MOT65" s="5"/>
      <c r="MOU65" s="5"/>
      <c r="MOV65" s="5"/>
      <c r="MOW65" s="5"/>
      <c r="MOX65" s="5"/>
      <c r="MOY65" s="5"/>
      <c r="MOZ65" s="5"/>
      <c r="MPA65" s="5"/>
      <c r="MPB65" s="5"/>
      <c r="MPC65" s="5"/>
      <c r="MPD65" s="5"/>
      <c r="MPE65" s="5"/>
      <c r="MPF65" s="5"/>
      <c r="MPG65" s="5"/>
      <c r="MPH65" s="5"/>
      <c r="MPI65" s="5"/>
      <c r="MPJ65" s="5"/>
      <c r="MPK65" s="5"/>
      <c r="MPL65" s="5"/>
      <c r="MPM65" s="5"/>
      <c r="MPN65" s="5"/>
      <c r="MPO65" s="5"/>
      <c r="MPP65" s="5"/>
      <c r="MPQ65" s="5"/>
      <c r="MPR65" s="5"/>
      <c r="MPS65" s="5"/>
      <c r="MPT65" s="5"/>
      <c r="MPU65" s="5"/>
      <c r="MPV65" s="5"/>
      <c r="MPW65" s="5"/>
      <c r="MPX65" s="5"/>
      <c r="MPY65" s="5"/>
      <c r="MPZ65" s="5"/>
      <c r="MQA65" s="5"/>
      <c r="MQB65" s="5"/>
      <c r="MQC65" s="5"/>
      <c r="MQD65" s="5"/>
      <c r="MQE65" s="5"/>
      <c r="MQF65" s="5"/>
      <c r="MQG65" s="5"/>
      <c r="MQH65" s="5"/>
      <c r="MQI65" s="5"/>
      <c r="MQJ65" s="5"/>
      <c r="MQK65" s="5"/>
      <c r="MQL65" s="5"/>
      <c r="MQM65" s="5"/>
      <c r="MQN65" s="5"/>
      <c r="MQO65" s="5"/>
      <c r="MQP65" s="5"/>
      <c r="MQQ65" s="5"/>
      <c r="MQR65" s="5"/>
      <c r="MQS65" s="5"/>
      <c r="MQT65" s="5"/>
      <c r="MQU65" s="5"/>
      <c r="MQV65" s="5"/>
      <c r="MQW65" s="5"/>
      <c r="MQX65" s="5"/>
      <c r="MQY65" s="5"/>
      <c r="MQZ65" s="5"/>
      <c r="MRA65" s="5"/>
      <c r="MRB65" s="5"/>
      <c r="MRC65" s="5"/>
      <c r="MRD65" s="5"/>
      <c r="MRE65" s="5"/>
      <c r="MRF65" s="5"/>
      <c r="MRG65" s="5"/>
      <c r="MRH65" s="5"/>
      <c r="MRI65" s="5"/>
      <c r="MRJ65" s="5"/>
      <c r="MRK65" s="5"/>
      <c r="MRL65" s="5"/>
      <c r="MRM65" s="5"/>
      <c r="MRN65" s="5"/>
      <c r="MRO65" s="5"/>
      <c r="MRP65" s="5"/>
      <c r="MRQ65" s="5"/>
      <c r="MRR65" s="5"/>
      <c r="MRS65" s="5"/>
      <c r="MRT65" s="5"/>
      <c r="MRU65" s="5"/>
      <c r="MRV65" s="5"/>
      <c r="MRW65" s="5"/>
      <c r="MRX65" s="5"/>
      <c r="MRY65" s="5"/>
      <c r="MRZ65" s="5"/>
      <c r="MSA65" s="5"/>
      <c r="MSB65" s="5"/>
      <c r="MSC65" s="5"/>
      <c r="MSD65" s="5"/>
      <c r="MSE65" s="5"/>
      <c r="MSF65" s="5"/>
      <c r="MSG65" s="5"/>
      <c r="MSH65" s="5"/>
      <c r="MSI65" s="5"/>
      <c r="MSJ65" s="5"/>
      <c r="MSK65" s="5"/>
      <c r="MSL65" s="5"/>
      <c r="MSM65" s="5"/>
      <c r="MSN65" s="5"/>
      <c r="MSO65" s="5"/>
      <c r="MSP65" s="5"/>
      <c r="MSQ65" s="5"/>
      <c r="MSR65" s="5"/>
      <c r="MSS65" s="5"/>
      <c r="MST65" s="5"/>
      <c r="MSU65" s="5"/>
      <c r="MSV65" s="5"/>
      <c r="MSW65" s="5"/>
      <c r="MSX65" s="5"/>
      <c r="MSY65" s="5"/>
      <c r="MSZ65" s="5"/>
      <c r="MTA65" s="5"/>
      <c r="MTB65" s="5"/>
      <c r="MTC65" s="5"/>
      <c r="MTD65" s="5"/>
      <c r="MTE65" s="5"/>
      <c r="MTF65" s="5"/>
      <c r="MTG65" s="5"/>
      <c r="MTH65" s="5"/>
      <c r="MTI65" s="5"/>
      <c r="MTJ65" s="5"/>
      <c r="MTK65" s="5"/>
      <c r="MTL65" s="5"/>
      <c r="MTM65" s="5"/>
      <c r="MTN65" s="5"/>
      <c r="MTO65" s="5"/>
      <c r="MTP65" s="5"/>
      <c r="MTQ65" s="5"/>
      <c r="MTR65" s="5"/>
      <c r="MTS65" s="5"/>
      <c r="MTT65" s="5"/>
      <c r="MTU65" s="5"/>
      <c r="MTV65" s="5"/>
      <c r="MTW65" s="5"/>
      <c r="MTX65" s="5"/>
      <c r="MTY65" s="5"/>
      <c r="MTZ65" s="5"/>
      <c r="MUA65" s="5"/>
      <c r="MUB65" s="5"/>
      <c r="MUC65" s="5"/>
      <c r="MUD65" s="5"/>
      <c r="MUE65" s="5"/>
      <c r="MUF65" s="5"/>
      <c r="MUG65" s="5"/>
      <c r="MUH65" s="5"/>
      <c r="MUI65" s="5"/>
      <c r="MUJ65" s="5"/>
      <c r="MUK65" s="5"/>
      <c r="MUL65" s="5"/>
      <c r="MUM65" s="5"/>
      <c r="MUN65" s="5"/>
      <c r="MUO65" s="5"/>
      <c r="MUP65" s="5"/>
      <c r="MUQ65" s="5"/>
      <c r="MUR65" s="5"/>
      <c r="MUS65" s="5"/>
      <c r="MUT65" s="5"/>
      <c r="MUU65" s="5"/>
      <c r="MUV65" s="5"/>
      <c r="MUW65" s="5"/>
      <c r="MUX65" s="5"/>
      <c r="MUY65" s="5"/>
      <c r="MUZ65" s="5"/>
      <c r="MVA65" s="5"/>
      <c r="MVB65" s="5"/>
      <c r="MVC65" s="5"/>
      <c r="MVD65" s="5"/>
      <c r="MVE65" s="5"/>
      <c r="MVF65" s="5"/>
      <c r="MVG65" s="5"/>
      <c r="MVH65" s="5"/>
      <c r="MVI65" s="5"/>
      <c r="MVJ65" s="5"/>
      <c r="MVK65" s="5"/>
      <c r="MVL65" s="5"/>
      <c r="MVM65" s="5"/>
      <c r="MVN65" s="5"/>
      <c r="MVO65" s="5"/>
      <c r="MVP65" s="5"/>
      <c r="MVQ65" s="5"/>
      <c r="MVR65" s="5"/>
      <c r="MVS65" s="5"/>
      <c r="MVT65" s="5"/>
      <c r="MVU65" s="5"/>
      <c r="MVV65" s="5"/>
      <c r="MVW65" s="5"/>
      <c r="MVX65" s="5"/>
      <c r="MVY65" s="5"/>
      <c r="MVZ65" s="5"/>
      <c r="MWA65" s="5"/>
      <c r="MWB65" s="5"/>
      <c r="MWC65" s="5"/>
      <c r="MWD65" s="5"/>
      <c r="MWE65" s="5"/>
      <c r="MWF65" s="5"/>
      <c r="MWG65" s="5"/>
      <c r="MWH65" s="5"/>
      <c r="MWI65" s="5"/>
      <c r="MWJ65" s="5"/>
      <c r="MWK65" s="5"/>
      <c r="MWL65" s="5"/>
      <c r="MWM65" s="5"/>
      <c r="MWN65" s="5"/>
      <c r="MWO65" s="5"/>
      <c r="MWP65" s="5"/>
      <c r="MWQ65" s="5"/>
      <c r="MWR65" s="5"/>
      <c r="MWS65" s="5"/>
      <c r="MWT65" s="5"/>
      <c r="MWU65" s="5"/>
      <c r="MWV65" s="5"/>
      <c r="MWW65" s="5"/>
      <c r="MWX65" s="5"/>
      <c r="MWY65" s="5"/>
      <c r="MWZ65" s="5"/>
      <c r="MXA65" s="5"/>
      <c r="MXB65" s="5"/>
      <c r="MXC65" s="5"/>
      <c r="MXD65" s="5"/>
      <c r="MXE65" s="5"/>
      <c r="MXF65" s="5"/>
      <c r="MXG65" s="5"/>
      <c r="MXH65" s="5"/>
      <c r="MXI65" s="5"/>
      <c r="MXJ65" s="5"/>
      <c r="MXK65" s="5"/>
      <c r="MXL65" s="5"/>
      <c r="MXM65" s="5"/>
      <c r="MXN65" s="5"/>
      <c r="MXO65" s="5"/>
      <c r="MXP65" s="5"/>
      <c r="MXQ65" s="5"/>
      <c r="MXR65" s="5"/>
      <c r="MXS65" s="5"/>
      <c r="MXT65" s="5"/>
      <c r="MXU65" s="5"/>
      <c r="MXV65" s="5"/>
      <c r="MXW65" s="5"/>
      <c r="MXX65" s="5"/>
      <c r="MXY65" s="5"/>
      <c r="MXZ65" s="5"/>
      <c r="MYA65" s="5"/>
      <c r="MYB65" s="5"/>
      <c r="MYC65" s="5"/>
      <c r="MYD65" s="5"/>
      <c r="MYE65" s="5"/>
      <c r="MYF65" s="5"/>
      <c r="MYG65" s="5"/>
      <c r="MYH65" s="5"/>
      <c r="MYI65" s="5"/>
      <c r="MYJ65" s="5"/>
      <c r="MYK65" s="5"/>
      <c r="MYL65" s="5"/>
      <c r="MYM65" s="5"/>
      <c r="MYN65" s="5"/>
      <c r="MYO65" s="5"/>
      <c r="MYP65" s="5"/>
      <c r="MYQ65" s="5"/>
      <c r="MYR65" s="5"/>
      <c r="MYS65" s="5"/>
      <c r="MYT65" s="5"/>
      <c r="MYU65" s="5"/>
      <c r="MYV65" s="5"/>
      <c r="MYW65" s="5"/>
      <c r="MYX65" s="5"/>
      <c r="MYY65" s="5"/>
      <c r="MYZ65" s="5"/>
      <c r="MZA65" s="5"/>
      <c r="MZB65" s="5"/>
      <c r="MZC65" s="5"/>
      <c r="MZD65" s="5"/>
      <c r="MZE65" s="5"/>
      <c r="MZF65" s="5"/>
      <c r="MZG65" s="5"/>
      <c r="MZH65" s="5"/>
      <c r="MZI65" s="5"/>
      <c r="MZJ65" s="5"/>
      <c r="MZK65" s="5"/>
      <c r="MZL65" s="5"/>
      <c r="MZM65" s="5"/>
      <c r="MZN65" s="5"/>
      <c r="MZO65" s="5"/>
      <c r="MZP65" s="5"/>
      <c r="MZQ65" s="5"/>
      <c r="MZR65" s="5"/>
      <c r="MZS65" s="5"/>
      <c r="MZT65" s="5"/>
      <c r="MZU65" s="5"/>
      <c r="MZV65" s="5"/>
      <c r="MZW65" s="5"/>
      <c r="MZX65" s="5"/>
      <c r="MZY65" s="5"/>
      <c r="MZZ65" s="5"/>
      <c r="NAA65" s="5"/>
      <c r="NAB65" s="5"/>
      <c r="NAC65" s="5"/>
      <c r="NAD65" s="5"/>
      <c r="NAE65" s="5"/>
      <c r="NAF65" s="5"/>
      <c r="NAG65" s="5"/>
      <c r="NAH65" s="5"/>
      <c r="NAI65" s="5"/>
      <c r="NAJ65" s="5"/>
      <c r="NAK65" s="5"/>
      <c r="NAL65" s="5"/>
      <c r="NAM65" s="5"/>
      <c r="NAN65" s="5"/>
      <c r="NAO65" s="5"/>
      <c r="NAP65" s="5"/>
      <c r="NAQ65" s="5"/>
      <c r="NAR65" s="5"/>
      <c r="NAS65" s="5"/>
      <c r="NAT65" s="5"/>
      <c r="NAU65" s="5"/>
      <c r="NAV65" s="5"/>
      <c r="NAW65" s="5"/>
      <c r="NAX65" s="5"/>
      <c r="NAY65" s="5"/>
      <c r="NAZ65" s="5"/>
      <c r="NBA65" s="5"/>
      <c r="NBB65" s="5"/>
      <c r="NBC65" s="5"/>
      <c r="NBD65" s="5"/>
      <c r="NBE65" s="5"/>
      <c r="NBF65" s="5"/>
      <c r="NBG65" s="5"/>
      <c r="NBH65" s="5"/>
      <c r="NBI65" s="5"/>
      <c r="NBJ65" s="5"/>
      <c r="NBK65" s="5"/>
      <c r="NBL65" s="5"/>
      <c r="NBM65" s="5"/>
      <c r="NBN65" s="5"/>
      <c r="NBO65" s="5"/>
      <c r="NBP65" s="5"/>
      <c r="NBQ65" s="5"/>
      <c r="NBR65" s="5"/>
      <c r="NBS65" s="5"/>
      <c r="NBT65" s="5"/>
      <c r="NBU65" s="5"/>
      <c r="NBV65" s="5"/>
      <c r="NBW65" s="5"/>
      <c r="NBX65" s="5"/>
      <c r="NBY65" s="5"/>
      <c r="NBZ65" s="5"/>
      <c r="NCA65" s="5"/>
      <c r="NCB65" s="5"/>
      <c r="NCC65" s="5"/>
      <c r="NCD65" s="5"/>
      <c r="NCE65" s="5"/>
      <c r="NCF65" s="5"/>
      <c r="NCG65" s="5"/>
      <c r="NCH65" s="5"/>
      <c r="NCI65" s="5"/>
      <c r="NCJ65" s="5"/>
      <c r="NCK65" s="5"/>
      <c r="NCL65" s="5"/>
      <c r="NCM65" s="5"/>
      <c r="NCN65" s="5"/>
      <c r="NCO65" s="5"/>
      <c r="NCP65" s="5"/>
      <c r="NCQ65" s="5"/>
      <c r="NCR65" s="5"/>
      <c r="NCS65" s="5"/>
      <c r="NCT65" s="5"/>
      <c r="NCU65" s="5"/>
      <c r="NCV65" s="5"/>
      <c r="NCW65" s="5"/>
      <c r="NCX65" s="5"/>
      <c r="NCY65" s="5"/>
      <c r="NCZ65" s="5"/>
      <c r="NDA65" s="5"/>
      <c r="NDB65" s="5"/>
      <c r="NDC65" s="5"/>
      <c r="NDD65" s="5"/>
      <c r="NDE65" s="5"/>
      <c r="NDF65" s="5"/>
      <c r="NDG65" s="5"/>
      <c r="NDH65" s="5"/>
      <c r="NDI65" s="5"/>
      <c r="NDJ65" s="5"/>
      <c r="NDK65" s="5"/>
      <c r="NDL65" s="5"/>
      <c r="NDM65" s="5"/>
      <c r="NDN65" s="5"/>
      <c r="NDO65" s="5"/>
      <c r="NDP65" s="5"/>
      <c r="NDQ65" s="5"/>
      <c r="NDR65" s="5"/>
      <c r="NDS65" s="5"/>
      <c r="NDT65" s="5"/>
      <c r="NDU65" s="5"/>
      <c r="NDV65" s="5"/>
      <c r="NDW65" s="5"/>
      <c r="NDX65" s="5"/>
      <c r="NDY65" s="5"/>
      <c r="NDZ65" s="5"/>
      <c r="NEA65" s="5"/>
      <c r="NEB65" s="5"/>
      <c r="NEC65" s="5"/>
      <c r="NED65" s="5"/>
      <c r="NEE65" s="5"/>
      <c r="NEF65" s="5"/>
      <c r="NEG65" s="5"/>
      <c r="NEH65" s="5"/>
      <c r="NEI65" s="5"/>
      <c r="NEJ65" s="5"/>
      <c r="NEK65" s="5"/>
      <c r="NEL65" s="5"/>
      <c r="NEM65" s="5"/>
      <c r="NEN65" s="5"/>
      <c r="NEO65" s="5"/>
      <c r="NEP65" s="5"/>
      <c r="NEQ65" s="5"/>
      <c r="NER65" s="5"/>
      <c r="NES65" s="5"/>
      <c r="NET65" s="5"/>
      <c r="NEU65" s="5"/>
      <c r="NEV65" s="5"/>
      <c r="NEW65" s="5"/>
      <c r="NEX65" s="5"/>
      <c r="NEY65" s="5"/>
      <c r="NEZ65" s="5"/>
      <c r="NFA65" s="5"/>
      <c r="NFB65" s="5"/>
      <c r="NFC65" s="5"/>
      <c r="NFD65" s="5"/>
      <c r="NFE65" s="5"/>
      <c r="NFF65" s="5"/>
      <c r="NFG65" s="5"/>
      <c r="NFH65" s="5"/>
      <c r="NFI65" s="5"/>
      <c r="NFJ65" s="5"/>
      <c r="NFK65" s="5"/>
      <c r="NFL65" s="5"/>
      <c r="NFM65" s="5"/>
      <c r="NFN65" s="5"/>
      <c r="NFO65" s="5"/>
      <c r="NFP65" s="5"/>
      <c r="NFQ65" s="5"/>
      <c r="NFR65" s="5"/>
      <c r="NFS65" s="5"/>
      <c r="NFT65" s="5"/>
      <c r="NFU65" s="5"/>
      <c r="NFV65" s="5"/>
      <c r="NFW65" s="5"/>
      <c r="NFX65" s="5"/>
      <c r="NFY65" s="5"/>
      <c r="NFZ65" s="5"/>
      <c r="NGA65" s="5"/>
      <c r="NGB65" s="5"/>
      <c r="NGC65" s="5"/>
      <c r="NGD65" s="5"/>
      <c r="NGE65" s="5"/>
      <c r="NGF65" s="5"/>
      <c r="NGG65" s="5"/>
      <c r="NGH65" s="5"/>
      <c r="NGI65" s="5"/>
      <c r="NGJ65" s="5"/>
      <c r="NGK65" s="5"/>
      <c r="NGL65" s="5"/>
      <c r="NGM65" s="5"/>
      <c r="NGN65" s="5"/>
      <c r="NGO65" s="5"/>
      <c r="NGP65" s="5"/>
      <c r="NGQ65" s="5"/>
      <c r="NGR65" s="5"/>
      <c r="NGS65" s="5"/>
      <c r="NGT65" s="5"/>
      <c r="NGU65" s="5"/>
      <c r="NGV65" s="5"/>
      <c r="NGW65" s="5"/>
      <c r="NGX65" s="5"/>
      <c r="NGY65" s="5"/>
      <c r="NGZ65" s="5"/>
      <c r="NHA65" s="5"/>
      <c r="NHB65" s="5"/>
      <c r="NHC65" s="5"/>
      <c r="NHD65" s="5"/>
      <c r="NHE65" s="5"/>
      <c r="NHF65" s="5"/>
      <c r="NHG65" s="5"/>
      <c r="NHH65" s="5"/>
      <c r="NHI65" s="5"/>
      <c r="NHJ65" s="5"/>
      <c r="NHK65" s="5"/>
      <c r="NHL65" s="5"/>
      <c r="NHM65" s="5"/>
      <c r="NHN65" s="5"/>
      <c r="NHO65" s="5"/>
      <c r="NHP65" s="5"/>
      <c r="NHQ65" s="5"/>
      <c r="NHR65" s="5"/>
      <c r="NHS65" s="5"/>
      <c r="NHT65" s="5"/>
      <c r="NHU65" s="5"/>
      <c r="NHV65" s="5"/>
      <c r="NHW65" s="5"/>
      <c r="NHX65" s="5"/>
      <c r="NHY65" s="5"/>
      <c r="NHZ65" s="5"/>
      <c r="NIA65" s="5"/>
      <c r="NIB65" s="5"/>
      <c r="NIC65" s="5"/>
      <c r="NID65" s="5"/>
      <c r="NIE65" s="5"/>
      <c r="NIF65" s="5"/>
      <c r="NIG65" s="5"/>
      <c r="NIH65" s="5"/>
      <c r="NII65" s="5"/>
      <c r="NIJ65" s="5"/>
      <c r="NIK65" s="5"/>
      <c r="NIL65" s="5"/>
      <c r="NIM65" s="5"/>
      <c r="NIN65" s="5"/>
      <c r="NIO65" s="5"/>
      <c r="NIP65" s="5"/>
      <c r="NIQ65" s="5"/>
      <c r="NIR65" s="5"/>
      <c r="NIS65" s="5"/>
      <c r="NIT65" s="5"/>
      <c r="NIU65" s="5"/>
      <c r="NIV65" s="5"/>
      <c r="NIW65" s="5"/>
      <c r="NIX65" s="5"/>
      <c r="NIY65" s="5"/>
      <c r="NIZ65" s="5"/>
      <c r="NJA65" s="5"/>
      <c r="NJB65" s="5"/>
      <c r="NJC65" s="5"/>
      <c r="NJD65" s="5"/>
      <c r="NJE65" s="5"/>
      <c r="NJF65" s="5"/>
      <c r="NJG65" s="5"/>
      <c r="NJH65" s="5"/>
      <c r="NJI65" s="5"/>
      <c r="NJJ65" s="5"/>
      <c r="NJK65" s="5"/>
      <c r="NJL65" s="5"/>
      <c r="NJM65" s="5"/>
      <c r="NJN65" s="5"/>
      <c r="NJO65" s="5"/>
      <c r="NJP65" s="5"/>
      <c r="NJQ65" s="5"/>
      <c r="NJR65" s="5"/>
      <c r="NJS65" s="5"/>
      <c r="NJT65" s="5"/>
      <c r="NJU65" s="5"/>
      <c r="NJV65" s="5"/>
      <c r="NJW65" s="5"/>
      <c r="NJX65" s="5"/>
      <c r="NJY65" s="5"/>
      <c r="NJZ65" s="5"/>
      <c r="NKA65" s="5"/>
      <c r="NKB65" s="5"/>
      <c r="NKC65" s="5"/>
      <c r="NKD65" s="5"/>
      <c r="NKE65" s="5"/>
      <c r="NKF65" s="5"/>
      <c r="NKG65" s="5"/>
      <c r="NKH65" s="5"/>
      <c r="NKI65" s="5"/>
      <c r="NKJ65" s="5"/>
      <c r="NKK65" s="5"/>
      <c r="NKL65" s="5"/>
      <c r="NKM65" s="5"/>
      <c r="NKN65" s="5"/>
      <c r="NKO65" s="5"/>
      <c r="NKP65" s="5"/>
      <c r="NKQ65" s="5"/>
      <c r="NKR65" s="5"/>
      <c r="NKS65" s="5"/>
      <c r="NKT65" s="5"/>
      <c r="NKU65" s="5"/>
      <c r="NKV65" s="5"/>
      <c r="NKW65" s="5"/>
      <c r="NKX65" s="5"/>
      <c r="NKY65" s="5"/>
      <c r="NKZ65" s="5"/>
      <c r="NLA65" s="5"/>
      <c r="NLB65" s="5"/>
      <c r="NLC65" s="5"/>
      <c r="NLD65" s="5"/>
      <c r="NLE65" s="5"/>
      <c r="NLF65" s="5"/>
      <c r="NLG65" s="5"/>
      <c r="NLH65" s="5"/>
      <c r="NLI65" s="5"/>
      <c r="NLJ65" s="5"/>
      <c r="NLK65" s="5"/>
      <c r="NLL65" s="5"/>
      <c r="NLM65" s="5"/>
      <c r="NLN65" s="5"/>
      <c r="NLO65" s="5"/>
      <c r="NLP65" s="5"/>
      <c r="NLQ65" s="5"/>
      <c r="NLR65" s="5"/>
      <c r="NLS65" s="5"/>
      <c r="NLT65" s="5"/>
      <c r="NLU65" s="5"/>
      <c r="NLV65" s="5"/>
      <c r="NLW65" s="5"/>
      <c r="NLX65" s="5"/>
      <c r="NLY65" s="5"/>
      <c r="NLZ65" s="5"/>
      <c r="NMA65" s="5"/>
      <c r="NMB65" s="5"/>
      <c r="NMC65" s="5"/>
      <c r="NMD65" s="5"/>
      <c r="NME65" s="5"/>
      <c r="NMF65" s="5"/>
      <c r="NMG65" s="5"/>
      <c r="NMH65" s="5"/>
      <c r="NMI65" s="5"/>
      <c r="NMJ65" s="5"/>
      <c r="NMK65" s="5"/>
      <c r="NML65" s="5"/>
      <c r="NMM65" s="5"/>
      <c r="NMN65" s="5"/>
      <c r="NMO65" s="5"/>
      <c r="NMP65" s="5"/>
      <c r="NMQ65" s="5"/>
      <c r="NMR65" s="5"/>
      <c r="NMS65" s="5"/>
      <c r="NMT65" s="5"/>
      <c r="NMU65" s="5"/>
      <c r="NMV65" s="5"/>
      <c r="NMW65" s="5"/>
      <c r="NMX65" s="5"/>
      <c r="NMY65" s="5"/>
      <c r="NMZ65" s="5"/>
      <c r="NNA65" s="5"/>
      <c r="NNB65" s="5"/>
      <c r="NNC65" s="5"/>
      <c r="NND65" s="5"/>
      <c r="NNE65" s="5"/>
      <c r="NNF65" s="5"/>
      <c r="NNG65" s="5"/>
      <c r="NNH65" s="5"/>
      <c r="NNI65" s="5"/>
      <c r="NNJ65" s="5"/>
      <c r="NNK65" s="5"/>
      <c r="NNL65" s="5"/>
      <c r="NNM65" s="5"/>
      <c r="NNN65" s="5"/>
      <c r="NNO65" s="5"/>
      <c r="NNP65" s="5"/>
      <c r="NNQ65" s="5"/>
      <c r="NNR65" s="5"/>
      <c r="NNS65" s="5"/>
      <c r="NNT65" s="5"/>
      <c r="NNU65" s="5"/>
      <c r="NNV65" s="5"/>
      <c r="NNW65" s="5"/>
      <c r="NNX65" s="5"/>
      <c r="NNY65" s="5"/>
      <c r="NNZ65" s="5"/>
      <c r="NOA65" s="5"/>
      <c r="NOB65" s="5"/>
      <c r="NOC65" s="5"/>
      <c r="NOD65" s="5"/>
      <c r="NOE65" s="5"/>
      <c r="NOF65" s="5"/>
      <c r="NOG65" s="5"/>
      <c r="NOH65" s="5"/>
      <c r="NOI65" s="5"/>
      <c r="NOJ65" s="5"/>
      <c r="NOK65" s="5"/>
      <c r="NOL65" s="5"/>
      <c r="NOM65" s="5"/>
      <c r="NON65" s="5"/>
      <c r="NOO65" s="5"/>
      <c r="NOP65" s="5"/>
      <c r="NOQ65" s="5"/>
      <c r="NOR65" s="5"/>
      <c r="NOS65" s="5"/>
      <c r="NOT65" s="5"/>
      <c r="NOU65" s="5"/>
      <c r="NOV65" s="5"/>
      <c r="NOW65" s="5"/>
      <c r="NOX65" s="5"/>
      <c r="NOY65" s="5"/>
      <c r="NOZ65" s="5"/>
      <c r="NPA65" s="5"/>
      <c r="NPB65" s="5"/>
      <c r="NPC65" s="5"/>
      <c r="NPD65" s="5"/>
      <c r="NPE65" s="5"/>
      <c r="NPF65" s="5"/>
      <c r="NPG65" s="5"/>
      <c r="NPH65" s="5"/>
      <c r="NPI65" s="5"/>
      <c r="NPJ65" s="5"/>
      <c r="NPK65" s="5"/>
      <c r="NPL65" s="5"/>
      <c r="NPM65" s="5"/>
      <c r="NPN65" s="5"/>
      <c r="NPO65" s="5"/>
      <c r="NPP65" s="5"/>
      <c r="NPQ65" s="5"/>
      <c r="NPR65" s="5"/>
      <c r="NPS65" s="5"/>
      <c r="NPT65" s="5"/>
      <c r="NPU65" s="5"/>
      <c r="NPV65" s="5"/>
      <c r="NPW65" s="5"/>
      <c r="NPX65" s="5"/>
      <c r="NPY65" s="5"/>
      <c r="NPZ65" s="5"/>
      <c r="NQA65" s="5"/>
      <c r="NQB65" s="5"/>
      <c r="NQC65" s="5"/>
      <c r="NQD65" s="5"/>
      <c r="NQE65" s="5"/>
      <c r="NQF65" s="5"/>
      <c r="NQG65" s="5"/>
      <c r="NQH65" s="5"/>
      <c r="NQI65" s="5"/>
      <c r="NQJ65" s="5"/>
      <c r="NQK65" s="5"/>
      <c r="NQL65" s="5"/>
      <c r="NQM65" s="5"/>
      <c r="NQN65" s="5"/>
      <c r="NQO65" s="5"/>
      <c r="NQP65" s="5"/>
      <c r="NQQ65" s="5"/>
      <c r="NQR65" s="5"/>
      <c r="NQS65" s="5"/>
      <c r="NQT65" s="5"/>
      <c r="NQU65" s="5"/>
      <c r="NQV65" s="5"/>
      <c r="NQW65" s="5"/>
      <c r="NQX65" s="5"/>
      <c r="NQY65" s="5"/>
      <c r="NQZ65" s="5"/>
      <c r="NRA65" s="5"/>
      <c r="NRB65" s="5"/>
      <c r="NRC65" s="5"/>
      <c r="NRD65" s="5"/>
      <c r="NRE65" s="5"/>
      <c r="NRF65" s="5"/>
      <c r="NRG65" s="5"/>
      <c r="NRH65" s="5"/>
      <c r="NRI65" s="5"/>
      <c r="NRJ65" s="5"/>
      <c r="NRK65" s="5"/>
      <c r="NRL65" s="5"/>
      <c r="NRM65" s="5"/>
      <c r="NRN65" s="5"/>
      <c r="NRO65" s="5"/>
      <c r="NRP65" s="5"/>
      <c r="NRQ65" s="5"/>
      <c r="NRR65" s="5"/>
      <c r="NRS65" s="5"/>
      <c r="NRT65" s="5"/>
      <c r="NRU65" s="5"/>
      <c r="NRV65" s="5"/>
      <c r="NRW65" s="5"/>
      <c r="NRX65" s="5"/>
      <c r="NRY65" s="5"/>
      <c r="NRZ65" s="5"/>
      <c r="NSA65" s="5"/>
      <c r="NSB65" s="5"/>
      <c r="NSC65" s="5"/>
      <c r="NSD65" s="5"/>
      <c r="NSE65" s="5"/>
      <c r="NSF65" s="5"/>
      <c r="NSG65" s="5"/>
      <c r="NSH65" s="5"/>
      <c r="NSI65" s="5"/>
      <c r="NSJ65" s="5"/>
      <c r="NSK65" s="5"/>
      <c r="NSL65" s="5"/>
      <c r="NSM65" s="5"/>
      <c r="NSN65" s="5"/>
      <c r="NSO65" s="5"/>
      <c r="NSP65" s="5"/>
      <c r="NSQ65" s="5"/>
      <c r="NSR65" s="5"/>
      <c r="NSS65" s="5"/>
      <c r="NST65" s="5"/>
      <c r="NSU65" s="5"/>
      <c r="NSV65" s="5"/>
      <c r="NSW65" s="5"/>
      <c r="NSX65" s="5"/>
      <c r="NSY65" s="5"/>
      <c r="NSZ65" s="5"/>
      <c r="NTA65" s="5"/>
      <c r="NTB65" s="5"/>
      <c r="NTC65" s="5"/>
      <c r="NTD65" s="5"/>
      <c r="NTE65" s="5"/>
      <c r="NTF65" s="5"/>
      <c r="NTG65" s="5"/>
      <c r="NTH65" s="5"/>
      <c r="NTI65" s="5"/>
      <c r="NTJ65" s="5"/>
      <c r="NTK65" s="5"/>
      <c r="NTL65" s="5"/>
      <c r="NTM65" s="5"/>
      <c r="NTN65" s="5"/>
      <c r="NTO65" s="5"/>
      <c r="NTP65" s="5"/>
      <c r="NTQ65" s="5"/>
      <c r="NTR65" s="5"/>
      <c r="NTS65" s="5"/>
      <c r="NTT65" s="5"/>
      <c r="NTU65" s="5"/>
      <c r="NTV65" s="5"/>
      <c r="NTW65" s="5"/>
      <c r="NTX65" s="5"/>
      <c r="NTY65" s="5"/>
      <c r="NTZ65" s="5"/>
      <c r="NUA65" s="5"/>
      <c r="NUB65" s="5"/>
      <c r="NUC65" s="5"/>
      <c r="NUD65" s="5"/>
      <c r="NUE65" s="5"/>
      <c r="NUF65" s="5"/>
      <c r="NUG65" s="5"/>
      <c r="NUH65" s="5"/>
      <c r="NUI65" s="5"/>
      <c r="NUJ65" s="5"/>
      <c r="NUK65" s="5"/>
      <c r="NUL65" s="5"/>
      <c r="NUM65" s="5"/>
      <c r="NUN65" s="5"/>
      <c r="NUO65" s="5"/>
      <c r="NUP65" s="5"/>
      <c r="NUQ65" s="5"/>
      <c r="NUR65" s="5"/>
      <c r="NUS65" s="5"/>
      <c r="NUT65" s="5"/>
      <c r="NUU65" s="5"/>
      <c r="NUV65" s="5"/>
      <c r="NUW65" s="5"/>
      <c r="NUX65" s="5"/>
      <c r="NUY65" s="5"/>
      <c r="NUZ65" s="5"/>
      <c r="NVA65" s="5"/>
      <c r="NVB65" s="5"/>
      <c r="NVC65" s="5"/>
      <c r="NVD65" s="5"/>
      <c r="NVE65" s="5"/>
      <c r="NVF65" s="5"/>
      <c r="NVG65" s="5"/>
      <c r="NVH65" s="5"/>
      <c r="NVI65" s="5"/>
      <c r="NVJ65" s="5"/>
      <c r="NVK65" s="5"/>
      <c r="NVL65" s="5"/>
      <c r="NVM65" s="5"/>
      <c r="NVN65" s="5"/>
      <c r="NVO65" s="5"/>
      <c r="NVP65" s="5"/>
      <c r="NVQ65" s="5"/>
      <c r="NVR65" s="5"/>
      <c r="NVS65" s="5"/>
      <c r="NVT65" s="5"/>
      <c r="NVU65" s="5"/>
      <c r="NVV65" s="5"/>
      <c r="NVW65" s="5"/>
      <c r="NVX65" s="5"/>
      <c r="NVY65" s="5"/>
      <c r="NVZ65" s="5"/>
      <c r="NWA65" s="5"/>
      <c r="NWB65" s="5"/>
      <c r="NWC65" s="5"/>
      <c r="NWD65" s="5"/>
      <c r="NWE65" s="5"/>
      <c r="NWF65" s="5"/>
      <c r="NWG65" s="5"/>
      <c r="NWH65" s="5"/>
      <c r="NWI65" s="5"/>
      <c r="NWJ65" s="5"/>
      <c r="NWK65" s="5"/>
      <c r="NWL65" s="5"/>
      <c r="NWM65" s="5"/>
      <c r="NWN65" s="5"/>
      <c r="NWO65" s="5"/>
      <c r="NWP65" s="5"/>
      <c r="NWQ65" s="5"/>
      <c r="NWR65" s="5"/>
      <c r="NWS65" s="5"/>
      <c r="NWT65" s="5"/>
      <c r="NWU65" s="5"/>
      <c r="NWV65" s="5"/>
      <c r="NWW65" s="5"/>
      <c r="NWX65" s="5"/>
      <c r="NWY65" s="5"/>
      <c r="NWZ65" s="5"/>
      <c r="NXA65" s="5"/>
      <c r="NXB65" s="5"/>
      <c r="NXC65" s="5"/>
      <c r="NXD65" s="5"/>
      <c r="NXE65" s="5"/>
      <c r="NXF65" s="5"/>
      <c r="NXG65" s="5"/>
      <c r="NXH65" s="5"/>
      <c r="NXI65" s="5"/>
      <c r="NXJ65" s="5"/>
      <c r="NXK65" s="5"/>
      <c r="NXL65" s="5"/>
      <c r="NXM65" s="5"/>
      <c r="NXN65" s="5"/>
      <c r="NXO65" s="5"/>
      <c r="NXP65" s="5"/>
      <c r="NXQ65" s="5"/>
      <c r="NXR65" s="5"/>
      <c r="NXS65" s="5"/>
      <c r="NXT65" s="5"/>
      <c r="NXU65" s="5"/>
      <c r="NXV65" s="5"/>
      <c r="NXW65" s="5"/>
      <c r="NXX65" s="5"/>
      <c r="NXY65" s="5"/>
      <c r="NXZ65" s="5"/>
      <c r="NYA65" s="5"/>
      <c r="NYB65" s="5"/>
      <c r="NYC65" s="5"/>
      <c r="NYD65" s="5"/>
      <c r="NYE65" s="5"/>
      <c r="NYF65" s="5"/>
      <c r="NYG65" s="5"/>
      <c r="NYH65" s="5"/>
      <c r="NYI65" s="5"/>
      <c r="NYJ65" s="5"/>
      <c r="NYK65" s="5"/>
      <c r="NYL65" s="5"/>
      <c r="NYM65" s="5"/>
      <c r="NYN65" s="5"/>
      <c r="NYO65" s="5"/>
      <c r="NYP65" s="5"/>
      <c r="NYQ65" s="5"/>
      <c r="NYR65" s="5"/>
      <c r="NYS65" s="5"/>
      <c r="NYT65" s="5"/>
      <c r="NYU65" s="5"/>
      <c r="NYV65" s="5"/>
      <c r="NYW65" s="5"/>
      <c r="NYX65" s="5"/>
      <c r="NYY65" s="5"/>
      <c r="NYZ65" s="5"/>
      <c r="NZA65" s="5"/>
      <c r="NZB65" s="5"/>
      <c r="NZC65" s="5"/>
      <c r="NZD65" s="5"/>
      <c r="NZE65" s="5"/>
      <c r="NZF65" s="5"/>
      <c r="NZG65" s="5"/>
      <c r="NZH65" s="5"/>
      <c r="NZI65" s="5"/>
      <c r="NZJ65" s="5"/>
      <c r="NZK65" s="5"/>
      <c r="NZL65" s="5"/>
      <c r="NZM65" s="5"/>
      <c r="NZN65" s="5"/>
      <c r="NZO65" s="5"/>
      <c r="NZP65" s="5"/>
      <c r="NZQ65" s="5"/>
      <c r="NZR65" s="5"/>
      <c r="NZS65" s="5"/>
      <c r="NZT65" s="5"/>
      <c r="NZU65" s="5"/>
      <c r="NZV65" s="5"/>
      <c r="NZW65" s="5"/>
      <c r="NZX65" s="5"/>
      <c r="NZY65" s="5"/>
      <c r="NZZ65" s="5"/>
      <c r="OAA65" s="5"/>
      <c r="OAB65" s="5"/>
      <c r="OAC65" s="5"/>
      <c r="OAD65" s="5"/>
      <c r="OAE65" s="5"/>
      <c r="OAF65" s="5"/>
      <c r="OAG65" s="5"/>
      <c r="OAH65" s="5"/>
      <c r="OAI65" s="5"/>
      <c r="OAJ65" s="5"/>
      <c r="OAK65" s="5"/>
      <c r="OAL65" s="5"/>
      <c r="OAM65" s="5"/>
      <c r="OAN65" s="5"/>
      <c r="OAO65" s="5"/>
      <c r="OAP65" s="5"/>
      <c r="OAQ65" s="5"/>
      <c r="OAR65" s="5"/>
      <c r="OAS65" s="5"/>
      <c r="OAT65" s="5"/>
      <c r="OAU65" s="5"/>
      <c r="OAV65" s="5"/>
      <c r="OAW65" s="5"/>
      <c r="OAX65" s="5"/>
      <c r="OAY65" s="5"/>
      <c r="OAZ65" s="5"/>
      <c r="OBA65" s="5"/>
      <c r="OBB65" s="5"/>
      <c r="OBC65" s="5"/>
      <c r="OBD65" s="5"/>
      <c r="OBE65" s="5"/>
      <c r="OBF65" s="5"/>
      <c r="OBG65" s="5"/>
      <c r="OBH65" s="5"/>
      <c r="OBI65" s="5"/>
      <c r="OBJ65" s="5"/>
      <c r="OBK65" s="5"/>
      <c r="OBL65" s="5"/>
      <c r="OBM65" s="5"/>
      <c r="OBN65" s="5"/>
      <c r="OBO65" s="5"/>
      <c r="OBP65" s="5"/>
      <c r="OBQ65" s="5"/>
      <c r="OBR65" s="5"/>
      <c r="OBS65" s="5"/>
      <c r="OBT65" s="5"/>
      <c r="OBU65" s="5"/>
      <c r="OBV65" s="5"/>
      <c r="OBW65" s="5"/>
      <c r="OBX65" s="5"/>
      <c r="OBY65" s="5"/>
      <c r="OBZ65" s="5"/>
      <c r="OCA65" s="5"/>
      <c r="OCB65" s="5"/>
      <c r="OCC65" s="5"/>
      <c r="OCD65" s="5"/>
      <c r="OCE65" s="5"/>
      <c r="OCF65" s="5"/>
      <c r="OCG65" s="5"/>
      <c r="OCH65" s="5"/>
      <c r="OCI65" s="5"/>
      <c r="OCJ65" s="5"/>
      <c r="OCK65" s="5"/>
      <c r="OCL65" s="5"/>
      <c r="OCM65" s="5"/>
      <c r="OCN65" s="5"/>
      <c r="OCO65" s="5"/>
      <c r="OCP65" s="5"/>
      <c r="OCQ65" s="5"/>
      <c r="OCR65" s="5"/>
      <c r="OCS65" s="5"/>
      <c r="OCT65" s="5"/>
      <c r="OCU65" s="5"/>
      <c r="OCV65" s="5"/>
      <c r="OCW65" s="5"/>
      <c r="OCX65" s="5"/>
      <c r="OCY65" s="5"/>
      <c r="OCZ65" s="5"/>
      <c r="ODA65" s="5"/>
      <c r="ODB65" s="5"/>
      <c r="ODC65" s="5"/>
      <c r="ODD65" s="5"/>
      <c r="ODE65" s="5"/>
      <c r="ODF65" s="5"/>
      <c r="ODG65" s="5"/>
      <c r="ODH65" s="5"/>
      <c r="ODI65" s="5"/>
      <c r="ODJ65" s="5"/>
      <c r="ODK65" s="5"/>
      <c r="ODL65" s="5"/>
      <c r="ODM65" s="5"/>
      <c r="ODN65" s="5"/>
      <c r="ODO65" s="5"/>
      <c r="ODP65" s="5"/>
      <c r="ODQ65" s="5"/>
      <c r="ODR65" s="5"/>
      <c r="ODS65" s="5"/>
      <c r="ODT65" s="5"/>
      <c r="ODU65" s="5"/>
      <c r="ODV65" s="5"/>
      <c r="ODW65" s="5"/>
      <c r="ODX65" s="5"/>
      <c r="ODY65" s="5"/>
      <c r="ODZ65" s="5"/>
      <c r="OEA65" s="5"/>
      <c r="OEB65" s="5"/>
      <c r="OEC65" s="5"/>
      <c r="OED65" s="5"/>
      <c r="OEE65" s="5"/>
      <c r="OEF65" s="5"/>
      <c r="OEG65" s="5"/>
      <c r="OEH65" s="5"/>
      <c r="OEI65" s="5"/>
      <c r="OEJ65" s="5"/>
      <c r="OEK65" s="5"/>
      <c r="OEL65" s="5"/>
      <c r="OEM65" s="5"/>
      <c r="OEN65" s="5"/>
      <c r="OEO65" s="5"/>
      <c r="OEP65" s="5"/>
      <c r="OEQ65" s="5"/>
      <c r="OER65" s="5"/>
      <c r="OES65" s="5"/>
      <c r="OET65" s="5"/>
      <c r="OEU65" s="5"/>
      <c r="OEV65" s="5"/>
      <c r="OEW65" s="5"/>
      <c r="OEX65" s="5"/>
      <c r="OEY65" s="5"/>
      <c r="OEZ65" s="5"/>
      <c r="OFA65" s="5"/>
      <c r="OFB65" s="5"/>
      <c r="OFC65" s="5"/>
      <c r="OFD65" s="5"/>
      <c r="OFE65" s="5"/>
      <c r="OFF65" s="5"/>
      <c r="OFG65" s="5"/>
      <c r="OFH65" s="5"/>
      <c r="OFI65" s="5"/>
      <c r="OFJ65" s="5"/>
      <c r="OFK65" s="5"/>
      <c r="OFL65" s="5"/>
      <c r="OFM65" s="5"/>
      <c r="OFN65" s="5"/>
      <c r="OFO65" s="5"/>
      <c r="OFP65" s="5"/>
      <c r="OFQ65" s="5"/>
      <c r="OFR65" s="5"/>
      <c r="OFS65" s="5"/>
      <c r="OFT65" s="5"/>
      <c r="OFU65" s="5"/>
      <c r="OFV65" s="5"/>
      <c r="OFW65" s="5"/>
      <c r="OFX65" s="5"/>
      <c r="OFY65" s="5"/>
      <c r="OFZ65" s="5"/>
      <c r="OGA65" s="5"/>
      <c r="OGB65" s="5"/>
      <c r="OGC65" s="5"/>
      <c r="OGD65" s="5"/>
      <c r="OGE65" s="5"/>
      <c r="OGF65" s="5"/>
      <c r="OGG65" s="5"/>
      <c r="OGH65" s="5"/>
      <c r="OGI65" s="5"/>
      <c r="OGJ65" s="5"/>
      <c r="OGK65" s="5"/>
      <c r="OGL65" s="5"/>
      <c r="OGM65" s="5"/>
      <c r="OGN65" s="5"/>
      <c r="OGO65" s="5"/>
      <c r="OGP65" s="5"/>
      <c r="OGQ65" s="5"/>
      <c r="OGR65" s="5"/>
      <c r="OGS65" s="5"/>
      <c r="OGT65" s="5"/>
      <c r="OGU65" s="5"/>
      <c r="OGV65" s="5"/>
      <c r="OGW65" s="5"/>
      <c r="OGX65" s="5"/>
      <c r="OGY65" s="5"/>
      <c r="OGZ65" s="5"/>
      <c r="OHA65" s="5"/>
      <c r="OHB65" s="5"/>
      <c r="OHC65" s="5"/>
      <c r="OHD65" s="5"/>
      <c r="OHE65" s="5"/>
      <c r="OHF65" s="5"/>
      <c r="OHG65" s="5"/>
      <c r="OHH65" s="5"/>
      <c r="OHI65" s="5"/>
      <c r="OHJ65" s="5"/>
      <c r="OHK65" s="5"/>
      <c r="OHL65" s="5"/>
      <c r="OHM65" s="5"/>
      <c r="OHN65" s="5"/>
      <c r="OHO65" s="5"/>
      <c r="OHP65" s="5"/>
      <c r="OHQ65" s="5"/>
      <c r="OHR65" s="5"/>
      <c r="OHS65" s="5"/>
      <c r="OHT65" s="5"/>
      <c r="OHU65" s="5"/>
      <c r="OHV65" s="5"/>
      <c r="OHW65" s="5"/>
      <c r="OHX65" s="5"/>
      <c r="OHY65" s="5"/>
      <c r="OHZ65" s="5"/>
      <c r="OIA65" s="5"/>
      <c r="OIB65" s="5"/>
      <c r="OIC65" s="5"/>
      <c r="OID65" s="5"/>
      <c r="OIE65" s="5"/>
      <c r="OIF65" s="5"/>
      <c r="OIG65" s="5"/>
      <c r="OIH65" s="5"/>
      <c r="OII65" s="5"/>
      <c r="OIJ65" s="5"/>
      <c r="OIK65" s="5"/>
      <c r="OIL65" s="5"/>
      <c r="OIM65" s="5"/>
      <c r="OIN65" s="5"/>
      <c r="OIO65" s="5"/>
      <c r="OIP65" s="5"/>
      <c r="OIQ65" s="5"/>
      <c r="OIR65" s="5"/>
      <c r="OIS65" s="5"/>
      <c r="OIT65" s="5"/>
      <c r="OIU65" s="5"/>
      <c r="OIV65" s="5"/>
      <c r="OIW65" s="5"/>
      <c r="OIX65" s="5"/>
      <c r="OIY65" s="5"/>
      <c r="OIZ65" s="5"/>
      <c r="OJA65" s="5"/>
      <c r="OJB65" s="5"/>
      <c r="OJC65" s="5"/>
      <c r="OJD65" s="5"/>
      <c r="OJE65" s="5"/>
      <c r="OJF65" s="5"/>
      <c r="OJG65" s="5"/>
      <c r="OJH65" s="5"/>
      <c r="OJI65" s="5"/>
      <c r="OJJ65" s="5"/>
      <c r="OJK65" s="5"/>
      <c r="OJL65" s="5"/>
      <c r="OJM65" s="5"/>
      <c r="OJN65" s="5"/>
      <c r="OJO65" s="5"/>
      <c r="OJP65" s="5"/>
      <c r="OJQ65" s="5"/>
      <c r="OJR65" s="5"/>
      <c r="OJS65" s="5"/>
      <c r="OJT65" s="5"/>
      <c r="OJU65" s="5"/>
      <c r="OJV65" s="5"/>
      <c r="OJW65" s="5"/>
      <c r="OJX65" s="5"/>
      <c r="OJY65" s="5"/>
      <c r="OJZ65" s="5"/>
      <c r="OKA65" s="5"/>
      <c r="OKB65" s="5"/>
      <c r="OKC65" s="5"/>
      <c r="OKD65" s="5"/>
      <c r="OKE65" s="5"/>
      <c r="OKF65" s="5"/>
      <c r="OKG65" s="5"/>
      <c r="OKH65" s="5"/>
      <c r="OKI65" s="5"/>
      <c r="OKJ65" s="5"/>
      <c r="OKK65" s="5"/>
      <c r="OKL65" s="5"/>
      <c r="OKM65" s="5"/>
      <c r="OKN65" s="5"/>
      <c r="OKO65" s="5"/>
      <c r="OKP65" s="5"/>
      <c r="OKQ65" s="5"/>
      <c r="OKR65" s="5"/>
      <c r="OKS65" s="5"/>
      <c r="OKT65" s="5"/>
      <c r="OKU65" s="5"/>
      <c r="OKV65" s="5"/>
      <c r="OKW65" s="5"/>
      <c r="OKX65" s="5"/>
      <c r="OKY65" s="5"/>
      <c r="OKZ65" s="5"/>
      <c r="OLA65" s="5"/>
      <c r="OLB65" s="5"/>
      <c r="OLC65" s="5"/>
      <c r="OLD65" s="5"/>
      <c r="OLE65" s="5"/>
      <c r="OLF65" s="5"/>
      <c r="OLG65" s="5"/>
      <c r="OLH65" s="5"/>
      <c r="OLI65" s="5"/>
      <c r="OLJ65" s="5"/>
      <c r="OLK65" s="5"/>
      <c r="OLL65" s="5"/>
      <c r="OLM65" s="5"/>
      <c r="OLN65" s="5"/>
      <c r="OLO65" s="5"/>
      <c r="OLP65" s="5"/>
      <c r="OLQ65" s="5"/>
      <c r="OLR65" s="5"/>
      <c r="OLS65" s="5"/>
      <c r="OLT65" s="5"/>
      <c r="OLU65" s="5"/>
      <c r="OLV65" s="5"/>
      <c r="OLW65" s="5"/>
      <c r="OLX65" s="5"/>
      <c r="OLY65" s="5"/>
      <c r="OLZ65" s="5"/>
      <c r="OMA65" s="5"/>
      <c r="OMB65" s="5"/>
      <c r="OMC65" s="5"/>
      <c r="OMD65" s="5"/>
      <c r="OME65" s="5"/>
      <c r="OMF65" s="5"/>
      <c r="OMG65" s="5"/>
      <c r="OMH65" s="5"/>
      <c r="OMI65" s="5"/>
      <c r="OMJ65" s="5"/>
      <c r="OMK65" s="5"/>
      <c r="OML65" s="5"/>
      <c r="OMM65" s="5"/>
      <c r="OMN65" s="5"/>
      <c r="OMO65" s="5"/>
      <c r="OMP65" s="5"/>
      <c r="OMQ65" s="5"/>
      <c r="OMR65" s="5"/>
      <c r="OMS65" s="5"/>
      <c r="OMT65" s="5"/>
      <c r="OMU65" s="5"/>
      <c r="OMV65" s="5"/>
      <c r="OMW65" s="5"/>
      <c r="OMX65" s="5"/>
      <c r="OMY65" s="5"/>
      <c r="OMZ65" s="5"/>
      <c r="ONA65" s="5"/>
      <c r="ONB65" s="5"/>
      <c r="ONC65" s="5"/>
      <c r="OND65" s="5"/>
      <c r="ONE65" s="5"/>
      <c r="ONF65" s="5"/>
      <c r="ONG65" s="5"/>
      <c r="ONH65" s="5"/>
      <c r="ONI65" s="5"/>
      <c r="ONJ65" s="5"/>
      <c r="ONK65" s="5"/>
      <c r="ONL65" s="5"/>
      <c r="ONM65" s="5"/>
      <c r="ONN65" s="5"/>
      <c r="ONO65" s="5"/>
      <c r="ONP65" s="5"/>
      <c r="ONQ65" s="5"/>
      <c r="ONR65" s="5"/>
      <c r="ONS65" s="5"/>
      <c r="ONT65" s="5"/>
      <c r="ONU65" s="5"/>
      <c r="ONV65" s="5"/>
      <c r="ONW65" s="5"/>
      <c r="ONX65" s="5"/>
      <c r="ONY65" s="5"/>
      <c r="ONZ65" s="5"/>
      <c r="OOA65" s="5"/>
      <c r="OOB65" s="5"/>
      <c r="OOC65" s="5"/>
      <c r="OOD65" s="5"/>
      <c r="OOE65" s="5"/>
      <c r="OOF65" s="5"/>
      <c r="OOG65" s="5"/>
      <c r="OOH65" s="5"/>
      <c r="OOI65" s="5"/>
      <c r="OOJ65" s="5"/>
      <c r="OOK65" s="5"/>
      <c r="OOL65" s="5"/>
      <c r="OOM65" s="5"/>
      <c r="OON65" s="5"/>
      <c r="OOO65" s="5"/>
      <c r="OOP65" s="5"/>
      <c r="OOQ65" s="5"/>
      <c r="OOR65" s="5"/>
      <c r="OOS65" s="5"/>
      <c r="OOT65" s="5"/>
      <c r="OOU65" s="5"/>
      <c r="OOV65" s="5"/>
      <c r="OOW65" s="5"/>
      <c r="OOX65" s="5"/>
      <c r="OOY65" s="5"/>
      <c r="OOZ65" s="5"/>
      <c r="OPA65" s="5"/>
      <c r="OPB65" s="5"/>
      <c r="OPC65" s="5"/>
      <c r="OPD65" s="5"/>
      <c r="OPE65" s="5"/>
      <c r="OPF65" s="5"/>
      <c r="OPG65" s="5"/>
      <c r="OPH65" s="5"/>
      <c r="OPI65" s="5"/>
      <c r="OPJ65" s="5"/>
      <c r="OPK65" s="5"/>
      <c r="OPL65" s="5"/>
      <c r="OPM65" s="5"/>
      <c r="OPN65" s="5"/>
      <c r="OPO65" s="5"/>
      <c r="OPP65" s="5"/>
      <c r="OPQ65" s="5"/>
      <c r="OPR65" s="5"/>
      <c r="OPS65" s="5"/>
      <c r="OPT65" s="5"/>
      <c r="OPU65" s="5"/>
      <c r="OPV65" s="5"/>
      <c r="OPW65" s="5"/>
      <c r="OPX65" s="5"/>
      <c r="OPY65" s="5"/>
      <c r="OPZ65" s="5"/>
      <c r="OQA65" s="5"/>
      <c r="OQB65" s="5"/>
      <c r="OQC65" s="5"/>
      <c r="OQD65" s="5"/>
      <c r="OQE65" s="5"/>
      <c r="OQF65" s="5"/>
      <c r="OQG65" s="5"/>
      <c r="OQH65" s="5"/>
      <c r="OQI65" s="5"/>
      <c r="OQJ65" s="5"/>
      <c r="OQK65" s="5"/>
      <c r="OQL65" s="5"/>
      <c r="OQM65" s="5"/>
      <c r="OQN65" s="5"/>
      <c r="OQO65" s="5"/>
      <c r="OQP65" s="5"/>
      <c r="OQQ65" s="5"/>
      <c r="OQR65" s="5"/>
      <c r="OQS65" s="5"/>
      <c r="OQT65" s="5"/>
      <c r="OQU65" s="5"/>
      <c r="OQV65" s="5"/>
      <c r="OQW65" s="5"/>
      <c r="OQX65" s="5"/>
      <c r="OQY65" s="5"/>
      <c r="OQZ65" s="5"/>
      <c r="ORA65" s="5"/>
      <c r="ORB65" s="5"/>
      <c r="ORC65" s="5"/>
      <c r="ORD65" s="5"/>
      <c r="ORE65" s="5"/>
      <c r="ORF65" s="5"/>
      <c r="ORG65" s="5"/>
      <c r="ORH65" s="5"/>
      <c r="ORI65" s="5"/>
      <c r="ORJ65" s="5"/>
      <c r="ORK65" s="5"/>
      <c r="ORL65" s="5"/>
      <c r="ORM65" s="5"/>
      <c r="ORN65" s="5"/>
      <c r="ORO65" s="5"/>
      <c r="ORP65" s="5"/>
      <c r="ORQ65" s="5"/>
      <c r="ORR65" s="5"/>
      <c r="ORS65" s="5"/>
      <c r="ORT65" s="5"/>
      <c r="ORU65" s="5"/>
      <c r="ORV65" s="5"/>
      <c r="ORW65" s="5"/>
      <c r="ORX65" s="5"/>
      <c r="ORY65" s="5"/>
      <c r="ORZ65" s="5"/>
      <c r="OSA65" s="5"/>
      <c r="OSB65" s="5"/>
      <c r="OSC65" s="5"/>
      <c r="OSD65" s="5"/>
      <c r="OSE65" s="5"/>
      <c r="OSF65" s="5"/>
      <c r="OSG65" s="5"/>
      <c r="OSH65" s="5"/>
      <c r="OSI65" s="5"/>
      <c r="OSJ65" s="5"/>
      <c r="OSK65" s="5"/>
      <c r="OSL65" s="5"/>
      <c r="OSM65" s="5"/>
      <c r="OSN65" s="5"/>
      <c r="OSO65" s="5"/>
      <c r="OSP65" s="5"/>
      <c r="OSQ65" s="5"/>
      <c r="OSR65" s="5"/>
      <c r="OSS65" s="5"/>
      <c r="OST65" s="5"/>
      <c r="OSU65" s="5"/>
      <c r="OSV65" s="5"/>
      <c r="OSW65" s="5"/>
      <c r="OSX65" s="5"/>
      <c r="OSY65" s="5"/>
      <c r="OSZ65" s="5"/>
      <c r="OTA65" s="5"/>
      <c r="OTB65" s="5"/>
      <c r="OTC65" s="5"/>
      <c r="OTD65" s="5"/>
      <c r="OTE65" s="5"/>
      <c r="OTF65" s="5"/>
      <c r="OTG65" s="5"/>
      <c r="OTH65" s="5"/>
      <c r="OTI65" s="5"/>
      <c r="OTJ65" s="5"/>
      <c r="OTK65" s="5"/>
      <c r="OTL65" s="5"/>
      <c r="OTM65" s="5"/>
      <c r="OTN65" s="5"/>
      <c r="OTO65" s="5"/>
      <c r="OTP65" s="5"/>
      <c r="OTQ65" s="5"/>
      <c r="OTR65" s="5"/>
      <c r="OTS65" s="5"/>
      <c r="OTT65" s="5"/>
      <c r="OTU65" s="5"/>
      <c r="OTV65" s="5"/>
      <c r="OTW65" s="5"/>
      <c r="OTX65" s="5"/>
      <c r="OTY65" s="5"/>
      <c r="OTZ65" s="5"/>
      <c r="OUA65" s="5"/>
      <c r="OUB65" s="5"/>
      <c r="OUC65" s="5"/>
      <c r="OUD65" s="5"/>
      <c r="OUE65" s="5"/>
      <c r="OUF65" s="5"/>
      <c r="OUG65" s="5"/>
      <c r="OUH65" s="5"/>
      <c r="OUI65" s="5"/>
      <c r="OUJ65" s="5"/>
      <c r="OUK65" s="5"/>
      <c r="OUL65" s="5"/>
      <c r="OUM65" s="5"/>
      <c r="OUN65" s="5"/>
      <c r="OUO65" s="5"/>
      <c r="OUP65" s="5"/>
      <c r="OUQ65" s="5"/>
      <c r="OUR65" s="5"/>
      <c r="OUS65" s="5"/>
      <c r="OUT65" s="5"/>
      <c r="OUU65" s="5"/>
      <c r="OUV65" s="5"/>
      <c r="OUW65" s="5"/>
      <c r="OUX65" s="5"/>
      <c r="OUY65" s="5"/>
      <c r="OUZ65" s="5"/>
      <c r="OVA65" s="5"/>
      <c r="OVB65" s="5"/>
      <c r="OVC65" s="5"/>
      <c r="OVD65" s="5"/>
      <c r="OVE65" s="5"/>
      <c r="OVF65" s="5"/>
      <c r="OVG65" s="5"/>
      <c r="OVH65" s="5"/>
      <c r="OVI65" s="5"/>
      <c r="OVJ65" s="5"/>
      <c r="OVK65" s="5"/>
      <c r="OVL65" s="5"/>
      <c r="OVM65" s="5"/>
      <c r="OVN65" s="5"/>
      <c r="OVO65" s="5"/>
      <c r="OVP65" s="5"/>
      <c r="OVQ65" s="5"/>
      <c r="OVR65" s="5"/>
      <c r="OVS65" s="5"/>
      <c r="OVT65" s="5"/>
      <c r="OVU65" s="5"/>
      <c r="OVV65" s="5"/>
      <c r="OVW65" s="5"/>
      <c r="OVX65" s="5"/>
      <c r="OVY65" s="5"/>
      <c r="OVZ65" s="5"/>
      <c r="OWA65" s="5"/>
      <c r="OWB65" s="5"/>
      <c r="OWC65" s="5"/>
      <c r="OWD65" s="5"/>
      <c r="OWE65" s="5"/>
      <c r="OWF65" s="5"/>
      <c r="OWG65" s="5"/>
      <c r="OWH65" s="5"/>
      <c r="OWI65" s="5"/>
      <c r="OWJ65" s="5"/>
      <c r="OWK65" s="5"/>
      <c r="OWL65" s="5"/>
      <c r="OWM65" s="5"/>
      <c r="OWN65" s="5"/>
      <c r="OWO65" s="5"/>
      <c r="OWP65" s="5"/>
      <c r="OWQ65" s="5"/>
      <c r="OWR65" s="5"/>
      <c r="OWS65" s="5"/>
      <c r="OWT65" s="5"/>
      <c r="OWU65" s="5"/>
      <c r="OWV65" s="5"/>
      <c r="OWW65" s="5"/>
      <c r="OWX65" s="5"/>
      <c r="OWY65" s="5"/>
      <c r="OWZ65" s="5"/>
      <c r="OXA65" s="5"/>
      <c r="OXB65" s="5"/>
      <c r="OXC65" s="5"/>
      <c r="OXD65" s="5"/>
      <c r="OXE65" s="5"/>
      <c r="OXF65" s="5"/>
      <c r="OXG65" s="5"/>
      <c r="OXH65" s="5"/>
      <c r="OXI65" s="5"/>
      <c r="OXJ65" s="5"/>
      <c r="OXK65" s="5"/>
      <c r="OXL65" s="5"/>
      <c r="OXM65" s="5"/>
      <c r="OXN65" s="5"/>
      <c r="OXO65" s="5"/>
      <c r="OXP65" s="5"/>
      <c r="OXQ65" s="5"/>
      <c r="OXR65" s="5"/>
      <c r="OXS65" s="5"/>
      <c r="OXT65" s="5"/>
      <c r="OXU65" s="5"/>
      <c r="OXV65" s="5"/>
      <c r="OXW65" s="5"/>
      <c r="OXX65" s="5"/>
      <c r="OXY65" s="5"/>
      <c r="OXZ65" s="5"/>
      <c r="OYA65" s="5"/>
      <c r="OYB65" s="5"/>
      <c r="OYC65" s="5"/>
      <c r="OYD65" s="5"/>
      <c r="OYE65" s="5"/>
      <c r="OYF65" s="5"/>
      <c r="OYG65" s="5"/>
      <c r="OYH65" s="5"/>
      <c r="OYI65" s="5"/>
      <c r="OYJ65" s="5"/>
      <c r="OYK65" s="5"/>
      <c r="OYL65" s="5"/>
      <c r="OYM65" s="5"/>
      <c r="OYN65" s="5"/>
      <c r="OYO65" s="5"/>
      <c r="OYP65" s="5"/>
      <c r="OYQ65" s="5"/>
      <c r="OYR65" s="5"/>
      <c r="OYS65" s="5"/>
      <c r="OYT65" s="5"/>
      <c r="OYU65" s="5"/>
      <c r="OYV65" s="5"/>
      <c r="OYW65" s="5"/>
      <c r="OYX65" s="5"/>
      <c r="OYY65" s="5"/>
      <c r="OYZ65" s="5"/>
      <c r="OZA65" s="5"/>
      <c r="OZB65" s="5"/>
      <c r="OZC65" s="5"/>
      <c r="OZD65" s="5"/>
      <c r="OZE65" s="5"/>
      <c r="OZF65" s="5"/>
      <c r="OZG65" s="5"/>
      <c r="OZH65" s="5"/>
      <c r="OZI65" s="5"/>
      <c r="OZJ65" s="5"/>
      <c r="OZK65" s="5"/>
      <c r="OZL65" s="5"/>
      <c r="OZM65" s="5"/>
      <c r="OZN65" s="5"/>
      <c r="OZO65" s="5"/>
      <c r="OZP65" s="5"/>
      <c r="OZQ65" s="5"/>
      <c r="OZR65" s="5"/>
      <c r="OZS65" s="5"/>
      <c r="OZT65" s="5"/>
      <c r="OZU65" s="5"/>
      <c r="OZV65" s="5"/>
      <c r="OZW65" s="5"/>
      <c r="OZX65" s="5"/>
      <c r="OZY65" s="5"/>
      <c r="OZZ65" s="5"/>
      <c r="PAA65" s="5"/>
      <c r="PAB65" s="5"/>
      <c r="PAC65" s="5"/>
      <c r="PAD65" s="5"/>
      <c r="PAE65" s="5"/>
      <c r="PAF65" s="5"/>
      <c r="PAG65" s="5"/>
      <c r="PAH65" s="5"/>
      <c r="PAI65" s="5"/>
      <c r="PAJ65" s="5"/>
      <c r="PAK65" s="5"/>
      <c r="PAL65" s="5"/>
      <c r="PAM65" s="5"/>
      <c r="PAN65" s="5"/>
      <c r="PAO65" s="5"/>
      <c r="PAP65" s="5"/>
      <c r="PAQ65" s="5"/>
      <c r="PAR65" s="5"/>
      <c r="PAS65" s="5"/>
      <c r="PAT65" s="5"/>
      <c r="PAU65" s="5"/>
      <c r="PAV65" s="5"/>
      <c r="PAW65" s="5"/>
      <c r="PAX65" s="5"/>
      <c r="PAY65" s="5"/>
      <c r="PAZ65" s="5"/>
      <c r="PBA65" s="5"/>
      <c r="PBB65" s="5"/>
      <c r="PBC65" s="5"/>
      <c r="PBD65" s="5"/>
      <c r="PBE65" s="5"/>
      <c r="PBF65" s="5"/>
      <c r="PBG65" s="5"/>
      <c r="PBH65" s="5"/>
      <c r="PBI65" s="5"/>
      <c r="PBJ65" s="5"/>
      <c r="PBK65" s="5"/>
      <c r="PBL65" s="5"/>
      <c r="PBM65" s="5"/>
      <c r="PBN65" s="5"/>
      <c r="PBO65" s="5"/>
      <c r="PBP65" s="5"/>
      <c r="PBQ65" s="5"/>
      <c r="PBR65" s="5"/>
      <c r="PBS65" s="5"/>
      <c r="PBT65" s="5"/>
      <c r="PBU65" s="5"/>
      <c r="PBV65" s="5"/>
      <c r="PBW65" s="5"/>
      <c r="PBX65" s="5"/>
      <c r="PBY65" s="5"/>
      <c r="PBZ65" s="5"/>
      <c r="PCA65" s="5"/>
      <c r="PCB65" s="5"/>
      <c r="PCC65" s="5"/>
      <c r="PCD65" s="5"/>
      <c r="PCE65" s="5"/>
      <c r="PCF65" s="5"/>
      <c r="PCG65" s="5"/>
      <c r="PCH65" s="5"/>
      <c r="PCI65" s="5"/>
      <c r="PCJ65" s="5"/>
      <c r="PCK65" s="5"/>
      <c r="PCL65" s="5"/>
      <c r="PCM65" s="5"/>
      <c r="PCN65" s="5"/>
      <c r="PCO65" s="5"/>
      <c r="PCP65" s="5"/>
      <c r="PCQ65" s="5"/>
      <c r="PCR65" s="5"/>
      <c r="PCS65" s="5"/>
      <c r="PCT65" s="5"/>
      <c r="PCU65" s="5"/>
      <c r="PCV65" s="5"/>
      <c r="PCW65" s="5"/>
      <c r="PCX65" s="5"/>
      <c r="PCY65" s="5"/>
      <c r="PCZ65" s="5"/>
      <c r="PDA65" s="5"/>
      <c r="PDB65" s="5"/>
      <c r="PDC65" s="5"/>
      <c r="PDD65" s="5"/>
      <c r="PDE65" s="5"/>
      <c r="PDF65" s="5"/>
      <c r="PDG65" s="5"/>
      <c r="PDH65" s="5"/>
      <c r="PDI65" s="5"/>
      <c r="PDJ65" s="5"/>
      <c r="PDK65" s="5"/>
      <c r="PDL65" s="5"/>
      <c r="PDM65" s="5"/>
      <c r="PDN65" s="5"/>
      <c r="PDO65" s="5"/>
      <c r="PDP65" s="5"/>
      <c r="PDQ65" s="5"/>
      <c r="PDR65" s="5"/>
      <c r="PDS65" s="5"/>
      <c r="PDT65" s="5"/>
      <c r="PDU65" s="5"/>
      <c r="PDV65" s="5"/>
      <c r="PDW65" s="5"/>
      <c r="PDX65" s="5"/>
      <c r="PDY65" s="5"/>
      <c r="PDZ65" s="5"/>
      <c r="PEA65" s="5"/>
      <c r="PEB65" s="5"/>
      <c r="PEC65" s="5"/>
      <c r="PED65" s="5"/>
      <c r="PEE65" s="5"/>
      <c r="PEF65" s="5"/>
      <c r="PEG65" s="5"/>
      <c r="PEH65" s="5"/>
      <c r="PEI65" s="5"/>
      <c r="PEJ65" s="5"/>
      <c r="PEK65" s="5"/>
      <c r="PEL65" s="5"/>
      <c r="PEM65" s="5"/>
      <c r="PEN65" s="5"/>
      <c r="PEO65" s="5"/>
      <c r="PEP65" s="5"/>
      <c r="PEQ65" s="5"/>
      <c r="PER65" s="5"/>
      <c r="PES65" s="5"/>
      <c r="PET65" s="5"/>
      <c r="PEU65" s="5"/>
      <c r="PEV65" s="5"/>
      <c r="PEW65" s="5"/>
      <c r="PEX65" s="5"/>
      <c r="PEY65" s="5"/>
      <c r="PEZ65" s="5"/>
      <c r="PFA65" s="5"/>
      <c r="PFB65" s="5"/>
      <c r="PFC65" s="5"/>
      <c r="PFD65" s="5"/>
      <c r="PFE65" s="5"/>
      <c r="PFF65" s="5"/>
      <c r="PFG65" s="5"/>
      <c r="PFH65" s="5"/>
      <c r="PFI65" s="5"/>
      <c r="PFJ65" s="5"/>
      <c r="PFK65" s="5"/>
      <c r="PFL65" s="5"/>
      <c r="PFM65" s="5"/>
      <c r="PFN65" s="5"/>
      <c r="PFO65" s="5"/>
      <c r="PFP65" s="5"/>
      <c r="PFQ65" s="5"/>
      <c r="PFR65" s="5"/>
      <c r="PFS65" s="5"/>
      <c r="PFT65" s="5"/>
      <c r="PFU65" s="5"/>
      <c r="PFV65" s="5"/>
      <c r="PFW65" s="5"/>
      <c r="PFX65" s="5"/>
      <c r="PFY65" s="5"/>
      <c r="PFZ65" s="5"/>
      <c r="PGA65" s="5"/>
      <c r="PGB65" s="5"/>
      <c r="PGC65" s="5"/>
      <c r="PGD65" s="5"/>
      <c r="PGE65" s="5"/>
      <c r="PGF65" s="5"/>
      <c r="PGG65" s="5"/>
      <c r="PGH65" s="5"/>
      <c r="PGI65" s="5"/>
      <c r="PGJ65" s="5"/>
      <c r="PGK65" s="5"/>
      <c r="PGL65" s="5"/>
      <c r="PGM65" s="5"/>
      <c r="PGN65" s="5"/>
      <c r="PGO65" s="5"/>
      <c r="PGP65" s="5"/>
      <c r="PGQ65" s="5"/>
      <c r="PGR65" s="5"/>
      <c r="PGS65" s="5"/>
      <c r="PGT65" s="5"/>
      <c r="PGU65" s="5"/>
      <c r="PGV65" s="5"/>
      <c r="PGW65" s="5"/>
      <c r="PGX65" s="5"/>
      <c r="PGY65" s="5"/>
      <c r="PGZ65" s="5"/>
      <c r="PHA65" s="5"/>
      <c r="PHB65" s="5"/>
      <c r="PHC65" s="5"/>
      <c r="PHD65" s="5"/>
      <c r="PHE65" s="5"/>
      <c r="PHF65" s="5"/>
      <c r="PHG65" s="5"/>
      <c r="PHH65" s="5"/>
      <c r="PHI65" s="5"/>
      <c r="PHJ65" s="5"/>
      <c r="PHK65" s="5"/>
      <c r="PHL65" s="5"/>
      <c r="PHM65" s="5"/>
      <c r="PHN65" s="5"/>
      <c r="PHO65" s="5"/>
      <c r="PHP65" s="5"/>
      <c r="PHQ65" s="5"/>
      <c r="PHR65" s="5"/>
      <c r="PHS65" s="5"/>
      <c r="PHT65" s="5"/>
      <c r="PHU65" s="5"/>
      <c r="PHV65" s="5"/>
      <c r="PHW65" s="5"/>
      <c r="PHX65" s="5"/>
      <c r="PHY65" s="5"/>
      <c r="PHZ65" s="5"/>
      <c r="PIA65" s="5"/>
      <c r="PIB65" s="5"/>
      <c r="PIC65" s="5"/>
      <c r="PID65" s="5"/>
      <c r="PIE65" s="5"/>
      <c r="PIF65" s="5"/>
      <c r="PIG65" s="5"/>
      <c r="PIH65" s="5"/>
      <c r="PII65" s="5"/>
      <c r="PIJ65" s="5"/>
      <c r="PIK65" s="5"/>
      <c r="PIL65" s="5"/>
      <c r="PIM65" s="5"/>
      <c r="PIN65" s="5"/>
      <c r="PIO65" s="5"/>
      <c r="PIP65" s="5"/>
      <c r="PIQ65" s="5"/>
      <c r="PIR65" s="5"/>
      <c r="PIS65" s="5"/>
      <c r="PIT65" s="5"/>
      <c r="PIU65" s="5"/>
      <c r="PIV65" s="5"/>
      <c r="PIW65" s="5"/>
      <c r="PIX65" s="5"/>
      <c r="PIY65" s="5"/>
      <c r="PIZ65" s="5"/>
      <c r="PJA65" s="5"/>
      <c r="PJB65" s="5"/>
      <c r="PJC65" s="5"/>
      <c r="PJD65" s="5"/>
      <c r="PJE65" s="5"/>
      <c r="PJF65" s="5"/>
      <c r="PJG65" s="5"/>
      <c r="PJH65" s="5"/>
      <c r="PJI65" s="5"/>
      <c r="PJJ65" s="5"/>
      <c r="PJK65" s="5"/>
      <c r="PJL65" s="5"/>
      <c r="PJM65" s="5"/>
      <c r="PJN65" s="5"/>
      <c r="PJO65" s="5"/>
      <c r="PJP65" s="5"/>
      <c r="PJQ65" s="5"/>
      <c r="PJR65" s="5"/>
      <c r="PJS65" s="5"/>
      <c r="PJT65" s="5"/>
      <c r="PJU65" s="5"/>
      <c r="PJV65" s="5"/>
      <c r="PJW65" s="5"/>
      <c r="PJX65" s="5"/>
      <c r="PJY65" s="5"/>
      <c r="PJZ65" s="5"/>
      <c r="PKA65" s="5"/>
      <c r="PKB65" s="5"/>
      <c r="PKC65" s="5"/>
      <c r="PKD65" s="5"/>
      <c r="PKE65" s="5"/>
      <c r="PKF65" s="5"/>
      <c r="PKG65" s="5"/>
      <c r="PKH65" s="5"/>
      <c r="PKI65" s="5"/>
      <c r="PKJ65" s="5"/>
      <c r="PKK65" s="5"/>
      <c r="PKL65" s="5"/>
      <c r="PKM65" s="5"/>
      <c r="PKN65" s="5"/>
      <c r="PKO65" s="5"/>
      <c r="PKP65" s="5"/>
      <c r="PKQ65" s="5"/>
      <c r="PKR65" s="5"/>
      <c r="PKS65" s="5"/>
      <c r="PKT65" s="5"/>
      <c r="PKU65" s="5"/>
      <c r="PKV65" s="5"/>
      <c r="PKW65" s="5"/>
      <c r="PKX65" s="5"/>
      <c r="PKY65" s="5"/>
      <c r="PKZ65" s="5"/>
      <c r="PLA65" s="5"/>
      <c r="PLB65" s="5"/>
      <c r="PLC65" s="5"/>
      <c r="PLD65" s="5"/>
      <c r="PLE65" s="5"/>
      <c r="PLF65" s="5"/>
      <c r="PLG65" s="5"/>
      <c r="PLH65" s="5"/>
      <c r="PLI65" s="5"/>
      <c r="PLJ65" s="5"/>
      <c r="PLK65" s="5"/>
      <c r="PLL65" s="5"/>
      <c r="PLM65" s="5"/>
      <c r="PLN65" s="5"/>
      <c r="PLO65" s="5"/>
      <c r="PLP65" s="5"/>
      <c r="PLQ65" s="5"/>
      <c r="PLR65" s="5"/>
      <c r="PLS65" s="5"/>
      <c r="PLT65" s="5"/>
      <c r="PLU65" s="5"/>
      <c r="PLV65" s="5"/>
      <c r="PLW65" s="5"/>
      <c r="PLX65" s="5"/>
      <c r="PLY65" s="5"/>
      <c r="PLZ65" s="5"/>
      <c r="PMA65" s="5"/>
      <c r="PMB65" s="5"/>
      <c r="PMC65" s="5"/>
      <c r="PMD65" s="5"/>
      <c r="PME65" s="5"/>
      <c r="PMF65" s="5"/>
      <c r="PMG65" s="5"/>
      <c r="PMH65" s="5"/>
      <c r="PMI65" s="5"/>
      <c r="PMJ65" s="5"/>
      <c r="PMK65" s="5"/>
      <c r="PML65" s="5"/>
      <c r="PMM65" s="5"/>
      <c r="PMN65" s="5"/>
      <c r="PMO65" s="5"/>
      <c r="PMP65" s="5"/>
      <c r="PMQ65" s="5"/>
      <c r="PMR65" s="5"/>
      <c r="PMS65" s="5"/>
      <c r="PMT65" s="5"/>
      <c r="PMU65" s="5"/>
      <c r="PMV65" s="5"/>
      <c r="PMW65" s="5"/>
      <c r="PMX65" s="5"/>
      <c r="PMY65" s="5"/>
      <c r="PMZ65" s="5"/>
      <c r="PNA65" s="5"/>
      <c r="PNB65" s="5"/>
      <c r="PNC65" s="5"/>
      <c r="PND65" s="5"/>
      <c r="PNE65" s="5"/>
      <c r="PNF65" s="5"/>
      <c r="PNG65" s="5"/>
      <c r="PNH65" s="5"/>
      <c r="PNI65" s="5"/>
      <c r="PNJ65" s="5"/>
      <c r="PNK65" s="5"/>
      <c r="PNL65" s="5"/>
      <c r="PNM65" s="5"/>
      <c r="PNN65" s="5"/>
      <c r="PNO65" s="5"/>
      <c r="PNP65" s="5"/>
      <c r="PNQ65" s="5"/>
      <c r="PNR65" s="5"/>
      <c r="PNS65" s="5"/>
      <c r="PNT65" s="5"/>
      <c r="PNU65" s="5"/>
      <c r="PNV65" s="5"/>
      <c r="PNW65" s="5"/>
      <c r="PNX65" s="5"/>
      <c r="PNY65" s="5"/>
      <c r="PNZ65" s="5"/>
      <c r="POA65" s="5"/>
      <c r="POB65" s="5"/>
      <c r="POC65" s="5"/>
      <c r="POD65" s="5"/>
      <c r="POE65" s="5"/>
      <c r="POF65" s="5"/>
      <c r="POG65" s="5"/>
      <c r="POH65" s="5"/>
      <c r="POI65" s="5"/>
      <c r="POJ65" s="5"/>
      <c r="POK65" s="5"/>
      <c r="POL65" s="5"/>
      <c r="POM65" s="5"/>
      <c r="PON65" s="5"/>
      <c r="POO65" s="5"/>
      <c r="POP65" s="5"/>
      <c r="POQ65" s="5"/>
      <c r="POR65" s="5"/>
      <c r="POS65" s="5"/>
      <c r="POT65" s="5"/>
      <c r="POU65" s="5"/>
      <c r="POV65" s="5"/>
      <c r="POW65" s="5"/>
      <c r="POX65" s="5"/>
      <c r="POY65" s="5"/>
      <c r="POZ65" s="5"/>
      <c r="PPA65" s="5"/>
      <c r="PPB65" s="5"/>
      <c r="PPC65" s="5"/>
      <c r="PPD65" s="5"/>
      <c r="PPE65" s="5"/>
      <c r="PPF65" s="5"/>
      <c r="PPG65" s="5"/>
      <c r="PPH65" s="5"/>
      <c r="PPI65" s="5"/>
      <c r="PPJ65" s="5"/>
      <c r="PPK65" s="5"/>
      <c r="PPL65" s="5"/>
      <c r="PPM65" s="5"/>
      <c r="PPN65" s="5"/>
      <c r="PPO65" s="5"/>
      <c r="PPP65" s="5"/>
      <c r="PPQ65" s="5"/>
      <c r="PPR65" s="5"/>
      <c r="PPS65" s="5"/>
      <c r="PPT65" s="5"/>
      <c r="PPU65" s="5"/>
      <c r="PPV65" s="5"/>
      <c r="PPW65" s="5"/>
      <c r="PPX65" s="5"/>
      <c r="PPY65" s="5"/>
      <c r="PPZ65" s="5"/>
      <c r="PQA65" s="5"/>
      <c r="PQB65" s="5"/>
      <c r="PQC65" s="5"/>
      <c r="PQD65" s="5"/>
      <c r="PQE65" s="5"/>
      <c r="PQF65" s="5"/>
      <c r="PQG65" s="5"/>
      <c r="PQH65" s="5"/>
      <c r="PQI65" s="5"/>
      <c r="PQJ65" s="5"/>
      <c r="PQK65" s="5"/>
      <c r="PQL65" s="5"/>
      <c r="PQM65" s="5"/>
      <c r="PQN65" s="5"/>
      <c r="PQO65" s="5"/>
      <c r="PQP65" s="5"/>
      <c r="PQQ65" s="5"/>
      <c r="PQR65" s="5"/>
      <c r="PQS65" s="5"/>
      <c r="PQT65" s="5"/>
      <c r="PQU65" s="5"/>
      <c r="PQV65" s="5"/>
      <c r="PQW65" s="5"/>
      <c r="PQX65" s="5"/>
      <c r="PQY65" s="5"/>
      <c r="PQZ65" s="5"/>
      <c r="PRA65" s="5"/>
      <c r="PRB65" s="5"/>
      <c r="PRC65" s="5"/>
      <c r="PRD65" s="5"/>
      <c r="PRE65" s="5"/>
      <c r="PRF65" s="5"/>
      <c r="PRG65" s="5"/>
      <c r="PRH65" s="5"/>
      <c r="PRI65" s="5"/>
      <c r="PRJ65" s="5"/>
      <c r="PRK65" s="5"/>
      <c r="PRL65" s="5"/>
      <c r="PRM65" s="5"/>
      <c r="PRN65" s="5"/>
      <c r="PRO65" s="5"/>
      <c r="PRP65" s="5"/>
      <c r="PRQ65" s="5"/>
      <c r="PRR65" s="5"/>
      <c r="PRS65" s="5"/>
      <c r="PRT65" s="5"/>
      <c r="PRU65" s="5"/>
      <c r="PRV65" s="5"/>
      <c r="PRW65" s="5"/>
      <c r="PRX65" s="5"/>
      <c r="PRY65" s="5"/>
      <c r="PRZ65" s="5"/>
      <c r="PSA65" s="5"/>
      <c r="PSB65" s="5"/>
      <c r="PSC65" s="5"/>
      <c r="PSD65" s="5"/>
      <c r="PSE65" s="5"/>
      <c r="PSF65" s="5"/>
      <c r="PSG65" s="5"/>
      <c r="PSH65" s="5"/>
      <c r="PSI65" s="5"/>
      <c r="PSJ65" s="5"/>
      <c r="PSK65" s="5"/>
      <c r="PSL65" s="5"/>
      <c r="PSM65" s="5"/>
      <c r="PSN65" s="5"/>
      <c r="PSO65" s="5"/>
      <c r="PSP65" s="5"/>
      <c r="PSQ65" s="5"/>
      <c r="PSR65" s="5"/>
      <c r="PSS65" s="5"/>
      <c r="PST65" s="5"/>
      <c r="PSU65" s="5"/>
      <c r="PSV65" s="5"/>
      <c r="PSW65" s="5"/>
      <c r="PSX65" s="5"/>
      <c r="PSY65" s="5"/>
      <c r="PSZ65" s="5"/>
      <c r="PTA65" s="5"/>
      <c r="PTB65" s="5"/>
      <c r="PTC65" s="5"/>
      <c r="PTD65" s="5"/>
      <c r="PTE65" s="5"/>
      <c r="PTF65" s="5"/>
      <c r="PTG65" s="5"/>
      <c r="PTH65" s="5"/>
      <c r="PTI65" s="5"/>
      <c r="PTJ65" s="5"/>
      <c r="PTK65" s="5"/>
      <c r="PTL65" s="5"/>
      <c r="PTM65" s="5"/>
      <c r="PTN65" s="5"/>
      <c r="PTO65" s="5"/>
      <c r="PTP65" s="5"/>
      <c r="PTQ65" s="5"/>
      <c r="PTR65" s="5"/>
      <c r="PTS65" s="5"/>
      <c r="PTT65" s="5"/>
      <c r="PTU65" s="5"/>
      <c r="PTV65" s="5"/>
      <c r="PTW65" s="5"/>
      <c r="PTX65" s="5"/>
      <c r="PTY65" s="5"/>
      <c r="PTZ65" s="5"/>
      <c r="PUA65" s="5"/>
      <c r="PUB65" s="5"/>
      <c r="PUC65" s="5"/>
      <c r="PUD65" s="5"/>
      <c r="PUE65" s="5"/>
      <c r="PUF65" s="5"/>
      <c r="PUG65" s="5"/>
      <c r="PUH65" s="5"/>
      <c r="PUI65" s="5"/>
      <c r="PUJ65" s="5"/>
      <c r="PUK65" s="5"/>
      <c r="PUL65" s="5"/>
      <c r="PUM65" s="5"/>
      <c r="PUN65" s="5"/>
      <c r="PUO65" s="5"/>
      <c r="PUP65" s="5"/>
      <c r="PUQ65" s="5"/>
      <c r="PUR65" s="5"/>
      <c r="PUS65" s="5"/>
      <c r="PUT65" s="5"/>
      <c r="PUU65" s="5"/>
      <c r="PUV65" s="5"/>
      <c r="PUW65" s="5"/>
      <c r="PUX65" s="5"/>
      <c r="PUY65" s="5"/>
      <c r="PUZ65" s="5"/>
      <c r="PVA65" s="5"/>
      <c r="PVB65" s="5"/>
      <c r="PVC65" s="5"/>
      <c r="PVD65" s="5"/>
      <c r="PVE65" s="5"/>
      <c r="PVF65" s="5"/>
      <c r="PVG65" s="5"/>
      <c r="PVH65" s="5"/>
      <c r="PVI65" s="5"/>
      <c r="PVJ65" s="5"/>
      <c r="PVK65" s="5"/>
      <c r="PVL65" s="5"/>
      <c r="PVM65" s="5"/>
      <c r="PVN65" s="5"/>
      <c r="PVO65" s="5"/>
      <c r="PVP65" s="5"/>
      <c r="PVQ65" s="5"/>
      <c r="PVR65" s="5"/>
      <c r="PVS65" s="5"/>
      <c r="PVT65" s="5"/>
      <c r="PVU65" s="5"/>
      <c r="PVV65" s="5"/>
      <c r="PVW65" s="5"/>
      <c r="PVX65" s="5"/>
      <c r="PVY65" s="5"/>
      <c r="PVZ65" s="5"/>
      <c r="PWA65" s="5"/>
      <c r="PWB65" s="5"/>
      <c r="PWC65" s="5"/>
      <c r="PWD65" s="5"/>
      <c r="PWE65" s="5"/>
      <c r="PWF65" s="5"/>
      <c r="PWG65" s="5"/>
      <c r="PWH65" s="5"/>
      <c r="PWI65" s="5"/>
      <c r="PWJ65" s="5"/>
      <c r="PWK65" s="5"/>
      <c r="PWL65" s="5"/>
      <c r="PWM65" s="5"/>
      <c r="PWN65" s="5"/>
      <c r="PWO65" s="5"/>
      <c r="PWP65" s="5"/>
      <c r="PWQ65" s="5"/>
      <c r="PWR65" s="5"/>
      <c r="PWS65" s="5"/>
      <c r="PWT65" s="5"/>
      <c r="PWU65" s="5"/>
      <c r="PWV65" s="5"/>
      <c r="PWW65" s="5"/>
      <c r="PWX65" s="5"/>
      <c r="PWY65" s="5"/>
      <c r="PWZ65" s="5"/>
      <c r="PXA65" s="5"/>
      <c r="PXB65" s="5"/>
      <c r="PXC65" s="5"/>
      <c r="PXD65" s="5"/>
      <c r="PXE65" s="5"/>
      <c r="PXF65" s="5"/>
      <c r="PXG65" s="5"/>
      <c r="PXH65" s="5"/>
      <c r="PXI65" s="5"/>
      <c r="PXJ65" s="5"/>
      <c r="PXK65" s="5"/>
      <c r="PXL65" s="5"/>
      <c r="PXM65" s="5"/>
      <c r="PXN65" s="5"/>
      <c r="PXO65" s="5"/>
      <c r="PXP65" s="5"/>
      <c r="PXQ65" s="5"/>
      <c r="PXR65" s="5"/>
      <c r="PXS65" s="5"/>
      <c r="PXT65" s="5"/>
      <c r="PXU65" s="5"/>
      <c r="PXV65" s="5"/>
      <c r="PXW65" s="5"/>
      <c r="PXX65" s="5"/>
      <c r="PXY65" s="5"/>
      <c r="PXZ65" s="5"/>
      <c r="PYA65" s="5"/>
      <c r="PYB65" s="5"/>
      <c r="PYC65" s="5"/>
      <c r="PYD65" s="5"/>
      <c r="PYE65" s="5"/>
      <c r="PYF65" s="5"/>
      <c r="PYG65" s="5"/>
      <c r="PYH65" s="5"/>
      <c r="PYI65" s="5"/>
      <c r="PYJ65" s="5"/>
      <c r="PYK65" s="5"/>
      <c r="PYL65" s="5"/>
      <c r="PYM65" s="5"/>
      <c r="PYN65" s="5"/>
      <c r="PYO65" s="5"/>
      <c r="PYP65" s="5"/>
      <c r="PYQ65" s="5"/>
      <c r="PYR65" s="5"/>
      <c r="PYS65" s="5"/>
      <c r="PYT65" s="5"/>
      <c r="PYU65" s="5"/>
      <c r="PYV65" s="5"/>
      <c r="PYW65" s="5"/>
      <c r="PYX65" s="5"/>
      <c r="PYY65" s="5"/>
      <c r="PYZ65" s="5"/>
      <c r="PZA65" s="5"/>
      <c r="PZB65" s="5"/>
      <c r="PZC65" s="5"/>
      <c r="PZD65" s="5"/>
      <c r="PZE65" s="5"/>
      <c r="PZF65" s="5"/>
      <c r="PZG65" s="5"/>
      <c r="PZH65" s="5"/>
      <c r="PZI65" s="5"/>
      <c r="PZJ65" s="5"/>
      <c r="PZK65" s="5"/>
      <c r="PZL65" s="5"/>
      <c r="PZM65" s="5"/>
      <c r="PZN65" s="5"/>
      <c r="PZO65" s="5"/>
      <c r="PZP65" s="5"/>
      <c r="PZQ65" s="5"/>
      <c r="PZR65" s="5"/>
      <c r="PZS65" s="5"/>
      <c r="PZT65" s="5"/>
      <c r="PZU65" s="5"/>
      <c r="PZV65" s="5"/>
      <c r="PZW65" s="5"/>
      <c r="PZX65" s="5"/>
      <c r="PZY65" s="5"/>
      <c r="PZZ65" s="5"/>
      <c r="QAA65" s="5"/>
      <c r="QAB65" s="5"/>
      <c r="QAC65" s="5"/>
      <c r="QAD65" s="5"/>
      <c r="QAE65" s="5"/>
      <c r="QAF65" s="5"/>
      <c r="QAG65" s="5"/>
      <c r="QAH65" s="5"/>
      <c r="QAI65" s="5"/>
      <c r="QAJ65" s="5"/>
      <c r="QAK65" s="5"/>
      <c r="QAL65" s="5"/>
      <c r="QAM65" s="5"/>
      <c r="QAN65" s="5"/>
      <c r="QAO65" s="5"/>
      <c r="QAP65" s="5"/>
      <c r="QAQ65" s="5"/>
      <c r="QAR65" s="5"/>
      <c r="QAS65" s="5"/>
      <c r="QAT65" s="5"/>
      <c r="QAU65" s="5"/>
      <c r="QAV65" s="5"/>
      <c r="QAW65" s="5"/>
      <c r="QAX65" s="5"/>
      <c r="QAY65" s="5"/>
      <c r="QAZ65" s="5"/>
      <c r="QBA65" s="5"/>
      <c r="QBB65" s="5"/>
      <c r="QBC65" s="5"/>
      <c r="QBD65" s="5"/>
      <c r="QBE65" s="5"/>
      <c r="QBF65" s="5"/>
      <c r="QBG65" s="5"/>
      <c r="QBH65" s="5"/>
      <c r="QBI65" s="5"/>
      <c r="QBJ65" s="5"/>
      <c r="QBK65" s="5"/>
      <c r="QBL65" s="5"/>
      <c r="QBM65" s="5"/>
      <c r="QBN65" s="5"/>
      <c r="QBO65" s="5"/>
      <c r="QBP65" s="5"/>
      <c r="QBQ65" s="5"/>
      <c r="QBR65" s="5"/>
      <c r="QBS65" s="5"/>
      <c r="QBT65" s="5"/>
      <c r="QBU65" s="5"/>
      <c r="QBV65" s="5"/>
      <c r="QBW65" s="5"/>
      <c r="QBX65" s="5"/>
      <c r="QBY65" s="5"/>
      <c r="QBZ65" s="5"/>
      <c r="QCA65" s="5"/>
      <c r="QCB65" s="5"/>
      <c r="QCC65" s="5"/>
      <c r="QCD65" s="5"/>
      <c r="QCE65" s="5"/>
      <c r="QCF65" s="5"/>
      <c r="QCG65" s="5"/>
      <c r="QCH65" s="5"/>
      <c r="QCI65" s="5"/>
      <c r="QCJ65" s="5"/>
      <c r="QCK65" s="5"/>
      <c r="QCL65" s="5"/>
      <c r="QCM65" s="5"/>
      <c r="QCN65" s="5"/>
      <c r="QCO65" s="5"/>
      <c r="QCP65" s="5"/>
      <c r="QCQ65" s="5"/>
      <c r="QCR65" s="5"/>
      <c r="QCS65" s="5"/>
      <c r="QCT65" s="5"/>
      <c r="QCU65" s="5"/>
      <c r="QCV65" s="5"/>
      <c r="QCW65" s="5"/>
      <c r="QCX65" s="5"/>
      <c r="QCY65" s="5"/>
      <c r="QCZ65" s="5"/>
      <c r="QDA65" s="5"/>
      <c r="QDB65" s="5"/>
      <c r="QDC65" s="5"/>
      <c r="QDD65" s="5"/>
      <c r="QDE65" s="5"/>
      <c r="QDF65" s="5"/>
      <c r="QDG65" s="5"/>
      <c r="QDH65" s="5"/>
      <c r="QDI65" s="5"/>
      <c r="QDJ65" s="5"/>
      <c r="QDK65" s="5"/>
      <c r="QDL65" s="5"/>
      <c r="QDM65" s="5"/>
      <c r="QDN65" s="5"/>
      <c r="QDO65" s="5"/>
      <c r="QDP65" s="5"/>
      <c r="QDQ65" s="5"/>
      <c r="QDR65" s="5"/>
      <c r="QDS65" s="5"/>
      <c r="QDT65" s="5"/>
      <c r="QDU65" s="5"/>
      <c r="QDV65" s="5"/>
      <c r="QDW65" s="5"/>
      <c r="QDX65" s="5"/>
      <c r="QDY65" s="5"/>
      <c r="QDZ65" s="5"/>
      <c r="QEA65" s="5"/>
      <c r="QEB65" s="5"/>
      <c r="QEC65" s="5"/>
      <c r="QED65" s="5"/>
      <c r="QEE65" s="5"/>
      <c r="QEF65" s="5"/>
      <c r="QEG65" s="5"/>
      <c r="QEH65" s="5"/>
      <c r="QEI65" s="5"/>
      <c r="QEJ65" s="5"/>
      <c r="QEK65" s="5"/>
      <c r="QEL65" s="5"/>
      <c r="QEM65" s="5"/>
      <c r="QEN65" s="5"/>
      <c r="QEO65" s="5"/>
      <c r="QEP65" s="5"/>
      <c r="QEQ65" s="5"/>
      <c r="QER65" s="5"/>
      <c r="QES65" s="5"/>
      <c r="QET65" s="5"/>
      <c r="QEU65" s="5"/>
      <c r="QEV65" s="5"/>
      <c r="QEW65" s="5"/>
      <c r="QEX65" s="5"/>
      <c r="QEY65" s="5"/>
      <c r="QEZ65" s="5"/>
      <c r="QFA65" s="5"/>
      <c r="QFB65" s="5"/>
      <c r="QFC65" s="5"/>
      <c r="QFD65" s="5"/>
      <c r="QFE65" s="5"/>
      <c r="QFF65" s="5"/>
      <c r="QFG65" s="5"/>
      <c r="QFH65" s="5"/>
      <c r="QFI65" s="5"/>
      <c r="QFJ65" s="5"/>
      <c r="QFK65" s="5"/>
      <c r="QFL65" s="5"/>
      <c r="QFM65" s="5"/>
      <c r="QFN65" s="5"/>
      <c r="QFO65" s="5"/>
      <c r="QFP65" s="5"/>
      <c r="QFQ65" s="5"/>
      <c r="QFR65" s="5"/>
      <c r="QFS65" s="5"/>
      <c r="QFT65" s="5"/>
      <c r="QFU65" s="5"/>
      <c r="QFV65" s="5"/>
      <c r="QFW65" s="5"/>
      <c r="QFX65" s="5"/>
      <c r="QFY65" s="5"/>
      <c r="QFZ65" s="5"/>
      <c r="QGA65" s="5"/>
      <c r="QGB65" s="5"/>
      <c r="QGC65" s="5"/>
      <c r="QGD65" s="5"/>
      <c r="QGE65" s="5"/>
      <c r="QGF65" s="5"/>
      <c r="QGG65" s="5"/>
      <c r="QGH65" s="5"/>
      <c r="QGI65" s="5"/>
      <c r="QGJ65" s="5"/>
      <c r="QGK65" s="5"/>
      <c r="QGL65" s="5"/>
      <c r="QGM65" s="5"/>
      <c r="QGN65" s="5"/>
      <c r="QGO65" s="5"/>
      <c r="QGP65" s="5"/>
      <c r="QGQ65" s="5"/>
      <c r="QGR65" s="5"/>
      <c r="QGS65" s="5"/>
      <c r="QGT65" s="5"/>
      <c r="QGU65" s="5"/>
      <c r="QGV65" s="5"/>
      <c r="QGW65" s="5"/>
      <c r="QGX65" s="5"/>
      <c r="QGY65" s="5"/>
      <c r="QGZ65" s="5"/>
      <c r="QHA65" s="5"/>
      <c r="QHB65" s="5"/>
      <c r="QHC65" s="5"/>
      <c r="QHD65" s="5"/>
      <c r="QHE65" s="5"/>
      <c r="QHF65" s="5"/>
      <c r="QHG65" s="5"/>
      <c r="QHH65" s="5"/>
      <c r="QHI65" s="5"/>
      <c r="QHJ65" s="5"/>
      <c r="QHK65" s="5"/>
      <c r="QHL65" s="5"/>
      <c r="QHM65" s="5"/>
      <c r="QHN65" s="5"/>
      <c r="QHO65" s="5"/>
      <c r="QHP65" s="5"/>
      <c r="QHQ65" s="5"/>
      <c r="QHR65" s="5"/>
      <c r="QHS65" s="5"/>
      <c r="QHT65" s="5"/>
      <c r="QHU65" s="5"/>
      <c r="QHV65" s="5"/>
      <c r="QHW65" s="5"/>
      <c r="QHX65" s="5"/>
      <c r="QHY65" s="5"/>
      <c r="QHZ65" s="5"/>
      <c r="QIA65" s="5"/>
      <c r="QIB65" s="5"/>
      <c r="QIC65" s="5"/>
      <c r="QID65" s="5"/>
      <c r="QIE65" s="5"/>
      <c r="QIF65" s="5"/>
      <c r="QIG65" s="5"/>
      <c r="QIH65" s="5"/>
      <c r="QII65" s="5"/>
      <c r="QIJ65" s="5"/>
      <c r="QIK65" s="5"/>
      <c r="QIL65" s="5"/>
      <c r="QIM65" s="5"/>
      <c r="QIN65" s="5"/>
      <c r="QIO65" s="5"/>
      <c r="QIP65" s="5"/>
      <c r="QIQ65" s="5"/>
      <c r="QIR65" s="5"/>
      <c r="QIS65" s="5"/>
      <c r="QIT65" s="5"/>
      <c r="QIU65" s="5"/>
      <c r="QIV65" s="5"/>
      <c r="QIW65" s="5"/>
      <c r="QIX65" s="5"/>
      <c r="QIY65" s="5"/>
      <c r="QIZ65" s="5"/>
      <c r="QJA65" s="5"/>
      <c r="QJB65" s="5"/>
      <c r="QJC65" s="5"/>
      <c r="QJD65" s="5"/>
      <c r="QJE65" s="5"/>
      <c r="QJF65" s="5"/>
      <c r="QJG65" s="5"/>
      <c r="QJH65" s="5"/>
      <c r="QJI65" s="5"/>
      <c r="QJJ65" s="5"/>
      <c r="QJK65" s="5"/>
      <c r="QJL65" s="5"/>
      <c r="QJM65" s="5"/>
      <c r="QJN65" s="5"/>
      <c r="QJO65" s="5"/>
      <c r="QJP65" s="5"/>
      <c r="QJQ65" s="5"/>
      <c r="QJR65" s="5"/>
      <c r="QJS65" s="5"/>
      <c r="QJT65" s="5"/>
      <c r="QJU65" s="5"/>
      <c r="QJV65" s="5"/>
      <c r="QJW65" s="5"/>
      <c r="QJX65" s="5"/>
      <c r="QJY65" s="5"/>
      <c r="QJZ65" s="5"/>
      <c r="QKA65" s="5"/>
      <c r="QKB65" s="5"/>
      <c r="QKC65" s="5"/>
      <c r="QKD65" s="5"/>
      <c r="QKE65" s="5"/>
      <c r="QKF65" s="5"/>
      <c r="QKG65" s="5"/>
      <c r="QKH65" s="5"/>
      <c r="QKI65" s="5"/>
      <c r="QKJ65" s="5"/>
      <c r="QKK65" s="5"/>
      <c r="QKL65" s="5"/>
      <c r="QKM65" s="5"/>
      <c r="QKN65" s="5"/>
      <c r="QKO65" s="5"/>
      <c r="QKP65" s="5"/>
      <c r="QKQ65" s="5"/>
      <c r="QKR65" s="5"/>
      <c r="QKS65" s="5"/>
      <c r="QKT65" s="5"/>
      <c r="QKU65" s="5"/>
      <c r="QKV65" s="5"/>
      <c r="QKW65" s="5"/>
      <c r="QKX65" s="5"/>
      <c r="QKY65" s="5"/>
      <c r="QKZ65" s="5"/>
      <c r="QLA65" s="5"/>
      <c r="QLB65" s="5"/>
      <c r="QLC65" s="5"/>
      <c r="QLD65" s="5"/>
      <c r="QLE65" s="5"/>
      <c r="QLF65" s="5"/>
      <c r="QLG65" s="5"/>
      <c r="QLH65" s="5"/>
      <c r="QLI65" s="5"/>
      <c r="QLJ65" s="5"/>
      <c r="QLK65" s="5"/>
      <c r="QLL65" s="5"/>
      <c r="QLM65" s="5"/>
      <c r="QLN65" s="5"/>
      <c r="QLO65" s="5"/>
      <c r="QLP65" s="5"/>
      <c r="QLQ65" s="5"/>
      <c r="QLR65" s="5"/>
      <c r="QLS65" s="5"/>
      <c r="QLT65" s="5"/>
      <c r="QLU65" s="5"/>
      <c r="QLV65" s="5"/>
      <c r="QLW65" s="5"/>
      <c r="QLX65" s="5"/>
      <c r="QLY65" s="5"/>
      <c r="QLZ65" s="5"/>
      <c r="QMA65" s="5"/>
      <c r="QMB65" s="5"/>
      <c r="QMC65" s="5"/>
      <c r="QMD65" s="5"/>
      <c r="QME65" s="5"/>
      <c r="QMF65" s="5"/>
      <c r="QMG65" s="5"/>
      <c r="QMH65" s="5"/>
      <c r="QMI65" s="5"/>
      <c r="QMJ65" s="5"/>
      <c r="QMK65" s="5"/>
      <c r="QML65" s="5"/>
      <c r="QMM65" s="5"/>
      <c r="QMN65" s="5"/>
      <c r="QMO65" s="5"/>
      <c r="QMP65" s="5"/>
      <c r="QMQ65" s="5"/>
      <c r="QMR65" s="5"/>
      <c r="QMS65" s="5"/>
      <c r="QMT65" s="5"/>
      <c r="QMU65" s="5"/>
      <c r="QMV65" s="5"/>
      <c r="QMW65" s="5"/>
      <c r="QMX65" s="5"/>
      <c r="QMY65" s="5"/>
      <c r="QMZ65" s="5"/>
      <c r="QNA65" s="5"/>
      <c r="QNB65" s="5"/>
      <c r="QNC65" s="5"/>
      <c r="QND65" s="5"/>
      <c r="QNE65" s="5"/>
      <c r="QNF65" s="5"/>
      <c r="QNG65" s="5"/>
      <c r="QNH65" s="5"/>
      <c r="QNI65" s="5"/>
      <c r="QNJ65" s="5"/>
      <c r="QNK65" s="5"/>
      <c r="QNL65" s="5"/>
      <c r="QNM65" s="5"/>
      <c r="QNN65" s="5"/>
      <c r="QNO65" s="5"/>
      <c r="QNP65" s="5"/>
      <c r="QNQ65" s="5"/>
      <c r="QNR65" s="5"/>
      <c r="QNS65" s="5"/>
      <c r="QNT65" s="5"/>
      <c r="QNU65" s="5"/>
      <c r="QNV65" s="5"/>
      <c r="QNW65" s="5"/>
      <c r="QNX65" s="5"/>
      <c r="QNY65" s="5"/>
      <c r="QNZ65" s="5"/>
      <c r="QOA65" s="5"/>
      <c r="QOB65" s="5"/>
      <c r="QOC65" s="5"/>
      <c r="QOD65" s="5"/>
      <c r="QOE65" s="5"/>
      <c r="QOF65" s="5"/>
      <c r="QOG65" s="5"/>
      <c r="QOH65" s="5"/>
      <c r="QOI65" s="5"/>
      <c r="QOJ65" s="5"/>
      <c r="QOK65" s="5"/>
      <c r="QOL65" s="5"/>
      <c r="QOM65" s="5"/>
      <c r="QON65" s="5"/>
      <c r="QOO65" s="5"/>
      <c r="QOP65" s="5"/>
      <c r="QOQ65" s="5"/>
      <c r="QOR65" s="5"/>
      <c r="QOS65" s="5"/>
      <c r="QOT65" s="5"/>
      <c r="QOU65" s="5"/>
      <c r="QOV65" s="5"/>
      <c r="QOW65" s="5"/>
      <c r="QOX65" s="5"/>
      <c r="QOY65" s="5"/>
      <c r="QOZ65" s="5"/>
      <c r="QPA65" s="5"/>
      <c r="QPB65" s="5"/>
      <c r="QPC65" s="5"/>
      <c r="QPD65" s="5"/>
      <c r="QPE65" s="5"/>
      <c r="QPF65" s="5"/>
      <c r="QPG65" s="5"/>
      <c r="QPH65" s="5"/>
      <c r="QPI65" s="5"/>
      <c r="QPJ65" s="5"/>
      <c r="QPK65" s="5"/>
      <c r="QPL65" s="5"/>
      <c r="QPM65" s="5"/>
      <c r="QPN65" s="5"/>
      <c r="QPO65" s="5"/>
      <c r="QPP65" s="5"/>
      <c r="QPQ65" s="5"/>
      <c r="QPR65" s="5"/>
      <c r="QPS65" s="5"/>
      <c r="QPT65" s="5"/>
      <c r="QPU65" s="5"/>
      <c r="QPV65" s="5"/>
      <c r="QPW65" s="5"/>
      <c r="QPX65" s="5"/>
      <c r="QPY65" s="5"/>
      <c r="QPZ65" s="5"/>
      <c r="QQA65" s="5"/>
      <c r="QQB65" s="5"/>
      <c r="QQC65" s="5"/>
      <c r="QQD65" s="5"/>
      <c r="QQE65" s="5"/>
      <c r="QQF65" s="5"/>
      <c r="QQG65" s="5"/>
      <c r="QQH65" s="5"/>
      <c r="QQI65" s="5"/>
      <c r="QQJ65" s="5"/>
      <c r="QQK65" s="5"/>
      <c r="QQL65" s="5"/>
      <c r="QQM65" s="5"/>
      <c r="QQN65" s="5"/>
      <c r="QQO65" s="5"/>
      <c r="QQP65" s="5"/>
      <c r="QQQ65" s="5"/>
      <c r="QQR65" s="5"/>
      <c r="QQS65" s="5"/>
      <c r="QQT65" s="5"/>
      <c r="QQU65" s="5"/>
      <c r="QQV65" s="5"/>
      <c r="QQW65" s="5"/>
      <c r="QQX65" s="5"/>
      <c r="QQY65" s="5"/>
      <c r="QQZ65" s="5"/>
      <c r="QRA65" s="5"/>
      <c r="QRB65" s="5"/>
      <c r="QRC65" s="5"/>
      <c r="QRD65" s="5"/>
      <c r="QRE65" s="5"/>
      <c r="QRF65" s="5"/>
      <c r="QRG65" s="5"/>
      <c r="QRH65" s="5"/>
      <c r="QRI65" s="5"/>
      <c r="QRJ65" s="5"/>
      <c r="QRK65" s="5"/>
      <c r="QRL65" s="5"/>
      <c r="QRM65" s="5"/>
      <c r="QRN65" s="5"/>
      <c r="QRO65" s="5"/>
      <c r="QRP65" s="5"/>
      <c r="QRQ65" s="5"/>
      <c r="QRR65" s="5"/>
      <c r="QRS65" s="5"/>
      <c r="QRT65" s="5"/>
      <c r="QRU65" s="5"/>
      <c r="QRV65" s="5"/>
      <c r="QRW65" s="5"/>
      <c r="QRX65" s="5"/>
      <c r="QRY65" s="5"/>
      <c r="QRZ65" s="5"/>
      <c r="QSA65" s="5"/>
      <c r="QSB65" s="5"/>
      <c r="QSC65" s="5"/>
      <c r="QSD65" s="5"/>
      <c r="QSE65" s="5"/>
      <c r="QSF65" s="5"/>
      <c r="QSG65" s="5"/>
      <c r="QSH65" s="5"/>
      <c r="QSI65" s="5"/>
      <c r="QSJ65" s="5"/>
      <c r="QSK65" s="5"/>
      <c r="QSL65" s="5"/>
      <c r="QSM65" s="5"/>
      <c r="QSN65" s="5"/>
      <c r="QSO65" s="5"/>
      <c r="QSP65" s="5"/>
      <c r="QSQ65" s="5"/>
      <c r="QSR65" s="5"/>
      <c r="QSS65" s="5"/>
      <c r="QST65" s="5"/>
      <c r="QSU65" s="5"/>
      <c r="QSV65" s="5"/>
      <c r="QSW65" s="5"/>
      <c r="QSX65" s="5"/>
      <c r="QSY65" s="5"/>
      <c r="QSZ65" s="5"/>
      <c r="QTA65" s="5"/>
      <c r="QTB65" s="5"/>
      <c r="QTC65" s="5"/>
      <c r="QTD65" s="5"/>
      <c r="QTE65" s="5"/>
      <c r="QTF65" s="5"/>
      <c r="QTG65" s="5"/>
      <c r="QTH65" s="5"/>
      <c r="QTI65" s="5"/>
      <c r="QTJ65" s="5"/>
      <c r="QTK65" s="5"/>
      <c r="QTL65" s="5"/>
      <c r="QTM65" s="5"/>
      <c r="QTN65" s="5"/>
      <c r="QTO65" s="5"/>
      <c r="QTP65" s="5"/>
      <c r="QTQ65" s="5"/>
      <c r="QTR65" s="5"/>
      <c r="QTS65" s="5"/>
      <c r="QTT65" s="5"/>
      <c r="QTU65" s="5"/>
      <c r="QTV65" s="5"/>
      <c r="QTW65" s="5"/>
      <c r="QTX65" s="5"/>
      <c r="QTY65" s="5"/>
      <c r="QTZ65" s="5"/>
      <c r="QUA65" s="5"/>
      <c r="QUB65" s="5"/>
      <c r="QUC65" s="5"/>
      <c r="QUD65" s="5"/>
      <c r="QUE65" s="5"/>
      <c r="QUF65" s="5"/>
      <c r="QUG65" s="5"/>
      <c r="QUH65" s="5"/>
      <c r="QUI65" s="5"/>
      <c r="QUJ65" s="5"/>
      <c r="QUK65" s="5"/>
      <c r="QUL65" s="5"/>
      <c r="QUM65" s="5"/>
      <c r="QUN65" s="5"/>
      <c r="QUO65" s="5"/>
      <c r="QUP65" s="5"/>
      <c r="QUQ65" s="5"/>
      <c r="QUR65" s="5"/>
      <c r="QUS65" s="5"/>
      <c r="QUT65" s="5"/>
      <c r="QUU65" s="5"/>
      <c r="QUV65" s="5"/>
      <c r="QUW65" s="5"/>
      <c r="QUX65" s="5"/>
      <c r="QUY65" s="5"/>
      <c r="QUZ65" s="5"/>
      <c r="QVA65" s="5"/>
      <c r="QVB65" s="5"/>
      <c r="QVC65" s="5"/>
      <c r="QVD65" s="5"/>
      <c r="QVE65" s="5"/>
      <c r="QVF65" s="5"/>
      <c r="QVG65" s="5"/>
      <c r="QVH65" s="5"/>
      <c r="QVI65" s="5"/>
      <c r="QVJ65" s="5"/>
      <c r="QVK65" s="5"/>
      <c r="QVL65" s="5"/>
      <c r="QVM65" s="5"/>
      <c r="QVN65" s="5"/>
      <c r="QVO65" s="5"/>
      <c r="QVP65" s="5"/>
      <c r="QVQ65" s="5"/>
      <c r="QVR65" s="5"/>
      <c r="QVS65" s="5"/>
      <c r="QVT65" s="5"/>
      <c r="QVU65" s="5"/>
      <c r="QVV65" s="5"/>
      <c r="QVW65" s="5"/>
      <c r="QVX65" s="5"/>
      <c r="QVY65" s="5"/>
      <c r="QVZ65" s="5"/>
      <c r="QWA65" s="5"/>
      <c r="QWB65" s="5"/>
      <c r="QWC65" s="5"/>
      <c r="QWD65" s="5"/>
      <c r="QWE65" s="5"/>
      <c r="QWF65" s="5"/>
      <c r="QWG65" s="5"/>
      <c r="QWH65" s="5"/>
      <c r="QWI65" s="5"/>
      <c r="QWJ65" s="5"/>
      <c r="QWK65" s="5"/>
      <c r="QWL65" s="5"/>
      <c r="QWM65" s="5"/>
      <c r="QWN65" s="5"/>
      <c r="QWO65" s="5"/>
      <c r="QWP65" s="5"/>
      <c r="QWQ65" s="5"/>
      <c r="QWR65" s="5"/>
      <c r="QWS65" s="5"/>
      <c r="QWT65" s="5"/>
      <c r="QWU65" s="5"/>
      <c r="QWV65" s="5"/>
      <c r="QWW65" s="5"/>
      <c r="QWX65" s="5"/>
      <c r="QWY65" s="5"/>
      <c r="QWZ65" s="5"/>
      <c r="QXA65" s="5"/>
      <c r="QXB65" s="5"/>
      <c r="QXC65" s="5"/>
      <c r="QXD65" s="5"/>
      <c r="QXE65" s="5"/>
      <c r="QXF65" s="5"/>
      <c r="QXG65" s="5"/>
      <c r="QXH65" s="5"/>
      <c r="QXI65" s="5"/>
      <c r="QXJ65" s="5"/>
      <c r="QXK65" s="5"/>
      <c r="QXL65" s="5"/>
      <c r="QXM65" s="5"/>
      <c r="QXN65" s="5"/>
      <c r="QXO65" s="5"/>
      <c r="QXP65" s="5"/>
      <c r="QXQ65" s="5"/>
      <c r="QXR65" s="5"/>
      <c r="QXS65" s="5"/>
      <c r="QXT65" s="5"/>
      <c r="QXU65" s="5"/>
      <c r="QXV65" s="5"/>
      <c r="QXW65" s="5"/>
      <c r="QXX65" s="5"/>
      <c r="QXY65" s="5"/>
      <c r="QXZ65" s="5"/>
      <c r="QYA65" s="5"/>
      <c r="QYB65" s="5"/>
      <c r="QYC65" s="5"/>
      <c r="QYD65" s="5"/>
      <c r="QYE65" s="5"/>
      <c r="QYF65" s="5"/>
      <c r="QYG65" s="5"/>
      <c r="QYH65" s="5"/>
      <c r="QYI65" s="5"/>
      <c r="QYJ65" s="5"/>
      <c r="QYK65" s="5"/>
      <c r="QYL65" s="5"/>
      <c r="QYM65" s="5"/>
      <c r="QYN65" s="5"/>
      <c r="QYO65" s="5"/>
      <c r="QYP65" s="5"/>
      <c r="QYQ65" s="5"/>
      <c r="QYR65" s="5"/>
      <c r="QYS65" s="5"/>
      <c r="QYT65" s="5"/>
      <c r="QYU65" s="5"/>
      <c r="QYV65" s="5"/>
      <c r="QYW65" s="5"/>
      <c r="QYX65" s="5"/>
      <c r="QYY65" s="5"/>
      <c r="QYZ65" s="5"/>
      <c r="QZA65" s="5"/>
      <c r="QZB65" s="5"/>
      <c r="QZC65" s="5"/>
      <c r="QZD65" s="5"/>
      <c r="QZE65" s="5"/>
      <c r="QZF65" s="5"/>
      <c r="QZG65" s="5"/>
      <c r="QZH65" s="5"/>
      <c r="QZI65" s="5"/>
      <c r="QZJ65" s="5"/>
      <c r="QZK65" s="5"/>
      <c r="QZL65" s="5"/>
      <c r="QZM65" s="5"/>
      <c r="QZN65" s="5"/>
      <c r="QZO65" s="5"/>
      <c r="QZP65" s="5"/>
      <c r="QZQ65" s="5"/>
      <c r="QZR65" s="5"/>
      <c r="QZS65" s="5"/>
      <c r="QZT65" s="5"/>
      <c r="QZU65" s="5"/>
      <c r="QZV65" s="5"/>
      <c r="QZW65" s="5"/>
      <c r="QZX65" s="5"/>
      <c r="QZY65" s="5"/>
      <c r="QZZ65" s="5"/>
      <c r="RAA65" s="5"/>
      <c r="RAB65" s="5"/>
      <c r="RAC65" s="5"/>
      <c r="RAD65" s="5"/>
      <c r="RAE65" s="5"/>
      <c r="RAF65" s="5"/>
      <c r="RAG65" s="5"/>
      <c r="RAH65" s="5"/>
      <c r="RAI65" s="5"/>
      <c r="RAJ65" s="5"/>
      <c r="RAK65" s="5"/>
      <c r="RAL65" s="5"/>
      <c r="RAM65" s="5"/>
      <c r="RAN65" s="5"/>
      <c r="RAO65" s="5"/>
      <c r="RAP65" s="5"/>
      <c r="RAQ65" s="5"/>
      <c r="RAR65" s="5"/>
      <c r="RAS65" s="5"/>
      <c r="RAT65" s="5"/>
      <c r="RAU65" s="5"/>
      <c r="RAV65" s="5"/>
      <c r="RAW65" s="5"/>
      <c r="RAX65" s="5"/>
      <c r="RAY65" s="5"/>
      <c r="RAZ65" s="5"/>
      <c r="RBA65" s="5"/>
      <c r="RBB65" s="5"/>
      <c r="RBC65" s="5"/>
      <c r="RBD65" s="5"/>
      <c r="RBE65" s="5"/>
      <c r="RBF65" s="5"/>
      <c r="RBG65" s="5"/>
      <c r="RBH65" s="5"/>
      <c r="RBI65" s="5"/>
      <c r="RBJ65" s="5"/>
      <c r="RBK65" s="5"/>
      <c r="RBL65" s="5"/>
      <c r="RBM65" s="5"/>
      <c r="RBN65" s="5"/>
      <c r="RBO65" s="5"/>
      <c r="RBP65" s="5"/>
      <c r="RBQ65" s="5"/>
      <c r="RBR65" s="5"/>
      <c r="RBS65" s="5"/>
      <c r="RBT65" s="5"/>
      <c r="RBU65" s="5"/>
      <c r="RBV65" s="5"/>
      <c r="RBW65" s="5"/>
      <c r="RBX65" s="5"/>
      <c r="RBY65" s="5"/>
      <c r="RBZ65" s="5"/>
      <c r="RCA65" s="5"/>
      <c r="RCB65" s="5"/>
      <c r="RCC65" s="5"/>
      <c r="RCD65" s="5"/>
      <c r="RCE65" s="5"/>
      <c r="RCF65" s="5"/>
      <c r="RCG65" s="5"/>
      <c r="RCH65" s="5"/>
      <c r="RCI65" s="5"/>
      <c r="RCJ65" s="5"/>
      <c r="RCK65" s="5"/>
      <c r="RCL65" s="5"/>
      <c r="RCM65" s="5"/>
      <c r="RCN65" s="5"/>
      <c r="RCO65" s="5"/>
      <c r="RCP65" s="5"/>
      <c r="RCQ65" s="5"/>
      <c r="RCR65" s="5"/>
      <c r="RCS65" s="5"/>
      <c r="RCT65" s="5"/>
      <c r="RCU65" s="5"/>
      <c r="RCV65" s="5"/>
      <c r="RCW65" s="5"/>
      <c r="RCX65" s="5"/>
      <c r="RCY65" s="5"/>
      <c r="RCZ65" s="5"/>
      <c r="RDA65" s="5"/>
      <c r="RDB65" s="5"/>
      <c r="RDC65" s="5"/>
      <c r="RDD65" s="5"/>
      <c r="RDE65" s="5"/>
      <c r="RDF65" s="5"/>
      <c r="RDG65" s="5"/>
      <c r="RDH65" s="5"/>
      <c r="RDI65" s="5"/>
      <c r="RDJ65" s="5"/>
      <c r="RDK65" s="5"/>
      <c r="RDL65" s="5"/>
      <c r="RDM65" s="5"/>
      <c r="RDN65" s="5"/>
      <c r="RDO65" s="5"/>
      <c r="RDP65" s="5"/>
      <c r="RDQ65" s="5"/>
      <c r="RDR65" s="5"/>
      <c r="RDS65" s="5"/>
      <c r="RDT65" s="5"/>
      <c r="RDU65" s="5"/>
      <c r="RDV65" s="5"/>
      <c r="RDW65" s="5"/>
      <c r="RDX65" s="5"/>
      <c r="RDY65" s="5"/>
      <c r="RDZ65" s="5"/>
      <c r="REA65" s="5"/>
      <c r="REB65" s="5"/>
      <c r="REC65" s="5"/>
      <c r="RED65" s="5"/>
      <c r="REE65" s="5"/>
      <c r="REF65" s="5"/>
      <c r="REG65" s="5"/>
      <c r="REH65" s="5"/>
      <c r="REI65" s="5"/>
      <c r="REJ65" s="5"/>
      <c r="REK65" s="5"/>
      <c r="REL65" s="5"/>
      <c r="REM65" s="5"/>
      <c r="REN65" s="5"/>
      <c r="REO65" s="5"/>
      <c r="REP65" s="5"/>
      <c r="REQ65" s="5"/>
      <c r="RER65" s="5"/>
      <c r="RES65" s="5"/>
      <c r="RET65" s="5"/>
      <c r="REU65" s="5"/>
      <c r="REV65" s="5"/>
      <c r="REW65" s="5"/>
      <c r="REX65" s="5"/>
      <c r="REY65" s="5"/>
      <c r="REZ65" s="5"/>
      <c r="RFA65" s="5"/>
      <c r="RFB65" s="5"/>
      <c r="RFC65" s="5"/>
      <c r="RFD65" s="5"/>
      <c r="RFE65" s="5"/>
      <c r="RFF65" s="5"/>
      <c r="RFG65" s="5"/>
      <c r="RFH65" s="5"/>
      <c r="RFI65" s="5"/>
      <c r="RFJ65" s="5"/>
      <c r="RFK65" s="5"/>
      <c r="RFL65" s="5"/>
      <c r="RFM65" s="5"/>
      <c r="RFN65" s="5"/>
      <c r="RFO65" s="5"/>
      <c r="RFP65" s="5"/>
      <c r="RFQ65" s="5"/>
      <c r="RFR65" s="5"/>
      <c r="RFS65" s="5"/>
      <c r="RFT65" s="5"/>
      <c r="RFU65" s="5"/>
      <c r="RFV65" s="5"/>
      <c r="RFW65" s="5"/>
      <c r="RFX65" s="5"/>
      <c r="RFY65" s="5"/>
      <c r="RFZ65" s="5"/>
      <c r="RGA65" s="5"/>
      <c r="RGB65" s="5"/>
      <c r="RGC65" s="5"/>
      <c r="RGD65" s="5"/>
      <c r="RGE65" s="5"/>
      <c r="RGF65" s="5"/>
      <c r="RGG65" s="5"/>
      <c r="RGH65" s="5"/>
      <c r="RGI65" s="5"/>
      <c r="RGJ65" s="5"/>
      <c r="RGK65" s="5"/>
      <c r="RGL65" s="5"/>
      <c r="RGM65" s="5"/>
      <c r="RGN65" s="5"/>
      <c r="RGO65" s="5"/>
      <c r="RGP65" s="5"/>
      <c r="RGQ65" s="5"/>
      <c r="RGR65" s="5"/>
      <c r="RGS65" s="5"/>
      <c r="RGT65" s="5"/>
      <c r="RGU65" s="5"/>
      <c r="RGV65" s="5"/>
      <c r="RGW65" s="5"/>
      <c r="RGX65" s="5"/>
      <c r="RGY65" s="5"/>
      <c r="RGZ65" s="5"/>
      <c r="RHA65" s="5"/>
      <c r="RHB65" s="5"/>
      <c r="RHC65" s="5"/>
      <c r="RHD65" s="5"/>
      <c r="RHE65" s="5"/>
      <c r="RHF65" s="5"/>
      <c r="RHG65" s="5"/>
      <c r="RHH65" s="5"/>
      <c r="RHI65" s="5"/>
      <c r="RHJ65" s="5"/>
      <c r="RHK65" s="5"/>
      <c r="RHL65" s="5"/>
      <c r="RHM65" s="5"/>
      <c r="RHN65" s="5"/>
      <c r="RHO65" s="5"/>
      <c r="RHP65" s="5"/>
      <c r="RHQ65" s="5"/>
      <c r="RHR65" s="5"/>
      <c r="RHS65" s="5"/>
      <c r="RHT65" s="5"/>
      <c r="RHU65" s="5"/>
      <c r="RHV65" s="5"/>
      <c r="RHW65" s="5"/>
      <c r="RHX65" s="5"/>
      <c r="RHY65" s="5"/>
      <c r="RHZ65" s="5"/>
      <c r="RIA65" s="5"/>
      <c r="RIB65" s="5"/>
      <c r="RIC65" s="5"/>
      <c r="RID65" s="5"/>
      <c r="RIE65" s="5"/>
      <c r="RIF65" s="5"/>
      <c r="RIG65" s="5"/>
      <c r="RIH65" s="5"/>
      <c r="RII65" s="5"/>
      <c r="RIJ65" s="5"/>
      <c r="RIK65" s="5"/>
      <c r="RIL65" s="5"/>
      <c r="RIM65" s="5"/>
      <c r="RIN65" s="5"/>
      <c r="RIO65" s="5"/>
      <c r="RIP65" s="5"/>
      <c r="RIQ65" s="5"/>
      <c r="RIR65" s="5"/>
      <c r="RIS65" s="5"/>
      <c r="RIT65" s="5"/>
      <c r="RIU65" s="5"/>
      <c r="RIV65" s="5"/>
      <c r="RIW65" s="5"/>
      <c r="RIX65" s="5"/>
      <c r="RIY65" s="5"/>
      <c r="RIZ65" s="5"/>
      <c r="RJA65" s="5"/>
      <c r="RJB65" s="5"/>
      <c r="RJC65" s="5"/>
      <c r="RJD65" s="5"/>
      <c r="RJE65" s="5"/>
      <c r="RJF65" s="5"/>
      <c r="RJG65" s="5"/>
      <c r="RJH65" s="5"/>
      <c r="RJI65" s="5"/>
      <c r="RJJ65" s="5"/>
      <c r="RJK65" s="5"/>
      <c r="RJL65" s="5"/>
      <c r="RJM65" s="5"/>
      <c r="RJN65" s="5"/>
      <c r="RJO65" s="5"/>
      <c r="RJP65" s="5"/>
      <c r="RJQ65" s="5"/>
      <c r="RJR65" s="5"/>
      <c r="RJS65" s="5"/>
      <c r="RJT65" s="5"/>
      <c r="RJU65" s="5"/>
      <c r="RJV65" s="5"/>
      <c r="RJW65" s="5"/>
      <c r="RJX65" s="5"/>
      <c r="RJY65" s="5"/>
      <c r="RJZ65" s="5"/>
      <c r="RKA65" s="5"/>
      <c r="RKB65" s="5"/>
      <c r="RKC65" s="5"/>
      <c r="RKD65" s="5"/>
      <c r="RKE65" s="5"/>
      <c r="RKF65" s="5"/>
      <c r="RKG65" s="5"/>
      <c r="RKH65" s="5"/>
      <c r="RKI65" s="5"/>
      <c r="RKJ65" s="5"/>
      <c r="RKK65" s="5"/>
      <c r="RKL65" s="5"/>
      <c r="RKM65" s="5"/>
      <c r="RKN65" s="5"/>
      <c r="RKO65" s="5"/>
      <c r="RKP65" s="5"/>
      <c r="RKQ65" s="5"/>
      <c r="RKR65" s="5"/>
      <c r="RKS65" s="5"/>
      <c r="RKT65" s="5"/>
      <c r="RKU65" s="5"/>
      <c r="RKV65" s="5"/>
      <c r="RKW65" s="5"/>
      <c r="RKX65" s="5"/>
      <c r="RKY65" s="5"/>
      <c r="RKZ65" s="5"/>
      <c r="RLA65" s="5"/>
      <c r="RLB65" s="5"/>
      <c r="RLC65" s="5"/>
      <c r="RLD65" s="5"/>
      <c r="RLE65" s="5"/>
      <c r="RLF65" s="5"/>
      <c r="RLG65" s="5"/>
      <c r="RLH65" s="5"/>
      <c r="RLI65" s="5"/>
      <c r="RLJ65" s="5"/>
      <c r="RLK65" s="5"/>
      <c r="RLL65" s="5"/>
      <c r="RLM65" s="5"/>
      <c r="RLN65" s="5"/>
      <c r="RLO65" s="5"/>
      <c r="RLP65" s="5"/>
      <c r="RLQ65" s="5"/>
      <c r="RLR65" s="5"/>
      <c r="RLS65" s="5"/>
      <c r="RLT65" s="5"/>
      <c r="RLU65" s="5"/>
      <c r="RLV65" s="5"/>
      <c r="RLW65" s="5"/>
      <c r="RLX65" s="5"/>
      <c r="RLY65" s="5"/>
      <c r="RLZ65" s="5"/>
      <c r="RMA65" s="5"/>
      <c r="RMB65" s="5"/>
      <c r="RMC65" s="5"/>
      <c r="RMD65" s="5"/>
      <c r="RME65" s="5"/>
      <c r="RMF65" s="5"/>
      <c r="RMG65" s="5"/>
      <c r="RMH65" s="5"/>
      <c r="RMI65" s="5"/>
      <c r="RMJ65" s="5"/>
      <c r="RMK65" s="5"/>
      <c r="RML65" s="5"/>
      <c r="RMM65" s="5"/>
      <c r="RMN65" s="5"/>
      <c r="RMO65" s="5"/>
      <c r="RMP65" s="5"/>
      <c r="RMQ65" s="5"/>
      <c r="RMR65" s="5"/>
      <c r="RMS65" s="5"/>
      <c r="RMT65" s="5"/>
      <c r="RMU65" s="5"/>
      <c r="RMV65" s="5"/>
      <c r="RMW65" s="5"/>
      <c r="RMX65" s="5"/>
      <c r="RMY65" s="5"/>
      <c r="RMZ65" s="5"/>
      <c r="RNA65" s="5"/>
      <c r="RNB65" s="5"/>
      <c r="RNC65" s="5"/>
      <c r="RND65" s="5"/>
      <c r="RNE65" s="5"/>
      <c r="RNF65" s="5"/>
      <c r="RNG65" s="5"/>
      <c r="RNH65" s="5"/>
      <c r="RNI65" s="5"/>
      <c r="RNJ65" s="5"/>
      <c r="RNK65" s="5"/>
      <c r="RNL65" s="5"/>
      <c r="RNM65" s="5"/>
      <c r="RNN65" s="5"/>
      <c r="RNO65" s="5"/>
      <c r="RNP65" s="5"/>
      <c r="RNQ65" s="5"/>
      <c r="RNR65" s="5"/>
      <c r="RNS65" s="5"/>
      <c r="RNT65" s="5"/>
      <c r="RNU65" s="5"/>
      <c r="RNV65" s="5"/>
      <c r="RNW65" s="5"/>
      <c r="RNX65" s="5"/>
      <c r="RNY65" s="5"/>
      <c r="RNZ65" s="5"/>
      <c r="ROA65" s="5"/>
      <c r="ROB65" s="5"/>
      <c r="ROC65" s="5"/>
      <c r="ROD65" s="5"/>
      <c r="ROE65" s="5"/>
      <c r="ROF65" s="5"/>
      <c r="ROG65" s="5"/>
      <c r="ROH65" s="5"/>
      <c r="ROI65" s="5"/>
      <c r="ROJ65" s="5"/>
      <c r="ROK65" s="5"/>
      <c r="ROL65" s="5"/>
      <c r="ROM65" s="5"/>
      <c r="RON65" s="5"/>
      <c r="ROO65" s="5"/>
      <c r="ROP65" s="5"/>
      <c r="ROQ65" s="5"/>
      <c r="ROR65" s="5"/>
      <c r="ROS65" s="5"/>
      <c r="ROT65" s="5"/>
      <c r="ROU65" s="5"/>
      <c r="ROV65" s="5"/>
      <c r="ROW65" s="5"/>
      <c r="ROX65" s="5"/>
      <c r="ROY65" s="5"/>
      <c r="ROZ65" s="5"/>
      <c r="RPA65" s="5"/>
      <c r="RPB65" s="5"/>
      <c r="RPC65" s="5"/>
      <c r="RPD65" s="5"/>
      <c r="RPE65" s="5"/>
      <c r="RPF65" s="5"/>
      <c r="RPG65" s="5"/>
      <c r="RPH65" s="5"/>
      <c r="RPI65" s="5"/>
      <c r="RPJ65" s="5"/>
      <c r="RPK65" s="5"/>
      <c r="RPL65" s="5"/>
      <c r="RPM65" s="5"/>
      <c r="RPN65" s="5"/>
      <c r="RPO65" s="5"/>
      <c r="RPP65" s="5"/>
      <c r="RPQ65" s="5"/>
      <c r="RPR65" s="5"/>
      <c r="RPS65" s="5"/>
      <c r="RPT65" s="5"/>
      <c r="RPU65" s="5"/>
      <c r="RPV65" s="5"/>
      <c r="RPW65" s="5"/>
      <c r="RPX65" s="5"/>
      <c r="RPY65" s="5"/>
      <c r="RPZ65" s="5"/>
      <c r="RQA65" s="5"/>
      <c r="RQB65" s="5"/>
      <c r="RQC65" s="5"/>
      <c r="RQD65" s="5"/>
      <c r="RQE65" s="5"/>
      <c r="RQF65" s="5"/>
      <c r="RQG65" s="5"/>
      <c r="RQH65" s="5"/>
      <c r="RQI65" s="5"/>
      <c r="RQJ65" s="5"/>
      <c r="RQK65" s="5"/>
      <c r="RQL65" s="5"/>
      <c r="RQM65" s="5"/>
      <c r="RQN65" s="5"/>
      <c r="RQO65" s="5"/>
      <c r="RQP65" s="5"/>
      <c r="RQQ65" s="5"/>
      <c r="RQR65" s="5"/>
      <c r="RQS65" s="5"/>
      <c r="RQT65" s="5"/>
      <c r="RQU65" s="5"/>
      <c r="RQV65" s="5"/>
      <c r="RQW65" s="5"/>
      <c r="RQX65" s="5"/>
      <c r="RQY65" s="5"/>
      <c r="RQZ65" s="5"/>
      <c r="RRA65" s="5"/>
      <c r="RRB65" s="5"/>
      <c r="RRC65" s="5"/>
      <c r="RRD65" s="5"/>
      <c r="RRE65" s="5"/>
      <c r="RRF65" s="5"/>
      <c r="RRG65" s="5"/>
      <c r="RRH65" s="5"/>
      <c r="RRI65" s="5"/>
      <c r="RRJ65" s="5"/>
      <c r="RRK65" s="5"/>
      <c r="RRL65" s="5"/>
      <c r="RRM65" s="5"/>
      <c r="RRN65" s="5"/>
      <c r="RRO65" s="5"/>
      <c r="RRP65" s="5"/>
      <c r="RRQ65" s="5"/>
      <c r="RRR65" s="5"/>
      <c r="RRS65" s="5"/>
      <c r="RRT65" s="5"/>
      <c r="RRU65" s="5"/>
      <c r="RRV65" s="5"/>
      <c r="RRW65" s="5"/>
      <c r="RRX65" s="5"/>
      <c r="RRY65" s="5"/>
      <c r="RRZ65" s="5"/>
      <c r="RSA65" s="5"/>
      <c r="RSB65" s="5"/>
      <c r="RSC65" s="5"/>
      <c r="RSD65" s="5"/>
      <c r="RSE65" s="5"/>
      <c r="RSF65" s="5"/>
      <c r="RSG65" s="5"/>
      <c r="RSH65" s="5"/>
      <c r="RSI65" s="5"/>
      <c r="RSJ65" s="5"/>
      <c r="RSK65" s="5"/>
      <c r="RSL65" s="5"/>
      <c r="RSM65" s="5"/>
      <c r="RSN65" s="5"/>
      <c r="RSO65" s="5"/>
      <c r="RSP65" s="5"/>
      <c r="RSQ65" s="5"/>
      <c r="RSR65" s="5"/>
      <c r="RSS65" s="5"/>
      <c r="RST65" s="5"/>
      <c r="RSU65" s="5"/>
      <c r="RSV65" s="5"/>
      <c r="RSW65" s="5"/>
      <c r="RSX65" s="5"/>
      <c r="RSY65" s="5"/>
      <c r="RSZ65" s="5"/>
      <c r="RTA65" s="5"/>
      <c r="RTB65" s="5"/>
      <c r="RTC65" s="5"/>
      <c r="RTD65" s="5"/>
      <c r="RTE65" s="5"/>
      <c r="RTF65" s="5"/>
      <c r="RTG65" s="5"/>
      <c r="RTH65" s="5"/>
      <c r="RTI65" s="5"/>
      <c r="RTJ65" s="5"/>
      <c r="RTK65" s="5"/>
      <c r="RTL65" s="5"/>
      <c r="RTM65" s="5"/>
      <c r="RTN65" s="5"/>
      <c r="RTO65" s="5"/>
      <c r="RTP65" s="5"/>
      <c r="RTQ65" s="5"/>
      <c r="RTR65" s="5"/>
      <c r="RTS65" s="5"/>
      <c r="RTT65" s="5"/>
      <c r="RTU65" s="5"/>
      <c r="RTV65" s="5"/>
      <c r="RTW65" s="5"/>
      <c r="RTX65" s="5"/>
      <c r="RTY65" s="5"/>
      <c r="RTZ65" s="5"/>
      <c r="RUA65" s="5"/>
      <c r="RUB65" s="5"/>
      <c r="RUC65" s="5"/>
      <c r="RUD65" s="5"/>
      <c r="RUE65" s="5"/>
      <c r="RUF65" s="5"/>
      <c r="RUG65" s="5"/>
      <c r="RUH65" s="5"/>
      <c r="RUI65" s="5"/>
      <c r="RUJ65" s="5"/>
      <c r="RUK65" s="5"/>
      <c r="RUL65" s="5"/>
      <c r="RUM65" s="5"/>
      <c r="RUN65" s="5"/>
      <c r="RUO65" s="5"/>
      <c r="RUP65" s="5"/>
      <c r="RUQ65" s="5"/>
      <c r="RUR65" s="5"/>
      <c r="RUS65" s="5"/>
      <c r="RUT65" s="5"/>
      <c r="RUU65" s="5"/>
      <c r="RUV65" s="5"/>
      <c r="RUW65" s="5"/>
      <c r="RUX65" s="5"/>
      <c r="RUY65" s="5"/>
      <c r="RUZ65" s="5"/>
      <c r="RVA65" s="5"/>
      <c r="RVB65" s="5"/>
      <c r="RVC65" s="5"/>
      <c r="RVD65" s="5"/>
      <c r="RVE65" s="5"/>
      <c r="RVF65" s="5"/>
      <c r="RVG65" s="5"/>
      <c r="RVH65" s="5"/>
      <c r="RVI65" s="5"/>
      <c r="RVJ65" s="5"/>
      <c r="RVK65" s="5"/>
      <c r="RVL65" s="5"/>
      <c r="RVM65" s="5"/>
      <c r="RVN65" s="5"/>
      <c r="RVO65" s="5"/>
      <c r="RVP65" s="5"/>
      <c r="RVQ65" s="5"/>
      <c r="RVR65" s="5"/>
      <c r="RVS65" s="5"/>
      <c r="RVT65" s="5"/>
      <c r="RVU65" s="5"/>
      <c r="RVV65" s="5"/>
      <c r="RVW65" s="5"/>
      <c r="RVX65" s="5"/>
      <c r="RVY65" s="5"/>
      <c r="RVZ65" s="5"/>
      <c r="RWA65" s="5"/>
      <c r="RWB65" s="5"/>
      <c r="RWC65" s="5"/>
      <c r="RWD65" s="5"/>
      <c r="RWE65" s="5"/>
      <c r="RWF65" s="5"/>
      <c r="RWG65" s="5"/>
      <c r="RWH65" s="5"/>
      <c r="RWI65" s="5"/>
      <c r="RWJ65" s="5"/>
      <c r="RWK65" s="5"/>
      <c r="RWL65" s="5"/>
      <c r="RWM65" s="5"/>
      <c r="RWN65" s="5"/>
      <c r="RWO65" s="5"/>
      <c r="RWP65" s="5"/>
      <c r="RWQ65" s="5"/>
      <c r="RWR65" s="5"/>
      <c r="RWS65" s="5"/>
      <c r="RWT65" s="5"/>
      <c r="RWU65" s="5"/>
      <c r="RWV65" s="5"/>
      <c r="RWW65" s="5"/>
      <c r="RWX65" s="5"/>
      <c r="RWY65" s="5"/>
      <c r="RWZ65" s="5"/>
      <c r="RXA65" s="5"/>
      <c r="RXB65" s="5"/>
      <c r="RXC65" s="5"/>
      <c r="RXD65" s="5"/>
      <c r="RXE65" s="5"/>
      <c r="RXF65" s="5"/>
      <c r="RXG65" s="5"/>
      <c r="RXH65" s="5"/>
      <c r="RXI65" s="5"/>
      <c r="RXJ65" s="5"/>
      <c r="RXK65" s="5"/>
      <c r="RXL65" s="5"/>
      <c r="RXM65" s="5"/>
      <c r="RXN65" s="5"/>
      <c r="RXO65" s="5"/>
      <c r="RXP65" s="5"/>
      <c r="RXQ65" s="5"/>
      <c r="RXR65" s="5"/>
      <c r="RXS65" s="5"/>
      <c r="RXT65" s="5"/>
      <c r="RXU65" s="5"/>
      <c r="RXV65" s="5"/>
      <c r="RXW65" s="5"/>
      <c r="RXX65" s="5"/>
      <c r="RXY65" s="5"/>
      <c r="RXZ65" s="5"/>
      <c r="RYA65" s="5"/>
      <c r="RYB65" s="5"/>
      <c r="RYC65" s="5"/>
      <c r="RYD65" s="5"/>
      <c r="RYE65" s="5"/>
      <c r="RYF65" s="5"/>
      <c r="RYG65" s="5"/>
      <c r="RYH65" s="5"/>
      <c r="RYI65" s="5"/>
      <c r="RYJ65" s="5"/>
      <c r="RYK65" s="5"/>
      <c r="RYL65" s="5"/>
      <c r="RYM65" s="5"/>
      <c r="RYN65" s="5"/>
      <c r="RYO65" s="5"/>
      <c r="RYP65" s="5"/>
      <c r="RYQ65" s="5"/>
      <c r="RYR65" s="5"/>
      <c r="RYS65" s="5"/>
      <c r="RYT65" s="5"/>
      <c r="RYU65" s="5"/>
      <c r="RYV65" s="5"/>
      <c r="RYW65" s="5"/>
      <c r="RYX65" s="5"/>
      <c r="RYY65" s="5"/>
      <c r="RYZ65" s="5"/>
      <c r="RZA65" s="5"/>
      <c r="RZB65" s="5"/>
      <c r="RZC65" s="5"/>
      <c r="RZD65" s="5"/>
      <c r="RZE65" s="5"/>
      <c r="RZF65" s="5"/>
      <c r="RZG65" s="5"/>
      <c r="RZH65" s="5"/>
      <c r="RZI65" s="5"/>
      <c r="RZJ65" s="5"/>
      <c r="RZK65" s="5"/>
      <c r="RZL65" s="5"/>
      <c r="RZM65" s="5"/>
      <c r="RZN65" s="5"/>
      <c r="RZO65" s="5"/>
      <c r="RZP65" s="5"/>
      <c r="RZQ65" s="5"/>
      <c r="RZR65" s="5"/>
      <c r="RZS65" s="5"/>
      <c r="RZT65" s="5"/>
      <c r="RZU65" s="5"/>
      <c r="RZV65" s="5"/>
      <c r="RZW65" s="5"/>
      <c r="RZX65" s="5"/>
      <c r="RZY65" s="5"/>
      <c r="RZZ65" s="5"/>
      <c r="SAA65" s="5"/>
      <c r="SAB65" s="5"/>
      <c r="SAC65" s="5"/>
      <c r="SAD65" s="5"/>
      <c r="SAE65" s="5"/>
      <c r="SAF65" s="5"/>
      <c r="SAG65" s="5"/>
      <c r="SAH65" s="5"/>
      <c r="SAI65" s="5"/>
      <c r="SAJ65" s="5"/>
      <c r="SAK65" s="5"/>
      <c r="SAL65" s="5"/>
      <c r="SAM65" s="5"/>
      <c r="SAN65" s="5"/>
      <c r="SAO65" s="5"/>
      <c r="SAP65" s="5"/>
      <c r="SAQ65" s="5"/>
      <c r="SAR65" s="5"/>
      <c r="SAS65" s="5"/>
      <c r="SAT65" s="5"/>
      <c r="SAU65" s="5"/>
      <c r="SAV65" s="5"/>
      <c r="SAW65" s="5"/>
      <c r="SAX65" s="5"/>
      <c r="SAY65" s="5"/>
      <c r="SAZ65" s="5"/>
      <c r="SBA65" s="5"/>
      <c r="SBB65" s="5"/>
      <c r="SBC65" s="5"/>
      <c r="SBD65" s="5"/>
      <c r="SBE65" s="5"/>
      <c r="SBF65" s="5"/>
      <c r="SBG65" s="5"/>
      <c r="SBH65" s="5"/>
      <c r="SBI65" s="5"/>
      <c r="SBJ65" s="5"/>
      <c r="SBK65" s="5"/>
      <c r="SBL65" s="5"/>
      <c r="SBM65" s="5"/>
      <c r="SBN65" s="5"/>
      <c r="SBO65" s="5"/>
      <c r="SBP65" s="5"/>
      <c r="SBQ65" s="5"/>
      <c r="SBR65" s="5"/>
      <c r="SBS65" s="5"/>
      <c r="SBT65" s="5"/>
      <c r="SBU65" s="5"/>
      <c r="SBV65" s="5"/>
      <c r="SBW65" s="5"/>
      <c r="SBX65" s="5"/>
      <c r="SBY65" s="5"/>
      <c r="SBZ65" s="5"/>
      <c r="SCA65" s="5"/>
      <c r="SCB65" s="5"/>
      <c r="SCC65" s="5"/>
      <c r="SCD65" s="5"/>
      <c r="SCE65" s="5"/>
      <c r="SCF65" s="5"/>
      <c r="SCG65" s="5"/>
      <c r="SCH65" s="5"/>
      <c r="SCI65" s="5"/>
      <c r="SCJ65" s="5"/>
      <c r="SCK65" s="5"/>
      <c r="SCL65" s="5"/>
      <c r="SCM65" s="5"/>
      <c r="SCN65" s="5"/>
      <c r="SCO65" s="5"/>
      <c r="SCP65" s="5"/>
      <c r="SCQ65" s="5"/>
      <c r="SCR65" s="5"/>
      <c r="SCS65" s="5"/>
      <c r="SCT65" s="5"/>
      <c r="SCU65" s="5"/>
      <c r="SCV65" s="5"/>
      <c r="SCW65" s="5"/>
      <c r="SCX65" s="5"/>
      <c r="SCY65" s="5"/>
      <c r="SCZ65" s="5"/>
      <c r="SDA65" s="5"/>
      <c r="SDB65" s="5"/>
      <c r="SDC65" s="5"/>
      <c r="SDD65" s="5"/>
      <c r="SDE65" s="5"/>
      <c r="SDF65" s="5"/>
      <c r="SDG65" s="5"/>
      <c r="SDH65" s="5"/>
      <c r="SDI65" s="5"/>
      <c r="SDJ65" s="5"/>
      <c r="SDK65" s="5"/>
      <c r="SDL65" s="5"/>
      <c r="SDM65" s="5"/>
      <c r="SDN65" s="5"/>
      <c r="SDO65" s="5"/>
      <c r="SDP65" s="5"/>
      <c r="SDQ65" s="5"/>
      <c r="SDR65" s="5"/>
      <c r="SDS65" s="5"/>
      <c r="SDT65" s="5"/>
      <c r="SDU65" s="5"/>
      <c r="SDV65" s="5"/>
      <c r="SDW65" s="5"/>
      <c r="SDX65" s="5"/>
      <c r="SDY65" s="5"/>
      <c r="SDZ65" s="5"/>
      <c r="SEA65" s="5"/>
      <c r="SEB65" s="5"/>
      <c r="SEC65" s="5"/>
      <c r="SED65" s="5"/>
      <c r="SEE65" s="5"/>
      <c r="SEF65" s="5"/>
      <c r="SEG65" s="5"/>
      <c r="SEH65" s="5"/>
      <c r="SEI65" s="5"/>
      <c r="SEJ65" s="5"/>
      <c r="SEK65" s="5"/>
      <c r="SEL65" s="5"/>
      <c r="SEM65" s="5"/>
      <c r="SEN65" s="5"/>
      <c r="SEO65" s="5"/>
      <c r="SEP65" s="5"/>
      <c r="SEQ65" s="5"/>
      <c r="SER65" s="5"/>
      <c r="SES65" s="5"/>
      <c r="SET65" s="5"/>
      <c r="SEU65" s="5"/>
      <c r="SEV65" s="5"/>
      <c r="SEW65" s="5"/>
      <c r="SEX65" s="5"/>
      <c r="SEY65" s="5"/>
      <c r="SEZ65" s="5"/>
      <c r="SFA65" s="5"/>
      <c r="SFB65" s="5"/>
      <c r="SFC65" s="5"/>
      <c r="SFD65" s="5"/>
      <c r="SFE65" s="5"/>
      <c r="SFF65" s="5"/>
      <c r="SFG65" s="5"/>
      <c r="SFH65" s="5"/>
      <c r="SFI65" s="5"/>
      <c r="SFJ65" s="5"/>
      <c r="SFK65" s="5"/>
      <c r="SFL65" s="5"/>
      <c r="SFM65" s="5"/>
      <c r="SFN65" s="5"/>
      <c r="SFO65" s="5"/>
      <c r="SFP65" s="5"/>
      <c r="SFQ65" s="5"/>
      <c r="SFR65" s="5"/>
      <c r="SFS65" s="5"/>
      <c r="SFT65" s="5"/>
      <c r="SFU65" s="5"/>
      <c r="SFV65" s="5"/>
      <c r="SFW65" s="5"/>
      <c r="SFX65" s="5"/>
      <c r="SFY65" s="5"/>
      <c r="SFZ65" s="5"/>
      <c r="SGA65" s="5"/>
      <c r="SGB65" s="5"/>
      <c r="SGC65" s="5"/>
      <c r="SGD65" s="5"/>
      <c r="SGE65" s="5"/>
      <c r="SGF65" s="5"/>
      <c r="SGG65" s="5"/>
      <c r="SGH65" s="5"/>
      <c r="SGI65" s="5"/>
      <c r="SGJ65" s="5"/>
      <c r="SGK65" s="5"/>
      <c r="SGL65" s="5"/>
      <c r="SGM65" s="5"/>
      <c r="SGN65" s="5"/>
      <c r="SGO65" s="5"/>
      <c r="SGP65" s="5"/>
      <c r="SGQ65" s="5"/>
      <c r="SGR65" s="5"/>
      <c r="SGS65" s="5"/>
      <c r="SGT65" s="5"/>
      <c r="SGU65" s="5"/>
      <c r="SGV65" s="5"/>
      <c r="SGW65" s="5"/>
      <c r="SGX65" s="5"/>
      <c r="SGY65" s="5"/>
      <c r="SGZ65" s="5"/>
      <c r="SHA65" s="5"/>
      <c r="SHB65" s="5"/>
      <c r="SHC65" s="5"/>
      <c r="SHD65" s="5"/>
      <c r="SHE65" s="5"/>
      <c r="SHF65" s="5"/>
      <c r="SHG65" s="5"/>
      <c r="SHH65" s="5"/>
      <c r="SHI65" s="5"/>
      <c r="SHJ65" s="5"/>
      <c r="SHK65" s="5"/>
      <c r="SHL65" s="5"/>
      <c r="SHM65" s="5"/>
      <c r="SHN65" s="5"/>
      <c r="SHO65" s="5"/>
      <c r="SHP65" s="5"/>
      <c r="SHQ65" s="5"/>
      <c r="SHR65" s="5"/>
      <c r="SHS65" s="5"/>
      <c r="SHT65" s="5"/>
      <c r="SHU65" s="5"/>
      <c r="SHV65" s="5"/>
      <c r="SHW65" s="5"/>
      <c r="SHX65" s="5"/>
      <c r="SHY65" s="5"/>
      <c r="SHZ65" s="5"/>
      <c r="SIA65" s="5"/>
      <c r="SIB65" s="5"/>
      <c r="SIC65" s="5"/>
      <c r="SID65" s="5"/>
      <c r="SIE65" s="5"/>
      <c r="SIF65" s="5"/>
      <c r="SIG65" s="5"/>
      <c r="SIH65" s="5"/>
      <c r="SII65" s="5"/>
      <c r="SIJ65" s="5"/>
      <c r="SIK65" s="5"/>
      <c r="SIL65" s="5"/>
      <c r="SIM65" s="5"/>
      <c r="SIN65" s="5"/>
      <c r="SIO65" s="5"/>
      <c r="SIP65" s="5"/>
      <c r="SIQ65" s="5"/>
      <c r="SIR65" s="5"/>
      <c r="SIS65" s="5"/>
      <c r="SIT65" s="5"/>
      <c r="SIU65" s="5"/>
      <c r="SIV65" s="5"/>
      <c r="SIW65" s="5"/>
      <c r="SIX65" s="5"/>
      <c r="SIY65" s="5"/>
      <c r="SIZ65" s="5"/>
      <c r="SJA65" s="5"/>
      <c r="SJB65" s="5"/>
      <c r="SJC65" s="5"/>
      <c r="SJD65" s="5"/>
      <c r="SJE65" s="5"/>
      <c r="SJF65" s="5"/>
      <c r="SJG65" s="5"/>
      <c r="SJH65" s="5"/>
      <c r="SJI65" s="5"/>
      <c r="SJJ65" s="5"/>
      <c r="SJK65" s="5"/>
      <c r="SJL65" s="5"/>
      <c r="SJM65" s="5"/>
      <c r="SJN65" s="5"/>
      <c r="SJO65" s="5"/>
      <c r="SJP65" s="5"/>
      <c r="SJQ65" s="5"/>
      <c r="SJR65" s="5"/>
      <c r="SJS65" s="5"/>
      <c r="SJT65" s="5"/>
      <c r="SJU65" s="5"/>
      <c r="SJV65" s="5"/>
      <c r="SJW65" s="5"/>
      <c r="SJX65" s="5"/>
      <c r="SJY65" s="5"/>
      <c r="SJZ65" s="5"/>
      <c r="SKA65" s="5"/>
      <c r="SKB65" s="5"/>
      <c r="SKC65" s="5"/>
      <c r="SKD65" s="5"/>
      <c r="SKE65" s="5"/>
      <c r="SKF65" s="5"/>
      <c r="SKG65" s="5"/>
      <c r="SKH65" s="5"/>
      <c r="SKI65" s="5"/>
      <c r="SKJ65" s="5"/>
      <c r="SKK65" s="5"/>
      <c r="SKL65" s="5"/>
      <c r="SKM65" s="5"/>
      <c r="SKN65" s="5"/>
      <c r="SKO65" s="5"/>
      <c r="SKP65" s="5"/>
      <c r="SKQ65" s="5"/>
      <c r="SKR65" s="5"/>
      <c r="SKS65" s="5"/>
      <c r="SKT65" s="5"/>
      <c r="SKU65" s="5"/>
      <c r="SKV65" s="5"/>
      <c r="SKW65" s="5"/>
      <c r="SKX65" s="5"/>
      <c r="SKY65" s="5"/>
      <c r="SKZ65" s="5"/>
      <c r="SLA65" s="5"/>
      <c r="SLB65" s="5"/>
      <c r="SLC65" s="5"/>
      <c r="SLD65" s="5"/>
      <c r="SLE65" s="5"/>
      <c r="SLF65" s="5"/>
      <c r="SLG65" s="5"/>
      <c r="SLH65" s="5"/>
      <c r="SLI65" s="5"/>
      <c r="SLJ65" s="5"/>
      <c r="SLK65" s="5"/>
      <c r="SLL65" s="5"/>
      <c r="SLM65" s="5"/>
      <c r="SLN65" s="5"/>
      <c r="SLO65" s="5"/>
      <c r="SLP65" s="5"/>
      <c r="SLQ65" s="5"/>
      <c r="SLR65" s="5"/>
      <c r="SLS65" s="5"/>
      <c r="SLT65" s="5"/>
      <c r="SLU65" s="5"/>
      <c r="SLV65" s="5"/>
      <c r="SLW65" s="5"/>
      <c r="SLX65" s="5"/>
      <c r="SLY65" s="5"/>
      <c r="SLZ65" s="5"/>
      <c r="SMA65" s="5"/>
      <c r="SMB65" s="5"/>
      <c r="SMC65" s="5"/>
      <c r="SMD65" s="5"/>
      <c r="SME65" s="5"/>
      <c r="SMF65" s="5"/>
      <c r="SMG65" s="5"/>
      <c r="SMH65" s="5"/>
      <c r="SMI65" s="5"/>
      <c r="SMJ65" s="5"/>
      <c r="SMK65" s="5"/>
      <c r="SML65" s="5"/>
      <c r="SMM65" s="5"/>
      <c r="SMN65" s="5"/>
      <c r="SMO65" s="5"/>
      <c r="SMP65" s="5"/>
      <c r="SMQ65" s="5"/>
      <c r="SMR65" s="5"/>
      <c r="SMS65" s="5"/>
      <c r="SMT65" s="5"/>
      <c r="SMU65" s="5"/>
      <c r="SMV65" s="5"/>
      <c r="SMW65" s="5"/>
      <c r="SMX65" s="5"/>
      <c r="SMY65" s="5"/>
      <c r="SMZ65" s="5"/>
      <c r="SNA65" s="5"/>
      <c r="SNB65" s="5"/>
      <c r="SNC65" s="5"/>
      <c r="SND65" s="5"/>
      <c r="SNE65" s="5"/>
      <c r="SNF65" s="5"/>
      <c r="SNG65" s="5"/>
      <c r="SNH65" s="5"/>
      <c r="SNI65" s="5"/>
      <c r="SNJ65" s="5"/>
      <c r="SNK65" s="5"/>
      <c r="SNL65" s="5"/>
      <c r="SNM65" s="5"/>
      <c r="SNN65" s="5"/>
      <c r="SNO65" s="5"/>
      <c r="SNP65" s="5"/>
      <c r="SNQ65" s="5"/>
      <c r="SNR65" s="5"/>
      <c r="SNS65" s="5"/>
      <c r="SNT65" s="5"/>
      <c r="SNU65" s="5"/>
      <c r="SNV65" s="5"/>
      <c r="SNW65" s="5"/>
      <c r="SNX65" s="5"/>
      <c r="SNY65" s="5"/>
      <c r="SNZ65" s="5"/>
      <c r="SOA65" s="5"/>
      <c r="SOB65" s="5"/>
      <c r="SOC65" s="5"/>
      <c r="SOD65" s="5"/>
      <c r="SOE65" s="5"/>
      <c r="SOF65" s="5"/>
      <c r="SOG65" s="5"/>
      <c r="SOH65" s="5"/>
      <c r="SOI65" s="5"/>
      <c r="SOJ65" s="5"/>
      <c r="SOK65" s="5"/>
      <c r="SOL65" s="5"/>
      <c r="SOM65" s="5"/>
      <c r="SON65" s="5"/>
      <c r="SOO65" s="5"/>
      <c r="SOP65" s="5"/>
      <c r="SOQ65" s="5"/>
      <c r="SOR65" s="5"/>
      <c r="SOS65" s="5"/>
      <c r="SOT65" s="5"/>
      <c r="SOU65" s="5"/>
      <c r="SOV65" s="5"/>
      <c r="SOW65" s="5"/>
      <c r="SOX65" s="5"/>
      <c r="SOY65" s="5"/>
      <c r="SOZ65" s="5"/>
      <c r="SPA65" s="5"/>
      <c r="SPB65" s="5"/>
      <c r="SPC65" s="5"/>
      <c r="SPD65" s="5"/>
      <c r="SPE65" s="5"/>
      <c r="SPF65" s="5"/>
      <c r="SPG65" s="5"/>
      <c r="SPH65" s="5"/>
      <c r="SPI65" s="5"/>
      <c r="SPJ65" s="5"/>
      <c r="SPK65" s="5"/>
      <c r="SPL65" s="5"/>
      <c r="SPM65" s="5"/>
      <c r="SPN65" s="5"/>
      <c r="SPO65" s="5"/>
      <c r="SPP65" s="5"/>
      <c r="SPQ65" s="5"/>
      <c r="SPR65" s="5"/>
      <c r="SPS65" s="5"/>
      <c r="SPT65" s="5"/>
      <c r="SPU65" s="5"/>
      <c r="SPV65" s="5"/>
      <c r="SPW65" s="5"/>
      <c r="SPX65" s="5"/>
      <c r="SPY65" s="5"/>
      <c r="SPZ65" s="5"/>
      <c r="SQA65" s="5"/>
      <c r="SQB65" s="5"/>
      <c r="SQC65" s="5"/>
      <c r="SQD65" s="5"/>
      <c r="SQE65" s="5"/>
      <c r="SQF65" s="5"/>
      <c r="SQG65" s="5"/>
      <c r="SQH65" s="5"/>
      <c r="SQI65" s="5"/>
      <c r="SQJ65" s="5"/>
      <c r="SQK65" s="5"/>
      <c r="SQL65" s="5"/>
      <c r="SQM65" s="5"/>
      <c r="SQN65" s="5"/>
      <c r="SQO65" s="5"/>
      <c r="SQP65" s="5"/>
      <c r="SQQ65" s="5"/>
      <c r="SQR65" s="5"/>
      <c r="SQS65" s="5"/>
      <c r="SQT65" s="5"/>
      <c r="SQU65" s="5"/>
      <c r="SQV65" s="5"/>
      <c r="SQW65" s="5"/>
      <c r="SQX65" s="5"/>
      <c r="SQY65" s="5"/>
      <c r="SQZ65" s="5"/>
      <c r="SRA65" s="5"/>
      <c r="SRB65" s="5"/>
      <c r="SRC65" s="5"/>
      <c r="SRD65" s="5"/>
      <c r="SRE65" s="5"/>
      <c r="SRF65" s="5"/>
      <c r="SRG65" s="5"/>
      <c r="SRH65" s="5"/>
      <c r="SRI65" s="5"/>
      <c r="SRJ65" s="5"/>
      <c r="SRK65" s="5"/>
      <c r="SRL65" s="5"/>
      <c r="SRM65" s="5"/>
      <c r="SRN65" s="5"/>
      <c r="SRO65" s="5"/>
      <c r="SRP65" s="5"/>
      <c r="SRQ65" s="5"/>
      <c r="SRR65" s="5"/>
      <c r="SRS65" s="5"/>
      <c r="SRT65" s="5"/>
      <c r="SRU65" s="5"/>
      <c r="SRV65" s="5"/>
      <c r="SRW65" s="5"/>
      <c r="SRX65" s="5"/>
      <c r="SRY65" s="5"/>
      <c r="SRZ65" s="5"/>
      <c r="SSA65" s="5"/>
      <c r="SSB65" s="5"/>
      <c r="SSC65" s="5"/>
      <c r="SSD65" s="5"/>
      <c r="SSE65" s="5"/>
      <c r="SSF65" s="5"/>
      <c r="SSG65" s="5"/>
      <c r="SSH65" s="5"/>
      <c r="SSI65" s="5"/>
      <c r="SSJ65" s="5"/>
      <c r="SSK65" s="5"/>
      <c r="SSL65" s="5"/>
      <c r="SSM65" s="5"/>
      <c r="SSN65" s="5"/>
      <c r="SSO65" s="5"/>
      <c r="SSP65" s="5"/>
      <c r="SSQ65" s="5"/>
      <c r="SSR65" s="5"/>
      <c r="SSS65" s="5"/>
      <c r="SST65" s="5"/>
      <c r="SSU65" s="5"/>
      <c r="SSV65" s="5"/>
      <c r="SSW65" s="5"/>
      <c r="SSX65" s="5"/>
      <c r="SSY65" s="5"/>
      <c r="SSZ65" s="5"/>
      <c r="STA65" s="5"/>
      <c r="STB65" s="5"/>
      <c r="STC65" s="5"/>
      <c r="STD65" s="5"/>
      <c r="STE65" s="5"/>
      <c r="STF65" s="5"/>
      <c r="STG65" s="5"/>
      <c r="STH65" s="5"/>
      <c r="STI65" s="5"/>
      <c r="STJ65" s="5"/>
      <c r="STK65" s="5"/>
      <c r="STL65" s="5"/>
      <c r="STM65" s="5"/>
      <c r="STN65" s="5"/>
      <c r="STO65" s="5"/>
      <c r="STP65" s="5"/>
      <c r="STQ65" s="5"/>
      <c r="STR65" s="5"/>
      <c r="STS65" s="5"/>
      <c r="STT65" s="5"/>
      <c r="STU65" s="5"/>
      <c r="STV65" s="5"/>
      <c r="STW65" s="5"/>
      <c r="STX65" s="5"/>
      <c r="STY65" s="5"/>
      <c r="STZ65" s="5"/>
      <c r="SUA65" s="5"/>
      <c r="SUB65" s="5"/>
      <c r="SUC65" s="5"/>
      <c r="SUD65" s="5"/>
      <c r="SUE65" s="5"/>
      <c r="SUF65" s="5"/>
      <c r="SUG65" s="5"/>
      <c r="SUH65" s="5"/>
      <c r="SUI65" s="5"/>
      <c r="SUJ65" s="5"/>
      <c r="SUK65" s="5"/>
      <c r="SUL65" s="5"/>
      <c r="SUM65" s="5"/>
      <c r="SUN65" s="5"/>
      <c r="SUO65" s="5"/>
      <c r="SUP65" s="5"/>
      <c r="SUQ65" s="5"/>
      <c r="SUR65" s="5"/>
      <c r="SUS65" s="5"/>
      <c r="SUT65" s="5"/>
      <c r="SUU65" s="5"/>
      <c r="SUV65" s="5"/>
      <c r="SUW65" s="5"/>
      <c r="SUX65" s="5"/>
      <c r="SUY65" s="5"/>
      <c r="SUZ65" s="5"/>
      <c r="SVA65" s="5"/>
      <c r="SVB65" s="5"/>
      <c r="SVC65" s="5"/>
      <c r="SVD65" s="5"/>
      <c r="SVE65" s="5"/>
      <c r="SVF65" s="5"/>
      <c r="SVG65" s="5"/>
      <c r="SVH65" s="5"/>
      <c r="SVI65" s="5"/>
      <c r="SVJ65" s="5"/>
      <c r="SVK65" s="5"/>
      <c r="SVL65" s="5"/>
      <c r="SVM65" s="5"/>
      <c r="SVN65" s="5"/>
      <c r="SVO65" s="5"/>
      <c r="SVP65" s="5"/>
      <c r="SVQ65" s="5"/>
      <c r="SVR65" s="5"/>
      <c r="SVS65" s="5"/>
      <c r="SVT65" s="5"/>
      <c r="SVU65" s="5"/>
      <c r="SVV65" s="5"/>
      <c r="SVW65" s="5"/>
      <c r="SVX65" s="5"/>
      <c r="SVY65" s="5"/>
      <c r="SVZ65" s="5"/>
      <c r="SWA65" s="5"/>
      <c r="SWB65" s="5"/>
      <c r="SWC65" s="5"/>
      <c r="SWD65" s="5"/>
      <c r="SWE65" s="5"/>
      <c r="SWF65" s="5"/>
      <c r="SWG65" s="5"/>
      <c r="SWH65" s="5"/>
      <c r="SWI65" s="5"/>
      <c r="SWJ65" s="5"/>
      <c r="SWK65" s="5"/>
      <c r="SWL65" s="5"/>
      <c r="SWM65" s="5"/>
      <c r="SWN65" s="5"/>
      <c r="SWO65" s="5"/>
      <c r="SWP65" s="5"/>
      <c r="SWQ65" s="5"/>
      <c r="SWR65" s="5"/>
      <c r="SWS65" s="5"/>
      <c r="SWT65" s="5"/>
      <c r="SWU65" s="5"/>
      <c r="SWV65" s="5"/>
      <c r="SWW65" s="5"/>
      <c r="SWX65" s="5"/>
      <c r="SWY65" s="5"/>
      <c r="SWZ65" s="5"/>
      <c r="SXA65" s="5"/>
      <c r="SXB65" s="5"/>
      <c r="SXC65" s="5"/>
      <c r="SXD65" s="5"/>
      <c r="SXE65" s="5"/>
      <c r="SXF65" s="5"/>
      <c r="SXG65" s="5"/>
      <c r="SXH65" s="5"/>
      <c r="SXI65" s="5"/>
      <c r="SXJ65" s="5"/>
      <c r="SXK65" s="5"/>
      <c r="SXL65" s="5"/>
      <c r="SXM65" s="5"/>
      <c r="SXN65" s="5"/>
      <c r="SXO65" s="5"/>
      <c r="SXP65" s="5"/>
      <c r="SXQ65" s="5"/>
      <c r="SXR65" s="5"/>
      <c r="SXS65" s="5"/>
      <c r="SXT65" s="5"/>
      <c r="SXU65" s="5"/>
      <c r="SXV65" s="5"/>
      <c r="SXW65" s="5"/>
      <c r="SXX65" s="5"/>
      <c r="SXY65" s="5"/>
      <c r="SXZ65" s="5"/>
      <c r="SYA65" s="5"/>
      <c r="SYB65" s="5"/>
      <c r="SYC65" s="5"/>
      <c r="SYD65" s="5"/>
      <c r="SYE65" s="5"/>
      <c r="SYF65" s="5"/>
      <c r="SYG65" s="5"/>
      <c r="SYH65" s="5"/>
      <c r="SYI65" s="5"/>
      <c r="SYJ65" s="5"/>
      <c r="SYK65" s="5"/>
      <c r="SYL65" s="5"/>
      <c r="SYM65" s="5"/>
      <c r="SYN65" s="5"/>
      <c r="SYO65" s="5"/>
      <c r="SYP65" s="5"/>
      <c r="SYQ65" s="5"/>
      <c r="SYR65" s="5"/>
      <c r="SYS65" s="5"/>
      <c r="SYT65" s="5"/>
      <c r="SYU65" s="5"/>
      <c r="SYV65" s="5"/>
      <c r="SYW65" s="5"/>
      <c r="SYX65" s="5"/>
      <c r="SYY65" s="5"/>
      <c r="SYZ65" s="5"/>
      <c r="SZA65" s="5"/>
      <c r="SZB65" s="5"/>
      <c r="SZC65" s="5"/>
      <c r="SZD65" s="5"/>
      <c r="SZE65" s="5"/>
      <c r="SZF65" s="5"/>
      <c r="SZG65" s="5"/>
      <c r="SZH65" s="5"/>
      <c r="SZI65" s="5"/>
      <c r="SZJ65" s="5"/>
      <c r="SZK65" s="5"/>
      <c r="SZL65" s="5"/>
      <c r="SZM65" s="5"/>
      <c r="SZN65" s="5"/>
      <c r="SZO65" s="5"/>
      <c r="SZP65" s="5"/>
      <c r="SZQ65" s="5"/>
      <c r="SZR65" s="5"/>
      <c r="SZS65" s="5"/>
      <c r="SZT65" s="5"/>
      <c r="SZU65" s="5"/>
      <c r="SZV65" s="5"/>
      <c r="SZW65" s="5"/>
      <c r="SZX65" s="5"/>
      <c r="SZY65" s="5"/>
      <c r="SZZ65" s="5"/>
      <c r="TAA65" s="5"/>
      <c r="TAB65" s="5"/>
      <c r="TAC65" s="5"/>
      <c r="TAD65" s="5"/>
      <c r="TAE65" s="5"/>
      <c r="TAF65" s="5"/>
      <c r="TAG65" s="5"/>
      <c r="TAH65" s="5"/>
      <c r="TAI65" s="5"/>
      <c r="TAJ65" s="5"/>
      <c r="TAK65" s="5"/>
      <c r="TAL65" s="5"/>
      <c r="TAM65" s="5"/>
      <c r="TAN65" s="5"/>
      <c r="TAO65" s="5"/>
      <c r="TAP65" s="5"/>
      <c r="TAQ65" s="5"/>
      <c r="TAR65" s="5"/>
      <c r="TAS65" s="5"/>
      <c r="TAT65" s="5"/>
      <c r="TAU65" s="5"/>
      <c r="TAV65" s="5"/>
      <c r="TAW65" s="5"/>
      <c r="TAX65" s="5"/>
      <c r="TAY65" s="5"/>
      <c r="TAZ65" s="5"/>
      <c r="TBA65" s="5"/>
      <c r="TBB65" s="5"/>
      <c r="TBC65" s="5"/>
      <c r="TBD65" s="5"/>
      <c r="TBE65" s="5"/>
      <c r="TBF65" s="5"/>
      <c r="TBG65" s="5"/>
      <c r="TBH65" s="5"/>
      <c r="TBI65" s="5"/>
      <c r="TBJ65" s="5"/>
      <c r="TBK65" s="5"/>
      <c r="TBL65" s="5"/>
      <c r="TBM65" s="5"/>
      <c r="TBN65" s="5"/>
      <c r="TBO65" s="5"/>
      <c r="TBP65" s="5"/>
      <c r="TBQ65" s="5"/>
      <c r="TBR65" s="5"/>
      <c r="TBS65" s="5"/>
      <c r="TBT65" s="5"/>
      <c r="TBU65" s="5"/>
      <c r="TBV65" s="5"/>
      <c r="TBW65" s="5"/>
      <c r="TBX65" s="5"/>
      <c r="TBY65" s="5"/>
      <c r="TBZ65" s="5"/>
      <c r="TCA65" s="5"/>
      <c r="TCB65" s="5"/>
      <c r="TCC65" s="5"/>
      <c r="TCD65" s="5"/>
      <c r="TCE65" s="5"/>
      <c r="TCF65" s="5"/>
      <c r="TCG65" s="5"/>
      <c r="TCH65" s="5"/>
      <c r="TCI65" s="5"/>
      <c r="TCJ65" s="5"/>
      <c r="TCK65" s="5"/>
      <c r="TCL65" s="5"/>
      <c r="TCM65" s="5"/>
      <c r="TCN65" s="5"/>
      <c r="TCO65" s="5"/>
      <c r="TCP65" s="5"/>
      <c r="TCQ65" s="5"/>
      <c r="TCR65" s="5"/>
      <c r="TCS65" s="5"/>
      <c r="TCT65" s="5"/>
      <c r="TCU65" s="5"/>
      <c r="TCV65" s="5"/>
      <c r="TCW65" s="5"/>
      <c r="TCX65" s="5"/>
      <c r="TCY65" s="5"/>
      <c r="TCZ65" s="5"/>
      <c r="TDA65" s="5"/>
      <c r="TDB65" s="5"/>
      <c r="TDC65" s="5"/>
      <c r="TDD65" s="5"/>
      <c r="TDE65" s="5"/>
      <c r="TDF65" s="5"/>
      <c r="TDG65" s="5"/>
      <c r="TDH65" s="5"/>
      <c r="TDI65" s="5"/>
      <c r="TDJ65" s="5"/>
      <c r="TDK65" s="5"/>
      <c r="TDL65" s="5"/>
      <c r="TDM65" s="5"/>
      <c r="TDN65" s="5"/>
      <c r="TDO65" s="5"/>
      <c r="TDP65" s="5"/>
      <c r="TDQ65" s="5"/>
      <c r="TDR65" s="5"/>
      <c r="TDS65" s="5"/>
      <c r="TDT65" s="5"/>
      <c r="TDU65" s="5"/>
      <c r="TDV65" s="5"/>
      <c r="TDW65" s="5"/>
      <c r="TDX65" s="5"/>
      <c r="TDY65" s="5"/>
      <c r="TDZ65" s="5"/>
      <c r="TEA65" s="5"/>
      <c r="TEB65" s="5"/>
      <c r="TEC65" s="5"/>
      <c r="TED65" s="5"/>
      <c r="TEE65" s="5"/>
      <c r="TEF65" s="5"/>
      <c r="TEG65" s="5"/>
      <c r="TEH65" s="5"/>
      <c r="TEI65" s="5"/>
      <c r="TEJ65" s="5"/>
      <c r="TEK65" s="5"/>
      <c r="TEL65" s="5"/>
      <c r="TEM65" s="5"/>
      <c r="TEN65" s="5"/>
      <c r="TEO65" s="5"/>
      <c r="TEP65" s="5"/>
      <c r="TEQ65" s="5"/>
      <c r="TER65" s="5"/>
      <c r="TES65" s="5"/>
      <c r="TET65" s="5"/>
      <c r="TEU65" s="5"/>
      <c r="TEV65" s="5"/>
      <c r="TEW65" s="5"/>
      <c r="TEX65" s="5"/>
      <c r="TEY65" s="5"/>
      <c r="TEZ65" s="5"/>
      <c r="TFA65" s="5"/>
      <c r="TFB65" s="5"/>
      <c r="TFC65" s="5"/>
      <c r="TFD65" s="5"/>
      <c r="TFE65" s="5"/>
      <c r="TFF65" s="5"/>
      <c r="TFG65" s="5"/>
      <c r="TFH65" s="5"/>
      <c r="TFI65" s="5"/>
      <c r="TFJ65" s="5"/>
      <c r="TFK65" s="5"/>
      <c r="TFL65" s="5"/>
      <c r="TFM65" s="5"/>
      <c r="TFN65" s="5"/>
      <c r="TFO65" s="5"/>
      <c r="TFP65" s="5"/>
      <c r="TFQ65" s="5"/>
      <c r="TFR65" s="5"/>
      <c r="TFS65" s="5"/>
      <c r="TFT65" s="5"/>
      <c r="TFU65" s="5"/>
      <c r="TFV65" s="5"/>
      <c r="TFW65" s="5"/>
      <c r="TFX65" s="5"/>
      <c r="TFY65" s="5"/>
      <c r="TFZ65" s="5"/>
      <c r="TGA65" s="5"/>
      <c r="TGB65" s="5"/>
      <c r="TGC65" s="5"/>
      <c r="TGD65" s="5"/>
      <c r="TGE65" s="5"/>
      <c r="TGF65" s="5"/>
      <c r="TGG65" s="5"/>
      <c r="TGH65" s="5"/>
      <c r="TGI65" s="5"/>
      <c r="TGJ65" s="5"/>
      <c r="TGK65" s="5"/>
      <c r="TGL65" s="5"/>
      <c r="TGM65" s="5"/>
      <c r="TGN65" s="5"/>
      <c r="TGO65" s="5"/>
      <c r="TGP65" s="5"/>
      <c r="TGQ65" s="5"/>
      <c r="TGR65" s="5"/>
      <c r="TGS65" s="5"/>
      <c r="TGT65" s="5"/>
      <c r="TGU65" s="5"/>
      <c r="TGV65" s="5"/>
      <c r="TGW65" s="5"/>
      <c r="TGX65" s="5"/>
      <c r="TGY65" s="5"/>
      <c r="TGZ65" s="5"/>
      <c r="THA65" s="5"/>
      <c r="THB65" s="5"/>
      <c r="THC65" s="5"/>
      <c r="THD65" s="5"/>
      <c r="THE65" s="5"/>
      <c r="THF65" s="5"/>
      <c r="THG65" s="5"/>
      <c r="THH65" s="5"/>
      <c r="THI65" s="5"/>
      <c r="THJ65" s="5"/>
      <c r="THK65" s="5"/>
      <c r="THL65" s="5"/>
      <c r="THM65" s="5"/>
      <c r="THN65" s="5"/>
      <c r="THO65" s="5"/>
      <c r="THP65" s="5"/>
      <c r="THQ65" s="5"/>
      <c r="THR65" s="5"/>
      <c r="THS65" s="5"/>
      <c r="THT65" s="5"/>
      <c r="THU65" s="5"/>
      <c r="THV65" s="5"/>
      <c r="THW65" s="5"/>
      <c r="THX65" s="5"/>
      <c r="THY65" s="5"/>
      <c r="THZ65" s="5"/>
      <c r="TIA65" s="5"/>
      <c r="TIB65" s="5"/>
      <c r="TIC65" s="5"/>
      <c r="TID65" s="5"/>
      <c r="TIE65" s="5"/>
      <c r="TIF65" s="5"/>
      <c r="TIG65" s="5"/>
      <c r="TIH65" s="5"/>
      <c r="TII65" s="5"/>
      <c r="TIJ65" s="5"/>
      <c r="TIK65" s="5"/>
      <c r="TIL65" s="5"/>
      <c r="TIM65" s="5"/>
      <c r="TIN65" s="5"/>
      <c r="TIO65" s="5"/>
      <c r="TIP65" s="5"/>
      <c r="TIQ65" s="5"/>
      <c r="TIR65" s="5"/>
      <c r="TIS65" s="5"/>
      <c r="TIT65" s="5"/>
      <c r="TIU65" s="5"/>
      <c r="TIV65" s="5"/>
      <c r="TIW65" s="5"/>
      <c r="TIX65" s="5"/>
      <c r="TIY65" s="5"/>
      <c r="TIZ65" s="5"/>
      <c r="TJA65" s="5"/>
      <c r="TJB65" s="5"/>
      <c r="TJC65" s="5"/>
      <c r="TJD65" s="5"/>
      <c r="TJE65" s="5"/>
      <c r="TJF65" s="5"/>
      <c r="TJG65" s="5"/>
      <c r="TJH65" s="5"/>
      <c r="TJI65" s="5"/>
      <c r="TJJ65" s="5"/>
      <c r="TJK65" s="5"/>
      <c r="TJL65" s="5"/>
      <c r="TJM65" s="5"/>
      <c r="TJN65" s="5"/>
      <c r="TJO65" s="5"/>
      <c r="TJP65" s="5"/>
      <c r="TJQ65" s="5"/>
      <c r="TJR65" s="5"/>
      <c r="TJS65" s="5"/>
      <c r="TJT65" s="5"/>
      <c r="TJU65" s="5"/>
      <c r="TJV65" s="5"/>
      <c r="TJW65" s="5"/>
      <c r="TJX65" s="5"/>
      <c r="TJY65" s="5"/>
      <c r="TJZ65" s="5"/>
      <c r="TKA65" s="5"/>
      <c r="TKB65" s="5"/>
      <c r="TKC65" s="5"/>
      <c r="TKD65" s="5"/>
      <c r="TKE65" s="5"/>
      <c r="TKF65" s="5"/>
      <c r="TKG65" s="5"/>
      <c r="TKH65" s="5"/>
      <c r="TKI65" s="5"/>
      <c r="TKJ65" s="5"/>
      <c r="TKK65" s="5"/>
      <c r="TKL65" s="5"/>
      <c r="TKM65" s="5"/>
      <c r="TKN65" s="5"/>
      <c r="TKO65" s="5"/>
      <c r="TKP65" s="5"/>
      <c r="TKQ65" s="5"/>
      <c r="TKR65" s="5"/>
      <c r="TKS65" s="5"/>
      <c r="TKT65" s="5"/>
      <c r="TKU65" s="5"/>
      <c r="TKV65" s="5"/>
      <c r="TKW65" s="5"/>
      <c r="TKX65" s="5"/>
      <c r="TKY65" s="5"/>
      <c r="TKZ65" s="5"/>
      <c r="TLA65" s="5"/>
      <c r="TLB65" s="5"/>
      <c r="TLC65" s="5"/>
      <c r="TLD65" s="5"/>
      <c r="TLE65" s="5"/>
      <c r="TLF65" s="5"/>
      <c r="TLG65" s="5"/>
      <c r="TLH65" s="5"/>
      <c r="TLI65" s="5"/>
      <c r="TLJ65" s="5"/>
      <c r="TLK65" s="5"/>
      <c r="TLL65" s="5"/>
      <c r="TLM65" s="5"/>
      <c r="TLN65" s="5"/>
      <c r="TLO65" s="5"/>
      <c r="TLP65" s="5"/>
      <c r="TLQ65" s="5"/>
      <c r="TLR65" s="5"/>
      <c r="TLS65" s="5"/>
      <c r="TLT65" s="5"/>
      <c r="TLU65" s="5"/>
      <c r="TLV65" s="5"/>
      <c r="TLW65" s="5"/>
      <c r="TLX65" s="5"/>
      <c r="TLY65" s="5"/>
      <c r="TLZ65" s="5"/>
      <c r="TMA65" s="5"/>
      <c r="TMB65" s="5"/>
      <c r="TMC65" s="5"/>
      <c r="TMD65" s="5"/>
      <c r="TME65" s="5"/>
      <c r="TMF65" s="5"/>
      <c r="TMG65" s="5"/>
      <c r="TMH65" s="5"/>
      <c r="TMI65" s="5"/>
      <c r="TMJ65" s="5"/>
      <c r="TMK65" s="5"/>
      <c r="TML65" s="5"/>
      <c r="TMM65" s="5"/>
      <c r="TMN65" s="5"/>
      <c r="TMO65" s="5"/>
      <c r="TMP65" s="5"/>
      <c r="TMQ65" s="5"/>
      <c r="TMR65" s="5"/>
      <c r="TMS65" s="5"/>
      <c r="TMT65" s="5"/>
      <c r="TMU65" s="5"/>
      <c r="TMV65" s="5"/>
      <c r="TMW65" s="5"/>
      <c r="TMX65" s="5"/>
      <c r="TMY65" s="5"/>
      <c r="TMZ65" s="5"/>
      <c r="TNA65" s="5"/>
      <c r="TNB65" s="5"/>
      <c r="TNC65" s="5"/>
      <c r="TND65" s="5"/>
      <c r="TNE65" s="5"/>
      <c r="TNF65" s="5"/>
      <c r="TNG65" s="5"/>
      <c r="TNH65" s="5"/>
      <c r="TNI65" s="5"/>
      <c r="TNJ65" s="5"/>
      <c r="TNK65" s="5"/>
      <c r="TNL65" s="5"/>
      <c r="TNM65" s="5"/>
      <c r="TNN65" s="5"/>
      <c r="TNO65" s="5"/>
      <c r="TNP65" s="5"/>
      <c r="TNQ65" s="5"/>
      <c r="TNR65" s="5"/>
      <c r="TNS65" s="5"/>
      <c r="TNT65" s="5"/>
      <c r="TNU65" s="5"/>
      <c r="TNV65" s="5"/>
      <c r="TNW65" s="5"/>
      <c r="TNX65" s="5"/>
      <c r="TNY65" s="5"/>
      <c r="TNZ65" s="5"/>
      <c r="TOA65" s="5"/>
      <c r="TOB65" s="5"/>
      <c r="TOC65" s="5"/>
      <c r="TOD65" s="5"/>
      <c r="TOE65" s="5"/>
      <c r="TOF65" s="5"/>
      <c r="TOG65" s="5"/>
      <c r="TOH65" s="5"/>
      <c r="TOI65" s="5"/>
      <c r="TOJ65" s="5"/>
      <c r="TOK65" s="5"/>
      <c r="TOL65" s="5"/>
      <c r="TOM65" s="5"/>
      <c r="TON65" s="5"/>
      <c r="TOO65" s="5"/>
      <c r="TOP65" s="5"/>
      <c r="TOQ65" s="5"/>
      <c r="TOR65" s="5"/>
      <c r="TOS65" s="5"/>
      <c r="TOT65" s="5"/>
      <c r="TOU65" s="5"/>
      <c r="TOV65" s="5"/>
      <c r="TOW65" s="5"/>
      <c r="TOX65" s="5"/>
      <c r="TOY65" s="5"/>
      <c r="TOZ65" s="5"/>
      <c r="TPA65" s="5"/>
      <c r="TPB65" s="5"/>
      <c r="TPC65" s="5"/>
      <c r="TPD65" s="5"/>
      <c r="TPE65" s="5"/>
      <c r="TPF65" s="5"/>
      <c r="TPG65" s="5"/>
      <c r="TPH65" s="5"/>
      <c r="TPI65" s="5"/>
      <c r="TPJ65" s="5"/>
      <c r="TPK65" s="5"/>
      <c r="TPL65" s="5"/>
      <c r="TPM65" s="5"/>
      <c r="TPN65" s="5"/>
      <c r="TPO65" s="5"/>
      <c r="TPP65" s="5"/>
      <c r="TPQ65" s="5"/>
      <c r="TPR65" s="5"/>
      <c r="TPS65" s="5"/>
      <c r="TPT65" s="5"/>
      <c r="TPU65" s="5"/>
      <c r="TPV65" s="5"/>
      <c r="TPW65" s="5"/>
      <c r="TPX65" s="5"/>
      <c r="TPY65" s="5"/>
      <c r="TPZ65" s="5"/>
      <c r="TQA65" s="5"/>
      <c r="TQB65" s="5"/>
      <c r="TQC65" s="5"/>
      <c r="TQD65" s="5"/>
      <c r="TQE65" s="5"/>
      <c r="TQF65" s="5"/>
      <c r="TQG65" s="5"/>
      <c r="TQH65" s="5"/>
      <c r="TQI65" s="5"/>
      <c r="TQJ65" s="5"/>
      <c r="TQK65" s="5"/>
      <c r="TQL65" s="5"/>
      <c r="TQM65" s="5"/>
      <c r="TQN65" s="5"/>
      <c r="TQO65" s="5"/>
      <c r="TQP65" s="5"/>
      <c r="TQQ65" s="5"/>
      <c r="TQR65" s="5"/>
      <c r="TQS65" s="5"/>
      <c r="TQT65" s="5"/>
      <c r="TQU65" s="5"/>
      <c r="TQV65" s="5"/>
      <c r="TQW65" s="5"/>
      <c r="TQX65" s="5"/>
      <c r="TQY65" s="5"/>
      <c r="TQZ65" s="5"/>
      <c r="TRA65" s="5"/>
      <c r="TRB65" s="5"/>
      <c r="TRC65" s="5"/>
      <c r="TRD65" s="5"/>
      <c r="TRE65" s="5"/>
      <c r="TRF65" s="5"/>
      <c r="TRG65" s="5"/>
      <c r="TRH65" s="5"/>
      <c r="TRI65" s="5"/>
      <c r="TRJ65" s="5"/>
      <c r="TRK65" s="5"/>
      <c r="TRL65" s="5"/>
      <c r="TRM65" s="5"/>
      <c r="TRN65" s="5"/>
      <c r="TRO65" s="5"/>
      <c r="TRP65" s="5"/>
      <c r="TRQ65" s="5"/>
      <c r="TRR65" s="5"/>
      <c r="TRS65" s="5"/>
      <c r="TRT65" s="5"/>
      <c r="TRU65" s="5"/>
      <c r="TRV65" s="5"/>
      <c r="TRW65" s="5"/>
      <c r="TRX65" s="5"/>
      <c r="TRY65" s="5"/>
      <c r="TRZ65" s="5"/>
      <c r="TSA65" s="5"/>
      <c r="TSB65" s="5"/>
      <c r="TSC65" s="5"/>
      <c r="TSD65" s="5"/>
      <c r="TSE65" s="5"/>
      <c r="TSF65" s="5"/>
      <c r="TSG65" s="5"/>
      <c r="TSH65" s="5"/>
      <c r="TSI65" s="5"/>
      <c r="TSJ65" s="5"/>
      <c r="TSK65" s="5"/>
      <c r="TSL65" s="5"/>
      <c r="TSM65" s="5"/>
      <c r="TSN65" s="5"/>
      <c r="TSO65" s="5"/>
      <c r="TSP65" s="5"/>
      <c r="TSQ65" s="5"/>
      <c r="TSR65" s="5"/>
      <c r="TSS65" s="5"/>
      <c r="TST65" s="5"/>
      <c r="TSU65" s="5"/>
      <c r="TSV65" s="5"/>
      <c r="TSW65" s="5"/>
      <c r="TSX65" s="5"/>
      <c r="TSY65" s="5"/>
      <c r="TSZ65" s="5"/>
      <c r="TTA65" s="5"/>
      <c r="TTB65" s="5"/>
      <c r="TTC65" s="5"/>
      <c r="TTD65" s="5"/>
      <c r="TTE65" s="5"/>
      <c r="TTF65" s="5"/>
      <c r="TTG65" s="5"/>
      <c r="TTH65" s="5"/>
      <c r="TTI65" s="5"/>
      <c r="TTJ65" s="5"/>
      <c r="TTK65" s="5"/>
      <c r="TTL65" s="5"/>
      <c r="TTM65" s="5"/>
      <c r="TTN65" s="5"/>
      <c r="TTO65" s="5"/>
      <c r="TTP65" s="5"/>
      <c r="TTQ65" s="5"/>
      <c r="TTR65" s="5"/>
      <c r="TTS65" s="5"/>
      <c r="TTT65" s="5"/>
      <c r="TTU65" s="5"/>
      <c r="TTV65" s="5"/>
      <c r="TTW65" s="5"/>
      <c r="TTX65" s="5"/>
      <c r="TTY65" s="5"/>
      <c r="TTZ65" s="5"/>
      <c r="TUA65" s="5"/>
      <c r="TUB65" s="5"/>
      <c r="TUC65" s="5"/>
      <c r="TUD65" s="5"/>
      <c r="TUE65" s="5"/>
      <c r="TUF65" s="5"/>
      <c r="TUG65" s="5"/>
      <c r="TUH65" s="5"/>
      <c r="TUI65" s="5"/>
      <c r="TUJ65" s="5"/>
      <c r="TUK65" s="5"/>
      <c r="TUL65" s="5"/>
      <c r="TUM65" s="5"/>
      <c r="TUN65" s="5"/>
      <c r="TUO65" s="5"/>
      <c r="TUP65" s="5"/>
      <c r="TUQ65" s="5"/>
      <c r="TUR65" s="5"/>
      <c r="TUS65" s="5"/>
      <c r="TUT65" s="5"/>
      <c r="TUU65" s="5"/>
      <c r="TUV65" s="5"/>
      <c r="TUW65" s="5"/>
      <c r="TUX65" s="5"/>
      <c r="TUY65" s="5"/>
      <c r="TUZ65" s="5"/>
      <c r="TVA65" s="5"/>
      <c r="TVB65" s="5"/>
      <c r="TVC65" s="5"/>
      <c r="TVD65" s="5"/>
      <c r="TVE65" s="5"/>
      <c r="TVF65" s="5"/>
      <c r="TVG65" s="5"/>
      <c r="TVH65" s="5"/>
      <c r="TVI65" s="5"/>
      <c r="TVJ65" s="5"/>
      <c r="TVK65" s="5"/>
      <c r="TVL65" s="5"/>
      <c r="TVM65" s="5"/>
      <c r="TVN65" s="5"/>
      <c r="TVO65" s="5"/>
      <c r="TVP65" s="5"/>
      <c r="TVQ65" s="5"/>
      <c r="TVR65" s="5"/>
      <c r="TVS65" s="5"/>
      <c r="TVT65" s="5"/>
      <c r="TVU65" s="5"/>
      <c r="TVV65" s="5"/>
      <c r="TVW65" s="5"/>
      <c r="TVX65" s="5"/>
      <c r="TVY65" s="5"/>
      <c r="TVZ65" s="5"/>
      <c r="TWA65" s="5"/>
      <c r="TWB65" s="5"/>
      <c r="TWC65" s="5"/>
      <c r="TWD65" s="5"/>
      <c r="TWE65" s="5"/>
      <c r="TWF65" s="5"/>
      <c r="TWG65" s="5"/>
      <c r="TWH65" s="5"/>
      <c r="TWI65" s="5"/>
      <c r="TWJ65" s="5"/>
      <c r="TWK65" s="5"/>
      <c r="TWL65" s="5"/>
      <c r="TWM65" s="5"/>
      <c r="TWN65" s="5"/>
      <c r="TWO65" s="5"/>
      <c r="TWP65" s="5"/>
      <c r="TWQ65" s="5"/>
      <c r="TWR65" s="5"/>
      <c r="TWS65" s="5"/>
      <c r="TWT65" s="5"/>
      <c r="TWU65" s="5"/>
      <c r="TWV65" s="5"/>
      <c r="TWW65" s="5"/>
      <c r="TWX65" s="5"/>
      <c r="TWY65" s="5"/>
      <c r="TWZ65" s="5"/>
      <c r="TXA65" s="5"/>
      <c r="TXB65" s="5"/>
      <c r="TXC65" s="5"/>
      <c r="TXD65" s="5"/>
      <c r="TXE65" s="5"/>
      <c r="TXF65" s="5"/>
      <c r="TXG65" s="5"/>
      <c r="TXH65" s="5"/>
      <c r="TXI65" s="5"/>
      <c r="TXJ65" s="5"/>
      <c r="TXK65" s="5"/>
      <c r="TXL65" s="5"/>
      <c r="TXM65" s="5"/>
      <c r="TXN65" s="5"/>
      <c r="TXO65" s="5"/>
      <c r="TXP65" s="5"/>
      <c r="TXQ65" s="5"/>
      <c r="TXR65" s="5"/>
      <c r="TXS65" s="5"/>
      <c r="TXT65" s="5"/>
      <c r="TXU65" s="5"/>
      <c r="TXV65" s="5"/>
      <c r="TXW65" s="5"/>
      <c r="TXX65" s="5"/>
      <c r="TXY65" s="5"/>
      <c r="TXZ65" s="5"/>
      <c r="TYA65" s="5"/>
      <c r="TYB65" s="5"/>
      <c r="TYC65" s="5"/>
      <c r="TYD65" s="5"/>
      <c r="TYE65" s="5"/>
      <c r="TYF65" s="5"/>
      <c r="TYG65" s="5"/>
      <c r="TYH65" s="5"/>
      <c r="TYI65" s="5"/>
      <c r="TYJ65" s="5"/>
      <c r="TYK65" s="5"/>
      <c r="TYL65" s="5"/>
      <c r="TYM65" s="5"/>
      <c r="TYN65" s="5"/>
      <c r="TYO65" s="5"/>
      <c r="TYP65" s="5"/>
      <c r="TYQ65" s="5"/>
      <c r="TYR65" s="5"/>
      <c r="TYS65" s="5"/>
      <c r="TYT65" s="5"/>
      <c r="TYU65" s="5"/>
      <c r="TYV65" s="5"/>
      <c r="TYW65" s="5"/>
      <c r="TYX65" s="5"/>
      <c r="TYY65" s="5"/>
      <c r="TYZ65" s="5"/>
      <c r="TZA65" s="5"/>
      <c r="TZB65" s="5"/>
      <c r="TZC65" s="5"/>
      <c r="TZD65" s="5"/>
      <c r="TZE65" s="5"/>
      <c r="TZF65" s="5"/>
      <c r="TZG65" s="5"/>
      <c r="TZH65" s="5"/>
      <c r="TZI65" s="5"/>
      <c r="TZJ65" s="5"/>
      <c r="TZK65" s="5"/>
      <c r="TZL65" s="5"/>
      <c r="TZM65" s="5"/>
      <c r="TZN65" s="5"/>
      <c r="TZO65" s="5"/>
      <c r="TZP65" s="5"/>
      <c r="TZQ65" s="5"/>
      <c r="TZR65" s="5"/>
      <c r="TZS65" s="5"/>
      <c r="TZT65" s="5"/>
      <c r="TZU65" s="5"/>
      <c r="TZV65" s="5"/>
      <c r="TZW65" s="5"/>
      <c r="TZX65" s="5"/>
      <c r="TZY65" s="5"/>
      <c r="TZZ65" s="5"/>
      <c r="UAA65" s="5"/>
      <c r="UAB65" s="5"/>
      <c r="UAC65" s="5"/>
      <c r="UAD65" s="5"/>
      <c r="UAE65" s="5"/>
      <c r="UAF65" s="5"/>
      <c r="UAG65" s="5"/>
      <c r="UAH65" s="5"/>
      <c r="UAI65" s="5"/>
      <c r="UAJ65" s="5"/>
      <c r="UAK65" s="5"/>
      <c r="UAL65" s="5"/>
      <c r="UAM65" s="5"/>
      <c r="UAN65" s="5"/>
      <c r="UAO65" s="5"/>
      <c r="UAP65" s="5"/>
      <c r="UAQ65" s="5"/>
      <c r="UAR65" s="5"/>
      <c r="UAS65" s="5"/>
      <c r="UAT65" s="5"/>
      <c r="UAU65" s="5"/>
      <c r="UAV65" s="5"/>
      <c r="UAW65" s="5"/>
      <c r="UAX65" s="5"/>
      <c r="UAY65" s="5"/>
      <c r="UAZ65" s="5"/>
      <c r="UBA65" s="5"/>
      <c r="UBB65" s="5"/>
      <c r="UBC65" s="5"/>
      <c r="UBD65" s="5"/>
      <c r="UBE65" s="5"/>
      <c r="UBF65" s="5"/>
      <c r="UBG65" s="5"/>
      <c r="UBH65" s="5"/>
      <c r="UBI65" s="5"/>
      <c r="UBJ65" s="5"/>
      <c r="UBK65" s="5"/>
      <c r="UBL65" s="5"/>
      <c r="UBM65" s="5"/>
      <c r="UBN65" s="5"/>
      <c r="UBO65" s="5"/>
      <c r="UBP65" s="5"/>
      <c r="UBQ65" s="5"/>
      <c r="UBR65" s="5"/>
      <c r="UBS65" s="5"/>
      <c r="UBT65" s="5"/>
      <c r="UBU65" s="5"/>
      <c r="UBV65" s="5"/>
      <c r="UBW65" s="5"/>
      <c r="UBX65" s="5"/>
      <c r="UBY65" s="5"/>
      <c r="UBZ65" s="5"/>
      <c r="UCA65" s="5"/>
      <c r="UCB65" s="5"/>
      <c r="UCC65" s="5"/>
      <c r="UCD65" s="5"/>
      <c r="UCE65" s="5"/>
      <c r="UCF65" s="5"/>
      <c r="UCG65" s="5"/>
      <c r="UCH65" s="5"/>
      <c r="UCI65" s="5"/>
      <c r="UCJ65" s="5"/>
      <c r="UCK65" s="5"/>
      <c r="UCL65" s="5"/>
      <c r="UCM65" s="5"/>
      <c r="UCN65" s="5"/>
      <c r="UCO65" s="5"/>
      <c r="UCP65" s="5"/>
      <c r="UCQ65" s="5"/>
      <c r="UCR65" s="5"/>
      <c r="UCS65" s="5"/>
      <c r="UCT65" s="5"/>
      <c r="UCU65" s="5"/>
      <c r="UCV65" s="5"/>
      <c r="UCW65" s="5"/>
      <c r="UCX65" s="5"/>
      <c r="UCY65" s="5"/>
      <c r="UCZ65" s="5"/>
      <c r="UDA65" s="5"/>
      <c r="UDB65" s="5"/>
      <c r="UDC65" s="5"/>
      <c r="UDD65" s="5"/>
      <c r="UDE65" s="5"/>
      <c r="UDF65" s="5"/>
      <c r="UDG65" s="5"/>
      <c r="UDH65" s="5"/>
      <c r="UDI65" s="5"/>
      <c r="UDJ65" s="5"/>
      <c r="UDK65" s="5"/>
      <c r="UDL65" s="5"/>
      <c r="UDM65" s="5"/>
      <c r="UDN65" s="5"/>
      <c r="UDO65" s="5"/>
      <c r="UDP65" s="5"/>
      <c r="UDQ65" s="5"/>
      <c r="UDR65" s="5"/>
      <c r="UDS65" s="5"/>
      <c r="UDT65" s="5"/>
      <c r="UDU65" s="5"/>
      <c r="UDV65" s="5"/>
      <c r="UDW65" s="5"/>
      <c r="UDX65" s="5"/>
      <c r="UDY65" s="5"/>
      <c r="UDZ65" s="5"/>
      <c r="UEA65" s="5"/>
      <c r="UEB65" s="5"/>
      <c r="UEC65" s="5"/>
      <c r="UED65" s="5"/>
      <c r="UEE65" s="5"/>
      <c r="UEF65" s="5"/>
      <c r="UEG65" s="5"/>
      <c r="UEH65" s="5"/>
      <c r="UEI65" s="5"/>
      <c r="UEJ65" s="5"/>
      <c r="UEK65" s="5"/>
      <c r="UEL65" s="5"/>
      <c r="UEM65" s="5"/>
      <c r="UEN65" s="5"/>
      <c r="UEO65" s="5"/>
      <c r="UEP65" s="5"/>
      <c r="UEQ65" s="5"/>
      <c r="UER65" s="5"/>
      <c r="UES65" s="5"/>
      <c r="UET65" s="5"/>
      <c r="UEU65" s="5"/>
      <c r="UEV65" s="5"/>
      <c r="UEW65" s="5"/>
      <c r="UEX65" s="5"/>
      <c r="UEY65" s="5"/>
      <c r="UEZ65" s="5"/>
      <c r="UFA65" s="5"/>
      <c r="UFB65" s="5"/>
      <c r="UFC65" s="5"/>
      <c r="UFD65" s="5"/>
      <c r="UFE65" s="5"/>
      <c r="UFF65" s="5"/>
      <c r="UFG65" s="5"/>
      <c r="UFH65" s="5"/>
      <c r="UFI65" s="5"/>
      <c r="UFJ65" s="5"/>
      <c r="UFK65" s="5"/>
      <c r="UFL65" s="5"/>
      <c r="UFM65" s="5"/>
      <c r="UFN65" s="5"/>
      <c r="UFO65" s="5"/>
      <c r="UFP65" s="5"/>
      <c r="UFQ65" s="5"/>
      <c r="UFR65" s="5"/>
      <c r="UFS65" s="5"/>
      <c r="UFT65" s="5"/>
      <c r="UFU65" s="5"/>
      <c r="UFV65" s="5"/>
      <c r="UFW65" s="5"/>
      <c r="UFX65" s="5"/>
      <c r="UFY65" s="5"/>
      <c r="UFZ65" s="5"/>
      <c r="UGA65" s="5"/>
      <c r="UGB65" s="5"/>
      <c r="UGC65" s="5"/>
      <c r="UGD65" s="5"/>
      <c r="UGE65" s="5"/>
      <c r="UGF65" s="5"/>
      <c r="UGG65" s="5"/>
      <c r="UGH65" s="5"/>
      <c r="UGI65" s="5"/>
      <c r="UGJ65" s="5"/>
      <c r="UGK65" s="5"/>
      <c r="UGL65" s="5"/>
      <c r="UGM65" s="5"/>
      <c r="UGN65" s="5"/>
      <c r="UGO65" s="5"/>
      <c r="UGP65" s="5"/>
      <c r="UGQ65" s="5"/>
      <c r="UGR65" s="5"/>
      <c r="UGS65" s="5"/>
      <c r="UGT65" s="5"/>
      <c r="UGU65" s="5"/>
      <c r="UGV65" s="5"/>
      <c r="UGW65" s="5"/>
      <c r="UGX65" s="5"/>
      <c r="UGY65" s="5"/>
      <c r="UGZ65" s="5"/>
      <c r="UHA65" s="5"/>
      <c r="UHB65" s="5"/>
      <c r="UHC65" s="5"/>
      <c r="UHD65" s="5"/>
      <c r="UHE65" s="5"/>
      <c r="UHF65" s="5"/>
      <c r="UHG65" s="5"/>
      <c r="UHH65" s="5"/>
      <c r="UHI65" s="5"/>
      <c r="UHJ65" s="5"/>
      <c r="UHK65" s="5"/>
      <c r="UHL65" s="5"/>
      <c r="UHM65" s="5"/>
      <c r="UHN65" s="5"/>
      <c r="UHO65" s="5"/>
      <c r="UHP65" s="5"/>
      <c r="UHQ65" s="5"/>
      <c r="UHR65" s="5"/>
      <c r="UHS65" s="5"/>
      <c r="UHT65" s="5"/>
      <c r="UHU65" s="5"/>
      <c r="UHV65" s="5"/>
      <c r="UHW65" s="5"/>
      <c r="UHX65" s="5"/>
      <c r="UHY65" s="5"/>
      <c r="UHZ65" s="5"/>
      <c r="UIA65" s="5"/>
      <c r="UIB65" s="5"/>
      <c r="UIC65" s="5"/>
      <c r="UID65" s="5"/>
      <c r="UIE65" s="5"/>
      <c r="UIF65" s="5"/>
      <c r="UIG65" s="5"/>
      <c r="UIH65" s="5"/>
      <c r="UII65" s="5"/>
      <c r="UIJ65" s="5"/>
      <c r="UIK65" s="5"/>
      <c r="UIL65" s="5"/>
      <c r="UIM65" s="5"/>
      <c r="UIN65" s="5"/>
      <c r="UIO65" s="5"/>
      <c r="UIP65" s="5"/>
      <c r="UIQ65" s="5"/>
      <c r="UIR65" s="5"/>
      <c r="UIS65" s="5"/>
      <c r="UIT65" s="5"/>
      <c r="UIU65" s="5"/>
      <c r="UIV65" s="5"/>
      <c r="UIW65" s="5"/>
      <c r="UIX65" s="5"/>
      <c r="UIY65" s="5"/>
      <c r="UIZ65" s="5"/>
      <c r="UJA65" s="5"/>
      <c r="UJB65" s="5"/>
      <c r="UJC65" s="5"/>
      <c r="UJD65" s="5"/>
      <c r="UJE65" s="5"/>
      <c r="UJF65" s="5"/>
      <c r="UJG65" s="5"/>
      <c r="UJH65" s="5"/>
      <c r="UJI65" s="5"/>
      <c r="UJJ65" s="5"/>
      <c r="UJK65" s="5"/>
      <c r="UJL65" s="5"/>
      <c r="UJM65" s="5"/>
      <c r="UJN65" s="5"/>
      <c r="UJO65" s="5"/>
      <c r="UJP65" s="5"/>
      <c r="UJQ65" s="5"/>
      <c r="UJR65" s="5"/>
      <c r="UJS65" s="5"/>
      <c r="UJT65" s="5"/>
      <c r="UJU65" s="5"/>
      <c r="UJV65" s="5"/>
      <c r="UJW65" s="5"/>
      <c r="UJX65" s="5"/>
      <c r="UJY65" s="5"/>
      <c r="UJZ65" s="5"/>
      <c r="UKA65" s="5"/>
      <c r="UKB65" s="5"/>
      <c r="UKC65" s="5"/>
      <c r="UKD65" s="5"/>
      <c r="UKE65" s="5"/>
      <c r="UKF65" s="5"/>
      <c r="UKG65" s="5"/>
      <c r="UKH65" s="5"/>
      <c r="UKI65" s="5"/>
      <c r="UKJ65" s="5"/>
      <c r="UKK65" s="5"/>
      <c r="UKL65" s="5"/>
      <c r="UKM65" s="5"/>
      <c r="UKN65" s="5"/>
      <c r="UKO65" s="5"/>
      <c r="UKP65" s="5"/>
      <c r="UKQ65" s="5"/>
      <c r="UKR65" s="5"/>
      <c r="UKS65" s="5"/>
      <c r="UKT65" s="5"/>
      <c r="UKU65" s="5"/>
      <c r="UKV65" s="5"/>
      <c r="UKW65" s="5"/>
      <c r="UKX65" s="5"/>
      <c r="UKY65" s="5"/>
      <c r="UKZ65" s="5"/>
      <c r="ULA65" s="5"/>
      <c r="ULB65" s="5"/>
      <c r="ULC65" s="5"/>
      <c r="ULD65" s="5"/>
      <c r="ULE65" s="5"/>
      <c r="ULF65" s="5"/>
      <c r="ULG65" s="5"/>
      <c r="ULH65" s="5"/>
      <c r="ULI65" s="5"/>
      <c r="ULJ65" s="5"/>
      <c r="ULK65" s="5"/>
      <c r="ULL65" s="5"/>
      <c r="ULM65" s="5"/>
      <c r="ULN65" s="5"/>
      <c r="ULO65" s="5"/>
      <c r="ULP65" s="5"/>
      <c r="ULQ65" s="5"/>
      <c r="ULR65" s="5"/>
      <c r="ULS65" s="5"/>
      <c r="ULT65" s="5"/>
      <c r="ULU65" s="5"/>
      <c r="ULV65" s="5"/>
      <c r="ULW65" s="5"/>
      <c r="ULX65" s="5"/>
      <c r="ULY65" s="5"/>
      <c r="ULZ65" s="5"/>
      <c r="UMA65" s="5"/>
      <c r="UMB65" s="5"/>
      <c r="UMC65" s="5"/>
      <c r="UMD65" s="5"/>
      <c r="UME65" s="5"/>
      <c r="UMF65" s="5"/>
      <c r="UMG65" s="5"/>
      <c r="UMH65" s="5"/>
      <c r="UMI65" s="5"/>
      <c r="UMJ65" s="5"/>
      <c r="UMK65" s="5"/>
      <c r="UML65" s="5"/>
      <c r="UMM65" s="5"/>
      <c r="UMN65" s="5"/>
      <c r="UMO65" s="5"/>
      <c r="UMP65" s="5"/>
      <c r="UMQ65" s="5"/>
      <c r="UMR65" s="5"/>
      <c r="UMS65" s="5"/>
      <c r="UMT65" s="5"/>
      <c r="UMU65" s="5"/>
      <c r="UMV65" s="5"/>
      <c r="UMW65" s="5"/>
      <c r="UMX65" s="5"/>
      <c r="UMY65" s="5"/>
      <c r="UMZ65" s="5"/>
      <c r="UNA65" s="5"/>
      <c r="UNB65" s="5"/>
      <c r="UNC65" s="5"/>
      <c r="UND65" s="5"/>
      <c r="UNE65" s="5"/>
      <c r="UNF65" s="5"/>
      <c r="UNG65" s="5"/>
      <c r="UNH65" s="5"/>
      <c r="UNI65" s="5"/>
      <c r="UNJ65" s="5"/>
      <c r="UNK65" s="5"/>
      <c r="UNL65" s="5"/>
      <c r="UNM65" s="5"/>
      <c r="UNN65" s="5"/>
      <c r="UNO65" s="5"/>
      <c r="UNP65" s="5"/>
      <c r="UNQ65" s="5"/>
      <c r="UNR65" s="5"/>
      <c r="UNS65" s="5"/>
      <c r="UNT65" s="5"/>
      <c r="UNU65" s="5"/>
      <c r="UNV65" s="5"/>
      <c r="UNW65" s="5"/>
      <c r="UNX65" s="5"/>
      <c r="UNY65" s="5"/>
      <c r="UNZ65" s="5"/>
      <c r="UOA65" s="5"/>
      <c r="UOB65" s="5"/>
      <c r="UOC65" s="5"/>
      <c r="UOD65" s="5"/>
      <c r="UOE65" s="5"/>
      <c r="UOF65" s="5"/>
      <c r="UOG65" s="5"/>
      <c r="UOH65" s="5"/>
      <c r="UOI65" s="5"/>
      <c r="UOJ65" s="5"/>
      <c r="UOK65" s="5"/>
      <c r="UOL65" s="5"/>
      <c r="UOM65" s="5"/>
      <c r="UON65" s="5"/>
      <c r="UOO65" s="5"/>
      <c r="UOP65" s="5"/>
      <c r="UOQ65" s="5"/>
      <c r="UOR65" s="5"/>
      <c r="UOS65" s="5"/>
      <c r="UOT65" s="5"/>
      <c r="UOU65" s="5"/>
      <c r="UOV65" s="5"/>
      <c r="UOW65" s="5"/>
      <c r="UOX65" s="5"/>
      <c r="UOY65" s="5"/>
      <c r="UOZ65" s="5"/>
      <c r="UPA65" s="5"/>
      <c r="UPB65" s="5"/>
      <c r="UPC65" s="5"/>
      <c r="UPD65" s="5"/>
      <c r="UPE65" s="5"/>
      <c r="UPF65" s="5"/>
      <c r="UPG65" s="5"/>
      <c r="UPH65" s="5"/>
      <c r="UPI65" s="5"/>
      <c r="UPJ65" s="5"/>
      <c r="UPK65" s="5"/>
      <c r="UPL65" s="5"/>
      <c r="UPM65" s="5"/>
      <c r="UPN65" s="5"/>
      <c r="UPO65" s="5"/>
      <c r="UPP65" s="5"/>
      <c r="UPQ65" s="5"/>
      <c r="UPR65" s="5"/>
      <c r="UPS65" s="5"/>
      <c r="UPT65" s="5"/>
      <c r="UPU65" s="5"/>
      <c r="UPV65" s="5"/>
      <c r="UPW65" s="5"/>
      <c r="UPX65" s="5"/>
      <c r="UPY65" s="5"/>
      <c r="UPZ65" s="5"/>
      <c r="UQA65" s="5"/>
      <c r="UQB65" s="5"/>
      <c r="UQC65" s="5"/>
      <c r="UQD65" s="5"/>
      <c r="UQE65" s="5"/>
      <c r="UQF65" s="5"/>
      <c r="UQG65" s="5"/>
      <c r="UQH65" s="5"/>
      <c r="UQI65" s="5"/>
      <c r="UQJ65" s="5"/>
      <c r="UQK65" s="5"/>
      <c r="UQL65" s="5"/>
      <c r="UQM65" s="5"/>
      <c r="UQN65" s="5"/>
      <c r="UQO65" s="5"/>
      <c r="UQP65" s="5"/>
      <c r="UQQ65" s="5"/>
      <c r="UQR65" s="5"/>
      <c r="UQS65" s="5"/>
      <c r="UQT65" s="5"/>
      <c r="UQU65" s="5"/>
      <c r="UQV65" s="5"/>
      <c r="UQW65" s="5"/>
      <c r="UQX65" s="5"/>
      <c r="UQY65" s="5"/>
      <c r="UQZ65" s="5"/>
      <c r="URA65" s="5"/>
      <c r="URB65" s="5"/>
      <c r="URC65" s="5"/>
      <c r="URD65" s="5"/>
      <c r="URE65" s="5"/>
      <c r="URF65" s="5"/>
      <c r="URG65" s="5"/>
      <c r="URH65" s="5"/>
      <c r="URI65" s="5"/>
      <c r="URJ65" s="5"/>
      <c r="URK65" s="5"/>
      <c r="URL65" s="5"/>
      <c r="URM65" s="5"/>
      <c r="URN65" s="5"/>
      <c r="URO65" s="5"/>
      <c r="URP65" s="5"/>
      <c r="URQ65" s="5"/>
      <c r="URR65" s="5"/>
      <c r="URS65" s="5"/>
      <c r="URT65" s="5"/>
      <c r="URU65" s="5"/>
      <c r="URV65" s="5"/>
      <c r="URW65" s="5"/>
      <c r="URX65" s="5"/>
      <c r="URY65" s="5"/>
      <c r="URZ65" s="5"/>
      <c r="USA65" s="5"/>
      <c r="USB65" s="5"/>
      <c r="USC65" s="5"/>
      <c r="USD65" s="5"/>
      <c r="USE65" s="5"/>
      <c r="USF65" s="5"/>
      <c r="USG65" s="5"/>
      <c r="USH65" s="5"/>
      <c r="USI65" s="5"/>
      <c r="USJ65" s="5"/>
      <c r="USK65" s="5"/>
      <c r="USL65" s="5"/>
      <c r="USM65" s="5"/>
      <c r="USN65" s="5"/>
      <c r="USO65" s="5"/>
      <c r="USP65" s="5"/>
      <c r="USQ65" s="5"/>
      <c r="USR65" s="5"/>
      <c r="USS65" s="5"/>
      <c r="UST65" s="5"/>
      <c r="USU65" s="5"/>
      <c r="USV65" s="5"/>
      <c r="USW65" s="5"/>
      <c r="USX65" s="5"/>
      <c r="USY65" s="5"/>
      <c r="USZ65" s="5"/>
      <c r="UTA65" s="5"/>
      <c r="UTB65" s="5"/>
      <c r="UTC65" s="5"/>
      <c r="UTD65" s="5"/>
      <c r="UTE65" s="5"/>
      <c r="UTF65" s="5"/>
      <c r="UTG65" s="5"/>
      <c r="UTH65" s="5"/>
      <c r="UTI65" s="5"/>
      <c r="UTJ65" s="5"/>
      <c r="UTK65" s="5"/>
      <c r="UTL65" s="5"/>
      <c r="UTM65" s="5"/>
      <c r="UTN65" s="5"/>
      <c r="UTO65" s="5"/>
      <c r="UTP65" s="5"/>
      <c r="UTQ65" s="5"/>
      <c r="UTR65" s="5"/>
      <c r="UTS65" s="5"/>
      <c r="UTT65" s="5"/>
      <c r="UTU65" s="5"/>
      <c r="UTV65" s="5"/>
      <c r="UTW65" s="5"/>
      <c r="UTX65" s="5"/>
      <c r="UTY65" s="5"/>
      <c r="UTZ65" s="5"/>
      <c r="UUA65" s="5"/>
      <c r="UUB65" s="5"/>
      <c r="UUC65" s="5"/>
      <c r="UUD65" s="5"/>
      <c r="UUE65" s="5"/>
      <c r="UUF65" s="5"/>
      <c r="UUG65" s="5"/>
      <c r="UUH65" s="5"/>
      <c r="UUI65" s="5"/>
      <c r="UUJ65" s="5"/>
      <c r="UUK65" s="5"/>
      <c r="UUL65" s="5"/>
      <c r="UUM65" s="5"/>
      <c r="UUN65" s="5"/>
      <c r="UUO65" s="5"/>
      <c r="UUP65" s="5"/>
      <c r="UUQ65" s="5"/>
      <c r="UUR65" s="5"/>
      <c r="UUS65" s="5"/>
      <c r="UUT65" s="5"/>
      <c r="UUU65" s="5"/>
      <c r="UUV65" s="5"/>
      <c r="UUW65" s="5"/>
      <c r="UUX65" s="5"/>
      <c r="UUY65" s="5"/>
      <c r="UUZ65" s="5"/>
      <c r="UVA65" s="5"/>
      <c r="UVB65" s="5"/>
      <c r="UVC65" s="5"/>
      <c r="UVD65" s="5"/>
      <c r="UVE65" s="5"/>
      <c r="UVF65" s="5"/>
      <c r="UVG65" s="5"/>
      <c r="UVH65" s="5"/>
      <c r="UVI65" s="5"/>
      <c r="UVJ65" s="5"/>
      <c r="UVK65" s="5"/>
      <c r="UVL65" s="5"/>
      <c r="UVM65" s="5"/>
      <c r="UVN65" s="5"/>
      <c r="UVO65" s="5"/>
      <c r="UVP65" s="5"/>
      <c r="UVQ65" s="5"/>
      <c r="UVR65" s="5"/>
      <c r="UVS65" s="5"/>
      <c r="UVT65" s="5"/>
      <c r="UVU65" s="5"/>
      <c r="UVV65" s="5"/>
      <c r="UVW65" s="5"/>
      <c r="UVX65" s="5"/>
      <c r="UVY65" s="5"/>
      <c r="UVZ65" s="5"/>
      <c r="UWA65" s="5"/>
      <c r="UWB65" s="5"/>
      <c r="UWC65" s="5"/>
      <c r="UWD65" s="5"/>
      <c r="UWE65" s="5"/>
      <c r="UWF65" s="5"/>
      <c r="UWG65" s="5"/>
      <c r="UWH65" s="5"/>
      <c r="UWI65" s="5"/>
      <c r="UWJ65" s="5"/>
      <c r="UWK65" s="5"/>
      <c r="UWL65" s="5"/>
      <c r="UWM65" s="5"/>
      <c r="UWN65" s="5"/>
      <c r="UWO65" s="5"/>
      <c r="UWP65" s="5"/>
      <c r="UWQ65" s="5"/>
      <c r="UWR65" s="5"/>
      <c r="UWS65" s="5"/>
      <c r="UWT65" s="5"/>
      <c r="UWU65" s="5"/>
      <c r="UWV65" s="5"/>
      <c r="UWW65" s="5"/>
      <c r="UWX65" s="5"/>
      <c r="UWY65" s="5"/>
      <c r="UWZ65" s="5"/>
      <c r="UXA65" s="5"/>
      <c r="UXB65" s="5"/>
      <c r="UXC65" s="5"/>
      <c r="UXD65" s="5"/>
      <c r="UXE65" s="5"/>
      <c r="UXF65" s="5"/>
      <c r="UXG65" s="5"/>
      <c r="UXH65" s="5"/>
      <c r="UXI65" s="5"/>
      <c r="UXJ65" s="5"/>
      <c r="UXK65" s="5"/>
      <c r="UXL65" s="5"/>
      <c r="UXM65" s="5"/>
      <c r="UXN65" s="5"/>
      <c r="UXO65" s="5"/>
      <c r="UXP65" s="5"/>
      <c r="UXQ65" s="5"/>
      <c r="UXR65" s="5"/>
      <c r="UXS65" s="5"/>
      <c r="UXT65" s="5"/>
      <c r="UXU65" s="5"/>
      <c r="UXV65" s="5"/>
      <c r="UXW65" s="5"/>
      <c r="UXX65" s="5"/>
      <c r="UXY65" s="5"/>
      <c r="UXZ65" s="5"/>
      <c r="UYA65" s="5"/>
      <c r="UYB65" s="5"/>
      <c r="UYC65" s="5"/>
      <c r="UYD65" s="5"/>
      <c r="UYE65" s="5"/>
      <c r="UYF65" s="5"/>
      <c r="UYG65" s="5"/>
      <c r="UYH65" s="5"/>
      <c r="UYI65" s="5"/>
      <c r="UYJ65" s="5"/>
      <c r="UYK65" s="5"/>
      <c r="UYL65" s="5"/>
      <c r="UYM65" s="5"/>
      <c r="UYN65" s="5"/>
      <c r="UYO65" s="5"/>
      <c r="UYP65" s="5"/>
      <c r="UYQ65" s="5"/>
      <c r="UYR65" s="5"/>
      <c r="UYS65" s="5"/>
      <c r="UYT65" s="5"/>
      <c r="UYU65" s="5"/>
      <c r="UYV65" s="5"/>
      <c r="UYW65" s="5"/>
      <c r="UYX65" s="5"/>
      <c r="UYY65" s="5"/>
      <c r="UYZ65" s="5"/>
      <c r="UZA65" s="5"/>
      <c r="UZB65" s="5"/>
      <c r="UZC65" s="5"/>
      <c r="UZD65" s="5"/>
      <c r="UZE65" s="5"/>
      <c r="UZF65" s="5"/>
      <c r="UZG65" s="5"/>
      <c r="UZH65" s="5"/>
      <c r="UZI65" s="5"/>
      <c r="UZJ65" s="5"/>
      <c r="UZK65" s="5"/>
      <c r="UZL65" s="5"/>
      <c r="UZM65" s="5"/>
      <c r="UZN65" s="5"/>
      <c r="UZO65" s="5"/>
      <c r="UZP65" s="5"/>
      <c r="UZQ65" s="5"/>
      <c r="UZR65" s="5"/>
      <c r="UZS65" s="5"/>
      <c r="UZT65" s="5"/>
      <c r="UZU65" s="5"/>
      <c r="UZV65" s="5"/>
      <c r="UZW65" s="5"/>
      <c r="UZX65" s="5"/>
      <c r="UZY65" s="5"/>
      <c r="UZZ65" s="5"/>
      <c r="VAA65" s="5"/>
      <c r="VAB65" s="5"/>
      <c r="VAC65" s="5"/>
      <c r="VAD65" s="5"/>
      <c r="VAE65" s="5"/>
      <c r="VAF65" s="5"/>
      <c r="VAG65" s="5"/>
      <c r="VAH65" s="5"/>
      <c r="VAI65" s="5"/>
      <c r="VAJ65" s="5"/>
      <c r="VAK65" s="5"/>
      <c r="VAL65" s="5"/>
      <c r="VAM65" s="5"/>
      <c r="VAN65" s="5"/>
      <c r="VAO65" s="5"/>
      <c r="VAP65" s="5"/>
      <c r="VAQ65" s="5"/>
      <c r="VAR65" s="5"/>
      <c r="VAS65" s="5"/>
      <c r="VAT65" s="5"/>
      <c r="VAU65" s="5"/>
      <c r="VAV65" s="5"/>
      <c r="VAW65" s="5"/>
      <c r="VAX65" s="5"/>
      <c r="VAY65" s="5"/>
      <c r="VAZ65" s="5"/>
      <c r="VBA65" s="5"/>
      <c r="VBB65" s="5"/>
      <c r="VBC65" s="5"/>
      <c r="VBD65" s="5"/>
      <c r="VBE65" s="5"/>
      <c r="VBF65" s="5"/>
      <c r="VBG65" s="5"/>
      <c r="VBH65" s="5"/>
      <c r="VBI65" s="5"/>
      <c r="VBJ65" s="5"/>
      <c r="VBK65" s="5"/>
      <c r="VBL65" s="5"/>
      <c r="VBM65" s="5"/>
      <c r="VBN65" s="5"/>
      <c r="VBO65" s="5"/>
      <c r="VBP65" s="5"/>
      <c r="VBQ65" s="5"/>
      <c r="VBR65" s="5"/>
      <c r="VBS65" s="5"/>
      <c r="VBT65" s="5"/>
      <c r="VBU65" s="5"/>
      <c r="VBV65" s="5"/>
      <c r="VBW65" s="5"/>
      <c r="VBX65" s="5"/>
      <c r="VBY65" s="5"/>
      <c r="VBZ65" s="5"/>
      <c r="VCA65" s="5"/>
      <c r="VCB65" s="5"/>
      <c r="VCC65" s="5"/>
      <c r="VCD65" s="5"/>
      <c r="VCE65" s="5"/>
      <c r="VCF65" s="5"/>
      <c r="VCG65" s="5"/>
      <c r="VCH65" s="5"/>
      <c r="VCI65" s="5"/>
      <c r="VCJ65" s="5"/>
      <c r="VCK65" s="5"/>
      <c r="VCL65" s="5"/>
      <c r="VCM65" s="5"/>
      <c r="VCN65" s="5"/>
      <c r="VCO65" s="5"/>
      <c r="VCP65" s="5"/>
      <c r="VCQ65" s="5"/>
      <c r="VCR65" s="5"/>
      <c r="VCS65" s="5"/>
      <c r="VCT65" s="5"/>
      <c r="VCU65" s="5"/>
      <c r="VCV65" s="5"/>
      <c r="VCW65" s="5"/>
      <c r="VCX65" s="5"/>
      <c r="VCY65" s="5"/>
      <c r="VCZ65" s="5"/>
      <c r="VDA65" s="5"/>
      <c r="VDB65" s="5"/>
      <c r="VDC65" s="5"/>
      <c r="VDD65" s="5"/>
      <c r="VDE65" s="5"/>
      <c r="VDF65" s="5"/>
      <c r="VDG65" s="5"/>
      <c r="VDH65" s="5"/>
      <c r="VDI65" s="5"/>
      <c r="VDJ65" s="5"/>
      <c r="VDK65" s="5"/>
      <c r="VDL65" s="5"/>
      <c r="VDM65" s="5"/>
      <c r="VDN65" s="5"/>
      <c r="VDO65" s="5"/>
      <c r="VDP65" s="5"/>
      <c r="VDQ65" s="5"/>
      <c r="VDR65" s="5"/>
      <c r="VDS65" s="5"/>
      <c r="VDT65" s="5"/>
      <c r="VDU65" s="5"/>
      <c r="VDV65" s="5"/>
      <c r="VDW65" s="5"/>
      <c r="VDX65" s="5"/>
      <c r="VDY65" s="5"/>
      <c r="VDZ65" s="5"/>
      <c r="VEA65" s="5"/>
      <c r="VEB65" s="5"/>
      <c r="VEC65" s="5"/>
      <c r="VED65" s="5"/>
      <c r="VEE65" s="5"/>
      <c r="VEF65" s="5"/>
      <c r="VEG65" s="5"/>
      <c r="VEH65" s="5"/>
      <c r="VEI65" s="5"/>
      <c r="VEJ65" s="5"/>
      <c r="VEK65" s="5"/>
      <c r="VEL65" s="5"/>
      <c r="VEM65" s="5"/>
      <c r="VEN65" s="5"/>
      <c r="VEO65" s="5"/>
      <c r="VEP65" s="5"/>
      <c r="VEQ65" s="5"/>
      <c r="VER65" s="5"/>
      <c r="VES65" s="5"/>
      <c r="VET65" s="5"/>
      <c r="VEU65" s="5"/>
      <c r="VEV65" s="5"/>
      <c r="VEW65" s="5"/>
      <c r="VEX65" s="5"/>
      <c r="VEY65" s="5"/>
      <c r="VEZ65" s="5"/>
      <c r="VFA65" s="5"/>
      <c r="VFB65" s="5"/>
      <c r="VFC65" s="5"/>
      <c r="VFD65" s="5"/>
      <c r="VFE65" s="5"/>
      <c r="VFF65" s="5"/>
      <c r="VFG65" s="5"/>
      <c r="VFH65" s="5"/>
      <c r="VFI65" s="5"/>
      <c r="VFJ65" s="5"/>
      <c r="VFK65" s="5"/>
      <c r="VFL65" s="5"/>
      <c r="VFM65" s="5"/>
      <c r="VFN65" s="5"/>
      <c r="VFO65" s="5"/>
      <c r="VFP65" s="5"/>
      <c r="VFQ65" s="5"/>
      <c r="VFR65" s="5"/>
      <c r="VFS65" s="5"/>
      <c r="VFT65" s="5"/>
      <c r="VFU65" s="5"/>
      <c r="VFV65" s="5"/>
      <c r="VFW65" s="5"/>
      <c r="VFX65" s="5"/>
      <c r="VFY65" s="5"/>
      <c r="VFZ65" s="5"/>
      <c r="VGA65" s="5"/>
      <c r="VGB65" s="5"/>
      <c r="VGC65" s="5"/>
      <c r="VGD65" s="5"/>
      <c r="VGE65" s="5"/>
      <c r="VGF65" s="5"/>
      <c r="VGG65" s="5"/>
      <c r="VGH65" s="5"/>
      <c r="VGI65" s="5"/>
      <c r="VGJ65" s="5"/>
      <c r="VGK65" s="5"/>
      <c r="VGL65" s="5"/>
      <c r="VGM65" s="5"/>
      <c r="VGN65" s="5"/>
      <c r="VGO65" s="5"/>
      <c r="VGP65" s="5"/>
      <c r="VGQ65" s="5"/>
      <c r="VGR65" s="5"/>
      <c r="VGS65" s="5"/>
      <c r="VGT65" s="5"/>
      <c r="VGU65" s="5"/>
      <c r="VGV65" s="5"/>
      <c r="VGW65" s="5"/>
      <c r="VGX65" s="5"/>
      <c r="VGY65" s="5"/>
      <c r="VGZ65" s="5"/>
      <c r="VHA65" s="5"/>
      <c r="VHB65" s="5"/>
      <c r="VHC65" s="5"/>
      <c r="VHD65" s="5"/>
      <c r="VHE65" s="5"/>
      <c r="VHF65" s="5"/>
      <c r="VHG65" s="5"/>
      <c r="VHH65" s="5"/>
      <c r="VHI65" s="5"/>
      <c r="VHJ65" s="5"/>
      <c r="VHK65" s="5"/>
      <c r="VHL65" s="5"/>
      <c r="VHM65" s="5"/>
      <c r="VHN65" s="5"/>
      <c r="VHO65" s="5"/>
      <c r="VHP65" s="5"/>
      <c r="VHQ65" s="5"/>
      <c r="VHR65" s="5"/>
      <c r="VHS65" s="5"/>
      <c r="VHT65" s="5"/>
      <c r="VHU65" s="5"/>
      <c r="VHV65" s="5"/>
      <c r="VHW65" s="5"/>
      <c r="VHX65" s="5"/>
      <c r="VHY65" s="5"/>
      <c r="VHZ65" s="5"/>
      <c r="VIA65" s="5"/>
      <c r="VIB65" s="5"/>
      <c r="VIC65" s="5"/>
      <c r="VID65" s="5"/>
      <c r="VIE65" s="5"/>
      <c r="VIF65" s="5"/>
      <c r="VIG65" s="5"/>
      <c r="VIH65" s="5"/>
      <c r="VII65" s="5"/>
      <c r="VIJ65" s="5"/>
      <c r="VIK65" s="5"/>
      <c r="VIL65" s="5"/>
      <c r="VIM65" s="5"/>
      <c r="VIN65" s="5"/>
      <c r="VIO65" s="5"/>
      <c r="VIP65" s="5"/>
      <c r="VIQ65" s="5"/>
      <c r="VIR65" s="5"/>
      <c r="VIS65" s="5"/>
      <c r="VIT65" s="5"/>
      <c r="VIU65" s="5"/>
      <c r="VIV65" s="5"/>
      <c r="VIW65" s="5"/>
      <c r="VIX65" s="5"/>
      <c r="VIY65" s="5"/>
      <c r="VIZ65" s="5"/>
      <c r="VJA65" s="5"/>
      <c r="VJB65" s="5"/>
      <c r="VJC65" s="5"/>
      <c r="VJD65" s="5"/>
      <c r="VJE65" s="5"/>
      <c r="VJF65" s="5"/>
      <c r="VJG65" s="5"/>
      <c r="VJH65" s="5"/>
      <c r="VJI65" s="5"/>
      <c r="VJJ65" s="5"/>
      <c r="VJK65" s="5"/>
      <c r="VJL65" s="5"/>
      <c r="VJM65" s="5"/>
      <c r="VJN65" s="5"/>
      <c r="VJO65" s="5"/>
      <c r="VJP65" s="5"/>
      <c r="VJQ65" s="5"/>
      <c r="VJR65" s="5"/>
      <c r="VJS65" s="5"/>
      <c r="VJT65" s="5"/>
      <c r="VJU65" s="5"/>
      <c r="VJV65" s="5"/>
      <c r="VJW65" s="5"/>
      <c r="VJX65" s="5"/>
      <c r="VJY65" s="5"/>
      <c r="VJZ65" s="5"/>
      <c r="VKA65" s="5"/>
      <c r="VKB65" s="5"/>
      <c r="VKC65" s="5"/>
      <c r="VKD65" s="5"/>
      <c r="VKE65" s="5"/>
      <c r="VKF65" s="5"/>
      <c r="VKG65" s="5"/>
      <c r="VKH65" s="5"/>
      <c r="VKI65" s="5"/>
      <c r="VKJ65" s="5"/>
      <c r="VKK65" s="5"/>
      <c r="VKL65" s="5"/>
      <c r="VKM65" s="5"/>
      <c r="VKN65" s="5"/>
      <c r="VKO65" s="5"/>
      <c r="VKP65" s="5"/>
      <c r="VKQ65" s="5"/>
      <c r="VKR65" s="5"/>
      <c r="VKS65" s="5"/>
      <c r="VKT65" s="5"/>
      <c r="VKU65" s="5"/>
      <c r="VKV65" s="5"/>
      <c r="VKW65" s="5"/>
      <c r="VKX65" s="5"/>
      <c r="VKY65" s="5"/>
      <c r="VKZ65" s="5"/>
      <c r="VLA65" s="5"/>
      <c r="VLB65" s="5"/>
      <c r="VLC65" s="5"/>
      <c r="VLD65" s="5"/>
      <c r="VLE65" s="5"/>
      <c r="VLF65" s="5"/>
      <c r="VLG65" s="5"/>
      <c r="VLH65" s="5"/>
      <c r="VLI65" s="5"/>
      <c r="VLJ65" s="5"/>
      <c r="VLK65" s="5"/>
      <c r="VLL65" s="5"/>
      <c r="VLM65" s="5"/>
      <c r="VLN65" s="5"/>
      <c r="VLO65" s="5"/>
      <c r="VLP65" s="5"/>
      <c r="VLQ65" s="5"/>
      <c r="VLR65" s="5"/>
      <c r="VLS65" s="5"/>
      <c r="VLT65" s="5"/>
      <c r="VLU65" s="5"/>
      <c r="VLV65" s="5"/>
      <c r="VLW65" s="5"/>
      <c r="VLX65" s="5"/>
      <c r="VLY65" s="5"/>
      <c r="VLZ65" s="5"/>
      <c r="VMA65" s="5"/>
      <c r="VMB65" s="5"/>
      <c r="VMC65" s="5"/>
      <c r="VMD65" s="5"/>
      <c r="VME65" s="5"/>
      <c r="VMF65" s="5"/>
      <c r="VMG65" s="5"/>
      <c r="VMH65" s="5"/>
      <c r="VMI65" s="5"/>
      <c r="VMJ65" s="5"/>
      <c r="VMK65" s="5"/>
      <c r="VML65" s="5"/>
      <c r="VMM65" s="5"/>
      <c r="VMN65" s="5"/>
      <c r="VMO65" s="5"/>
      <c r="VMP65" s="5"/>
      <c r="VMQ65" s="5"/>
      <c r="VMR65" s="5"/>
      <c r="VMS65" s="5"/>
      <c r="VMT65" s="5"/>
      <c r="VMU65" s="5"/>
      <c r="VMV65" s="5"/>
      <c r="VMW65" s="5"/>
      <c r="VMX65" s="5"/>
      <c r="VMY65" s="5"/>
      <c r="VMZ65" s="5"/>
      <c r="VNA65" s="5"/>
      <c r="VNB65" s="5"/>
      <c r="VNC65" s="5"/>
      <c r="VND65" s="5"/>
      <c r="VNE65" s="5"/>
      <c r="VNF65" s="5"/>
      <c r="VNG65" s="5"/>
      <c r="VNH65" s="5"/>
      <c r="VNI65" s="5"/>
      <c r="VNJ65" s="5"/>
      <c r="VNK65" s="5"/>
      <c r="VNL65" s="5"/>
      <c r="VNM65" s="5"/>
      <c r="VNN65" s="5"/>
      <c r="VNO65" s="5"/>
      <c r="VNP65" s="5"/>
      <c r="VNQ65" s="5"/>
      <c r="VNR65" s="5"/>
      <c r="VNS65" s="5"/>
      <c r="VNT65" s="5"/>
      <c r="VNU65" s="5"/>
      <c r="VNV65" s="5"/>
      <c r="VNW65" s="5"/>
      <c r="VNX65" s="5"/>
      <c r="VNY65" s="5"/>
      <c r="VNZ65" s="5"/>
      <c r="VOA65" s="5"/>
      <c r="VOB65" s="5"/>
      <c r="VOC65" s="5"/>
      <c r="VOD65" s="5"/>
      <c r="VOE65" s="5"/>
      <c r="VOF65" s="5"/>
      <c r="VOG65" s="5"/>
      <c r="VOH65" s="5"/>
      <c r="VOI65" s="5"/>
      <c r="VOJ65" s="5"/>
      <c r="VOK65" s="5"/>
      <c r="VOL65" s="5"/>
      <c r="VOM65" s="5"/>
      <c r="VON65" s="5"/>
      <c r="VOO65" s="5"/>
      <c r="VOP65" s="5"/>
      <c r="VOQ65" s="5"/>
      <c r="VOR65" s="5"/>
      <c r="VOS65" s="5"/>
      <c r="VOT65" s="5"/>
      <c r="VOU65" s="5"/>
      <c r="VOV65" s="5"/>
      <c r="VOW65" s="5"/>
      <c r="VOX65" s="5"/>
      <c r="VOY65" s="5"/>
      <c r="VOZ65" s="5"/>
      <c r="VPA65" s="5"/>
      <c r="VPB65" s="5"/>
      <c r="VPC65" s="5"/>
      <c r="VPD65" s="5"/>
      <c r="VPE65" s="5"/>
      <c r="VPF65" s="5"/>
      <c r="VPG65" s="5"/>
      <c r="VPH65" s="5"/>
      <c r="VPI65" s="5"/>
      <c r="VPJ65" s="5"/>
      <c r="VPK65" s="5"/>
      <c r="VPL65" s="5"/>
      <c r="VPM65" s="5"/>
      <c r="VPN65" s="5"/>
      <c r="VPO65" s="5"/>
      <c r="VPP65" s="5"/>
      <c r="VPQ65" s="5"/>
      <c r="VPR65" s="5"/>
      <c r="VPS65" s="5"/>
      <c r="VPT65" s="5"/>
      <c r="VPU65" s="5"/>
      <c r="VPV65" s="5"/>
      <c r="VPW65" s="5"/>
      <c r="VPX65" s="5"/>
      <c r="VPY65" s="5"/>
      <c r="VPZ65" s="5"/>
      <c r="VQA65" s="5"/>
      <c r="VQB65" s="5"/>
      <c r="VQC65" s="5"/>
      <c r="VQD65" s="5"/>
      <c r="VQE65" s="5"/>
      <c r="VQF65" s="5"/>
      <c r="VQG65" s="5"/>
      <c r="VQH65" s="5"/>
      <c r="VQI65" s="5"/>
      <c r="VQJ65" s="5"/>
      <c r="VQK65" s="5"/>
      <c r="VQL65" s="5"/>
      <c r="VQM65" s="5"/>
      <c r="VQN65" s="5"/>
      <c r="VQO65" s="5"/>
      <c r="VQP65" s="5"/>
      <c r="VQQ65" s="5"/>
      <c r="VQR65" s="5"/>
      <c r="VQS65" s="5"/>
      <c r="VQT65" s="5"/>
      <c r="VQU65" s="5"/>
      <c r="VQV65" s="5"/>
      <c r="VQW65" s="5"/>
      <c r="VQX65" s="5"/>
      <c r="VQY65" s="5"/>
      <c r="VQZ65" s="5"/>
      <c r="VRA65" s="5"/>
      <c r="VRB65" s="5"/>
      <c r="VRC65" s="5"/>
      <c r="VRD65" s="5"/>
      <c r="VRE65" s="5"/>
      <c r="VRF65" s="5"/>
      <c r="VRG65" s="5"/>
      <c r="VRH65" s="5"/>
      <c r="VRI65" s="5"/>
      <c r="VRJ65" s="5"/>
      <c r="VRK65" s="5"/>
      <c r="VRL65" s="5"/>
      <c r="VRM65" s="5"/>
      <c r="VRN65" s="5"/>
      <c r="VRO65" s="5"/>
      <c r="VRP65" s="5"/>
      <c r="VRQ65" s="5"/>
      <c r="VRR65" s="5"/>
      <c r="VRS65" s="5"/>
      <c r="VRT65" s="5"/>
      <c r="VRU65" s="5"/>
      <c r="VRV65" s="5"/>
      <c r="VRW65" s="5"/>
      <c r="VRX65" s="5"/>
      <c r="VRY65" s="5"/>
      <c r="VRZ65" s="5"/>
      <c r="VSA65" s="5"/>
      <c r="VSB65" s="5"/>
      <c r="VSC65" s="5"/>
      <c r="VSD65" s="5"/>
      <c r="VSE65" s="5"/>
      <c r="VSF65" s="5"/>
      <c r="VSG65" s="5"/>
      <c r="VSH65" s="5"/>
      <c r="VSI65" s="5"/>
      <c r="VSJ65" s="5"/>
      <c r="VSK65" s="5"/>
      <c r="VSL65" s="5"/>
      <c r="VSM65" s="5"/>
      <c r="VSN65" s="5"/>
      <c r="VSO65" s="5"/>
      <c r="VSP65" s="5"/>
      <c r="VSQ65" s="5"/>
      <c r="VSR65" s="5"/>
      <c r="VSS65" s="5"/>
      <c r="VST65" s="5"/>
      <c r="VSU65" s="5"/>
      <c r="VSV65" s="5"/>
      <c r="VSW65" s="5"/>
      <c r="VSX65" s="5"/>
      <c r="VSY65" s="5"/>
      <c r="VSZ65" s="5"/>
      <c r="VTA65" s="5"/>
      <c r="VTB65" s="5"/>
      <c r="VTC65" s="5"/>
      <c r="VTD65" s="5"/>
      <c r="VTE65" s="5"/>
      <c r="VTF65" s="5"/>
      <c r="VTG65" s="5"/>
      <c r="VTH65" s="5"/>
      <c r="VTI65" s="5"/>
      <c r="VTJ65" s="5"/>
      <c r="VTK65" s="5"/>
      <c r="VTL65" s="5"/>
      <c r="VTM65" s="5"/>
      <c r="VTN65" s="5"/>
      <c r="VTO65" s="5"/>
      <c r="VTP65" s="5"/>
      <c r="VTQ65" s="5"/>
      <c r="VTR65" s="5"/>
      <c r="VTS65" s="5"/>
      <c r="VTT65" s="5"/>
      <c r="VTU65" s="5"/>
      <c r="VTV65" s="5"/>
      <c r="VTW65" s="5"/>
      <c r="VTX65" s="5"/>
      <c r="VTY65" s="5"/>
      <c r="VTZ65" s="5"/>
      <c r="VUA65" s="5"/>
      <c r="VUB65" s="5"/>
      <c r="VUC65" s="5"/>
      <c r="VUD65" s="5"/>
      <c r="VUE65" s="5"/>
      <c r="VUF65" s="5"/>
      <c r="VUG65" s="5"/>
      <c r="VUH65" s="5"/>
      <c r="VUI65" s="5"/>
      <c r="VUJ65" s="5"/>
      <c r="VUK65" s="5"/>
      <c r="VUL65" s="5"/>
      <c r="VUM65" s="5"/>
      <c r="VUN65" s="5"/>
      <c r="VUO65" s="5"/>
      <c r="VUP65" s="5"/>
      <c r="VUQ65" s="5"/>
      <c r="VUR65" s="5"/>
      <c r="VUS65" s="5"/>
      <c r="VUT65" s="5"/>
      <c r="VUU65" s="5"/>
      <c r="VUV65" s="5"/>
      <c r="VUW65" s="5"/>
      <c r="VUX65" s="5"/>
      <c r="VUY65" s="5"/>
      <c r="VUZ65" s="5"/>
      <c r="VVA65" s="5"/>
      <c r="VVB65" s="5"/>
      <c r="VVC65" s="5"/>
      <c r="VVD65" s="5"/>
      <c r="VVE65" s="5"/>
      <c r="VVF65" s="5"/>
      <c r="VVG65" s="5"/>
      <c r="VVH65" s="5"/>
      <c r="VVI65" s="5"/>
      <c r="VVJ65" s="5"/>
      <c r="VVK65" s="5"/>
      <c r="VVL65" s="5"/>
      <c r="VVM65" s="5"/>
      <c r="VVN65" s="5"/>
      <c r="VVO65" s="5"/>
      <c r="VVP65" s="5"/>
      <c r="VVQ65" s="5"/>
      <c r="VVR65" s="5"/>
      <c r="VVS65" s="5"/>
      <c r="VVT65" s="5"/>
      <c r="VVU65" s="5"/>
      <c r="VVV65" s="5"/>
      <c r="VVW65" s="5"/>
      <c r="VVX65" s="5"/>
      <c r="VVY65" s="5"/>
      <c r="VVZ65" s="5"/>
      <c r="VWA65" s="5"/>
      <c r="VWB65" s="5"/>
      <c r="VWC65" s="5"/>
      <c r="VWD65" s="5"/>
      <c r="VWE65" s="5"/>
      <c r="VWF65" s="5"/>
      <c r="VWG65" s="5"/>
      <c r="VWH65" s="5"/>
      <c r="VWI65" s="5"/>
      <c r="VWJ65" s="5"/>
      <c r="VWK65" s="5"/>
      <c r="VWL65" s="5"/>
      <c r="VWM65" s="5"/>
      <c r="VWN65" s="5"/>
      <c r="VWO65" s="5"/>
      <c r="VWP65" s="5"/>
      <c r="VWQ65" s="5"/>
      <c r="VWR65" s="5"/>
      <c r="VWS65" s="5"/>
      <c r="VWT65" s="5"/>
      <c r="VWU65" s="5"/>
      <c r="VWV65" s="5"/>
      <c r="VWW65" s="5"/>
      <c r="VWX65" s="5"/>
      <c r="VWY65" s="5"/>
      <c r="VWZ65" s="5"/>
      <c r="VXA65" s="5"/>
      <c r="VXB65" s="5"/>
      <c r="VXC65" s="5"/>
      <c r="VXD65" s="5"/>
      <c r="VXE65" s="5"/>
      <c r="VXF65" s="5"/>
      <c r="VXG65" s="5"/>
      <c r="VXH65" s="5"/>
      <c r="VXI65" s="5"/>
      <c r="VXJ65" s="5"/>
      <c r="VXK65" s="5"/>
      <c r="VXL65" s="5"/>
      <c r="VXM65" s="5"/>
      <c r="VXN65" s="5"/>
      <c r="VXO65" s="5"/>
      <c r="VXP65" s="5"/>
      <c r="VXQ65" s="5"/>
      <c r="VXR65" s="5"/>
      <c r="VXS65" s="5"/>
      <c r="VXT65" s="5"/>
      <c r="VXU65" s="5"/>
      <c r="VXV65" s="5"/>
      <c r="VXW65" s="5"/>
      <c r="VXX65" s="5"/>
      <c r="VXY65" s="5"/>
      <c r="VXZ65" s="5"/>
      <c r="VYA65" s="5"/>
      <c r="VYB65" s="5"/>
      <c r="VYC65" s="5"/>
      <c r="VYD65" s="5"/>
      <c r="VYE65" s="5"/>
      <c r="VYF65" s="5"/>
      <c r="VYG65" s="5"/>
      <c r="VYH65" s="5"/>
      <c r="VYI65" s="5"/>
      <c r="VYJ65" s="5"/>
      <c r="VYK65" s="5"/>
      <c r="VYL65" s="5"/>
      <c r="VYM65" s="5"/>
      <c r="VYN65" s="5"/>
      <c r="VYO65" s="5"/>
      <c r="VYP65" s="5"/>
      <c r="VYQ65" s="5"/>
      <c r="VYR65" s="5"/>
      <c r="VYS65" s="5"/>
      <c r="VYT65" s="5"/>
      <c r="VYU65" s="5"/>
      <c r="VYV65" s="5"/>
      <c r="VYW65" s="5"/>
      <c r="VYX65" s="5"/>
      <c r="VYY65" s="5"/>
      <c r="VYZ65" s="5"/>
      <c r="VZA65" s="5"/>
      <c r="VZB65" s="5"/>
      <c r="VZC65" s="5"/>
      <c r="VZD65" s="5"/>
      <c r="VZE65" s="5"/>
      <c r="VZF65" s="5"/>
      <c r="VZG65" s="5"/>
      <c r="VZH65" s="5"/>
      <c r="VZI65" s="5"/>
      <c r="VZJ65" s="5"/>
      <c r="VZK65" s="5"/>
      <c r="VZL65" s="5"/>
      <c r="VZM65" s="5"/>
      <c r="VZN65" s="5"/>
      <c r="VZO65" s="5"/>
      <c r="VZP65" s="5"/>
      <c r="VZQ65" s="5"/>
      <c r="VZR65" s="5"/>
      <c r="VZS65" s="5"/>
      <c r="VZT65" s="5"/>
      <c r="VZU65" s="5"/>
      <c r="VZV65" s="5"/>
      <c r="VZW65" s="5"/>
      <c r="VZX65" s="5"/>
      <c r="VZY65" s="5"/>
      <c r="VZZ65" s="5"/>
      <c r="WAA65" s="5"/>
      <c r="WAB65" s="5"/>
      <c r="WAC65" s="5"/>
      <c r="WAD65" s="5"/>
      <c r="WAE65" s="5"/>
      <c r="WAF65" s="5"/>
      <c r="WAG65" s="5"/>
      <c r="WAH65" s="5"/>
      <c r="WAI65" s="5"/>
      <c r="WAJ65" s="5"/>
      <c r="WAK65" s="5"/>
      <c r="WAL65" s="5"/>
      <c r="WAM65" s="5"/>
      <c r="WAN65" s="5"/>
      <c r="WAO65" s="5"/>
      <c r="WAP65" s="5"/>
      <c r="WAQ65" s="5"/>
      <c r="WAR65" s="5"/>
      <c r="WAS65" s="5"/>
      <c r="WAT65" s="5"/>
      <c r="WAU65" s="5"/>
      <c r="WAV65" s="5"/>
      <c r="WAW65" s="5"/>
      <c r="WAX65" s="5"/>
      <c r="WAY65" s="5"/>
      <c r="WAZ65" s="5"/>
      <c r="WBA65" s="5"/>
      <c r="WBB65" s="5"/>
      <c r="WBC65" s="5"/>
      <c r="WBD65" s="5"/>
      <c r="WBE65" s="5"/>
      <c r="WBF65" s="5"/>
      <c r="WBG65" s="5"/>
      <c r="WBH65" s="5"/>
      <c r="WBI65" s="5"/>
      <c r="WBJ65" s="5"/>
      <c r="WBK65" s="5"/>
      <c r="WBL65" s="5"/>
      <c r="WBM65" s="5"/>
      <c r="WBN65" s="5"/>
      <c r="WBO65" s="5"/>
      <c r="WBP65" s="5"/>
      <c r="WBQ65" s="5"/>
      <c r="WBR65" s="5"/>
      <c r="WBS65" s="5"/>
      <c r="WBT65" s="5"/>
      <c r="WBU65" s="5"/>
      <c r="WBV65" s="5"/>
      <c r="WBW65" s="5"/>
      <c r="WBX65" s="5"/>
      <c r="WBY65" s="5"/>
      <c r="WBZ65" s="5"/>
      <c r="WCA65" s="5"/>
      <c r="WCB65" s="5"/>
      <c r="WCC65" s="5"/>
      <c r="WCD65" s="5"/>
      <c r="WCE65" s="5"/>
      <c r="WCF65" s="5"/>
      <c r="WCG65" s="5"/>
      <c r="WCH65" s="5"/>
      <c r="WCI65" s="5"/>
      <c r="WCJ65" s="5"/>
      <c r="WCK65" s="5"/>
      <c r="WCL65" s="5"/>
      <c r="WCM65" s="5"/>
      <c r="WCN65" s="5"/>
      <c r="WCO65" s="5"/>
      <c r="WCP65" s="5"/>
      <c r="WCQ65" s="5"/>
      <c r="WCR65" s="5"/>
      <c r="WCS65" s="5"/>
      <c r="WCT65" s="5"/>
      <c r="WCU65" s="5"/>
      <c r="WCV65" s="5"/>
      <c r="WCW65" s="5"/>
      <c r="WCX65" s="5"/>
      <c r="WCY65" s="5"/>
      <c r="WCZ65" s="5"/>
      <c r="WDA65" s="5"/>
      <c r="WDB65" s="5"/>
      <c r="WDC65" s="5"/>
      <c r="WDD65" s="5"/>
      <c r="WDE65" s="5"/>
      <c r="WDF65" s="5"/>
      <c r="WDG65" s="5"/>
      <c r="WDH65" s="5"/>
      <c r="WDI65" s="5"/>
      <c r="WDJ65" s="5"/>
      <c r="WDK65" s="5"/>
      <c r="WDL65" s="5"/>
      <c r="WDM65" s="5"/>
      <c r="WDN65" s="5"/>
      <c r="WDO65" s="5"/>
      <c r="WDP65" s="5"/>
      <c r="WDQ65" s="5"/>
      <c r="WDR65" s="5"/>
      <c r="WDS65" s="5"/>
      <c r="WDT65" s="5"/>
      <c r="WDU65" s="5"/>
      <c r="WDV65" s="5"/>
      <c r="WDW65" s="5"/>
      <c r="WDX65" s="5"/>
      <c r="WDY65" s="5"/>
      <c r="WDZ65" s="5"/>
      <c r="WEA65" s="5"/>
      <c r="WEB65" s="5"/>
      <c r="WEC65" s="5"/>
      <c r="WED65" s="5"/>
      <c r="WEE65" s="5"/>
      <c r="WEF65" s="5"/>
      <c r="WEG65" s="5"/>
      <c r="WEH65" s="5"/>
      <c r="WEI65" s="5"/>
      <c r="WEJ65" s="5"/>
      <c r="WEK65" s="5"/>
      <c r="WEL65" s="5"/>
      <c r="WEM65" s="5"/>
      <c r="WEN65" s="5"/>
      <c r="WEO65" s="5"/>
      <c r="WEP65" s="5"/>
      <c r="WEQ65" s="5"/>
      <c r="WER65" s="5"/>
      <c r="WES65" s="5"/>
      <c r="WET65" s="5"/>
      <c r="WEU65" s="5"/>
      <c r="WEV65" s="5"/>
      <c r="WEW65" s="5"/>
      <c r="WEX65" s="5"/>
      <c r="WEY65" s="5"/>
      <c r="WEZ65" s="5"/>
      <c r="WFA65" s="5"/>
      <c r="WFB65" s="5"/>
      <c r="WFC65" s="5"/>
      <c r="WFD65" s="5"/>
      <c r="WFE65" s="5"/>
      <c r="WFF65" s="5"/>
      <c r="WFG65" s="5"/>
      <c r="WFH65" s="5"/>
      <c r="WFI65" s="5"/>
      <c r="WFJ65" s="5"/>
      <c r="WFK65" s="5"/>
      <c r="WFL65" s="5"/>
      <c r="WFM65" s="5"/>
      <c r="WFN65" s="5"/>
      <c r="WFO65" s="5"/>
      <c r="WFP65" s="5"/>
      <c r="WFQ65" s="5"/>
      <c r="WFR65" s="5"/>
      <c r="WFS65" s="5"/>
      <c r="WFT65" s="5"/>
      <c r="WFU65" s="5"/>
      <c r="WFV65" s="5"/>
      <c r="WFW65" s="5"/>
      <c r="WFX65" s="5"/>
      <c r="WFY65" s="5"/>
      <c r="WFZ65" s="5"/>
      <c r="WGA65" s="5"/>
      <c r="WGB65" s="5"/>
      <c r="WGC65" s="5"/>
      <c r="WGD65" s="5"/>
      <c r="WGE65" s="5"/>
      <c r="WGF65" s="5"/>
      <c r="WGG65" s="5"/>
      <c r="WGH65" s="5"/>
      <c r="WGI65" s="5"/>
      <c r="WGJ65" s="5"/>
      <c r="WGK65" s="5"/>
      <c r="WGL65" s="5"/>
      <c r="WGM65" s="5"/>
      <c r="WGN65" s="5"/>
      <c r="WGO65" s="5"/>
      <c r="WGP65" s="5"/>
      <c r="WGQ65" s="5"/>
      <c r="WGR65" s="5"/>
      <c r="WGS65" s="5"/>
      <c r="WGT65" s="5"/>
      <c r="WGU65" s="5"/>
      <c r="WGV65" s="5"/>
      <c r="WGW65" s="5"/>
      <c r="WGX65" s="5"/>
      <c r="WGY65" s="5"/>
      <c r="WGZ65" s="5"/>
      <c r="WHA65" s="5"/>
      <c r="WHB65" s="5"/>
      <c r="WHC65" s="5"/>
      <c r="WHD65" s="5"/>
      <c r="WHE65" s="5"/>
      <c r="WHF65" s="5"/>
      <c r="WHG65" s="5"/>
      <c r="WHH65" s="5"/>
      <c r="WHI65" s="5"/>
      <c r="WHJ65" s="5"/>
      <c r="WHK65" s="5"/>
      <c r="WHL65" s="5"/>
      <c r="WHM65" s="5"/>
      <c r="WHN65" s="5"/>
      <c r="WHO65" s="5"/>
      <c r="WHP65" s="5"/>
      <c r="WHQ65" s="5"/>
      <c r="WHR65" s="5"/>
      <c r="WHS65" s="5"/>
      <c r="WHT65" s="5"/>
      <c r="WHU65" s="5"/>
      <c r="WHV65" s="5"/>
      <c r="WHW65" s="5"/>
      <c r="WHX65" s="5"/>
      <c r="WHY65" s="5"/>
      <c r="WHZ65" s="5"/>
      <c r="WIA65" s="5"/>
      <c r="WIB65" s="5"/>
      <c r="WIC65" s="5"/>
      <c r="WID65" s="5"/>
      <c r="WIE65" s="5"/>
      <c r="WIF65" s="5"/>
      <c r="WIG65" s="5"/>
      <c r="WIH65" s="5"/>
      <c r="WII65" s="5"/>
      <c r="WIJ65" s="5"/>
      <c r="WIK65" s="5"/>
      <c r="WIL65" s="5"/>
      <c r="WIM65" s="5"/>
      <c r="WIN65" s="5"/>
      <c r="WIO65" s="5"/>
      <c r="WIP65" s="5"/>
      <c r="WIQ65" s="5"/>
      <c r="WIR65" s="5"/>
      <c r="WIS65" s="5"/>
      <c r="WIT65" s="5"/>
      <c r="WIU65" s="5"/>
      <c r="WIV65" s="5"/>
      <c r="WIW65" s="5"/>
      <c r="WIX65" s="5"/>
      <c r="WIY65" s="5"/>
      <c r="WIZ65" s="5"/>
      <c r="WJA65" s="5"/>
      <c r="WJB65" s="5"/>
      <c r="WJC65" s="5"/>
      <c r="WJD65" s="5"/>
      <c r="WJE65" s="5"/>
      <c r="WJF65" s="5"/>
      <c r="WJG65" s="5"/>
      <c r="WJH65" s="5"/>
      <c r="WJI65" s="5"/>
      <c r="WJJ65" s="5"/>
      <c r="WJK65" s="5"/>
      <c r="WJL65" s="5"/>
      <c r="WJM65" s="5"/>
      <c r="WJN65" s="5"/>
      <c r="WJO65" s="5"/>
      <c r="WJP65" s="5"/>
      <c r="WJQ65" s="5"/>
      <c r="WJR65" s="5"/>
      <c r="WJS65" s="5"/>
      <c r="WJT65" s="5"/>
      <c r="WJU65" s="5"/>
      <c r="WJV65" s="5"/>
      <c r="WJW65" s="5"/>
      <c r="WJX65" s="5"/>
      <c r="WJY65" s="5"/>
      <c r="WJZ65" s="5"/>
      <c r="WKA65" s="5"/>
      <c r="WKB65" s="5"/>
      <c r="WKC65" s="5"/>
      <c r="WKD65" s="5"/>
      <c r="WKE65" s="5"/>
      <c r="WKF65" s="5"/>
      <c r="WKG65" s="5"/>
      <c r="WKH65" s="5"/>
      <c r="WKI65" s="5"/>
      <c r="WKJ65" s="5"/>
      <c r="WKK65" s="5"/>
      <c r="WKL65" s="5"/>
      <c r="WKM65" s="5"/>
      <c r="WKN65" s="5"/>
      <c r="WKO65" s="5"/>
      <c r="WKP65" s="5"/>
      <c r="WKQ65" s="5"/>
      <c r="WKR65" s="5"/>
      <c r="WKS65" s="5"/>
      <c r="WKT65" s="5"/>
      <c r="WKU65" s="5"/>
      <c r="WKV65" s="5"/>
      <c r="WKW65" s="5"/>
      <c r="WKX65" s="5"/>
      <c r="WKY65" s="5"/>
      <c r="WKZ65" s="5"/>
      <c r="WLA65" s="5"/>
      <c r="WLB65" s="5"/>
      <c r="WLC65" s="5"/>
      <c r="WLD65" s="5"/>
      <c r="WLE65" s="5"/>
      <c r="WLF65" s="5"/>
      <c r="WLG65" s="5"/>
      <c r="WLH65" s="5"/>
      <c r="WLI65" s="5"/>
      <c r="WLJ65" s="5"/>
      <c r="WLK65" s="5"/>
      <c r="WLL65" s="5"/>
      <c r="WLM65" s="5"/>
      <c r="WLN65" s="5"/>
      <c r="WLO65" s="5"/>
      <c r="WLP65" s="5"/>
      <c r="WLQ65" s="5"/>
      <c r="WLR65" s="5"/>
      <c r="WLS65" s="5"/>
      <c r="WLT65" s="5"/>
      <c r="WLU65" s="5"/>
      <c r="WLV65" s="5"/>
      <c r="WLW65" s="5"/>
      <c r="WLX65" s="5"/>
      <c r="WLY65" s="5"/>
      <c r="WLZ65" s="5"/>
      <c r="WMA65" s="5"/>
      <c r="WMB65" s="5"/>
      <c r="WMC65" s="5"/>
      <c r="WMD65" s="5"/>
      <c r="WME65" s="5"/>
      <c r="WMF65" s="5"/>
      <c r="WMG65" s="5"/>
      <c r="WMH65" s="5"/>
      <c r="WMI65" s="5"/>
      <c r="WMJ65" s="5"/>
      <c r="WMK65" s="5"/>
      <c r="WML65" s="5"/>
      <c r="WMM65" s="5"/>
      <c r="WMN65" s="5"/>
      <c r="WMO65" s="5"/>
      <c r="WMP65" s="5"/>
      <c r="WMQ65" s="5"/>
      <c r="WMR65" s="5"/>
      <c r="WMS65" s="5"/>
      <c r="WMT65" s="5"/>
      <c r="WMU65" s="5"/>
      <c r="WMV65" s="5"/>
      <c r="WMW65" s="5"/>
      <c r="WMX65" s="5"/>
      <c r="WMY65" s="5"/>
      <c r="WMZ65" s="5"/>
      <c r="WNA65" s="5"/>
      <c r="WNB65" s="5"/>
      <c r="WNC65" s="5"/>
      <c r="WND65" s="5"/>
      <c r="WNE65" s="5"/>
      <c r="WNF65" s="5"/>
      <c r="WNG65" s="5"/>
      <c r="WNH65" s="5"/>
      <c r="WNI65" s="5"/>
      <c r="WNJ65" s="5"/>
      <c r="WNK65" s="5"/>
      <c r="WNL65" s="5"/>
      <c r="WNM65" s="5"/>
      <c r="WNN65" s="5"/>
      <c r="WNO65" s="5"/>
      <c r="WNP65" s="5"/>
      <c r="WNQ65" s="5"/>
      <c r="WNR65" s="5"/>
      <c r="WNS65" s="5"/>
      <c r="WNT65" s="5"/>
      <c r="WNU65" s="5"/>
      <c r="WNV65" s="5"/>
      <c r="WNW65" s="5"/>
      <c r="WNX65" s="5"/>
      <c r="WNY65" s="5"/>
      <c r="WNZ65" s="5"/>
      <c r="WOA65" s="5"/>
      <c r="WOB65" s="5"/>
      <c r="WOC65" s="5"/>
      <c r="WOD65" s="5"/>
      <c r="WOE65" s="5"/>
      <c r="WOF65" s="5"/>
      <c r="WOG65" s="5"/>
      <c r="WOH65" s="5"/>
      <c r="WOI65" s="5"/>
      <c r="WOJ65" s="5"/>
      <c r="WOK65" s="5"/>
      <c r="WOL65" s="5"/>
      <c r="WOM65" s="5"/>
      <c r="WON65" s="5"/>
      <c r="WOO65" s="5"/>
      <c r="WOP65" s="5"/>
      <c r="WOQ65" s="5"/>
      <c r="WOR65" s="5"/>
      <c r="WOS65" s="5"/>
      <c r="WOT65" s="5"/>
      <c r="WOU65" s="5"/>
      <c r="WOV65" s="5"/>
      <c r="WOW65" s="5"/>
      <c r="WOX65" s="5"/>
      <c r="WOY65" s="5"/>
      <c r="WOZ65" s="5"/>
      <c r="WPA65" s="5"/>
      <c r="WPB65" s="5"/>
      <c r="WPC65" s="5"/>
      <c r="WPD65" s="5"/>
      <c r="WPE65" s="5"/>
      <c r="WPF65" s="5"/>
      <c r="WPG65" s="5"/>
      <c r="WPH65" s="5"/>
      <c r="WPI65" s="5"/>
      <c r="WPJ65" s="5"/>
      <c r="WPK65" s="5"/>
      <c r="WPL65" s="5"/>
      <c r="WPM65" s="5"/>
      <c r="WPN65" s="5"/>
      <c r="WPO65" s="5"/>
      <c r="WPP65" s="5"/>
      <c r="WPQ65" s="5"/>
      <c r="WPR65" s="5"/>
      <c r="WPS65" s="5"/>
      <c r="WPT65" s="5"/>
      <c r="WPU65" s="5"/>
      <c r="WPV65" s="5"/>
      <c r="WPW65" s="5"/>
      <c r="WPX65" s="5"/>
      <c r="WPY65" s="5"/>
      <c r="WPZ65" s="5"/>
      <c r="WQA65" s="5"/>
      <c r="WQB65" s="5"/>
      <c r="WQC65" s="5"/>
      <c r="WQD65" s="5"/>
      <c r="WQE65" s="5"/>
      <c r="WQF65" s="5"/>
      <c r="WQG65" s="5"/>
      <c r="WQH65" s="5"/>
      <c r="WQI65" s="5"/>
      <c r="WQJ65" s="5"/>
      <c r="WQK65" s="5"/>
      <c r="WQL65" s="5"/>
      <c r="WQM65" s="5"/>
      <c r="WQN65" s="5"/>
      <c r="WQO65" s="5"/>
      <c r="WQP65" s="5"/>
      <c r="WQQ65" s="5"/>
      <c r="WQR65" s="5"/>
      <c r="WQS65" s="5"/>
      <c r="WQT65" s="5"/>
      <c r="WQU65" s="5"/>
      <c r="WQV65" s="5"/>
      <c r="WQW65" s="5"/>
      <c r="WQX65" s="5"/>
      <c r="WQY65" s="5"/>
      <c r="WQZ65" s="5"/>
      <c r="WRA65" s="5"/>
      <c r="WRB65" s="5"/>
      <c r="WRC65" s="5"/>
      <c r="WRD65" s="5"/>
      <c r="WRE65" s="5"/>
      <c r="WRF65" s="5"/>
      <c r="WRG65" s="5"/>
      <c r="WRH65" s="5"/>
      <c r="WRI65" s="5"/>
      <c r="WRJ65" s="5"/>
      <c r="WRK65" s="5"/>
      <c r="WRL65" s="5"/>
      <c r="WRM65" s="5"/>
      <c r="WRN65" s="5"/>
      <c r="WRO65" s="5"/>
      <c r="WRP65" s="5"/>
      <c r="WRQ65" s="5"/>
      <c r="WRR65" s="5"/>
      <c r="WRS65" s="5"/>
      <c r="WRT65" s="5"/>
      <c r="WRU65" s="5"/>
      <c r="WRV65" s="5"/>
      <c r="WRW65" s="5"/>
      <c r="WRX65" s="5"/>
      <c r="WRY65" s="5"/>
      <c r="WRZ65" s="5"/>
      <c r="WSA65" s="5"/>
      <c r="WSB65" s="5"/>
      <c r="WSC65" s="5"/>
      <c r="WSD65" s="5"/>
      <c r="WSE65" s="5"/>
      <c r="WSF65" s="5"/>
      <c r="WSG65" s="5"/>
      <c r="WSH65" s="5"/>
      <c r="WSI65" s="5"/>
      <c r="WSJ65" s="5"/>
      <c r="WSK65" s="5"/>
      <c r="WSL65" s="5"/>
      <c r="WSM65" s="5"/>
      <c r="WSN65" s="5"/>
      <c r="WSO65" s="5"/>
      <c r="WSP65" s="5"/>
      <c r="WSQ65" s="5"/>
      <c r="WSR65" s="5"/>
      <c r="WSS65" s="5"/>
      <c r="WST65" s="5"/>
      <c r="WSU65" s="5"/>
      <c r="WSV65" s="5"/>
      <c r="WSW65" s="5"/>
      <c r="WSX65" s="5"/>
      <c r="WSY65" s="5"/>
      <c r="WSZ65" s="5"/>
      <c r="WTA65" s="5"/>
      <c r="WTB65" s="5"/>
      <c r="WTC65" s="5"/>
      <c r="WTD65" s="5"/>
      <c r="WTE65" s="5"/>
      <c r="WTF65" s="5"/>
      <c r="WTG65" s="5"/>
      <c r="WTH65" s="5"/>
      <c r="WTI65" s="5"/>
      <c r="WTJ65" s="5"/>
      <c r="WTK65" s="5"/>
      <c r="WTL65" s="5"/>
      <c r="WTM65" s="5"/>
      <c r="WTN65" s="5"/>
      <c r="WTO65" s="5"/>
      <c r="WTP65" s="5"/>
      <c r="WTQ65" s="5"/>
      <c r="WTR65" s="5"/>
      <c r="WTS65" s="5"/>
      <c r="WTT65" s="5"/>
      <c r="WTU65" s="5"/>
      <c r="WTV65" s="5"/>
      <c r="WTW65" s="5"/>
      <c r="WTX65" s="5"/>
      <c r="WTY65" s="5"/>
      <c r="WTZ65" s="5"/>
      <c r="WUA65" s="5"/>
      <c r="WUB65" s="5"/>
      <c r="WUC65" s="5"/>
      <c r="WUD65" s="5"/>
      <c r="WUE65" s="5"/>
      <c r="WUF65" s="5"/>
      <c r="WUG65" s="5"/>
      <c r="WUH65" s="5"/>
      <c r="WUI65" s="5"/>
      <c r="WUJ65" s="5"/>
      <c r="WUK65" s="5"/>
      <c r="WUL65" s="5"/>
      <c r="WUM65" s="5"/>
      <c r="WUN65" s="5"/>
      <c r="WUO65" s="5"/>
      <c r="WUP65" s="5"/>
      <c r="WUQ65" s="5"/>
      <c r="WUR65" s="5"/>
      <c r="WUS65" s="5"/>
      <c r="WUT65" s="5"/>
      <c r="WUU65" s="5"/>
      <c r="WUV65" s="5"/>
      <c r="WUW65" s="5"/>
      <c r="WUX65" s="5"/>
      <c r="WUY65" s="5"/>
      <c r="WUZ65" s="5"/>
      <c r="WVA65" s="5"/>
      <c r="WVB65" s="5"/>
      <c r="WVC65" s="5"/>
      <c r="WVD65" s="5"/>
      <c r="WVE65" s="5"/>
      <c r="WVF65" s="5"/>
      <c r="WVG65" s="5"/>
      <c r="WVH65" s="5"/>
      <c r="WVI65" s="5"/>
      <c r="WVJ65" s="5"/>
      <c r="WVK65" s="5"/>
      <c r="WVL65" s="5"/>
      <c r="WVM65" s="5"/>
      <c r="WVN65" s="5"/>
      <c r="WVO65" s="5"/>
      <c r="WVP65" s="5"/>
      <c r="WVQ65" s="5"/>
      <c r="WVR65" s="5"/>
      <c r="WVS65" s="5"/>
      <c r="WVT65" s="5"/>
      <c r="WVU65" s="5"/>
      <c r="WVV65" s="5"/>
      <c r="WVW65" s="5"/>
      <c r="WVX65" s="5"/>
      <c r="WVY65" s="5"/>
      <c r="WVZ65" s="5"/>
      <c r="WWA65" s="5"/>
      <c r="WWB65" s="5"/>
      <c r="WWC65" s="5"/>
      <c r="WWD65" s="5"/>
      <c r="WWE65" s="5"/>
      <c r="WWF65" s="5"/>
      <c r="WWG65" s="5"/>
      <c r="WWH65" s="5"/>
      <c r="WWI65" s="5"/>
      <c r="WWJ65" s="5"/>
      <c r="WWK65" s="5"/>
      <c r="WWL65" s="5"/>
      <c r="WWM65" s="5"/>
      <c r="WWN65" s="5"/>
      <c r="WWO65" s="5"/>
      <c r="WWP65" s="5"/>
      <c r="WWQ65" s="5"/>
      <c r="WWR65" s="5"/>
      <c r="WWS65" s="5"/>
      <c r="WWT65" s="5"/>
      <c r="WWU65" s="5"/>
      <c r="WWV65" s="5"/>
      <c r="WWW65" s="5"/>
      <c r="WWX65" s="5"/>
      <c r="WWY65" s="5"/>
      <c r="WWZ65" s="5"/>
      <c r="WXA65" s="5"/>
      <c r="WXB65" s="5"/>
      <c r="WXC65" s="5"/>
      <c r="WXD65" s="5"/>
      <c r="WXE65" s="5"/>
      <c r="WXF65" s="5"/>
      <c r="WXG65" s="5"/>
      <c r="WXH65" s="5"/>
      <c r="WXI65" s="5"/>
      <c r="WXJ65" s="5"/>
      <c r="WXK65" s="5"/>
      <c r="WXL65" s="5"/>
      <c r="WXM65" s="5"/>
      <c r="WXN65" s="5"/>
      <c r="WXO65" s="5"/>
      <c r="WXP65" s="5"/>
      <c r="WXQ65" s="5"/>
      <c r="WXR65" s="5"/>
      <c r="WXS65" s="5"/>
      <c r="WXT65" s="5"/>
      <c r="WXU65" s="5"/>
      <c r="WXV65" s="5"/>
      <c r="WXW65" s="5"/>
      <c r="WXX65" s="5"/>
      <c r="WXY65" s="5"/>
      <c r="WXZ65" s="5"/>
      <c r="WYA65" s="5"/>
      <c r="WYB65" s="5"/>
      <c r="WYC65" s="5"/>
      <c r="WYD65" s="5"/>
      <c r="WYE65" s="5"/>
      <c r="WYF65" s="5"/>
      <c r="WYG65" s="5"/>
      <c r="WYH65" s="5"/>
      <c r="WYI65" s="5"/>
      <c r="WYJ65" s="5"/>
      <c r="WYK65" s="5"/>
      <c r="WYL65" s="5"/>
      <c r="WYM65" s="5"/>
      <c r="WYN65" s="5"/>
      <c r="WYO65" s="5"/>
      <c r="WYP65" s="5"/>
      <c r="WYQ65" s="5"/>
      <c r="WYR65" s="5"/>
      <c r="WYS65" s="5"/>
      <c r="WYT65" s="5"/>
      <c r="WYU65" s="5"/>
      <c r="WYV65" s="5"/>
      <c r="WYW65" s="5"/>
      <c r="WYX65" s="5"/>
      <c r="WYY65" s="5"/>
      <c r="WYZ65" s="5"/>
      <c r="WZA65" s="5"/>
      <c r="WZB65" s="5"/>
      <c r="WZC65" s="5"/>
      <c r="WZD65" s="5"/>
      <c r="WZE65" s="5"/>
      <c r="WZF65" s="5"/>
      <c r="WZG65" s="5"/>
      <c r="WZH65" s="5"/>
      <c r="WZI65" s="5"/>
      <c r="WZJ65" s="5"/>
      <c r="WZK65" s="5"/>
      <c r="WZL65" s="5"/>
      <c r="WZM65" s="5"/>
      <c r="WZN65" s="5"/>
      <c r="WZO65" s="5"/>
      <c r="WZP65" s="5"/>
      <c r="WZQ65" s="5"/>
      <c r="WZR65" s="5"/>
      <c r="WZS65" s="5"/>
      <c r="WZT65" s="5"/>
      <c r="WZU65" s="5"/>
      <c r="WZV65" s="5"/>
      <c r="WZW65" s="5"/>
      <c r="WZX65" s="5"/>
      <c r="WZY65" s="5"/>
      <c r="WZZ65" s="5"/>
      <c r="XAA65" s="5"/>
      <c r="XAB65" s="5"/>
      <c r="XAC65" s="5"/>
      <c r="XAD65" s="5"/>
      <c r="XAE65" s="5"/>
      <c r="XAF65" s="5"/>
      <c r="XAG65" s="5"/>
      <c r="XAH65" s="5"/>
      <c r="XAI65" s="5"/>
      <c r="XAJ65" s="5"/>
      <c r="XAK65" s="5"/>
      <c r="XAL65" s="5"/>
      <c r="XAM65" s="5"/>
      <c r="XAN65" s="5"/>
      <c r="XAO65" s="5"/>
      <c r="XAP65" s="5"/>
      <c r="XAQ65" s="5"/>
      <c r="XAR65" s="5"/>
      <c r="XAS65" s="5"/>
      <c r="XAT65" s="5"/>
      <c r="XAU65" s="5"/>
      <c r="XAV65" s="5"/>
      <c r="XAW65" s="5"/>
      <c r="XAX65" s="5"/>
      <c r="XAY65" s="5"/>
      <c r="XAZ65" s="5"/>
      <c r="XBA65" s="5"/>
      <c r="XBB65" s="5"/>
      <c r="XBC65" s="5"/>
      <c r="XBD65" s="5"/>
      <c r="XBE65" s="5"/>
      <c r="XBF65" s="5"/>
      <c r="XBG65" s="5"/>
      <c r="XBH65" s="5"/>
      <c r="XBI65" s="5"/>
      <c r="XBJ65" s="5"/>
      <c r="XBK65" s="5"/>
      <c r="XBL65" s="5"/>
      <c r="XBM65" s="5"/>
      <c r="XBN65" s="5"/>
      <c r="XBO65" s="5"/>
      <c r="XBP65" s="5"/>
      <c r="XBQ65" s="5"/>
      <c r="XBR65" s="5"/>
      <c r="XBS65" s="5"/>
      <c r="XBT65" s="5"/>
      <c r="XBU65" s="5"/>
      <c r="XBV65" s="5"/>
      <c r="XBW65" s="5"/>
      <c r="XBX65" s="5"/>
      <c r="XBY65" s="5"/>
      <c r="XBZ65" s="5"/>
      <c r="XCA65" s="5"/>
      <c r="XCB65" s="5"/>
      <c r="XCC65" s="5"/>
      <c r="XCD65" s="5"/>
      <c r="XCE65" s="5"/>
      <c r="XCF65" s="5"/>
      <c r="XCG65" s="5"/>
      <c r="XCH65" s="5"/>
      <c r="XCI65" s="5"/>
      <c r="XCJ65" s="5"/>
      <c r="XCK65" s="5"/>
      <c r="XCL65" s="5"/>
      <c r="XCM65" s="5"/>
      <c r="XCN65" s="5"/>
      <c r="XCO65" s="5"/>
      <c r="XCP65" s="5"/>
      <c r="XCQ65" s="5"/>
      <c r="XCR65" s="5"/>
      <c r="XCS65" s="5"/>
      <c r="XCT65" s="5"/>
      <c r="XCU65" s="5"/>
      <c r="XCV65" s="5"/>
      <c r="XCW65" s="5"/>
      <c r="XCX65" s="5"/>
      <c r="XCY65" s="5"/>
      <c r="XCZ65" s="5"/>
      <c r="XDA65" s="5"/>
      <c r="XDB65" s="5"/>
      <c r="XDC65" s="5"/>
      <c r="XDD65" s="5"/>
      <c r="XDE65" s="5"/>
      <c r="XDF65" s="5"/>
      <c r="XDG65" s="5"/>
      <c r="XDH65" s="5"/>
      <c r="XDI65" s="5"/>
      <c r="XDJ65" s="5"/>
      <c r="XDK65" s="5"/>
      <c r="XDL65" s="5"/>
      <c r="XDM65" s="5"/>
      <c r="XDN65" s="5"/>
      <c r="XDO65" s="5"/>
      <c r="XDP65" s="5"/>
      <c r="XDQ65" s="5"/>
      <c r="XDR65" s="5"/>
      <c r="XDS65" s="5"/>
      <c r="XDT65" s="5"/>
      <c r="XDU65" s="5"/>
      <c r="XDV65" s="5"/>
      <c r="XDW65" s="5"/>
      <c r="XDX65" s="5"/>
      <c r="XDY65" s="5"/>
      <c r="XDZ65" s="5"/>
      <c r="XEA65" s="5"/>
      <c r="XEB65" s="5"/>
      <c r="XEC65" s="5"/>
    </row>
  </sheetData>
  <mergeCells count="2918">
    <mergeCell ref="XDQ49:XEC49"/>
    <mergeCell ref="WXC49:WXS49"/>
    <mergeCell ref="WXT49:WYJ49"/>
    <mergeCell ref="WYK49:WZA49"/>
    <mergeCell ref="WZB49:WZR49"/>
    <mergeCell ref="WZS49:XAI49"/>
    <mergeCell ref="XAJ49:XAZ49"/>
    <mergeCell ref="WTE49:WTU49"/>
    <mergeCell ref="WTV49:WUL49"/>
    <mergeCell ref="WUM49:WVC49"/>
    <mergeCell ref="WVD49:WVT49"/>
    <mergeCell ref="WVU49:WWK49"/>
    <mergeCell ref="WWL49:WXB49"/>
    <mergeCell ref="WNH49:WNX49"/>
    <mergeCell ref="WNY49:WOO49"/>
    <mergeCell ref="WOP49:WPF49"/>
    <mergeCell ref="VWY49:VXO49"/>
    <mergeCell ref="VXP49:VYF49"/>
    <mergeCell ref="VYG49:VYW49"/>
    <mergeCell ref="VYX49:VZN49"/>
    <mergeCell ref="WPG49:WPW49"/>
    <mergeCell ref="WPX49:WQN49"/>
    <mergeCell ref="WQO49:WRE49"/>
    <mergeCell ref="WRF49:WRV49"/>
    <mergeCell ref="WRW49:WSM49"/>
    <mergeCell ref="WSN49:WTD49"/>
    <mergeCell ref="WLI49:WLY49"/>
    <mergeCell ref="WLZ49:WMP49"/>
    <mergeCell ref="WMQ49:WNG49"/>
    <mergeCell ref="XBA49:XBQ49"/>
    <mergeCell ref="XBR49:XCH49"/>
    <mergeCell ref="XCI49:XCY49"/>
    <mergeCell ref="XCZ49:XDP49"/>
    <mergeCell ref="WHK49:WIA49"/>
    <mergeCell ref="WIB49:WIR49"/>
    <mergeCell ref="WIS49:WJI49"/>
    <mergeCell ref="WJJ49:WJZ49"/>
    <mergeCell ref="WKA49:WKQ49"/>
    <mergeCell ref="WKR49:WLH49"/>
    <mergeCell ref="VRS49:VSI49"/>
    <mergeCell ref="VSJ49:VSZ49"/>
    <mergeCell ref="VTA49:VTQ49"/>
    <mergeCell ref="VTR49:VUH49"/>
    <mergeCell ref="VUI49:VUY49"/>
    <mergeCell ref="VUZ49:VVP49"/>
    <mergeCell ref="VNU49:VOK49"/>
    <mergeCell ref="VOL49:VPB49"/>
    <mergeCell ref="VPC49:VPS49"/>
    <mergeCell ref="VPT49:VQJ49"/>
    <mergeCell ref="VQK49:VRA49"/>
    <mergeCell ref="VRB49:VRR49"/>
    <mergeCell ref="WDM49:WEC49"/>
    <mergeCell ref="WED49:WET49"/>
    <mergeCell ref="WEU49:WFK49"/>
    <mergeCell ref="WFL49:WGB49"/>
    <mergeCell ref="WGC49:WGS49"/>
    <mergeCell ref="WGT49:WHJ49"/>
    <mergeCell ref="VZO49:WAE49"/>
    <mergeCell ref="WAF49:WAV49"/>
    <mergeCell ref="WAW49:WBM49"/>
    <mergeCell ref="WBN49:WCD49"/>
    <mergeCell ref="WCE49:WCU49"/>
    <mergeCell ref="WCV49:WDL49"/>
    <mergeCell ref="VVQ49:VWG49"/>
    <mergeCell ref="VWH49:VWX49"/>
    <mergeCell ref="VJW49:VKM49"/>
    <mergeCell ref="VKN49:VLD49"/>
    <mergeCell ref="VLE49:VLU49"/>
    <mergeCell ref="VLV49:VML49"/>
    <mergeCell ref="VMM49:VNC49"/>
    <mergeCell ref="VND49:VNT49"/>
    <mergeCell ref="VFY49:VGO49"/>
    <mergeCell ref="VGP49:VHF49"/>
    <mergeCell ref="VHG49:VHW49"/>
    <mergeCell ref="VHX49:VIN49"/>
    <mergeCell ref="VIO49:VJE49"/>
    <mergeCell ref="VJF49:VJV49"/>
    <mergeCell ref="VCA49:VCQ49"/>
    <mergeCell ref="VCR49:VDH49"/>
    <mergeCell ref="VDI49:VDY49"/>
    <mergeCell ref="VDZ49:VEP49"/>
    <mergeCell ref="VEQ49:VFG49"/>
    <mergeCell ref="VFH49:VFX49"/>
    <mergeCell ref="UYC49:UYS49"/>
    <mergeCell ref="UYT49:UZJ49"/>
    <mergeCell ref="UZK49:VAA49"/>
    <mergeCell ref="VAB49:VAR49"/>
    <mergeCell ref="VAS49:VBI49"/>
    <mergeCell ref="VBJ49:VBZ49"/>
    <mergeCell ref="UUE49:UUU49"/>
    <mergeCell ref="UUV49:UVL49"/>
    <mergeCell ref="UVM49:UWC49"/>
    <mergeCell ref="UWD49:UWT49"/>
    <mergeCell ref="UWU49:UXK49"/>
    <mergeCell ref="UXL49:UYB49"/>
    <mergeCell ref="UQG49:UQW49"/>
    <mergeCell ref="UQX49:URN49"/>
    <mergeCell ref="URO49:USE49"/>
    <mergeCell ref="USF49:USV49"/>
    <mergeCell ref="USW49:UTM49"/>
    <mergeCell ref="UTN49:UUD49"/>
    <mergeCell ref="UMI49:UMY49"/>
    <mergeCell ref="UMZ49:UNP49"/>
    <mergeCell ref="UNQ49:UOG49"/>
    <mergeCell ref="UOH49:UOX49"/>
    <mergeCell ref="UOY49:UPO49"/>
    <mergeCell ref="UPP49:UQF49"/>
    <mergeCell ref="UIK49:UJA49"/>
    <mergeCell ref="UJB49:UJR49"/>
    <mergeCell ref="UJS49:UKI49"/>
    <mergeCell ref="UKJ49:UKZ49"/>
    <mergeCell ref="ULA49:ULQ49"/>
    <mergeCell ref="ULR49:UMH49"/>
    <mergeCell ref="UEM49:UFC49"/>
    <mergeCell ref="UFD49:UFT49"/>
    <mergeCell ref="UFU49:UGK49"/>
    <mergeCell ref="UGL49:UHB49"/>
    <mergeCell ref="UHC49:UHS49"/>
    <mergeCell ref="UHT49:UIJ49"/>
    <mergeCell ref="UAO49:UBE49"/>
    <mergeCell ref="UBF49:UBV49"/>
    <mergeCell ref="UBW49:UCM49"/>
    <mergeCell ref="UCN49:UDD49"/>
    <mergeCell ref="UDE49:UDU49"/>
    <mergeCell ref="UDV49:UEL49"/>
    <mergeCell ref="TWQ49:TXG49"/>
    <mergeCell ref="TXH49:TXX49"/>
    <mergeCell ref="TXY49:TYO49"/>
    <mergeCell ref="TYP49:TZF49"/>
    <mergeCell ref="TZG49:TZW49"/>
    <mergeCell ref="TZX49:UAN49"/>
    <mergeCell ref="TSS49:TTI49"/>
    <mergeCell ref="TTJ49:TTZ49"/>
    <mergeCell ref="TUA49:TUQ49"/>
    <mergeCell ref="TUR49:TVH49"/>
    <mergeCell ref="TVI49:TVY49"/>
    <mergeCell ref="TVZ49:TWP49"/>
    <mergeCell ref="TOU49:TPK49"/>
    <mergeCell ref="TPL49:TQB49"/>
    <mergeCell ref="TQC49:TQS49"/>
    <mergeCell ref="TQT49:TRJ49"/>
    <mergeCell ref="TRK49:TSA49"/>
    <mergeCell ref="TSB49:TSR49"/>
    <mergeCell ref="TKW49:TLM49"/>
    <mergeCell ref="TLN49:TMD49"/>
    <mergeCell ref="TME49:TMU49"/>
    <mergeCell ref="TMV49:TNL49"/>
    <mergeCell ref="TNM49:TOC49"/>
    <mergeCell ref="TOD49:TOT49"/>
    <mergeCell ref="TGY49:THO49"/>
    <mergeCell ref="THP49:TIF49"/>
    <mergeCell ref="TIG49:TIW49"/>
    <mergeCell ref="TIX49:TJN49"/>
    <mergeCell ref="TJO49:TKE49"/>
    <mergeCell ref="TKF49:TKV49"/>
    <mergeCell ref="TDA49:TDQ49"/>
    <mergeCell ref="TDR49:TEH49"/>
    <mergeCell ref="TEI49:TEY49"/>
    <mergeCell ref="TEZ49:TFP49"/>
    <mergeCell ref="TFQ49:TGG49"/>
    <mergeCell ref="TGH49:TGX49"/>
    <mergeCell ref="SZC49:SZS49"/>
    <mergeCell ref="SZT49:TAJ49"/>
    <mergeCell ref="TAK49:TBA49"/>
    <mergeCell ref="TBB49:TBR49"/>
    <mergeCell ref="TBS49:TCI49"/>
    <mergeCell ref="TCJ49:TCZ49"/>
    <mergeCell ref="SVE49:SVU49"/>
    <mergeCell ref="SVV49:SWL49"/>
    <mergeCell ref="SWM49:SXC49"/>
    <mergeCell ref="SXD49:SXT49"/>
    <mergeCell ref="SXU49:SYK49"/>
    <mergeCell ref="SYL49:SZB49"/>
    <mergeCell ref="SRG49:SRW49"/>
    <mergeCell ref="SRX49:SSN49"/>
    <mergeCell ref="SSO49:STE49"/>
    <mergeCell ref="STF49:STV49"/>
    <mergeCell ref="STW49:SUM49"/>
    <mergeCell ref="SUN49:SVD49"/>
    <mergeCell ref="SNI49:SNY49"/>
    <mergeCell ref="SNZ49:SOP49"/>
    <mergeCell ref="SOQ49:SPG49"/>
    <mergeCell ref="SPH49:SPX49"/>
    <mergeCell ref="SPY49:SQO49"/>
    <mergeCell ref="SQP49:SRF49"/>
    <mergeCell ref="SJK49:SKA49"/>
    <mergeCell ref="SKB49:SKR49"/>
    <mergeCell ref="SKS49:SLI49"/>
    <mergeCell ref="SLJ49:SLZ49"/>
    <mergeCell ref="SMA49:SMQ49"/>
    <mergeCell ref="SMR49:SNH49"/>
    <mergeCell ref="SFM49:SGC49"/>
    <mergeCell ref="SGD49:SGT49"/>
    <mergeCell ref="SGU49:SHK49"/>
    <mergeCell ref="SHL49:SIB49"/>
    <mergeCell ref="SIC49:SIS49"/>
    <mergeCell ref="SIT49:SJJ49"/>
    <mergeCell ref="SBO49:SCE49"/>
    <mergeCell ref="SCF49:SCV49"/>
    <mergeCell ref="SCW49:SDM49"/>
    <mergeCell ref="SDN49:SED49"/>
    <mergeCell ref="SEE49:SEU49"/>
    <mergeCell ref="SEV49:SFL49"/>
    <mergeCell ref="RXQ49:RYG49"/>
    <mergeCell ref="RYH49:RYX49"/>
    <mergeCell ref="RYY49:RZO49"/>
    <mergeCell ref="RZP49:SAF49"/>
    <mergeCell ref="SAG49:SAW49"/>
    <mergeCell ref="SAX49:SBN49"/>
    <mergeCell ref="RTS49:RUI49"/>
    <mergeCell ref="RUJ49:RUZ49"/>
    <mergeCell ref="RVA49:RVQ49"/>
    <mergeCell ref="RVR49:RWH49"/>
    <mergeCell ref="RWI49:RWY49"/>
    <mergeCell ref="RWZ49:RXP49"/>
    <mergeCell ref="RPU49:RQK49"/>
    <mergeCell ref="RQL49:RRB49"/>
    <mergeCell ref="RRC49:RRS49"/>
    <mergeCell ref="RRT49:RSJ49"/>
    <mergeCell ref="RSK49:RTA49"/>
    <mergeCell ref="RTB49:RTR49"/>
    <mergeCell ref="RLW49:RMM49"/>
    <mergeCell ref="RMN49:RND49"/>
    <mergeCell ref="RNE49:RNU49"/>
    <mergeCell ref="RNV49:ROL49"/>
    <mergeCell ref="ROM49:RPC49"/>
    <mergeCell ref="RPD49:RPT49"/>
    <mergeCell ref="RHY49:RIO49"/>
    <mergeCell ref="RIP49:RJF49"/>
    <mergeCell ref="RJG49:RJW49"/>
    <mergeCell ref="RJX49:RKN49"/>
    <mergeCell ref="RKO49:RLE49"/>
    <mergeCell ref="RLF49:RLV49"/>
    <mergeCell ref="REA49:REQ49"/>
    <mergeCell ref="RER49:RFH49"/>
    <mergeCell ref="RFI49:RFY49"/>
    <mergeCell ref="RFZ49:RGP49"/>
    <mergeCell ref="RGQ49:RHG49"/>
    <mergeCell ref="RHH49:RHX49"/>
    <mergeCell ref="RAC49:RAS49"/>
    <mergeCell ref="RAT49:RBJ49"/>
    <mergeCell ref="RBK49:RCA49"/>
    <mergeCell ref="RCB49:RCR49"/>
    <mergeCell ref="RCS49:RDI49"/>
    <mergeCell ref="RDJ49:RDZ49"/>
    <mergeCell ref="QWE49:QWU49"/>
    <mergeCell ref="QWV49:QXL49"/>
    <mergeCell ref="QXM49:QYC49"/>
    <mergeCell ref="QYD49:QYT49"/>
    <mergeCell ref="QYU49:QZK49"/>
    <mergeCell ref="QZL49:RAB49"/>
    <mergeCell ref="QSG49:QSW49"/>
    <mergeCell ref="QSX49:QTN49"/>
    <mergeCell ref="QTO49:QUE49"/>
    <mergeCell ref="QUF49:QUV49"/>
    <mergeCell ref="QUW49:QVM49"/>
    <mergeCell ref="QVN49:QWD49"/>
    <mergeCell ref="QOI49:QOY49"/>
    <mergeCell ref="QOZ49:QPP49"/>
    <mergeCell ref="QPQ49:QQG49"/>
    <mergeCell ref="QQH49:QQX49"/>
    <mergeCell ref="QQY49:QRO49"/>
    <mergeCell ref="QRP49:QSF49"/>
    <mergeCell ref="QKK49:QLA49"/>
    <mergeCell ref="QLB49:QLR49"/>
    <mergeCell ref="QLS49:QMI49"/>
    <mergeCell ref="QMJ49:QMZ49"/>
    <mergeCell ref="QNA49:QNQ49"/>
    <mergeCell ref="QNR49:QOH49"/>
    <mergeCell ref="QGM49:QHC49"/>
    <mergeCell ref="QHD49:QHT49"/>
    <mergeCell ref="QHU49:QIK49"/>
    <mergeCell ref="QIL49:QJB49"/>
    <mergeCell ref="QJC49:QJS49"/>
    <mergeCell ref="QJT49:QKJ49"/>
    <mergeCell ref="QCO49:QDE49"/>
    <mergeCell ref="QDF49:QDV49"/>
    <mergeCell ref="QDW49:QEM49"/>
    <mergeCell ref="QEN49:QFD49"/>
    <mergeCell ref="QFE49:QFU49"/>
    <mergeCell ref="QFV49:QGL49"/>
    <mergeCell ref="PYQ49:PZG49"/>
    <mergeCell ref="PZH49:PZX49"/>
    <mergeCell ref="PZY49:QAO49"/>
    <mergeCell ref="QAP49:QBF49"/>
    <mergeCell ref="QBG49:QBW49"/>
    <mergeCell ref="QBX49:QCN49"/>
    <mergeCell ref="PUS49:PVI49"/>
    <mergeCell ref="PVJ49:PVZ49"/>
    <mergeCell ref="PWA49:PWQ49"/>
    <mergeCell ref="PWR49:PXH49"/>
    <mergeCell ref="PXI49:PXY49"/>
    <mergeCell ref="PXZ49:PYP49"/>
    <mergeCell ref="PQU49:PRK49"/>
    <mergeCell ref="PRL49:PSB49"/>
    <mergeCell ref="PSC49:PSS49"/>
    <mergeCell ref="PST49:PTJ49"/>
    <mergeCell ref="PTK49:PUA49"/>
    <mergeCell ref="PUB49:PUR49"/>
    <mergeCell ref="PMW49:PNM49"/>
    <mergeCell ref="PNN49:POD49"/>
    <mergeCell ref="POE49:POU49"/>
    <mergeCell ref="POV49:PPL49"/>
    <mergeCell ref="PPM49:PQC49"/>
    <mergeCell ref="PQD49:PQT49"/>
    <mergeCell ref="PIY49:PJO49"/>
    <mergeCell ref="PJP49:PKF49"/>
    <mergeCell ref="PKG49:PKW49"/>
    <mergeCell ref="PKX49:PLN49"/>
    <mergeCell ref="PLO49:PME49"/>
    <mergeCell ref="PMF49:PMV49"/>
    <mergeCell ref="PFA49:PFQ49"/>
    <mergeCell ref="PFR49:PGH49"/>
    <mergeCell ref="PGI49:PGY49"/>
    <mergeCell ref="PGZ49:PHP49"/>
    <mergeCell ref="PHQ49:PIG49"/>
    <mergeCell ref="PIH49:PIX49"/>
    <mergeCell ref="PBC49:PBS49"/>
    <mergeCell ref="PBT49:PCJ49"/>
    <mergeCell ref="PCK49:PDA49"/>
    <mergeCell ref="PDB49:PDR49"/>
    <mergeCell ref="PDS49:PEI49"/>
    <mergeCell ref="PEJ49:PEZ49"/>
    <mergeCell ref="OXE49:OXU49"/>
    <mergeCell ref="OXV49:OYL49"/>
    <mergeCell ref="OYM49:OZC49"/>
    <mergeCell ref="OZD49:OZT49"/>
    <mergeCell ref="OZU49:PAK49"/>
    <mergeCell ref="PAL49:PBB49"/>
    <mergeCell ref="OTG49:OTW49"/>
    <mergeCell ref="OTX49:OUN49"/>
    <mergeCell ref="OUO49:OVE49"/>
    <mergeCell ref="OVF49:OVV49"/>
    <mergeCell ref="OVW49:OWM49"/>
    <mergeCell ref="OWN49:OXD49"/>
    <mergeCell ref="OPI49:OPY49"/>
    <mergeCell ref="OPZ49:OQP49"/>
    <mergeCell ref="OQQ49:ORG49"/>
    <mergeCell ref="ORH49:ORX49"/>
    <mergeCell ref="ORY49:OSO49"/>
    <mergeCell ref="OSP49:OTF49"/>
    <mergeCell ref="OLK49:OMA49"/>
    <mergeCell ref="OMB49:OMR49"/>
    <mergeCell ref="OMS49:ONI49"/>
    <mergeCell ref="ONJ49:ONZ49"/>
    <mergeCell ref="OOA49:OOQ49"/>
    <mergeCell ref="OOR49:OPH49"/>
    <mergeCell ref="OHM49:OIC49"/>
    <mergeCell ref="OID49:OIT49"/>
    <mergeCell ref="OIU49:OJK49"/>
    <mergeCell ref="OJL49:OKB49"/>
    <mergeCell ref="OKC49:OKS49"/>
    <mergeCell ref="OKT49:OLJ49"/>
    <mergeCell ref="ODO49:OEE49"/>
    <mergeCell ref="OEF49:OEV49"/>
    <mergeCell ref="OEW49:OFM49"/>
    <mergeCell ref="OFN49:OGD49"/>
    <mergeCell ref="OGE49:OGU49"/>
    <mergeCell ref="OGV49:OHL49"/>
    <mergeCell ref="NZQ49:OAG49"/>
    <mergeCell ref="OAH49:OAX49"/>
    <mergeCell ref="OAY49:OBO49"/>
    <mergeCell ref="OBP49:OCF49"/>
    <mergeCell ref="OCG49:OCW49"/>
    <mergeCell ref="OCX49:ODN49"/>
    <mergeCell ref="NVS49:NWI49"/>
    <mergeCell ref="NWJ49:NWZ49"/>
    <mergeCell ref="NXA49:NXQ49"/>
    <mergeCell ref="NXR49:NYH49"/>
    <mergeCell ref="NYI49:NYY49"/>
    <mergeCell ref="NYZ49:NZP49"/>
    <mergeCell ref="NRU49:NSK49"/>
    <mergeCell ref="NSL49:NTB49"/>
    <mergeCell ref="NTC49:NTS49"/>
    <mergeCell ref="NTT49:NUJ49"/>
    <mergeCell ref="NUK49:NVA49"/>
    <mergeCell ref="NVB49:NVR49"/>
    <mergeCell ref="NNW49:NOM49"/>
    <mergeCell ref="NON49:NPD49"/>
    <mergeCell ref="NPE49:NPU49"/>
    <mergeCell ref="NPV49:NQL49"/>
    <mergeCell ref="NQM49:NRC49"/>
    <mergeCell ref="NRD49:NRT49"/>
    <mergeCell ref="NJY49:NKO49"/>
    <mergeCell ref="NKP49:NLF49"/>
    <mergeCell ref="NLG49:NLW49"/>
    <mergeCell ref="NLX49:NMN49"/>
    <mergeCell ref="NMO49:NNE49"/>
    <mergeCell ref="NNF49:NNV49"/>
    <mergeCell ref="NGA49:NGQ49"/>
    <mergeCell ref="NGR49:NHH49"/>
    <mergeCell ref="NHI49:NHY49"/>
    <mergeCell ref="NHZ49:NIP49"/>
    <mergeCell ref="NIQ49:NJG49"/>
    <mergeCell ref="NJH49:NJX49"/>
    <mergeCell ref="NCC49:NCS49"/>
    <mergeCell ref="NCT49:NDJ49"/>
    <mergeCell ref="NDK49:NEA49"/>
    <mergeCell ref="NEB49:NER49"/>
    <mergeCell ref="NES49:NFI49"/>
    <mergeCell ref="NFJ49:NFZ49"/>
    <mergeCell ref="MYE49:MYU49"/>
    <mergeCell ref="MYV49:MZL49"/>
    <mergeCell ref="MZM49:NAC49"/>
    <mergeCell ref="NAD49:NAT49"/>
    <mergeCell ref="NAU49:NBK49"/>
    <mergeCell ref="NBL49:NCB49"/>
    <mergeCell ref="MUG49:MUW49"/>
    <mergeCell ref="MUX49:MVN49"/>
    <mergeCell ref="MVO49:MWE49"/>
    <mergeCell ref="MWF49:MWV49"/>
    <mergeCell ref="MWW49:MXM49"/>
    <mergeCell ref="MXN49:MYD49"/>
    <mergeCell ref="MQI49:MQY49"/>
    <mergeCell ref="MQZ49:MRP49"/>
    <mergeCell ref="MRQ49:MSG49"/>
    <mergeCell ref="MSH49:MSX49"/>
    <mergeCell ref="MSY49:MTO49"/>
    <mergeCell ref="MTP49:MUF49"/>
    <mergeCell ref="MMK49:MNA49"/>
    <mergeCell ref="MNB49:MNR49"/>
    <mergeCell ref="MNS49:MOI49"/>
    <mergeCell ref="MOJ49:MOZ49"/>
    <mergeCell ref="MPA49:MPQ49"/>
    <mergeCell ref="MPR49:MQH49"/>
    <mergeCell ref="MIM49:MJC49"/>
    <mergeCell ref="MJD49:MJT49"/>
    <mergeCell ref="MJU49:MKK49"/>
    <mergeCell ref="MKL49:MLB49"/>
    <mergeCell ref="MLC49:MLS49"/>
    <mergeCell ref="MLT49:MMJ49"/>
    <mergeCell ref="MEO49:MFE49"/>
    <mergeCell ref="MFF49:MFV49"/>
    <mergeCell ref="MFW49:MGM49"/>
    <mergeCell ref="MGN49:MHD49"/>
    <mergeCell ref="MHE49:MHU49"/>
    <mergeCell ref="MHV49:MIL49"/>
    <mergeCell ref="MAQ49:MBG49"/>
    <mergeCell ref="MBH49:MBX49"/>
    <mergeCell ref="MBY49:MCO49"/>
    <mergeCell ref="MCP49:MDF49"/>
    <mergeCell ref="MDG49:MDW49"/>
    <mergeCell ref="MDX49:MEN49"/>
    <mergeCell ref="LWS49:LXI49"/>
    <mergeCell ref="LXJ49:LXZ49"/>
    <mergeCell ref="LYA49:LYQ49"/>
    <mergeCell ref="LYR49:LZH49"/>
    <mergeCell ref="LZI49:LZY49"/>
    <mergeCell ref="LZZ49:MAP49"/>
    <mergeCell ref="LSU49:LTK49"/>
    <mergeCell ref="LTL49:LUB49"/>
    <mergeCell ref="LUC49:LUS49"/>
    <mergeCell ref="LUT49:LVJ49"/>
    <mergeCell ref="LVK49:LWA49"/>
    <mergeCell ref="LWB49:LWR49"/>
    <mergeCell ref="LOW49:LPM49"/>
    <mergeCell ref="LPN49:LQD49"/>
    <mergeCell ref="LQE49:LQU49"/>
    <mergeCell ref="LQV49:LRL49"/>
    <mergeCell ref="LRM49:LSC49"/>
    <mergeCell ref="LSD49:LST49"/>
    <mergeCell ref="LKY49:LLO49"/>
    <mergeCell ref="LLP49:LMF49"/>
    <mergeCell ref="LMG49:LMW49"/>
    <mergeCell ref="LMX49:LNN49"/>
    <mergeCell ref="LNO49:LOE49"/>
    <mergeCell ref="LOF49:LOV49"/>
    <mergeCell ref="LHA49:LHQ49"/>
    <mergeCell ref="LHR49:LIH49"/>
    <mergeCell ref="LII49:LIY49"/>
    <mergeCell ref="LIZ49:LJP49"/>
    <mergeCell ref="LJQ49:LKG49"/>
    <mergeCell ref="LKH49:LKX49"/>
    <mergeCell ref="LDC49:LDS49"/>
    <mergeCell ref="LDT49:LEJ49"/>
    <mergeCell ref="LEK49:LFA49"/>
    <mergeCell ref="LFB49:LFR49"/>
    <mergeCell ref="LFS49:LGI49"/>
    <mergeCell ref="LGJ49:LGZ49"/>
    <mergeCell ref="KZE49:KZU49"/>
    <mergeCell ref="KZV49:LAL49"/>
    <mergeCell ref="LAM49:LBC49"/>
    <mergeCell ref="LBD49:LBT49"/>
    <mergeCell ref="LBU49:LCK49"/>
    <mergeCell ref="LCL49:LDB49"/>
    <mergeCell ref="KVG49:KVW49"/>
    <mergeCell ref="KVX49:KWN49"/>
    <mergeCell ref="KWO49:KXE49"/>
    <mergeCell ref="KXF49:KXV49"/>
    <mergeCell ref="KXW49:KYM49"/>
    <mergeCell ref="KYN49:KZD49"/>
    <mergeCell ref="KRI49:KRY49"/>
    <mergeCell ref="KRZ49:KSP49"/>
    <mergeCell ref="KSQ49:KTG49"/>
    <mergeCell ref="KTH49:KTX49"/>
    <mergeCell ref="KTY49:KUO49"/>
    <mergeCell ref="KUP49:KVF49"/>
    <mergeCell ref="KNK49:KOA49"/>
    <mergeCell ref="KOB49:KOR49"/>
    <mergeCell ref="KOS49:KPI49"/>
    <mergeCell ref="KPJ49:KPZ49"/>
    <mergeCell ref="KQA49:KQQ49"/>
    <mergeCell ref="KQR49:KRH49"/>
    <mergeCell ref="KJM49:KKC49"/>
    <mergeCell ref="KKD49:KKT49"/>
    <mergeCell ref="KKU49:KLK49"/>
    <mergeCell ref="KLL49:KMB49"/>
    <mergeCell ref="KMC49:KMS49"/>
    <mergeCell ref="KMT49:KNJ49"/>
    <mergeCell ref="KFO49:KGE49"/>
    <mergeCell ref="KGF49:KGV49"/>
    <mergeCell ref="KGW49:KHM49"/>
    <mergeCell ref="KHN49:KID49"/>
    <mergeCell ref="KIE49:KIU49"/>
    <mergeCell ref="KIV49:KJL49"/>
    <mergeCell ref="KBQ49:KCG49"/>
    <mergeCell ref="KCH49:KCX49"/>
    <mergeCell ref="KCY49:KDO49"/>
    <mergeCell ref="KDP49:KEF49"/>
    <mergeCell ref="KEG49:KEW49"/>
    <mergeCell ref="KEX49:KFN49"/>
    <mergeCell ref="JXS49:JYI49"/>
    <mergeCell ref="JYJ49:JYZ49"/>
    <mergeCell ref="JZA49:JZQ49"/>
    <mergeCell ref="JZR49:KAH49"/>
    <mergeCell ref="KAI49:KAY49"/>
    <mergeCell ref="KAZ49:KBP49"/>
    <mergeCell ref="JTU49:JUK49"/>
    <mergeCell ref="JUL49:JVB49"/>
    <mergeCell ref="JVC49:JVS49"/>
    <mergeCell ref="JVT49:JWJ49"/>
    <mergeCell ref="JWK49:JXA49"/>
    <mergeCell ref="JXB49:JXR49"/>
    <mergeCell ref="JPW49:JQM49"/>
    <mergeCell ref="JQN49:JRD49"/>
    <mergeCell ref="JRE49:JRU49"/>
    <mergeCell ref="JRV49:JSL49"/>
    <mergeCell ref="JSM49:JTC49"/>
    <mergeCell ref="JTD49:JTT49"/>
    <mergeCell ref="JLY49:JMO49"/>
    <mergeCell ref="JMP49:JNF49"/>
    <mergeCell ref="JNG49:JNW49"/>
    <mergeCell ref="JNX49:JON49"/>
    <mergeCell ref="JOO49:JPE49"/>
    <mergeCell ref="JPF49:JPV49"/>
    <mergeCell ref="JIA49:JIQ49"/>
    <mergeCell ref="JIR49:JJH49"/>
    <mergeCell ref="JJI49:JJY49"/>
    <mergeCell ref="JJZ49:JKP49"/>
    <mergeCell ref="JKQ49:JLG49"/>
    <mergeCell ref="JLH49:JLX49"/>
    <mergeCell ref="JEC49:JES49"/>
    <mergeCell ref="JET49:JFJ49"/>
    <mergeCell ref="JFK49:JGA49"/>
    <mergeCell ref="JGB49:JGR49"/>
    <mergeCell ref="JGS49:JHI49"/>
    <mergeCell ref="JHJ49:JHZ49"/>
    <mergeCell ref="JAE49:JAU49"/>
    <mergeCell ref="JAV49:JBL49"/>
    <mergeCell ref="JBM49:JCC49"/>
    <mergeCell ref="JCD49:JCT49"/>
    <mergeCell ref="JCU49:JDK49"/>
    <mergeCell ref="JDL49:JEB49"/>
    <mergeCell ref="IWG49:IWW49"/>
    <mergeCell ref="IWX49:IXN49"/>
    <mergeCell ref="IXO49:IYE49"/>
    <mergeCell ref="IYF49:IYV49"/>
    <mergeCell ref="IYW49:IZM49"/>
    <mergeCell ref="IZN49:JAD49"/>
    <mergeCell ref="ISI49:ISY49"/>
    <mergeCell ref="ISZ49:ITP49"/>
    <mergeCell ref="ITQ49:IUG49"/>
    <mergeCell ref="IUH49:IUX49"/>
    <mergeCell ref="IUY49:IVO49"/>
    <mergeCell ref="IVP49:IWF49"/>
    <mergeCell ref="IOK49:IPA49"/>
    <mergeCell ref="IPB49:IPR49"/>
    <mergeCell ref="IPS49:IQI49"/>
    <mergeCell ref="IQJ49:IQZ49"/>
    <mergeCell ref="IRA49:IRQ49"/>
    <mergeCell ref="IRR49:ISH49"/>
    <mergeCell ref="IKM49:ILC49"/>
    <mergeCell ref="ILD49:ILT49"/>
    <mergeCell ref="ILU49:IMK49"/>
    <mergeCell ref="IML49:INB49"/>
    <mergeCell ref="INC49:INS49"/>
    <mergeCell ref="INT49:IOJ49"/>
    <mergeCell ref="IGO49:IHE49"/>
    <mergeCell ref="IHF49:IHV49"/>
    <mergeCell ref="IHW49:IIM49"/>
    <mergeCell ref="IIN49:IJD49"/>
    <mergeCell ref="IJE49:IJU49"/>
    <mergeCell ref="IJV49:IKL49"/>
    <mergeCell ref="ICQ49:IDG49"/>
    <mergeCell ref="IDH49:IDX49"/>
    <mergeCell ref="IDY49:IEO49"/>
    <mergeCell ref="IEP49:IFF49"/>
    <mergeCell ref="IFG49:IFW49"/>
    <mergeCell ref="IFX49:IGN49"/>
    <mergeCell ref="HYS49:HZI49"/>
    <mergeCell ref="HZJ49:HZZ49"/>
    <mergeCell ref="IAA49:IAQ49"/>
    <mergeCell ref="IAR49:IBH49"/>
    <mergeCell ref="IBI49:IBY49"/>
    <mergeCell ref="IBZ49:ICP49"/>
    <mergeCell ref="HUU49:HVK49"/>
    <mergeCell ref="HVL49:HWB49"/>
    <mergeCell ref="HWC49:HWS49"/>
    <mergeCell ref="HWT49:HXJ49"/>
    <mergeCell ref="HXK49:HYA49"/>
    <mergeCell ref="HYB49:HYR49"/>
    <mergeCell ref="HQW49:HRM49"/>
    <mergeCell ref="HRN49:HSD49"/>
    <mergeCell ref="HSE49:HSU49"/>
    <mergeCell ref="HSV49:HTL49"/>
    <mergeCell ref="HTM49:HUC49"/>
    <mergeCell ref="HUD49:HUT49"/>
    <mergeCell ref="HMY49:HNO49"/>
    <mergeCell ref="HNP49:HOF49"/>
    <mergeCell ref="HOG49:HOW49"/>
    <mergeCell ref="HOX49:HPN49"/>
    <mergeCell ref="HPO49:HQE49"/>
    <mergeCell ref="HQF49:HQV49"/>
    <mergeCell ref="HJA49:HJQ49"/>
    <mergeCell ref="HJR49:HKH49"/>
    <mergeCell ref="HKI49:HKY49"/>
    <mergeCell ref="HKZ49:HLP49"/>
    <mergeCell ref="HLQ49:HMG49"/>
    <mergeCell ref="HMH49:HMX49"/>
    <mergeCell ref="HFC49:HFS49"/>
    <mergeCell ref="HFT49:HGJ49"/>
    <mergeCell ref="HGK49:HHA49"/>
    <mergeCell ref="HHB49:HHR49"/>
    <mergeCell ref="HHS49:HII49"/>
    <mergeCell ref="HIJ49:HIZ49"/>
    <mergeCell ref="HBE49:HBU49"/>
    <mergeCell ref="HBV49:HCL49"/>
    <mergeCell ref="HCM49:HDC49"/>
    <mergeCell ref="HDD49:HDT49"/>
    <mergeCell ref="HDU49:HEK49"/>
    <mergeCell ref="HEL49:HFB49"/>
    <mergeCell ref="GXG49:GXW49"/>
    <mergeCell ref="GXX49:GYN49"/>
    <mergeCell ref="GYO49:GZE49"/>
    <mergeCell ref="GZF49:GZV49"/>
    <mergeCell ref="GZW49:HAM49"/>
    <mergeCell ref="HAN49:HBD49"/>
    <mergeCell ref="GTI49:GTY49"/>
    <mergeCell ref="GTZ49:GUP49"/>
    <mergeCell ref="GUQ49:GVG49"/>
    <mergeCell ref="GVH49:GVX49"/>
    <mergeCell ref="GVY49:GWO49"/>
    <mergeCell ref="GWP49:GXF49"/>
    <mergeCell ref="GPK49:GQA49"/>
    <mergeCell ref="GQB49:GQR49"/>
    <mergeCell ref="GQS49:GRI49"/>
    <mergeCell ref="GRJ49:GRZ49"/>
    <mergeCell ref="GSA49:GSQ49"/>
    <mergeCell ref="GSR49:GTH49"/>
    <mergeCell ref="GLM49:GMC49"/>
    <mergeCell ref="GMD49:GMT49"/>
    <mergeCell ref="GMU49:GNK49"/>
    <mergeCell ref="GNL49:GOB49"/>
    <mergeCell ref="GOC49:GOS49"/>
    <mergeCell ref="GOT49:GPJ49"/>
    <mergeCell ref="GHO49:GIE49"/>
    <mergeCell ref="GIF49:GIV49"/>
    <mergeCell ref="GIW49:GJM49"/>
    <mergeCell ref="GJN49:GKD49"/>
    <mergeCell ref="GKE49:GKU49"/>
    <mergeCell ref="GKV49:GLL49"/>
    <mergeCell ref="GDQ49:GEG49"/>
    <mergeCell ref="GEH49:GEX49"/>
    <mergeCell ref="GEY49:GFO49"/>
    <mergeCell ref="GFP49:GGF49"/>
    <mergeCell ref="GGG49:GGW49"/>
    <mergeCell ref="GGX49:GHN49"/>
    <mergeCell ref="FZS49:GAI49"/>
    <mergeCell ref="GAJ49:GAZ49"/>
    <mergeCell ref="GBA49:GBQ49"/>
    <mergeCell ref="GBR49:GCH49"/>
    <mergeCell ref="GCI49:GCY49"/>
    <mergeCell ref="GCZ49:GDP49"/>
    <mergeCell ref="FVU49:FWK49"/>
    <mergeCell ref="FWL49:FXB49"/>
    <mergeCell ref="FXC49:FXS49"/>
    <mergeCell ref="FXT49:FYJ49"/>
    <mergeCell ref="FYK49:FZA49"/>
    <mergeCell ref="FZB49:FZR49"/>
    <mergeCell ref="FRW49:FSM49"/>
    <mergeCell ref="FSN49:FTD49"/>
    <mergeCell ref="FTE49:FTU49"/>
    <mergeCell ref="FTV49:FUL49"/>
    <mergeCell ref="FUM49:FVC49"/>
    <mergeCell ref="FVD49:FVT49"/>
    <mergeCell ref="FNY49:FOO49"/>
    <mergeCell ref="FOP49:FPF49"/>
    <mergeCell ref="FPG49:FPW49"/>
    <mergeCell ref="FPX49:FQN49"/>
    <mergeCell ref="FQO49:FRE49"/>
    <mergeCell ref="FRF49:FRV49"/>
    <mergeCell ref="FKA49:FKQ49"/>
    <mergeCell ref="FKR49:FLH49"/>
    <mergeCell ref="FLI49:FLY49"/>
    <mergeCell ref="FLZ49:FMP49"/>
    <mergeCell ref="FMQ49:FNG49"/>
    <mergeCell ref="FNH49:FNX49"/>
    <mergeCell ref="FGC49:FGS49"/>
    <mergeCell ref="FGT49:FHJ49"/>
    <mergeCell ref="FHK49:FIA49"/>
    <mergeCell ref="FIB49:FIR49"/>
    <mergeCell ref="FIS49:FJI49"/>
    <mergeCell ref="FJJ49:FJZ49"/>
    <mergeCell ref="FCE49:FCU49"/>
    <mergeCell ref="FCV49:FDL49"/>
    <mergeCell ref="FDM49:FEC49"/>
    <mergeCell ref="FED49:FET49"/>
    <mergeCell ref="FEU49:FFK49"/>
    <mergeCell ref="FFL49:FGB49"/>
    <mergeCell ref="EYG49:EYW49"/>
    <mergeCell ref="EYX49:EZN49"/>
    <mergeCell ref="EZO49:FAE49"/>
    <mergeCell ref="FAF49:FAV49"/>
    <mergeCell ref="FAW49:FBM49"/>
    <mergeCell ref="FBN49:FCD49"/>
    <mergeCell ref="EUI49:EUY49"/>
    <mergeCell ref="EUZ49:EVP49"/>
    <mergeCell ref="EVQ49:EWG49"/>
    <mergeCell ref="EWH49:EWX49"/>
    <mergeCell ref="EWY49:EXO49"/>
    <mergeCell ref="EXP49:EYF49"/>
    <mergeCell ref="EQK49:ERA49"/>
    <mergeCell ref="ERB49:ERR49"/>
    <mergeCell ref="ERS49:ESI49"/>
    <mergeCell ref="ESJ49:ESZ49"/>
    <mergeCell ref="ETA49:ETQ49"/>
    <mergeCell ref="ETR49:EUH49"/>
    <mergeCell ref="EMM49:ENC49"/>
    <mergeCell ref="END49:ENT49"/>
    <mergeCell ref="ENU49:EOK49"/>
    <mergeCell ref="EOL49:EPB49"/>
    <mergeCell ref="EPC49:EPS49"/>
    <mergeCell ref="EPT49:EQJ49"/>
    <mergeCell ref="EIO49:EJE49"/>
    <mergeCell ref="EJF49:EJV49"/>
    <mergeCell ref="EJW49:EKM49"/>
    <mergeCell ref="EKN49:ELD49"/>
    <mergeCell ref="ELE49:ELU49"/>
    <mergeCell ref="ELV49:EML49"/>
    <mergeCell ref="EEQ49:EFG49"/>
    <mergeCell ref="EFH49:EFX49"/>
    <mergeCell ref="EFY49:EGO49"/>
    <mergeCell ref="EGP49:EHF49"/>
    <mergeCell ref="EHG49:EHW49"/>
    <mergeCell ref="EHX49:EIN49"/>
    <mergeCell ref="EAS49:EBI49"/>
    <mergeCell ref="EBJ49:EBZ49"/>
    <mergeCell ref="ECA49:ECQ49"/>
    <mergeCell ref="ECR49:EDH49"/>
    <mergeCell ref="EDI49:EDY49"/>
    <mergeCell ref="EDZ49:EEP49"/>
    <mergeCell ref="DWU49:DXK49"/>
    <mergeCell ref="DXL49:DYB49"/>
    <mergeCell ref="DYC49:DYS49"/>
    <mergeCell ref="DYT49:DZJ49"/>
    <mergeCell ref="DZK49:EAA49"/>
    <mergeCell ref="EAB49:EAR49"/>
    <mergeCell ref="DSW49:DTM49"/>
    <mergeCell ref="DTN49:DUD49"/>
    <mergeCell ref="DUE49:DUU49"/>
    <mergeCell ref="DUV49:DVL49"/>
    <mergeCell ref="DVM49:DWC49"/>
    <mergeCell ref="DWD49:DWT49"/>
    <mergeCell ref="DOY49:DPO49"/>
    <mergeCell ref="DPP49:DQF49"/>
    <mergeCell ref="DQG49:DQW49"/>
    <mergeCell ref="DQX49:DRN49"/>
    <mergeCell ref="DRO49:DSE49"/>
    <mergeCell ref="DSF49:DSV49"/>
    <mergeCell ref="DLA49:DLQ49"/>
    <mergeCell ref="DLR49:DMH49"/>
    <mergeCell ref="DMI49:DMY49"/>
    <mergeCell ref="DMZ49:DNP49"/>
    <mergeCell ref="DNQ49:DOG49"/>
    <mergeCell ref="DOH49:DOX49"/>
    <mergeCell ref="DHC49:DHS49"/>
    <mergeCell ref="DHT49:DIJ49"/>
    <mergeCell ref="DIK49:DJA49"/>
    <mergeCell ref="DJB49:DJR49"/>
    <mergeCell ref="DJS49:DKI49"/>
    <mergeCell ref="DKJ49:DKZ49"/>
    <mergeCell ref="DDE49:DDU49"/>
    <mergeCell ref="DDV49:DEL49"/>
    <mergeCell ref="DEM49:DFC49"/>
    <mergeCell ref="DFD49:DFT49"/>
    <mergeCell ref="DFU49:DGK49"/>
    <mergeCell ref="DGL49:DHB49"/>
    <mergeCell ref="CZG49:CZW49"/>
    <mergeCell ref="CZX49:DAN49"/>
    <mergeCell ref="DAO49:DBE49"/>
    <mergeCell ref="DBF49:DBV49"/>
    <mergeCell ref="DBW49:DCM49"/>
    <mergeCell ref="DCN49:DDD49"/>
    <mergeCell ref="CVI49:CVY49"/>
    <mergeCell ref="CVZ49:CWP49"/>
    <mergeCell ref="CWQ49:CXG49"/>
    <mergeCell ref="CXH49:CXX49"/>
    <mergeCell ref="CXY49:CYO49"/>
    <mergeCell ref="CYP49:CZF49"/>
    <mergeCell ref="CRK49:CSA49"/>
    <mergeCell ref="CSB49:CSR49"/>
    <mergeCell ref="CSS49:CTI49"/>
    <mergeCell ref="CTJ49:CTZ49"/>
    <mergeCell ref="CUA49:CUQ49"/>
    <mergeCell ref="CUR49:CVH49"/>
    <mergeCell ref="CNM49:COC49"/>
    <mergeCell ref="COD49:COT49"/>
    <mergeCell ref="COU49:CPK49"/>
    <mergeCell ref="CPL49:CQB49"/>
    <mergeCell ref="CQC49:CQS49"/>
    <mergeCell ref="CQT49:CRJ49"/>
    <mergeCell ref="CJO49:CKE49"/>
    <mergeCell ref="CKF49:CKV49"/>
    <mergeCell ref="CKW49:CLM49"/>
    <mergeCell ref="CLN49:CMD49"/>
    <mergeCell ref="CME49:CMU49"/>
    <mergeCell ref="CMV49:CNL49"/>
    <mergeCell ref="CFQ49:CGG49"/>
    <mergeCell ref="CGH49:CGX49"/>
    <mergeCell ref="CGY49:CHO49"/>
    <mergeCell ref="CHP49:CIF49"/>
    <mergeCell ref="CIG49:CIW49"/>
    <mergeCell ref="CIX49:CJN49"/>
    <mergeCell ref="CBS49:CCI49"/>
    <mergeCell ref="CCJ49:CCZ49"/>
    <mergeCell ref="CDA49:CDQ49"/>
    <mergeCell ref="CDR49:CEH49"/>
    <mergeCell ref="CEI49:CEY49"/>
    <mergeCell ref="CEZ49:CFP49"/>
    <mergeCell ref="BXU49:BYK49"/>
    <mergeCell ref="BYL49:BZB49"/>
    <mergeCell ref="BZC49:BZS49"/>
    <mergeCell ref="BZT49:CAJ49"/>
    <mergeCell ref="CAK49:CBA49"/>
    <mergeCell ref="CBB49:CBR49"/>
    <mergeCell ref="BTW49:BUM49"/>
    <mergeCell ref="BUN49:BVD49"/>
    <mergeCell ref="BVE49:BVU49"/>
    <mergeCell ref="BVV49:BWL49"/>
    <mergeCell ref="BWM49:BXC49"/>
    <mergeCell ref="BXD49:BXT49"/>
    <mergeCell ref="BPY49:BQO49"/>
    <mergeCell ref="BQP49:BRF49"/>
    <mergeCell ref="BRG49:BRW49"/>
    <mergeCell ref="BRX49:BSN49"/>
    <mergeCell ref="BSO49:BTE49"/>
    <mergeCell ref="BTF49:BTV49"/>
    <mergeCell ref="BMA49:BMQ49"/>
    <mergeCell ref="BMR49:BNH49"/>
    <mergeCell ref="BNI49:BNY49"/>
    <mergeCell ref="BNZ49:BOP49"/>
    <mergeCell ref="BOQ49:BPG49"/>
    <mergeCell ref="BPH49:BPX49"/>
    <mergeCell ref="BIC49:BIS49"/>
    <mergeCell ref="BIT49:BJJ49"/>
    <mergeCell ref="BJK49:BKA49"/>
    <mergeCell ref="BKB49:BKR49"/>
    <mergeCell ref="BKS49:BLI49"/>
    <mergeCell ref="BLJ49:BLZ49"/>
    <mergeCell ref="BEE49:BEU49"/>
    <mergeCell ref="BEV49:BFL49"/>
    <mergeCell ref="BFM49:BGC49"/>
    <mergeCell ref="BGD49:BGT49"/>
    <mergeCell ref="BGU49:BHK49"/>
    <mergeCell ref="BHL49:BIB49"/>
    <mergeCell ref="BAG49:BAW49"/>
    <mergeCell ref="BAX49:BBN49"/>
    <mergeCell ref="BBO49:BCE49"/>
    <mergeCell ref="BCF49:BCV49"/>
    <mergeCell ref="BCW49:BDM49"/>
    <mergeCell ref="BDN49:BED49"/>
    <mergeCell ref="AWI49:AWY49"/>
    <mergeCell ref="AWZ49:AXP49"/>
    <mergeCell ref="AXQ49:AYG49"/>
    <mergeCell ref="AYH49:AYX49"/>
    <mergeCell ref="AYY49:AZO49"/>
    <mergeCell ref="AZP49:BAF49"/>
    <mergeCell ref="ASK49:ATA49"/>
    <mergeCell ref="ATB49:ATR49"/>
    <mergeCell ref="ATS49:AUI49"/>
    <mergeCell ref="AUJ49:AUZ49"/>
    <mergeCell ref="AVA49:AVQ49"/>
    <mergeCell ref="AVR49:AWH49"/>
    <mergeCell ref="AOM49:APC49"/>
    <mergeCell ref="APD49:APT49"/>
    <mergeCell ref="APU49:AQK49"/>
    <mergeCell ref="AQL49:ARB49"/>
    <mergeCell ref="ARC49:ARS49"/>
    <mergeCell ref="ART49:ASJ49"/>
    <mergeCell ref="AKO49:ALE49"/>
    <mergeCell ref="ALF49:ALV49"/>
    <mergeCell ref="ALW49:AMM49"/>
    <mergeCell ref="AMN49:AND49"/>
    <mergeCell ref="ANE49:ANU49"/>
    <mergeCell ref="ANV49:AOL49"/>
    <mergeCell ref="AGQ49:AHG49"/>
    <mergeCell ref="AHH49:AHX49"/>
    <mergeCell ref="AHY49:AIO49"/>
    <mergeCell ref="AIP49:AJF49"/>
    <mergeCell ref="AJG49:AJW49"/>
    <mergeCell ref="AJX49:AKN49"/>
    <mergeCell ref="ACS49:ADI49"/>
    <mergeCell ref="ADJ49:ADZ49"/>
    <mergeCell ref="AEA49:AEQ49"/>
    <mergeCell ref="AER49:AFH49"/>
    <mergeCell ref="AFI49:AFY49"/>
    <mergeCell ref="AFZ49:AGP49"/>
    <mergeCell ref="YU49:ZK49"/>
    <mergeCell ref="ZL49:AAB49"/>
    <mergeCell ref="AAC49:AAS49"/>
    <mergeCell ref="AAT49:ABJ49"/>
    <mergeCell ref="ABK49:ACA49"/>
    <mergeCell ref="ACB49:ACR49"/>
    <mergeCell ref="UW49:VM49"/>
    <mergeCell ref="VN49:WD49"/>
    <mergeCell ref="WE49:WU49"/>
    <mergeCell ref="WV49:XL49"/>
    <mergeCell ref="XM49:YC49"/>
    <mergeCell ref="YD49:YT49"/>
    <mergeCell ref="QY49:RO49"/>
    <mergeCell ref="RP49:SF49"/>
    <mergeCell ref="SG49:SW49"/>
    <mergeCell ref="SX49:TN49"/>
    <mergeCell ref="TO49:UE49"/>
    <mergeCell ref="UF49:UV49"/>
    <mergeCell ref="NA49:NQ49"/>
    <mergeCell ref="NR49:OH49"/>
    <mergeCell ref="OI49:OY49"/>
    <mergeCell ref="OZ49:PP49"/>
    <mergeCell ref="PQ49:QG49"/>
    <mergeCell ref="QH49:QX49"/>
    <mergeCell ref="JC49:JS49"/>
    <mergeCell ref="JT49:KJ49"/>
    <mergeCell ref="KK49:LA49"/>
    <mergeCell ref="LB49:LR49"/>
    <mergeCell ref="LS49:MI49"/>
    <mergeCell ref="MJ49:MZ49"/>
    <mergeCell ref="FE49:FU49"/>
    <mergeCell ref="FV49:GL49"/>
    <mergeCell ref="GM49:HC49"/>
    <mergeCell ref="HD49:HT49"/>
    <mergeCell ref="HU49:IK49"/>
    <mergeCell ref="IL49:JB49"/>
    <mergeCell ref="XDQ48:XEC48"/>
    <mergeCell ref="S49:AG49"/>
    <mergeCell ref="AX49:BM49"/>
    <mergeCell ref="BN49:BP49"/>
    <mergeCell ref="BQ49:BU49"/>
    <mergeCell ref="BY49:CN49"/>
    <mergeCell ref="CO49:DE49"/>
    <mergeCell ref="DF49:DV49"/>
    <mergeCell ref="DW49:EM49"/>
    <mergeCell ref="EN49:FD49"/>
    <mergeCell ref="WZS48:XAI48"/>
    <mergeCell ref="XAJ48:XAZ48"/>
    <mergeCell ref="XBA48:XBQ48"/>
    <mergeCell ref="XBR48:XCH48"/>
    <mergeCell ref="XCI48:XCY48"/>
    <mergeCell ref="XCZ48:XDP48"/>
    <mergeCell ref="WVU48:WWK48"/>
    <mergeCell ref="WWL48:WXB48"/>
    <mergeCell ref="WXC48:WXS48"/>
    <mergeCell ref="WXT48:WYJ48"/>
    <mergeCell ref="WYK48:WZA48"/>
    <mergeCell ref="WZB48:WZR48"/>
    <mergeCell ref="WRW48:WSM48"/>
    <mergeCell ref="WSN48:WTD48"/>
    <mergeCell ref="WTE48:WTU48"/>
    <mergeCell ref="WTV48:WUL48"/>
    <mergeCell ref="WUM48:WVC48"/>
    <mergeCell ref="WVD48:WVT48"/>
    <mergeCell ref="WNY48:WOO48"/>
    <mergeCell ref="WOP48:WPF48"/>
    <mergeCell ref="WPG48:WPW48"/>
    <mergeCell ref="WPX48:WQN48"/>
    <mergeCell ref="WQO48:WRE48"/>
    <mergeCell ref="WRF48:WRV48"/>
    <mergeCell ref="WKA48:WKQ48"/>
    <mergeCell ref="WKR48:WLH48"/>
    <mergeCell ref="WLI48:WLY48"/>
    <mergeCell ref="WLZ48:WMP48"/>
    <mergeCell ref="WMQ48:WNG48"/>
    <mergeCell ref="WNH48:WNX48"/>
    <mergeCell ref="WGC48:WGS48"/>
    <mergeCell ref="WGT48:WHJ48"/>
    <mergeCell ref="WHK48:WIA48"/>
    <mergeCell ref="WIB48:WIR48"/>
    <mergeCell ref="WIS48:WJI48"/>
    <mergeCell ref="WJJ48:WJZ48"/>
    <mergeCell ref="WCE48:WCU48"/>
    <mergeCell ref="WCV48:WDL48"/>
    <mergeCell ref="WDM48:WEC48"/>
    <mergeCell ref="WED48:WET48"/>
    <mergeCell ref="WEU48:WFK48"/>
    <mergeCell ref="WFL48:WGB48"/>
    <mergeCell ref="VYG48:VYW48"/>
    <mergeCell ref="VYX48:VZN48"/>
    <mergeCell ref="VZO48:WAE48"/>
    <mergeCell ref="WAF48:WAV48"/>
    <mergeCell ref="WAW48:WBM48"/>
    <mergeCell ref="WBN48:WCD48"/>
    <mergeCell ref="VUI48:VUY48"/>
    <mergeCell ref="VUZ48:VVP48"/>
    <mergeCell ref="VVQ48:VWG48"/>
    <mergeCell ref="VWH48:VWX48"/>
    <mergeCell ref="VWY48:VXO48"/>
    <mergeCell ref="VXP48:VYF48"/>
    <mergeCell ref="VQK48:VRA48"/>
    <mergeCell ref="VRB48:VRR48"/>
    <mergeCell ref="VRS48:VSI48"/>
    <mergeCell ref="VSJ48:VSZ48"/>
    <mergeCell ref="VTA48:VTQ48"/>
    <mergeCell ref="VTR48:VUH48"/>
    <mergeCell ref="VMM48:VNC48"/>
    <mergeCell ref="VND48:VNT48"/>
    <mergeCell ref="VNU48:VOK48"/>
    <mergeCell ref="VOL48:VPB48"/>
    <mergeCell ref="VPC48:VPS48"/>
    <mergeCell ref="VPT48:VQJ48"/>
    <mergeCell ref="VIO48:VJE48"/>
    <mergeCell ref="VJF48:VJV48"/>
    <mergeCell ref="VJW48:VKM48"/>
    <mergeCell ref="VKN48:VLD48"/>
    <mergeCell ref="VLE48:VLU48"/>
    <mergeCell ref="VLV48:VML48"/>
    <mergeCell ref="VEQ48:VFG48"/>
    <mergeCell ref="VFH48:VFX48"/>
    <mergeCell ref="VFY48:VGO48"/>
    <mergeCell ref="VGP48:VHF48"/>
    <mergeCell ref="VHG48:VHW48"/>
    <mergeCell ref="VHX48:VIN48"/>
    <mergeCell ref="VAS48:VBI48"/>
    <mergeCell ref="VBJ48:VBZ48"/>
    <mergeCell ref="VCA48:VCQ48"/>
    <mergeCell ref="VCR48:VDH48"/>
    <mergeCell ref="VDI48:VDY48"/>
    <mergeCell ref="VDZ48:VEP48"/>
    <mergeCell ref="UWU48:UXK48"/>
    <mergeCell ref="UXL48:UYB48"/>
    <mergeCell ref="UYC48:UYS48"/>
    <mergeCell ref="UYT48:UZJ48"/>
    <mergeCell ref="UZK48:VAA48"/>
    <mergeCell ref="VAB48:VAR48"/>
    <mergeCell ref="USW48:UTM48"/>
    <mergeCell ref="UTN48:UUD48"/>
    <mergeCell ref="UUE48:UUU48"/>
    <mergeCell ref="UUV48:UVL48"/>
    <mergeCell ref="UVM48:UWC48"/>
    <mergeCell ref="UWD48:UWT48"/>
    <mergeCell ref="UOY48:UPO48"/>
    <mergeCell ref="UPP48:UQF48"/>
    <mergeCell ref="UQG48:UQW48"/>
    <mergeCell ref="UQX48:URN48"/>
    <mergeCell ref="URO48:USE48"/>
    <mergeCell ref="USF48:USV48"/>
    <mergeCell ref="ULA48:ULQ48"/>
    <mergeCell ref="ULR48:UMH48"/>
    <mergeCell ref="UMI48:UMY48"/>
    <mergeCell ref="UMZ48:UNP48"/>
    <mergeCell ref="UNQ48:UOG48"/>
    <mergeCell ref="UOH48:UOX48"/>
    <mergeCell ref="UHC48:UHS48"/>
    <mergeCell ref="UHT48:UIJ48"/>
    <mergeCell ref="UIK48:UJA48"/>
    <mergeCell ref="UJB48:UJR48"/>
    <mergeCell ref="UJS48:UKI48"/>
    <mergeCell ref="UKJ48:UKZ48"/>
    <mergeCell ref="UDE48:UDU48"/>
    <mergeCell ref="UDV48:UEL48"/>
    <mergeCell ref="UEM48:UFC48"/>
    <mergeCell ref="UFD48:UFT48"/>
    <mergeCell ref="UFU48:UGK48"/>
    <mergeCell ref="UGL48:UHB48"/>
    <mergeCell ref="TZG48:TZW48"/>
    <mergeCell ref="TZX48:UAN48"/>
    <mergeCell ref="UAO48:UBE48"/>
    <mergeCell ref="UBF48:UBV48"/>
    <mergeCell ref="UBW48:UCM48"/>
    <mergeCell ref="UCN48:UDD48"/>
    <mergeCell ref="TVI48:TVY48"/>
    <mergeCell ref="TVZ48:TWP48"/>
    <mergeCell ref="TWQ48:TXG48"/>
    <mergeCell ref="TXH48:TXX48"/>
    <mergeCell ref="TXY48:TYO48"/>
    <mergeCell ref="TYP48:TZF48"/>
    <mergeCell ref="TRK48:TSA48"/>
    <mergeCell ref="TSB48:TSR48"/>
    <mergeCell ref="TSS48:TTI48"/>
    <mergeCell ref="TTJ48:TTZ48"/>
    <mergeCell ref="TUA48:TUQ48"/>
    <mergeCell ref="TUR48:TVH48"/>
    <mergeCell ref="TNM48:TOC48"/>
    <mergeCell ref="TOD48:TOT48"/>
    <mergeCell ref="TOU48:TPK48"/>
    <mergeCell ref="TPL48:TQB48"/>
    <mergeCell ref="TQC48:TQS48"/>
    <mergeCell ref="TQT48:TRJ48"/>
    <mergeCell ref="TJO48:TKE48"/>
    <mergeCell ref="TKF48:TKV48"/>
    <mergeCell ref="TKW48:TLM48"/>
    <mergeCell ref="TLN48:TMD48"/>
    <mergeCell ref="TME48:TMU48"/>
    <mergeCell ref="TMV48:TNL48"/>
    <mergeCell ref="TFQ48:TGG48"/>
    <mergeCell ref="TGH48:TGX48"/>
    <mergeCell ref="TGY48:THO48"/>
    <mergeCell ref="THP48:TIF48"/>
    <mergeCell ref="TIG48:TIW48"/>
    <mergeCell ref="TIX48:TJN48"/>
    <mergeCell ref="TBS48:TCI48"/>
    <mergeCell ref="TCJ48:TCZ48"/>
    <mergeCell ref="TDA48:TDQ48"/>
    <mergeCell ref="TDR48:TEH48"/>
    <mergeCell ref="TEI48:TEY48"/>
    <mergeCell ref="TEZ48:TFP48"/>
    <mergeCell ref="SXU48:SYK48"/>
    <mergeCell ref="SYL48:SZB48"/>
    <mergeCell ref="SZC48:SZS48"/>
    <mergeCell ref="SZT48:TAJ48"/>
    <mergeCell ref="TAK48:TBA48"/>
    <mergeCell ref="TBB48:TBR48"/>
    <mergeCell ref="STW48:SUM48"/>
    <mergeCell ref="SUN48:SVD48"/>
    <mergeCell ref="SVE48:SVU48"/>
    <mergeCell ref="SVV48:SWL48"/>
    <mergeCell ref="SWM48:SXC48"/>
    <mergeCell ref="SXD48:SXT48"/>
    <mergeCell ref="SPY48:SQO48"/>
    <mergeCell ref="SQP48:SRF48"/>
    <mergeCell ref="SRG48:SRW48"/>
    <mergeCell ref="SRX48:SSN48"/>
    <mergeCell ref="SSO48:STE48"/>
    <mergeCell ref="STF48:STV48"/>
    <mergeCell ref="SMA48:SMQ48"/>
    <mergeCell ref="SMR48:SNH48"/>
    <mergeCell ref="SNI48:SNY48"/>
    <mergeCell ref="SNZ48:SOP48"/>
    <mergeCell ref="SOQ48:SPG48"/>
    <mergeCell ref="SPH48:SPX48"/>
    <mergeCell ref="SIC48:SIS48"/>
    <mergeCell ref="SIT48:SJJ48"/>
    <mergeCell ref="SJK48:SKA48"/>
    <mergeCell ref="SKB48:SKR48"/>
    <mergeCell ref="SKS48:SLI48"/>
    <mergeCell ref="SLJ48:SLZ48"/>
    <mergeCell ref="SEE48:SEU48"/>
    <mergeCell ref="SEV48:SFL48"/>
    <mergeCell ref="SFM48:SGC48"/>
    <mergeCell ref="SGD48:SGT48"/>
    <mergeCell ref="SGU48:SHK48"/>
    <mergeCell ref="SHL48:SIB48"/>
    <mergeCell ref="SAG48:SAW48"/>
    <mergeCell ref="SAX48:SBN48"/>
    <mergeCell ref="SBO48:SCE48"/>
    <mergeCell ref="SCF48:SCV48"/>
    <mergeCell ref="SCW48:SDM48"/>
    <mergeCell ref="SDN48:SED48"/>
    <mergeCell ref="RWI48:RWY48"/>
    <mergeCell ref="RWZ48:RXP48"/>
    <mergeCell ref="RXQ48:RYG48"/>
    <mergeCell ref="RYH48:RYX48"/>
    <mergeCell ref="RYY48:RZO48"/>
    <mergeCell ref="RZP48:SAF48"/>
    <mergeCell ref="RSK48:RTA48"/>
    <mergeCell ref="RTB48:RTR48"/>
    <mergeCell ref="RTS48:RUI48"/>
    <mergeCell ref="RUJ48:RUZ48"/>
    <mergeCell ref="RVA48:RVQ48"/>
    <mergeCell ref="RVR48:RWH48"/>
    <mergeCell ref="ROM48:RPC48"/>
    <mergeCell ref="RPD48:RPT48"/>
    <mergeCell ref="RPU48:RQK48"/>
    <mergeCell ref="RQL48:RRB48"/>
    <mergeCell ref="RRC48:RRS48"/>
    <mergeCell ref="RRT48:RSJ48"/>
    <mergeCell ref="RKO48:RLE48"/>
    <mergeCell ref="RLF48:RLV48"/>
    <mergeCell ref="RLW48:RMM48"/>
    <mergeCell ref="RMN48:RND48"/>
    <mergeCell ref="RNE48:RNU48"/>
    <mergeCell ref="RNV48:ROL48"/>
    <mergeCell ref="RGQ48:RHG48"/>
    <mergeCell ref="RHH48:RHX48"/>
    <mergeCell ref="RHY48:RIO48"/>
    <mergeCell ref="RIP48:RJF48"/>
    <mergeCell ref="RJG48:RJW48"/>
    <mergeCell ref="RJX48:RKN48"/>
    <mergeCell ref="RCS48:RDI48"/>
    <mergeCell ref="RDJ48:RDZ48"/>
    <mergeCell ref="REA48:REQ48"/>
    <mergeCell ref="RER48:RFH48"/>
    <mergeCell ref="RFI48:RFY48"/>
    <mergeCell ref="RFZ48:RGP48"/>
    <mergeCell ref="QYU48:QZK48"/>
    <mergeCell ref="QZL48:RAB48"/>
    <mergeCell ref="RAC48:RAS48"/>
    <mergeCell ref="RAT48:RBJ48"/>
    <mergeCell ref="RBK48:RCA48"/>
    <mergeCell ref="RCB48:RCR48"/>
    <mergeCell ref="QUW48:QVM48"/>
    <mergeCell ref="QVN48:QWD48"/>
    <mergeCell ref="QWE48:QWU48"/>
    <mergeCell ref="QWV48:QXL48"/>
    <mergeCell ref="QXM48:QYC48"/>
    <mergeCell ref="QYD48:QYT48"/>
    <mergeCell ref="QQY48:QRO48"/>
    <mergeCell ref="QRP48:QSF48"/>
    <mergeCell ref="QSG48:QSW48"/>
    <mergeCell ref="QSX48:QTN48"/>
    <mergeCell ref="QTO48:QUE48"/>
    <mergeCell ref="QUF48:QUV48"/>
    <mergeCell ref="QNA48:QNQ48"/>
    <mergeCell ref="QNR48:QOH48"/>
    <mergeCell ref="QOI48:QOY48"/>
    <mergeCell ref="QOZ48:QPP48"/>
    <mergeCell ref="QPQ48:QQG48"/>
    <mergeCell ref="QQH48:QQX48"/>
    <mergeCell ref="QJC48:QJS48"/>
    <mergeCell ref="QJT48:QKJ48"/>
    <mergeCell ref="QKK48:QLA48"/>
    <mergeCell ref="QLB48:QLR48"/>
    <mergeCell ref="QLS48:QMI48"/>
    <mergeCell ref="QMJ48:QMZ48"/>
    <mergeCell ref="QFE48:QFU48"/>
    <mergeCell ref="QFV48:QGL48"/>
    <mergeCell ref="QGM48:QHC48"/>
    <mergeCell ref="QHD48:QHT48"/>
    <mergeCell ref="QHU48:QIK48"/>
    <mergeCell ref="QIL48:QJB48"/>
    <mergeCell ref="QBG48:QBW48"/>
    <mergeCell ref="QBX48:QCN48"/>
    <mergeCell ref="QCO48:QDE48"/>
    <mergeCell ref="QDF48:QDV48"/>
    <mergeCell ref="QDW48:QEM48"/>
    <mergeCell ref="QEN48:QFD48"/>
    <mergeCell ref="PXI48:PXY48"/>
    <mergeCell ref="PXZ48:PYP48"/>
    <mergeCell ref="PYQ48:PZG48"/>
    <mergeCell ref="PZH48:PZX48"/>
    <mergeCell ref="PZY48:QAO48"/>
    <mergeCell ref="QAP48:QBF48"/>
    <mergeCell ref="PTK48:PUA48"/>
    <mergeCell ref="PUB48:PUR48"/>
    <mergeCell ref="PUS48:PVI48"/>
    <mergeCell ref="PVJ48:PVZ48"/>
    <mergeCell ref="PWA48:PWQ48"/>
    <mergeCell ref="PWR48:PXH48"/>
    <mergeCell ref="PPM48:PQC48"/>
    <mergeCell ref="PQD48:PQT48"/>
    <mergeCell ref="PQU48:PRK48"/>
    <mergeCell ref="PRL48:PSB48"/>
    <mergeCell ref="PSC48:PSS48"/>
    <mergeCell ref="PST48:PTJ48"/>
    <mergeCell ref="PLO48:PME48"/>
    <mergeCell ref="PMF48:PMV48"/>
    <mergeCell ref="PMW48:PNM48"/>
    <mergeCell ref="PNN48:POD48"/>
    <mergeCell ref="POE48:POU48"/>
    <mergeCell ref="POV48:PPL48"/>
    <mergeCell ref="PHQ48:PIG48"/>
    <mergeCell ref="PIH48:PIX48"/>
    <mergeCell ref="PIY48:PJO48"/>
    <mergeCell ref="PJP48:PKF48"/>
    <mergeCell ref="PKG48:PKW48"/>
    <mergeCell ref="PKX48:PLN48"/>
    <mergeCell ref="PDS48:PEI48"/>
    <mergeCell ref="PEJ48:PEZ48"/>
    <mergeCell ref="PFA48:PFQ48"/>
    <mergeCell ref="PFR48:PGH48"/>
    <mergeCell ref="PGI48:PGY48"/>
    <mergeCell ref="PGZ48:PHP48"/>
    <mergeCell ref="OZU48:PAK48"/>
    <mergeCell ref="PAL48:PBB48"/>
    <mergeCell ref="PBC48:PBS48"/>
    <mergeCell ref="PBT48:PCJ48"/>
    <mergeCell ref="PCK48:PDA48"/>
    <mergeCell ref="PDB48:PDR48"/>
    <mergeCell ref="OVW48:OWM48"/>
    <mergeCell ref="OWN48:OXD48"/>
    <mergeCell ref="OXE48:OXU48"/>
    <mergeCell ref="OXV48:OYL48"/>
    <mergeCell ref="OYM48:OZC48"/>
    <mergeCell ref="OZD48:OZT48"/>
    <mergeCell ref="ORY48:OSO48"/>
    <mergeCell ref="OSP48:OTF48"/>
    <mergeCell ref="OTG48:OTW48"/>
    <mergeCell ref="OTX48:OUN48"/>
    <mergeCell ref="OUO48:OVE48"/>
    <mergeCell ref="OVF48:OVV48"/>
    <mergeCell ref="OOA48:OOQ48"/>
    <mergeCell ref="OOR48:OPH48"/>
    <mergeCell ref="OPI48:OPY48"/>
    <mergeCell ref="OPZ48:OQP48"/>
    <mergeCell ref="OQQ48:ORG48"/>
    <mergeCell ref="ORH48:ORX48"/>
    <mergeCell ref="OKC48:OKS48"/>
    <mergeCell ref="OKT48:OLJ48"/>
    <mergeCell ref="OLK48:OMA48"/>
    <mergeCell ref="OMB48:OMR48"/>
    <mergeCell ref="OMS48:ONI48"/>
    <mergeCell ref="ONJ48:ONZ48"/>
    <mergeCell ref="OGE48:OGU48"/>
    <mergeCell ref="OGV48:OHL48"/>
    <mergeCell ref="OHM48:OIC48"/>
    <mergeCell ref="OID48:OIT48"/>
    <mergeCell ref="OIU48:OJK48"/>
    <mergeCell ref="OJL48:OKB48"/>
    <mergeCell ref="OCG48:OCW48"/>
    <mergeCell ref="OCX48:ODN48"/>
    <mergeCell ref="ODO48:OEE48"/>
    <mergeCell ref="OEF48:OEV48"/>
    <mergeCell ref="OEW48:OFM48"/>
    <mergeCell ref="OFN48:OGD48"/>
    <mergeCell ref="NYI48:NYY48"/>
    <mergeCell ref="NYZ48:NZP48"/>
    <mergeCell ref="NZQ48:OAG48"/>
    <mergeCell ref="OAH48:OAX48"/>
    <mergeCell ref="OAY48:OBO48"/>
    <mergeCell ref="OBP48:OCF48"/>
    <mergeCell ref="NUK48:NVA48"/>
    <mergeCell ref="NVB48:NVR48"/>
    <mergeCell ref="NVS48:NWI48"/>
    <mergeCell ref="NWJ48:NWZ48"/>
    <mergeCell ref="NXA48:NXQ48"/>
    <mergeCell ref="NXR48:NYH48"/>
    <mergeCell ref="NQM48:NRC48"/>
    <mergeCell ref="NRD48:NRT48"/>
    <mergeCell ref="NRU48:NSK48"/>
    <mergeCell ref="NSL48:NTB48"/>
    <mergeCell ref="NTC48:NTS48"/>
    <mergeCell ref="NTT48:NUJ48"/>
    <mergeCell ref="NMO48:NNE48"/>
    <mergeCell ref="NNF48:NNV48"/>
    <mergeCell ref="NNW48:NOM48"/>
    <mergeCell ref="NON48:NPD48"/>
    <mergeCell ref="NPE48:NPU48"/>
    <mergeCell ref="NPV48:NQL48"/>
    <mergeCell ref="NIQ48:NJG48"/>
    <mergeCell ref="NJH48:NJX48"/>
    <mergeCell ref="NJY48:NKO48"/>
    <mergeCell ref="NKP48:NLF48"/>
    <mergeCell ref="NLG48:NLW48"/>
    <mergeCell ref="NLX48:NMN48"/>
    <mergeCell ref="NES48:NFI48"/>
    <mergeCell ref="NFJ48:NFZ48"/>
    <mergeCell ref="NGA48:NGQ48"/>
    <mergeCell ref="NGR48:NHH48"/>
    <mergeCell ref="NHI48:NHY48"/>
    <mergeCell ref="NHZ48:NIP48"/>
    <mergeCell ref="NAU48:NBK48"/>
    <mergeCell ref="NBL48:NCB48"/>
    <mergeCell ref="NCC48:NCS48"/>
    <mergeCell ref="NCT48:NDJ48"/>
    <mergeCell ref="NDK48:NEA48"/>
    <mergeCell ref="NEB48:NER48"/>
    <mergeCell ref="MWW48:MXM48"/>
    <mergeCell ref="MXN48:MYD48"/>
    <mergeCell ref="MYE48:MYU48"/>
    <mergeCell ref="MYV48:MZL48"/>
    <mergeCell ref="MZM48:NAC48"/>
    <mergeCell ref="NAD48:NAT48"/>
    <mergeCell ref="MSY48:MTO48"/>
    <mergeCell ref="MTP48:MUF48"/>
    <mergeCell ref="MUG48:MUW48"/>
    <mergeCell ref="MUX48:MVN48"/>
    <mergeCell ref="MVO48:MWE48"/>
    <mergeCell ref="MWF48:MWV48"/>
    <mergeCell ref="MPA48:MPQ48"/>
    <mergeCell ref="MPR48:MQH48"/>
    <mergeCell ref="MQI48:MQY48"/>
    <mergeCell ref="MQZ48:MRP48"/>
    <mergeCell ref="MRQ48:MSG48"/>
    <mergeCell ref="MSH48:MSX48"/>
    <mergeCell ref="MLC48:MLS48"/>
    <mergeCell ref="MLT48:MMJ48"/>
    <mergeCell ref="MMK48:MNA48"/>
    <mergeCell ref="MNB48:MNR48"/>
    <mergeCell ref="MNS48:MOI48"/>
    <mergeCell ref="MOJ48:MOZ48"/>
    <mergeCell ref="MHE48:MHU48"/>
    <mergeCell ref="MHV48:MIL48"/>
    <mergeCell ref="MIM48:MJC48"/>
    <mergeCell ref="MJD48:MJT48"/>
    <mergeCell ref="MJU48:MKK48"/>
    <mergeCell ref="MKL48:MLB48"/>
    <mergeCell ref="MDG48:MDW48"/>
    <mergeCell ref="MDX48:MEN48"/>
    <mergeCell ref="MEO48:MFE48"/>
    <mergeCell ref="MFF48:MFV48"/>
    <mergeCell ref="MFW48:MGM48"/>
    <mergeCell ref="MGN48:MHD48"/>
    <mergeCell ref="LZI48:LZY48"/>
    <mergeCell ref="LZZ48:MAP48"/>
    <mergeCell ref="MAQ48:MBG48"/>
    <mergeCell ref="MBH48:MBX48"/>
    <mergeCell ref="MBY48:MCO48"/>
    <mergeCell ref="MCP48:MDF48"/>
    <mergeCell ref="LVK48:LWA48"/>
    <mergeCell ref="LWB48:LWR48"/>
    <mergeCell ref="LWS48:LXI48"/>
    <mergeCell ref="LXJ48:LXZ48"/>
    <mergeCell ref="LYA48:LYQ48"/>
    <mergeCell ref="LYR48:LZH48"/>
    <mergeCell ref="LRM48:LSC48"/>
    <mergeCell ref="LSD48:LST48"/>
    <mergeCell ref="LSU48:LTK48"/>
    <mergeCell ref="LTL48:LUB48"/>
    <mergeCell ref="LUC48:LUS48"/>
    <mergeCell ref="LUT48:LVJ48"/>
    <mergeCell ref="LNO48:LOE48"/>
    <mergeCell ref="LOF48:LOV48"/>
    <mergeCell ref="LOW48:LPM48"/>
    <mergeCell ref="LPN48:LQD48"/>
    <mergeCell ref="LQE48:LQU48"/>
    <mergeCell ref="LQV48:LRL48"/>
    <mergeCell ref="LJQ48:LKG48"/>
    <mergeCell ref="LKH48:LKX48"/>
    <mergeCell ref="LKY48:LLO48"/>
    <mergeCell ref="LLP48:LMF48"/>
    <mergeCell ref="LMG48:LMW48"/>
    <mergeCell ref="LMX48:LNN48"/>
    <mergeCell ref="LFS48:LGI48"/>
    <mergeCell ref="LGJ48:LGZ48"/>
    <mergeCell ref="LHA48:LHQ48"/>
    <mergeCell ref="LHR48:LIH48"/>
    <mergeCell ref="LII48:LIY48"/>
    <mergeCell ref="LIZ48:LJP48"/>
    <mergeCell ref="LBU48:LCK48"/>
    <mergeCell ref="LCL48:LDB48"/>
    <mergeCell ref="LDC48:LDS48"/>
    <mergeCell ref="LDT48:LEJ48"/>
    <mergeCell ref="LEK48:LFA48"/>
    <mergeCell ref="LFB48:LFR48"/>
    <mergeCell ref="KXW48:KYM48"/>
    <mergeCell ref="KYN48:KZD48"/>
    <mergeCell ref="KZE48:KZU48"/>
    <mergeCell ref="KZV48:LAL48"/>
    <mergeCell ref="LAM48:LBC48"/>
    <mergeCell ref="LBD48:LBT48"/>
    <mergeCell ref="KTY48:KUO48"/>
    <mergeCell ref="KUP48:KVF48"/>
    <mergeCell ref="KVG48:KVW48"/>
    <mergeCell ref="KVX48:KWN48"/>
    <mergeCell ref="KWO48:KXE48"/>
    <mergeCell ref="KXF48:KXV48"/>
    <mergeCell ref="KQA48:KQQ48"/>
    <mergeCell ref="KQR48:KRH48"/>
    <mergeCell ref="KRI48:KRY48"/>
    <mergeCell ref="KRZ48:KSP48"/>
    <mergeCell ref="KSQ48:KTG48"/>
    <mergeCell ref="KTH48:KTX48"/>
    <mergeCell ref="KMC48:KMS48"/>
    <mergeCell ref="KMT48:KNJ48"/>
    <mergeCell ref="KNK48:KOA48"/>
    <mergeCell ref="KOB48:KOR48"/>
    <mergeCell ref="KOS48:KPI48"/>
    <mergeCell ref="KPJ48:KPZ48"/>
    <mergeCell ref="KIE48:KIU48"/>
    <mergeCell ref="KIV48:KJL48"/>
    <mergeCell ref="KJM48:KKC48"/>
    <mergeCell ref="KKD48:KKT48"/>
    <mergeCell ref="KKU48:KLK48"/>
    <mergeCell ref="KLL48:KMB48"/>
    <mergeCell ref="KEG48:KEW48"/>
    <mergeCell ref="KEX48:KFN48"/>
    <mergeCell ref="KFO48:KGE48"/>
    <mergeCell ref="KGF48:KGV48"/>
    <mergeCell ref="KGW48:KHM48"/>
    <mergeCell ref="KHN48:KID48"/>
    <mergeCell ref="KAI48:KAY48"/>
    <mergeCell ref="KAZ48:KBP48"/>
    <mergeCell ref="KBQ48:KCG48"/>
    <mergeCell ref="KCH48:KCX48"/>
    <mergeCell ref="KCY48:KDO48"/>
    <mergeCell ref="KDP48:KEF48"/>
    <mergeCell ref="JWK48:JXA48"/>
    <mergeCell ref="JXB48:JXR48"/>
    <mergeCell ref="JXS48:JYI48"/>
    <mergeCell ref="JYJ48:JYZ48"/>
    <mergeCell ref="JZA48:JZQ48"/>
    <mergeCell ref="JZR48:KAH48"/>
    <mergeCell ref="JSM48:JTC48"/>
    <mergeCell ref="JTD48:JTT48"/>
    <mergeCell ref="JTU48:JUK48"/>
    <mergeCell ref="JUL48:JVB48"/>
    <mergeCell ref="JVC48:JVS48"/>
    <mergeCell ref="JVT48:JWJ48"/>
    <mergeCell ref="JOO48:JPE48"/>
    <mergeCell ref="JPF48:JPV48"/>
    <mergeCell ref="JPW48:JQM48"/>
    <mergeCell ref="JQN48:JRD48"/>
    <mergeCell ref="JRE48:JRU48"/>
    <mergeCell ref="JRV48:JSL48"/>
    <mergeCell ref="JKQ48:JLG48"/>
    <mergeCell ref="JLH48:JLX48"/>
    <mergeCell ref="JLY48:JMO48"/>
    <mergeCell ref="JMP48:JNF48"/>
    <mergeCell ref="JNG48:JNW48"/>
    <mergeCell ref="JNX48:JON48"/>
    <mergeCell ref="JGS48:JHI48"/>
    <mergeCell ref="JHJ48:JHZ48"/>
    <mergeCell ref="JIA48:JIQ48"/>
    <mergeCell ref="JIR48:JJH48"/>
    <mergeCell ref="JJI48:JJY48"/>
    <mergeCell ref="JJZ48:JKP48"/>
    <mergeCell ref="JCU48:JDK48"/>
    <mergeCell ref="JDL48:JEB48"/>
    <mergeCell ref="JEC48:JES48"/>
    <mergeCell ref="JET48:JFJ48"/>
    <mergeCell ref="JFK48:JGA48"/>
    <mergeCell ref="JGB48:JGR48"/>
    <mergeCell ref="IYW48:IZM48"/>
    <mergeCell ref="IZN48:JAD48"/>
    <mergeCell ref="JAE48:JAU48"/>
    <mergeCell ref="JAV48:JBL48"/>
    <mergeCell ref="JBM48:JCC48"/>
    <mergeCell ref="JCD48:JCT48"/>
    <mergeCell ref="IUY48:IVO48"/>
    <mergeCell ref="IVP48:IWF48"/>
    <mergeCell ref="IWG48:IWW48"/>
    <mergeCell ref="IWX48:IXN48"/>
    <mergeCell ref="IXO48:IYE48"/>
    <mergeCell ref="IYF48:IYV48"/>
    <mergeCell ref="IRA48:IRQ48"/>
    <mergeCell ref="IRR48:ISH48"/>
    <mergeCell ref="ISI48:ISY48"/>
    <mergeCell ref="ISZ48:ITP48"/>
    <mergeCell ref="ITQ48:IUG48"/>
    <mergeCell ref="IUH48:IUX48"/>
    <mergeCell ref="INC48:INS48"/>
    <mergeCell ref="INT48:IOJ48"/>
    <mergeCell ref="IOK48:IPA48"/>
    <mergeCell ref="IPB48:IPR48"/>
    <mergeCell ref="IPS48:IQI48"/>
    <mergeCell ref="IQJ48:IQZ48"/>
    <mergeCell ref="IJE48:IJU48"/>
    <mergeCell ref="IJV48:IKL48"/>
    <mergeCell ref="IKM48:ILC48"/>
    <mergeCell ref="ILD48:ILT48"/>
    <mergeCell ref="ILU48:IMK48"/>
    <mergeCell ref="IML48:INB48"/>
    <mergeCell ref="IFG48:IFW48"/>
    <mergeCell ref="IFX48:IGN48"/>
    <mergeCell ref="IGO48:IHE48"/>
    <mergeCell ref="IHF48:IHV48"/>
    <mergeCell ref="IHW48:IIM48"/>
    <mergeCell ref="IIN48:IJD48"/>
    <mergeCell ref="IBI48:IBY48"/>
    <mergeCell ref="IBZ48:ICP48"/>
    <mergeCell ref="ICQ48:IDG48"/>
    <mergeCell ref="IDH48:IDX48"/>
    <mergeCell ref="IDY48:IEO48"/>
    <mergeCell ref="IEP48:IFF48"/>
    <mergeCell ref="HXK48:HYA48"/>
    <mergeCell ref="HYB48:HYR48"/>
    <mergeCell ref="HYS48:HZI48"/>
    <mergeCell ref="HZJ48:HZZ48"/>
    <mergeCell ref="IAA48:IAQ48"/>
    <mergeCell ref="IAR48:IBH48"/>
    <mergeCell ref="HTM48:HUC48"/>
    <mergeCell ref="HUD48:HUT48"/>
    <mergeCell ref="HUU48:HVK48"/>
    <mergeCell ref="HVL48:HWB48"/>
    <mergeCell ref="HWC48:HWS48"/>
    <mergeCell ref="HWT48:HXJ48"/>
    <mergeCell ref="HPO48:HQE48"/>
    <mergeCell ref="HQF48:HQV48"/>
    <mergeCell ref="HQW48:HRM48"/>
    <mergeCell ref="HRN48:HSD48"/>
    <mergeCell ref="HSE48:HSU48"/>
    <mergeCell ref="HSV48:HTL48"/>
    <mergeCell ref="HLQ48:HMG48"/>
    <mergeCell ref="HMH48:HMX48"/>
    <mergeCell ref="HMY48:HNO48"/>
    <mergeCell ref="HNP48:HOF48"/>
    <mergeCell ref="HOG48:HOW48"/>
    <mergeCell ref="HOX48:HPN48"/>
    <mergeCell ref="HHS48:HII48"/>
    <mergeCell ref="HIJ48:HIZ48"/>
    <mergeCell ref="HJA48:HJQ48"/>
    <mergeCell ref="HJR48:HKH48"/>
    <mergeCell ref="HKI48:HKY48"/>
    <mergeCell ref="HKZ48:HLP48"/>
    <mergeCell ref="HDU48:HEK48"/>
    <mergeCell ref="HEL48:HFB48"/>
    <mergeCell ref="HFC48:HFS48"/>
    <mergeCell ref="HFT48:HGJ48"/>
    <mergeCell ref="HGK48:HHA48"/>
    <mergeCell ref="HHB48:HHR48"/>
    <mergeCell ref="GZW48:HAM48"/>
    <mergeCell ref="HAN48:HBD48"/>
    <mergeCell ref="HBE48:HBU48"/>
    <mergeCell ref="HBV48:HCL48"/>
    <mergeCell ref="HCM48:HDC48"/>
    <mergeCell ref="HDD48:HDT48"/>
    <mergeCell ref="GVY48:GWO48"/>
    <mergeCell ref="GWP48:GXF48"/>
    <mergeCell ref="GXG48:GXW48"/>
    <mergeCell ref="GXX48:GYN48"/>
    <mergeCell ref="GYO48:GZE48"/>
    <mergeCell ref="GZF48:GZV48"/>
    <mergeCell ref="GSA48:GSQ48"/>
    <mergeCell ref="GSR48:GTH48"/>
    <mergeCell ref="GTI48:GTY48"/>
    <mergeCell ref="GTZ48:GUP48"/>
    <mergeCell ref="GUQ48:GVG48"/>
    <mergeCell ref="GVH48:GVX48"/>
    <mergeCell ref="GOC48:GOS48"/>
    <mergeCell ref="GOT48:GPJ48"/>
    <mergeCell ref="GPK48:GQA48"/>
    <mergeCell ref="GQB48:GQR48"/>
    <mergeCell ref="GQS48:GRI48"/>
    <mergeCell ref="GRJ48:GRZ48"/>
    <mergeCell ref="GKE48:GKU48"/>
    <mergeCell ref="GKV48:GLL48"/>
    <mergeCell ref="GLM48:GMC48"/>
    <mergeCell ref="GMD48:GMT48"/>
    <mergeCell ref="GMU48:GNK48"/>
    <mergeCell ref="GNL48:GOB48"/>
    <mergeCell ref="GGG48:GGW48"/>
    <mergeCell ref="GGX48:GHN48"/>
    <mergeCell ref="GHO48:GIE48"/>
    <mergeCell ref="GIF48:GIV48"/>
    <mergeCell ref="GIW48:GJM48"/>
    <mergeCell ref="GJN48:GKD48"/>
    <mergeCell ref="GCI48:GCY48"/>
    <mergeCell ref="GCZ48:GDP48"/>
    <mergeCell ref="GDQ48:GEG48"/>
    <mergeCell ref="GEH48:GEX48"/>
    <mergeCell ref="GEY48:GFO48"/>
    <mergeCell ref="GFP48:GGF48"/>
    <mergeCell ref="FYK48:FZA48"/>
    <mergeCell ref="FZB48:FZR48"/>
    <mergeCell ref="FZS48:GAI48"/>
    <mergeCell ref="GAJ48:GAZ48"/>
    <mergeCell ref="GBA48:GBQ48"/>
    <mergeCell ref="GBR48:GCH48"/>
    <mergeCell ref="FUM48:FVC48"/>
    <mergeCell ref="FVD48:FVT48"/>
    <mergeCell ref="FVU48:FWK48"/>
    <mergeCell ref="FWL48:FXB48"/>
    <mergeCell ref="FXC48:FXS48"/>
    <mergeCell ref="FXT48:FYJ48"/>
    <mergeCell ref="FQO48:FRE48"/>
    <mergeCell ref="FRF48:FRV48"/>
    <mergeCell ref="FRW48:FSM48"/>
    <mergeCell ref="FSN48:FTD48"/>
    <mergeCell ref="FTE48:FTU48"/>
    <mergeCell ref="FTV48:FUL48"/>
    <mergeCell ref="FMQ48:FNG48"/>
    <mergeCell ref="FNH48:FNX48"/>
    <mergeCell ref="FNY48:FOO48"/>
    <mergeCell ref="FOP48:FPF48"/>
    <mergeCell ref="FPG48:FPW48"/>
    <mergeCell ref="FPX48:FQN48"/>
    <mergeCell ref="FIS48:FJI48"/>
    <mergeCell ref="FJJ48:FJZ48"/>
    <mergeCell ref="FKA48:FKQ48"/>
    <mergeCell ref="FKR48:FLH48"/>
    <mergeCell ref="FLI48:FLY48"/>
    <mergeCell ref="FLZ48:FMP48"/>
    <mergeCell ref="FEU48:FFK48"/>
    <mergeCell ref="FFL48:FGB48"/>
    <mergeCell ref="FGC48:FGS48"/>
    <mergeCell ref="FGT48:FHJ48"/>
    <mergeCell ref="FHK48:FIA48"/>
    <mergeCell ref="FIB48:FIR48"/>
    <mergeCell ref="FAW48:FBM48"/>
    <mergeCell ref="FBN48:FCD48"/>
    <mergeCell ref="FCE48:FCU48"/>
    <mergeCell ref="FCV48:FDL48"/>
    <mergeCell ref="FDM48:FEC48"/>
    <mergeCell ref="FED48:FET48"/>
    <mergeCell ref="EWY48:EXO48"/>
    <mergeCell ref="EXP48:EYF48"/>
    <mergeCell ref="EYG48:EYW48"/>
    <mergeCell ref="EYX48:EZN48"/>
    <mergeCell ref="EZO48:FAE48"/>
    <mergeCell ref="FAF48:FAV48"/>
    <mergeCell ref="ETA48:ETQ48"/>
    <mergeCell ref="ETR48:EUH48"/>
    <mergeCell ref="EUI48:EUY48"/>
    <mergeCell ref="EUZ48:EVP48"/>
    <mergeCell ref="EVQ48:EWG48"/>
    <mergeCell ref="EWH48:EWX48"/>
    <mergeCell ref="EPC48:EPS48"/>
    <mergeCell ref="EPT48:EQJ48"/>
    <mergeCell ref="EQK48:ERA48"/>
    <mergeCell ref="ERB48:ERR48"/>
    <mergeCell ref="ERS48:ESI48"/>
    <mergeCell ref="ESJ48:ESZ48"/>
    <mergeCell ref="ELE48:ELU48"/>
    <mergeCell ref="ELV48:EML48"/>
    <mergeCell ref="EMM48:ENC48"/>
    <mergeCell ref="END48:ENT48"/>
    <mergeCell ref="ENU48:EOK48"/>
    <mergeCell ref="EOL48:EPB48"/>
    <mergeCell ref="EHG48:EHW48"/>
    <mergeCell ref="EHX48:EIN48"/>
    <mergeCell ref="EIO48:EJE48"/>
    <mergeCell ref="EJF48:EJV48"/>
    <mergeCell ref="EJW48:EKM48"/>
    <mergeCell ref="EKN48:ELD48"/>
    <mergeCell ref="EDI48:EDY48"/>
    <mergeCell ref="EDZ48:EEP48"/>
    <mergeCell ref="EEQ48:EFG48"/>
    <mergeCell ref="EFH48:EFX48"/>
    <mergeCell ref="EFY48:EGO48"/>
    <mergeCell ref="EGP48:EHF48"/>
    <mergeCell ref="DZK48:EAA48"/>
    <mergeCell ref="EAB48:EAR48"/>
    <mergeCell ref="EAS48:EBI48"/>
    <mergeCell ref="EBJ48:EBZ48"/>
    <mergeCell ref="ECA48:ECQ48"/>
    <mergeCell ref="ECR48:EDH48"/>
    <mergeCell ref="DVM48:DWC48"/>
    <mergeCell ref="DWD48:DWT48"/>
    <mergeCell ref="DWU48:DXK48"/>
    <mergeCell ref="DXL48:DYB48"/>
    <mergeCell ref="DYC48:DYS48"/>
    <mergeCell ref="DYT48:DZJ48"/>
    <mergeCell ref="DRO48:DSE48"/>
    <mergeCell ref="DSF48:DSV48"/>
    <mergeCell ref="DSW48:DTM48"/>
    <mergeCell ref="DTN48:DUD48"/>
    <mergeCell ref="DUE48:DUU48"/>
    <mergeCell ref="DUV48:DVL48"/>
    <mergeCell ref="DNQ48:DOG48"/>
    <mergeCell ref="DOH48:DOX48"/>
    <mergeCell ref="DOY48:DPO48"/>
    <mergeCell ref="DPP48:DQF48"/>
    <mergeCell ref="DQG48:DQW48"/>
    <mergeCell ref="DQX48:DRN48"/>
    <mergeCell ref="DJS48:DKI48"/>
    <mergeCell ref="DKJ48:DKZ48"/>
    <mergeCell ref="DLA48:DLQ48"/>
    <mergeCell ref="DLR48:DMH48"/>
    <mergeCell ref="DMI48:DMY48"/>
    <mergeCell ref="DMZ48:DNP48"/>
    <mergeCell ref="DFU48:DGK48"/>
    <mergeCell ref="DGL48:DHB48"/>
    <mergeCell ref="DHC48:DHS48"/>
    <mergeCell ref="DHT48:DIJ48"/>
    <mergeCell ref="DIK48:DJA48"/>
    <mergeCell ref="DJB48:DJR48"/>
    <mergeCell ref="DBW48:DCM48"/>
    <mergeCell ref="DCN48:DDD48"/>
    <mergeCell ref="DDE48:DDU48"/>
    <mergeCell ref="DDV48:DEL48"/>
    <mergeCell ref="DEM48:DFC48"/>
    <mergeCell ref="DFD48:DFT48"/>
    <mergeCell ref="CXY48:CYO48"/>
    <mergeCell ref="CYP48:CZF48"/>
    <mergeCell ref="CZG48:CZW48"/>
    <mergeCell ref="CZX48:DAN48"/>
    <mergeCell ref="DAO48:DBE48"/>
    <mergeCell ref="DBF48:DBV48"/>
    <mergeCell ref="CUA48:CUQ48"/>
    <mergeCell ref="CUR48:CVH48"/>
    <mergeCell ref="CVI48:CVY48"/>
    <mergeCell ref="CVZ48:CWP48"/>
    <mergeCell ref="CWQ48:CXG48"/>
    <mergeCell ref="CXH48:CXX48"/>
    <mergeCell ref="CQC48:CQS48"/>
    <mergeCell ref="CQT48:CRJ48"/>
    <mergeCell ref="CRK48:CSA48"/>
    <mergeCell ref="CSB48:CSR48"/>
    <mergeCell ref="CSS48:CTI48"/>
    <mergeCell ref="CTJ48:CTZ48"/>
    <mergeCell ref="CME48:CMU48"/>
    <mergeCell ref="CMV48:CNL48"/>
    <mergeCell ref="CNM48:COC48"/>
    <mergeCell ref="COD48:COT48"/>
    <mergeCell ref="COU48:CPK48"/>
    <mergeCell ref="CPL48:CQB48"/>
    <mergeCell ref="CIG48:CIW48"/>
    <mergeCell ref="CIX48:CJN48"/>
    <mergeCell ref="CJO48:CKE48"/>
    <mergeCell ref="CKF48:CKV48"/>
    <mergeCell ref="CKW48:CLM48"/>
    <mergeCell ref="CLN48:CMD48"/>
    <mergeCell ref="CEI48:CEY48"/>
    <mergeCell ref="CEZ48:CFP48"/>
    <mergeCell ref="CFQ48:CGG48"/>
    <mergeCell ref="CGH48:CGX48"/>
    <mergeCell ref="CGY48:CHO48"/>
    <mergeCell ref="CHP48:CIF48"/>
    <mergeCell ref="CAK48:CBA48"/>
    <mergeCell ref="CBB48:CBR48"/>
    <mergeCell ref="CBS48:CCI48"/>
    <mergeCell ref="CCJ48:CCZ48"/>
    <mergeCell ref="CDA48:CDQ48"/>
    <mergeCell ref="CDR48:CEH48"/>
    <mergeCell ref="BWM48:BXC48"/>
    <mergeCell ref="BXD48:BXT48"/>
    <mergeCell ref="BXU48:BYK48"/>
    <mergeCell ref="BYL48:BZB48"/>
    <mergeCell ref="BZC48:BZS48"/>
    <mergeCell ref="BZT48:CAJ48"/>
    <mergeCell ref="BSO48:BTE48"/>
    <mergeCell ref="BTF48:BTV48"/>
    <mergeCell ref="BTW48:BUM48"/>
    <mergeCell ref="BUN48:BVD48"/>
    <mergeCell ref="BVE48:BVU48"/>
    <mergeCell ref="BVV48:BWL48"/>
    <mergeCell ref="BOQ48:BPG48"/>
    <mergeCell ref="BPH48:BPX48"/>
    <mergeCell ref="BPY48:BQO48"/>
    <mergeCell ref="BQP48:BRF48"/>
    <mergeCell ref="BRG48:BRW48"/>
    <mergeCell ref="BRX48:BSN48"/>
    <mergeCell ref="BKS48:BLI48"/>
    <mergeCell ref="BLJ48:BLZ48"/>
    <mergeCell ref="BMA48:BMQ48"/>
    <mergeCell ref="BMR48:BNH48"/>
    <mergeCell ref="BNI48:BNY48"/>
    <mergeCell ref="BNZ48:BOP48"/>
    <mergeCell ref="BGU48:BHK48"/>
    <mergeCell ref="BHL48:BIB48"/>
    <mergeCell ref="BIC48:BIS48"/>
    <mergeCell ref="BIT48:BJJ48"/>
    <mergeCell ref="BJK48:BKA48"/>
    <mergeCell ref="BKB48:BKR48"/>
    <mergeCell ref="BCW48:BDM48"/>
    <mergeCell ref="BDN48:BED48"/>
    <mergeCell ref="BEE48:BEU48"/>
    <mergeCell ref="BEV48:BFL48"/>
    <mergeCell ref="BFM48:BGC48"/>
    <mergeCell ref="BGD48:BGT48"/>
    <mergeCell ref="AYY48:AZO48"/>
    <mergeCell ref="AZP48:BAF48"/>
    <mergeCell ref="BAG48:BAW48"/>
    <mergeCell ref="BAX48:BBN48"/>
    <mergeCell ref="BBO48:BCE48"/>
    <mergeCell ref="BCF48:BCV48"/>
    <mergeCell ref="AVA48:AVQ48"/>
    <mergeCell ref="AVR48:AWH48"/>
    <mergeCell ref="AWI48:AWY48"/>
    <mergeCell ref="AWZ48:AXP48"/>
    <mergeCell ref="AXQ48:AYG48"/>
    <mergeCell ref="AYH48:AYX48"/>
    <mergeCell ref="ARC48:ARS48"/>
    <mergeCell ref="ART48:ASJ48"/>
    <mergeCell ref="ASK48:ATA48"/>
    <mergeCell ref="ATB48:ATR48"/>
    <mergeCell ref="ATS48:AUI48"/>
    <mergeCell ref="AUJ48:AUZ48"/>
    <mergeCell ref="ANE48:ANU48"/>
    <mergeCell ref="ANV48:AOL48"/>
    <mergeCell ref="AOM48:APC48"/>
    <mergeCell ref="APD48:APT48"/>
    <mergeCell ref="APU48:AQK48"/>
    <mergeCell ref="AQL48:ARB48"/>
    <mergeCell ref="AJG48:AJW48"/>
    <mergeCell ref="AJX48:AKN48"/>
    <mergeCell ref="AKO48:ALE48"/>
    <mergeCell ref="ALF48:ALV48"/>
    <mergeCell ref="ALW48:AMM48"/>
    <mergeCell ref="AMN48:AND48"/>
    <mergeCell ref="AFI48:AFY48"/>
    <mergeCell ref="AFZ48:AGP48"/>
    <mergeCell ref="AGQ48:AHG48"/>
    <mergeCell ref="AHH48:AHX48"/>
    <mergeCell ref="AHY48:AIO48"/>
    <mergeCell ref="AIP48:AJF48"/>
    <mergeCell ref="ABK48:ACA48"/>
    <mergeCell ref="ACB48:ACR48"/>
    <mergeCell ref="ACS48:ADI48"/>
    <mergeCell ref="ADJ48:ADZ48"/>
    <mergeCell ref="AEA48:AEQ48"/>
    <mergeCell ref="AER48:AFH48"/>
    <mergeCell ref="XM48:YC48"/>
    <mergeCell ref="YD48:YT48"/>
    <mergeCell ref="YU48:ZK48"/>
    <mergeCell ref="ZL48:AAB48"/>
    <mergeCell ref="AAC48:AAS48"/>
    <mergeCell ref="AAT48:ABJ48"/>
    <mergeCell ref="TO48:UE48"/>
    <mergeCell ref="UF48:UV48"/>
    <mergeCell ref="UW48:VM48"/>
    <mergeCell ref="VN48:WD48"/>
    <mergeCell ref="WE48:WU48"/>
    <mergeCell ref="WV48:XL48"/>
    <mergeCell ref="PQ48:QG48"/>
    <mergeCell ref="QH48:QX48"/>
    <mergeCell ref="QY48:RO48"/>
    <mergeCell ref="RP48:SF48"/>
    <mergeCell ref="SG48:SW48"/>
    <mergeCell ref="SX48:TN48"/>
    <mergeCell ref="LS48:MI48"/>
    <mergeCell ref="MJ48:MZ48"/>
    <mergeCell ref="NA48:NQ48"/>
    <mergeCell ref="NR48:OH48"/>
    <mergeCell ref="OI48:OY48"/>
    <mergeCell ref="OZ48:PP48"/>
    <mergeCell ref="HU48:IK48"/>
    <mergeCell ref="IL48:JB48"/>
    <mergeCell ref="JC48:JS48"/>
    <mergeCell ref="JT48:KJ48"/>
    <mergeCell ref="KK48:LA48"/>
    <mergeCell ref="LB48:LR48"/>
    <mergeCell ref="DW48:EM48"/>
    <mergeCell ref="EN48:FD48"/>
    <mergeCell ref="FE48:FU48"/>
    <mergeCell ref="FV48:GL48"/>
    <mergeCell ref="GM48:HC48"/>
    <mergeCell ref="HD48:HT48"/>
    <mergeCell ref="XCI47:XCY47"/>
    <mergeCell ref="XCZ47:XDP47"/>
    <mergeCell ref="XDQ47:XEC47"/>
    <mergeCell ref="S48:AG48"/>
    <mergeCell ref="AX48:BM48"/>
    <mergeCell ref="BN48:BP48"/>
    <mergeCell ref="BQ48:BU48"/>
    <mergeCell ref="BY48:CN48"/>
    <mergeCell ref="CO48:DE48"/>
    <mergeCell ref="DF48:DV48"/>
    <mergeCell ref="WYK47:WZA47"/>
    <mergeCell ref="WZB47:WZR47"/>
    <mergeCell ref="WZS47:XAI47"/>
    <mergeCell ref="XAJ47:XAZ47"/>
    <mergeCell ref="XBA47:XBQ47"/>
    <mergeCell ref="XBR47:XCH47"/>
    <mergeCell ref="WUM47:WVC47"/>
    <mergeCell ref="WVD47:WVT47"/>
    <mergeCell ref="WVU47:WWK47"/>
    <mergeCell ref="WWL47:WXB47"/>
    <mergeCell ref="WXC47:WXS47"/>
    <mergeCell ref="WXT47:WYJ47"/>
    <mergeCell ref="WQO47:WRE47"/>
    <mergeCell ref="WRF47:WRV47"/>
    <mergeCell ref="WRW47:WSM47"/>
    <mergeCell ref="WSN47:WTD47"/>
    <mergeCell ref="WTE47:WTU47"/>
    <mergeCell ref="WTV47:WUL47"/>
    <mergeCell ref="WMQ47:WNG47"/>
    <mergeCell ref="WNH47:WNX47"/>
    <mergeCell ref="WNY47:WOO47"/>
    <mergeCell ref="WOP47:WPF47"/>
    <mergeCell ref="WPG47:WPW47"/>
    <mergeCell ref="WPX47:WQN47"/>
    <mergeCell ref="WIS47:WJI47"/>
    <mergeCell ref="WJJ47:WJZ47"/>
    <mergeCell ref="WKA47:WKQ47"/>
    <mergeCell ref="WKR47:WLH47"/>
    <mergeCell ref="WLI47:WLY47"/>
    <mergeCell ref="WLZ47:WMP47"/>
    <mergeCell ref="WEU47:WFK47"/>
    <mergeCell ref="WFL47:WGB47"/>
    <mergeCell ref="WGC47:WGS47"/>
    <mergeCell ref="WGT47:WHJ47"/>
    <mergeCell ref="WHK47:WIA47"/>
    <mergeCell ref="WIB47:WIR47"/>
    <mergeCell ref="WAW47:WBM47"/>
    <mergeCell ref="WBN47:WCD47"/>
    <mergeCell ref="WCE47:WCU47"/>
    <mergeCell ref="WCV47:WDL47"/>
    <mergeCell ref="WDM47:WEC47"/>
    <mergeCell ref="WED47:WET47"/>
    <mergeCell ref="VWY47:VXO47"/>
    <mergeCell ref="VXP47:VYF47"/>
    <mergeCell ref="VYG47:VYW47"/>
    <mergeCell ref="VYX47:VZN47"/>
    <mergeCell ref="VZO47:WAE47"/>
    <mergeCell ref="WAF47:WAV47"/>
    <mergeCell ref="VTA47:VTQ47"/>
    <mergeCell ref="VTR47:VUH47"/>
    <mergeCell ref="VUI47:VUY47"/>
    <mergeCell ref="VUZ47:VVP47"/>
    <mergeCell ref="VVQ47:VWG47"/>
    <mergeCell ref="VWH47:VWX47"/>
    <mergeCell ref="VPC47:VPS47"/>
    <mergeCell ref="VPT47:VQJ47"/>
    <mergeCell ref="VQK47:VRA47"/>
    <mergeCell ref="VRB47:VRR47"/>
    <mergeCell ref="VRS47:VSI47"/>
    <mergeCell ref="VSJ47:VSZ47"/>
    <mergeCell ref="VLE47:VLU47"/>
    <mergeCell ref="VLV47:VML47"/>
    <mergeCell ref="VMM47:VNC47"/>
    <mergeCell ref="VND47:VNT47"/>
    <mergeCell ref="VNU47:VOK47"/>
    <mergeCell ref="VOL47:VPB47"/>
    <mergeCell ref="VHG47:VHW47"/>
    <mergeCell ref="VHX47:VIN47"/>
    <mergeCell ref="VIO47:VJE47"/>
    <mergeCell ref="VJF47:VJV47"/>
    <mergeCell ref="VJW47:VKM47"/>
    <mergeCell ref="VKN47:VLD47"/>
    <mergeCell ref="VDI47:VDY47"/>
    <mergeCell ref="VDZ47:VEP47"/>
    <mergeCell ref="VEQ47:VFG47"/>
    <mergeCell ref="VFH47:VFX47"/>
    <mergeCell ref="VFY47:VGO47"/>
    <mergeCell ref="VGP47:VHF47"/>
    <mergeCell ref="UZK47:VAA47"/>
    <mergeCell ref="VAB47:VAR47"/>
    <mergeCell ref="VAS47:VBI47"/>
    <mergeCell ref="VBJ47:VBZ47"/>
    <mergeCell ref="VCA47:VCQ47"/>
    <mergeCell ref="VCR47:VDH47"/>
    <mergeCell ref="UVM47:UWC47"/>
    <mergeCell ref="UWD47:UWT47"/>
    <mergeCell ref="UWU47:UXK47"/>
    <mergeCell ref="UXL47:UYB47"/>
    <mergeCell ref="UYC47:UYS47"/>
    <mergeCell ref="UYT47:UZJ47"/>
    <mergeCell ref="URO47:USE47"/>
    <mergeCell ref="USF47:USV47"/>
    <mergeCell ref="USW47:UTM47"/>
    <mergeCell ref="UTN47:UUD47"/>
    <mergeCell ref="UUE47:UUU47"/>
    <mergeCell ref="UUV47:UVL47"/>
    <mergeCell ref="UNQ47:UOG47"/>
    <mergeCell ref="UOH47:UOX47"/>
    <mergeCell ref="UOY47:UPO47"/>
    <mergeCell ref="UPP47:UQF47"/>
    <mergeCell ref="UQG47:UQW47"/>
    <mergeCell ref="UQX47:URN47"/>
    <mergeCell ref="UJS47:UKI47"/>
    <mergeCell ref="UKJ47:UKZ47"/>
    <mergeCell ref="ULA47:ULQ47"/>
    <mergeCell ref="ULR47:UMH47"/>
    <mergeCell ref="UMI47:UMY47"/>
    <mergeCell ref="UMZ47:UNP47"/>
    <mergeCell ref="UFU47:UGK47"/>
    <mergeCell ref="UGL47:UHB47"/>
    <mergeCell ref="UHC47:UHS47"/>
    <mergeCell ref="UHT47:UIJ47"/>
    <mergeCell ref="UIK47:UJA47"/>
    <mergeCell ref="UJB47:UJR47"/>
    <mergeCell ref="UBW47:UCM47"/>
    <mergeCell ref="UCN47:UDD47"/>
    <mergeCell ref="UDE47:UDU47"/>
    <mergeCell ref="UDV47:UEL47"/>
    <mergeCell ref="UEM47:UFC47"/>
    <mergeCell ref="UFD47:UFT47"/>
    <mergeCell ref="TXY47:TYO47"/>
    <mergeCell ref="TYP47:TZF47"/>
    <mergeCell ref="TZG47:TZW47"/>
    <mergeCell ref="TZX47:UAN47"/>
    <mergeCell ref="UAO47:UBE47"/>
    <mergeCell ref="UBF47:UBV47"/>
    <mergeCell ref="TUA47:TUQ47"/>
    <mergeCell ref="TUR47:TVH47"/>
    <mergeCell ref="TVI47:TVY47"/>
    <mergeCell ref="TVZ47:TWP47"/>
    <mergeCell ref="TWQ47:TXG47"/>
    <mergeCell ref="TXH47:TXX47"/>
    <mergeCell ref="TQC47:TQS47"/>
    <mergeCell ref="TQT47:TRJ47"/>
    <mergeCell ref="TRK47:TSA47"/>
    <mergeCell ref="TSB47:TSR47"/>
    <mergeCell ref="TSS47:TTI47"/>
    <mergeCell ref="TTJ47:TTZ47"/>
    <mergeCell ref="TME47:TMU47"/>
    <mergeCell ref="TMV47:TNL47"/>
    <mergeCell ref="TNM47:TOC47"/>
    <mergeCell ref="TOD47:TOT47"/>
    <mergeCell ref="TOU47:TPK47"/>
    <mergeCell ref="TPL47:TQB47"/>
    <mergeCell ref="TIG47:TIW47"/>
    <mergeCell ref="TIX47:TJN47"/>
    <mergeCell ref="TJO47:TKE47"/>
    <mergeCell ref="TKF47:TKV47"/>
    <mergeCell ref="TKW47:TLM47"/>
    <mergeCell ref="TLN47:TMD47"/>
    <mergeCell ref="TEI47:TEY47"/>
    <mergeCell ref="TEZ47:TFP47"/>
    <mergeCell ref="TFQ47:TGG47"/>
    <mergeCell ref="TGH47:TGX47"/>
    <mergeCell ref="TGY47:THO47"/>
    <mergeCell ref="THP47:TIF47"/>
    <mergeCell ref="TAK47:TBA47"/>
    <mergeCell ref="TBB47:TBR47"/>
    <mergeCell ref="TBS47:TCI47"/>
    <mergeCell ref="TCJ47:TCZ47"/>
    <mergeCell ref="TDA47:TDQ47"/>
    <mergeCell ref="TDR47:TEH47"/>
    <mergeCell ref="SWM47:SXC47"/>
    <mergeCell ref="SXD47:SXT47"/>
    <mergeCell ref="SXU47:SYK47"/>
    <mergeCell ref="SYL47:SZB47"/>
    <mergeCell ref="SZC47:SZS47"/>
    <mergeCell ref="SZT47:TAJ47"/>
    <mergeCell ref="SSO47:STE47"/>
    <mergeCell ref="STF47:STV47"/>
    <mergeCell ref="STW47:SUM47"/>
    <mergeCell ref="SUN47:SVD47"/>
    <mergeCell ref="SVE47:SVU47"/>
    <mergeCell ref="SVV47:SWL47"/>
    <mergeCell ref="SOQ47:SPG47"/>
    <mergeCell ref="SPH47:SPX47"/>
    <mergeCell ref="SPY47:SQO47"/>
    <mergeCell ref="SQP47:SRF47"/>
    <mergeCell ref="SRG47:SRW47"/>
    <mergeCell ref="SRX47:SSN47"/>
    <mergeCell ref="SKS47:SLI47"/>
    <mergeCell ref="SLJ47:SLZ47"/>
    <mergeCell ref="SMA47:SMQ47"/>
    <mergeCell ref="SMR47:SNH47"/>
    <mergeCell ref="SNI47:SNY47"/>
    <mergeCell ref="SNZ47:SOP47"/>
    <mergeCell ref="SGU47:SHK47"/>
    <mergeCell ref="SHL47:SIB47"/>
    <mergeCell ref="SIC47:SIS47"/>
    <mergeCell ref="SIT47:SJJ47"/>
    <mergeCell ref="SJK47:SKA47"/>
    <mergeCell ref="SKB47:SKR47"/>
    <mergeCell ref="SCW47:SDM47"/>
    <mergeCell ref="SDN47:SED47"/>
    <mergeCell ref="SEE47:SEU47"/>
    <mergeCell ref="SEV47:SFL47"/>
    <mergeCell ref="SFM47:SGC47"/>
    <mergeCell ref="SGD47:SGT47"/>
    <mergeCell ref="RYY47:RZO47"/>
    <mergeCell ref="RZP47:SAF47"/>
    <mergeCell ref="SAG47:SAW47"/>
    <mergeCell ref="SAX47:SBN47"/>
    <mergeCell ref="SBO47:SCE47"/>
    <mergeCell ref="SCF47:SCV47"/>
    <mergeCell ref="RVA47:RVQ47"/>
    <mergeCell ref="RVR47:RWH47"/>
    <mergeCell ref="RWI47:RWY47"/>
    <mergeCell ref="RWZ47:RXP47"/>
    <mergeCell ref="RXQ47:RYG47"/>
    <mergeCell ref="RYH47:RYX47"/>
    <mergeCell ref="RRC47:RRS47"/>
    <mergeCell ref="RRT47:RSJ47"/>
    <mergeCell ref="RSK47:RTA47"/>
    <mergeCell ref="RTB47:RTR47"/>
    <mergeCell ref="RTS47:RUI47"/>
    <mergeCell ref="RUJ47:RUZ47"/>
    <mergeCell ref="RNE47:RNU47"/>
    <mergeCell ref="RNV47:ROL47"/>
    <mergeCell ref="ROM47:RPC47"/>
    <mergeCell ref="RPD47:RPT47"/>
    <mergeCell ref="RPU47:RQK47"/>
    <mergeCell ref="RQL47:RRB47"/>
    <mergeCell ref="RJG47:RJW47"/>
    <mergeCell ref="RJX47:RKN47"/>
    <mergeCell ref="RKO47:RLE47"/>
    <mergeCell ref="RLF47:RLV47"/>
    <mergeCell ref="RLW47:RMM47"/>
    <mergeCell ref="RMN47:RND47"/>
    <mergeCell ref="RFI47:RFY47"/>
    <mergeCell ref="RFZ47:RGP47"/>
    <mergeCell ref="RGQ47:RHG47"/>
    <mergeCell ref="RHH47:RHX47"/>
    <mergeCell ref="RHY47:RIO47"/>
    <mergeCell ref="RIP47:RJF47"/>
    <mergeCell ref="RBK47:RCA47"/>
    <mergeCell ref="RCB47:RCR47"/>
    <mergeCell ref="RCS47:RDI47"/>
    <mergeCell ref="RDJ47:RDZ47"/>
    <mergeCell ref="REA47:REQ47"/>
    <mergeCell ref="RER47:RFH47"/>
    <mergeCell ref="QXM47:QYC47"/>
    <mergeCell ref="QYD47:QYT47"/>
    <mergeCell ref="QYU47:QZK47"/>
    <mergeCell ref="QZL47:RAB47"/>
    <mergeCell ref="RAC47:RAS47"/>
    <mergeCell ref="RAT47:RBJ47"/>
    <mergeCell ref="QTO47:QUE47"/>
    <mergeCell ref="QUF47:QUV47"/>
    <mergeCell ref="QUW47:QVM47"/>
    <mergeCell ref="QVN47:QWD47"/>
    <mergeCell ref="QWE47:QWU47"/>
    <mergeCell ref="QWV47:QXL47"/>
    <mergeCell ref="QPQ47:QQG47"/>
    <mergeCell ref="QQH47:QQX47"/>
    <mergeCell ref="QQY47:QRO47"/>
    <mergeCell ref="QRP47:QSF47"/>
    <mergeCell ref="QSG47:QSW47"/>
    <mergeCell ref="QSX47:QTN47"/>
    <mergeCell ref="QLS47:QMI47"/>
    <mergeCell ref="QMJ47:QMZ47"/>
    <mergeCell ref="QNA47:QNQ47"/>
    <mergeCell ref="QNR47:QOH47"/>
    <mergeCell ref="QOI47:QOY47"/>
    <mergeCell ref="QOZ47:QPP47"/>
    <mergeCell ref="QHU47:QIK47"/>
    <mergeCell ref="QIL47:QJB47"/>
    <mergeCell ref="QJC47:QJS47"/>
    <mergeCell ref="QJT47:QKJ47"/>
    <mergeCell ref="QKK47:QLA47"/>
    <mergeCell ref="QLB47:QLR47"/>
    <mergeCell ref="QDW47:QEM47"/>
    <mergeCell ref="QEN47:QFD47"/>
    <mergeCell ref="QFE47:QFU47"/>
    <mergeCell ref="QFV47:QGL47"/>
    <mergeCell ref="QGM47:QHC47"/>
    <mergeCell ref="QHD47:QHT47"/>
    <mergeCell ref="PZY47:QAO47"/>
    <mergeCell ref="QAP47:QBF47"/>
    <mergeCell ref="QBG47:QBW47"/>
    <mergeCell ref="QBX47:QCN47"/>
    <mergeCell ref="QCO47:QDE47"/>
    <mergeCell ref="QDF47:QDV47"/>
    <mergeCell ref="PWA47:PWQ47"/>
    <mergeCell ref="PWR47:PXH47"/>
    <mergeCell ref="PXI47:PXY47"/>
    <mergeCell ref="PXZ47:PYP47"/>
    <mergeCell ref="PYQ47:PZG47"/>
    <mergeCell ref="PZH47:PZX47"/>
    <mergeCell ref="PSC47:PSS47"/>
    <mergeCell ref="PST47:PTJ47"/>
    <mergeCell ref="PTK47:PUA47"/>
    <mergeCell ref="PUB47:PUR47"/>
    <mergeCell ref="PUS47:PVI47"/>
    <mergeCell ref="PVJ47:PVZ47"/>
    <mergeCell ref="POE47:POU47"/>
    <mergeCell ref="POV47:PPL47"/>
    <mergeCell ref="PPM47:PQC47"/>
    <mergeCell ref="PQD47:PQT47"/>
    <mergeCell ref="PQU47:PRK47"/>
    <mergeCell ref="PRL47:PSB47"/>
    <mergeCell ref="PKG47:PKW47"/>
    <mergeCell ref="PKX47:PLN47"/>
    <mergeCell ref="PLO47:PME47"/>
    <mergeCell ref="PMF47:PMV47"/>
    <mergeCell ref="PMW47:PNM47"/>
    <mergeCell ref="PNN47:POD47"/>
    <mergeCell ref="PGI47:PGY47"/>
    <mergeCell ref="PGZ47:PHP47"/>
    <mergeCell ref="PHQ47:PIG47"/>
    <mergeCell ref="PIH47:PIX47"/>
    <mergeCell ref="PIY47:PJO47"/>
    <mergeCell ref="PJP47:PKF47"/>
    <mergeCell ref="PCK47:PDA47"/>
    <mergeCell ref="PDB47:PDR47"/>
    <mergeCell ref="PDS47:PEI47"/>
    <mergeCell ref="PEJ47:PEZ47"/>
    <mergeCell ref="PFA47:PFQ47"/>
    <mergeCell ref="PFR47:PGH47"/>
    <mergeCell ref="OYM47:OZC47"/>
    <mergeCell ref="OZD47:OZT47"/>
    <mergeCell ref="OZU47:PAK47"/>
    <mergeCell ref="PAL47:PBB47"/>
    <mergeCell ref="PBC47:PBS47"/>
    <mergeCell ref="PBT47:PCJ47"/>
    <mergeCell ref="OUO47:OVE47"/>
    <mergeCell ref="OVF47:OVV47"/>
    <mergeCell ref="OVW47:OWM47"/>
    <mergeCell ref="OWN47:OXD47"/>
    <mergeCell ref="OXE47:OXU47"/>
    <mergeCell ref="OXV47:OYL47"/>
    <mergeCell ref="OQQ47:ORG47"/>
    <mergeCell ref="ORH47:ORX47"/>
    <mergeCell ref="ORY47:OSO47"/>
    <mergeCell ref="OSP47:OTF47"/>
    <mergeCell ref="OTG47:OTW47"/>
    <mergeCell ref="OTX47:OUN47"/>
    <mergeCell ref="OMS47:ONI47"/>
    <mergeCell ref="ONJ47:ONZ47"/>
    <mergeCell ref="OOA47:OOQ47"/>
    <mergeCell ref="OOR47:OPH47"/>
    <mergeCell ref="OPI47:OPY47"/>
    <mergeCell ref="OPZ47:OQP47"/>
    <mergeCell ref="OIU47:OJK47"/>
    <mergeCell ref="OJL47:OKB47"/>
    <mergeCell ref="OKC47:OKS47"/>
    <mergeCell ref="OKT47:OLJ47"/>
    <mergeCell ref="OLK47:OMA47"/>
    <mergeCell ref="OMB47:OMR47"/>
    <mergeCell ref="OEW47:OFM47"/>
    <mergeCell ref="OFN47:OGD47"/>
    <mergeCell ref="OGE47:OGU47"/>
    <mergeCell ref="OGV47:OHL47"/>
    <mergeCell ref="OHM47:OIC47"/>
    <mergeCell ref="OID47:OIT47"/>
    <mergeCell ref="OAY47:OBO47"/>
    <mergeCell ref="OBP47:OCF47"/>
    <mergeCell ref="OCG47:OCW47"/>
    <mergeCell ref="OCX47:ODN47"/>
    <mergeCell ref="ODO47:OEE47"/>
    <mergeCell ref="OEF47:OEV47"/>
    <mergeCell ref="NXA47:NXQ47"/>
    <mergeCell ref="NXR47:NYH47"/>
    <mergeCell ref="NYI47:NYY47"/>
    <mergeCell ref="NYZ47:NZP47"/>
    <mergeCell ref="NZQ47:OAG47"/>
    <mergeCell ref="OAH47:OAX47"/>
    <mergeCell ref="NTC47:NTS47"/>
    <mergeCell ref="NTT47:NUJ47"/>
    <mergeCell ref="NUK47:NVA47"/>
    <mergeCell ref="NVB47:NVR47"/>
    <mergeCell ref="NVS47:NWI47"/>
    <mergeCell ref="NWJ47:NWZ47"/>
    <mergeCell ref="NPE47:NPU47"/>
    <mergeCell ref="NPV47:NQL47"/>
    <mergeCell ref="NQM47:NRC47"/>
    <mergeCell ref="NRD47:NRT47"/>
    <mergeCell ref="NRU47:NSK47"/>
    <mergeCell ref="NSL47:NTB47"/>
    <mergeCell ref="NLG47:NLW47"/>
    <mergeCell ref="NLX47:NMN47"/>
    <mergeCell ref="NMO47:NNE47"/>
    <mergeCell ref="NNF47:NNV47"/>
    <mergeCell ref="NNW47:NOM47"/>
    <mergeCell ref="NON47:NPD47"/>
    <mergeCell ref="NHI47:NHY47"/>
    <mergeCell ref="NHZ47:NIP47"/>
    <mergeCell ref="NIQ47:NJG47"/>
    <mergeCell ref="NJH47:NJX47"/>
    <mergeCell ref="NJY47:NKO47"/>
    <mergeCell ref="NKP47:NLF47"/>
    <mergeCell ref="NDK47:NEA47"/>
    <mergeCell ref="NEB47:NER47"/>
    <mergeCell ref="NES47:NFI47"/>
    <mergeCell ref="NFJ47:NFZ47"/>
    <mergeCell ref="NGA47:NGQ47"/>
    <mergeCell ref="NGR47:NHH47"/>
    <mergeCell ref="MZM47:NAC47"/>
    <mergeCell ref="NAD47:NAT47"/>
    <mergeCell ref="NAU47:NBK47"/>
    <mergeCell ref="NBL47:NCB47"/>
    <mergeCell ref="NCC47:NCS47"/>
    <mergeCell ref="NCT47:NDJ47"/>
    <mergeCell ref="MVO47:MWE47"/>
    <mergeCell ref="MWF47:MWV47"/>
    <mergeCell ref="MWW47:MXM47"/>
    <mergeCell ref="MXN47:MYD47"/>
    <mergeCell ref="MYE47:MYU47"/>
    <mergeCell ref="MYV47:MZL47"/>
    <mergeCell ref="MRQ47:MSG47"/>
    <mergeCell ref="MSH47:MSX47"/>
    <mergeCell ref="MSY47:MTO47"/>
    <mergeCell ref="MTP47:MUF47"/>
    <mergeCell ref="MUG47:MUW47"/>
    <mergeCell ref="MUX47:MVN47"/>
    <mergeCell ref="MNS47:MOI47"/>
    <mergeCell ref="MOJ47:MOZ47"/>
    <mergeCell ref="MPA47:MPQ47"/>
    <mergeCell ref="MPR47:MQH47"/>
    <mergeCell ref="MQI47:MQY47"/>
    <mergeCell ref="MQZ47:MRP47"/>
    <mergeCell ref="MJU47:MKK47"/>
    <mergeCell ref="MKL47:MLB47"/>
    <mergeCell ref="MLC47:MLS47"/>
    <mergeCell ref="MLT47:MMJ47"/>
    <mergeCell ref="MMK47:MNA47"/>
    <mergeCell ref="MNB47:MNR47"/>
    <mergeCell ref="MFW47:MGM47"/>
    <mergeCell ref="MGN47:MHD47"/>
    <mergeCell ref="MHE47:MHU47"/>
    <mergeCell ref="MHV47:MIL47"/>
    <mergeCell ref="MIM47:MJC47"/>
    <mergeCell ref="MJD47:MJT47"/>
    <mergeCell ref="MBY47:MCO47"/>
    <mergeCell ref="MCP47:MDF47"/>
    <mergeCell ref="MDG47:MDW47"/>
    <mergeCell ref="MDX47:MEN47"/>
    <mergeCell ref="MEO47:MFE47"/>
    <mergeCell ref="MFF47:MFV47"/>
    <mergeCell ref="LYA47:LYQ47"/>
    <mergeCell ref="LYR47:LZH47"/>
    <mergeCell ref="LZI47:LZY47"/>
    <mergeCell ref="LZZ47:MAP47"/>
    <mergeCell ref="MAQ47:MBG47"/>
    <mergeCell ref="MBH47:MBX47"/>
    <mergeCell ref="LUC47:LUS47"/>
    <mergeCell ref="LUT47:LVJ47"/>
    <mergeCell ref="LVK47:LWA47"/>
    <mergeCell ref="LWB47:LWR47"/>
    <mergeCell ref="LWS47:LXI47"/>
    <mergeCell ref="LXJ47:LXZ47"/>
    <mergeCell ref="LQE47:LQU47"/>
    <mergeCell ref="LQV47:LRL47"/>
    <mergeCell ref="LRM47:LSC47"/>
    <mergeCell ref="LSD47:LST47"/>
    <mergeCell ref="LSU47:LTK47"/>
    <mergeCell ref="LTL47:LUB47"/>
    <mergeCell ref="LMG47:LMW47"/>
    <mergeCell ref="LMX47:LNN47"/>
    <mergeCell ref="LNO47:LOE47"/>
    <mergeCell ref="LOF47:LOV47"/>
    <mergeCell ref="LOW47:LPM47"/>
    <mergeCell ref="LPN47:LQD47"/>
    <mergeCell ref="LII47:LIY47"/>
    <mergeCell ref="LIZ47:LJP47"/>
    <mergeCell ref="LJQ47:LKG47"/>
    <mergeCell ref="LKH47:LKX47"/>
    <mergeCell ref="LKY47:LLO47"/>
    <mergeCell ref="LLP47:LMF47"/>
    <mergeCell ref="LEK47:LFA47"/>
    <mergeCell ref="LFB47:LFR47"/>
    <mergeCell ref="LFS47:LGI47"/>
    <mergeCell ref="LGJ47:LGZ47"/>
    <mergeCell ref="LHA47:LHQ47"/>
    <mergeCell ref="LHR47:LIH47"/>
    <mergeCell ref="LAM47:LBC47"/>
    <mergeCell ref="LBD47:LBT47"/>
    <mergeCell ref="LBU47:LCK47"/>
    <mergeCell ref="LCL47:LDB47"/>
    <mergeCell ref="LDC47:LDS47"/>
    <mergeCell ref="LDT47:LEJ47"/>
    <mergeCell ref="KWO47:KXE47"/>
    <mergeCell ref="KXF47:KXV47"/>
    <mergeCell ref="KXW47:KYM47"/>
    <mergeCell ref="KYN47:KZD47"/>
    <mergeCell ref="KZE47:KZU47"/>
    <mergeCell ref="KZV47:LAL47"/>
    <mergeCell ref="KSQ47:KTG47"/>
    <mergeCell ref="KTH47:KTX47"/>
    <mergeCell ref="KTY47:KUO47"/>
    <mergeCell ref="KUP47:KVF47"/>
    <mergeCell ref="KVG47:KVW47"/>
    <mergeCell ref="KVX47:KWN47"/>
    <mergeCell ref="KOS47:KPI47"/>
    <mergeCell ref="KPJ47:KPZ47"/>
    <mergeCell ref="KQA47:KQQ47"/>
    <mergeCell ref="KQR47:KRH47"/>
    <mergeCell ref="KRI47:KRY47"/>
    <mergeCell ref="KRZ47:KSP47"/>
    <mergeCell ref="KKU47:KLK47"/>
    <mergeCell ref="KLL47:KMB47"/>
    <mergeCell ref="KMC47:KMS47"/>
    <mergeCell ref="KMT47:KNJ47"/>
    <mergeCell ref="KNK47:KOA47"/>
    <mergeCell ref="KOB47:KOR47"/>
    <mergeCell ref="KGW47:KHM47"/>
    <mergeCell ref="KHN47:KID47"/>
    <mergeCell ref="KIE47:KIU47"/>
    <mergeCell ref="KIV47:KJL47"/>
    <mergeCell ref="KJM47:KKC47"/>
    <mergeCell ref="KKD47:KKT47"/>
    <mergeCell ref="KCY47:KDO47"/>
    <mergeCell ref="KDP47:KEF47"/>
    <mergeCell ref="KEG47:KEW47"/>
    <mergeCell ref="KEX47:KFN47"/>
    <mergeCell ref="KFO47:KGE47"/>
    <mergeCell ref="KGF47:KGV47"/>
    <mergeCell ref="JZA47:JZQ47"/>
    <mergeCell ref="JZR47:KAH47"/>
    <mergeCell ref="KAI47:KAY47"/>
    <mergeCell ref="KAZ47:KBP47"/>
    <mergeCell ref="KBQ47:KCG47"/>
    <mergeCell ref="KCH47:KCX47"/>
    <mergeCell ref="JVC47:JVS47"/>
    <mergeCell ref="JVT47:JWJ47"/>
    <mergeCell ref="JWK47:JXA47"/>
    <mergeCell ref="JXB47:JXR47"/>
    <mergeCell ref="JXS47:JYI47"/>
    <mergeCell ref="JYJ47:JYZ47"/>
    <mergeCell ref="JRE47:JRU47"/>
    <mergeCell ref="JRV47:JSL47"/>
    <mergeCell ref="JSM47:JTC47"/>
    <mergeCell ref="JTD47:JTT47"/>
    <mergeCell ref="JTU47:JUK47"/>
    <mergeCell ref="JUL47:JVB47"/>
    <mergeCell ref="JNG47:JNW47"/>
    <mergeCell ref="JNX47:JON47"/>
    <mergeCell ref="JOO47:JPE47"/>
    <mergeCell ref="JPF47:JPV47"/>
    <mergeCell ref="JPW47:JQM47"/>
    <mergeCell ref="JQN47:JRD47"/>
    <mergeCell ref="JJI47:JJY47"/>
    <mergeCell ref="JJZ47:JKP47"/>
    <mergeCell ref="JKQ47:JLG47"/>
    <mergeCell ref="JLH47:JLX47"/>
    <mergeCell ref="JLY47:JMO47"/>
    <mergeCell ref="JMP47:JNF47"/>
    <mergeCell ref="JFK47:JGA47"/>
    <mergeCell ref="JGB47:JGR47"/>
    <mergeCell ref="JGS47:JHI47"/>
    <mergeCell ref="JHJ47:JHZ47"/>
    <mergeCell ref="JIA47:JIQ47"/>
    <mergeCell ref="JIR47:JJH47"/>
    <mergeCell ref="JBM47:JCC47"/>
    <mergeCell ref="JCD47:JCT47"/>
    <mergeCell ref="JCU47:JDK47"/>
    <mergeCell ref="JDL47:JEB47"/>
    <mergeCell ref="JEC47:JES47"/>
    <mergeCell ref="JET47:JFJ47"/>
    <mergeCell ref="IXO47:IYE47"/>
    <mergeCell ref="IYF47:IYV47"/>
    <mergeCell ref="IYW47:IZM47"/>
    <mergeCell ref="IZN47:JAD47"/>
    <mergeCell ref="JAE47:JAU47"/>
    <mergeCell ref="JAV47:JBL47"/>
    <mergeCell ref="ITQ47:IUG47"/>
    <mergeCell ref="IUH47:IUX47"/>
    <mergeCell ref="IUY47:IVO47"/>
    <mergeCell ref="IVP47:IWF47"/>
    <mergeCell ref="IWG47:IWW47"/>
    <mergeCell ref="IWX47:IXN47"/>
    <mergeCell ref="IPS47:IQI47"/>
    <mergeCell ref="IQJ47:IQZ47"/>
    <mergeCell ref="IRA47:IRQ47"/>
    <mergeCell ref="IRR47:ISH47"/>
    <mergeCell ref="ISI47:ISY47"/>
    <mergeCell ref="ISZ47:ITP47"/>
    <mergeCell ref="ILU47:IMK47"/>
    <mergeCell ref="IML47:INB47"/>
    <mergeCell ref="INC47:INS47"/>
    <mergeCell ref="INT47:IOJ47"/>
    <mergeCell ref="IOK47:IPA47"/>
    <mergeCell ref="IPB47:IPR47"/>
    <mergeCell ref="IHW47:IIM47"/>
    <mergeCell ref="IIN47:IJD47"/>
    <mergeCell ref="IJE47:IJU47"/>
    <mergeCell ref="IJV47:IKL47"/>
    <mergeCell ref="IKM47:ILC47"/>
    <mergeCell ref="ILD47:ILT47"/>
    <mergeCell ref="IDY47:IEO47"/>
    <mergeCell ref="IEP47:IFF47"/>
    <mergeCell ref="IFG47:IFW47"/>
    <mergeCell ref="IFX47:IGN47"/>
    <mergeCell ref="IGO47:IHE47"/>
    <mergeCell ref="IHF47:IHV47"/>
    <mergeCell ref="IAA47:IAQ47"/>
    <mergeCell ref="IAR47:IBH47"/>
    <mergeCell ref="IBI47:IBY47"/>
    <mergeCell ref="IBZ47:ICP47"/>
    <mergeCell ref="ICQ47:IDG47"/>
    <mergeCell ref="IDH47:IDX47"/>
    <mergeCell ref="HWC47:HWS47"/>
    <mergeCell ref="HWT47:HXJ47"/>
    <mergeCell ref="HXK47:HYA47"/>
    <mergeCell ref="HYB47:HYR47"/>
    <mergeCell ref="HYS47:HZI47"/>
    <mergeCell ref="HZJ47:HZZ47"/>
    <mergeCell ref="HSE47:HSU47"/>
    <mergeCell ref="HSV47:HTL47"/>
    <mergeCell ref="HTM47:HUC47"/>
    <mergeCell ref="HUD47:HUT47"/>
    <mergeCell ref="HUU47:HVK47"/>
    <mergeCell ref="HVL47:HWB47"/>
    <mergeCell ref="HOG47:HOW47"/>
    <mergeCell ref="HOX47:HPN47"/>
    <mergeCell ref="HPO47:HQE47"/>
    <mergeCell ref="HQF47:HQV47"/>
    <mergeCell ref="HQW47:HRM47"/>
    <mergeCell ref="HRN47:HSD47"/>
    <mergeCell ref="HKI47:HKY47"/>
    <mergeCell ref="HKZ47:HLP47"/>
    <mergeCell ref="HLQ47:HMG47"/>
    <mergeCell ref="HMH47:HMX47"/>
    <mergeCell ref="HMY47:HNO47"/>
    <mergeCell ref="HNP47:HOF47"/>
    <mergeCell ref="HGK47:HHA47"/>
    <mergeCell ref="HHB47:HHR47"/>
    <mergeCell ref="HHS47:HII47"/>
    <mergeCell ref="HIJ47:HIZ47"/>
    <mergeCell ref="HJA47:HJQ47"/>
    <mergeCell ref="HJR47:HKH47"/>
    <mergeCell ref="HCM47:HDC47"/>
    <mergeCell ref="HDD47:HDT47"/>
    <mergeCell ref="HDU47:HEK47"/>
    <mergeCell ref="HEL47:HFB47"/>
    <mergeCell ref="HFC47:HFS47"/>
    <mergeCell ref="HFT47:HGJ47"/>
    <mergeCell ref="GYO47:GZE47"/>
    <mergeCell ref="GZF47:GZV47"/>
    <mergeCell ref="GZW47:HAM47"/>
    <mergeCell ref="HAN47:HBD47"/>
    <mergeCell ref="HBE47:HBU47"/>
    <mergeCell ref="HBV47:HCL47"/>
    <mergeCell ref="GUQ47:GVG47"/>
    <mergeCell ref="GVH47:GVX47"/>
    <mergeCell ref="GVY47:GWO47"/>
    <mergeCell ref="GWP47:GXF47"/>
    <mergeCell ref="GXG47:GXW47"/>
    <mergeCell ref="GXX47:GYN47"/>
    <mergeCell ref="GQS47:GRI47"/>
    <mergeCell ref="GRJ47:GRZ47"/>
    <mergeCell ref="GSA47:GSQ47"/>
    <mergeCell ref="GSR47:GTH47"/>
    <mergeCell ref="GTI47:GTY47"/>
    <mergeCell ref="GTZ47:GUP47"/>
    <mergeCell ref="GMU47:GNK47"/>
    <mergeCell ref="GNL47:GOB47"/>
    <mergeCell ref="GOC47:GOS47"/>
    <mergeCell ref="GOT47:GPJ47"/>
    <mergeCell ref="GPK47:GQA47"/>
    <mergeCell ref="GQB47:GQR47"/>
    <mergeCell ref="GIW47:GJM47"/>
    <mergeCell ref="GJN47:GKD47"/>
    <mergeCell ref="GKE47:GKU47"/>
    <mergeCell ref="GKV47:GLL47"/>
    <mergeCell ref="GLM47:GMC47"/>
    <mergeCell ref="GMD47:GMT47"/>
    <mergeCell ref="GEY47:GFO47"/>
    <mergeCell ref="GFP47:GGF47"/>
    <mergeCell ref="GGG47:GGW47"/>
    <mergeCell ref="GGX47:GHN47"/>
    <mergeCell ref="GHO47:GIE47"/>
    <mergeCell ref="GIF47:GIV47"/>
    <mergeCell ref="GBA47:GBQ47"/>
    <mergeCell ref="GBR47:GCH47"/>
    <mergeCell ref="GCI47:GCY47"/>
    <mergeCell ref="GCZ47:GDP47"/>
    <mergeCell ref="GDQ47:GEG47"/>
    <mergeCell ref="GEH47:GEX47"/>
    <mergeCell ref="FXC47:FXS47"/>
    <mergeCell ref="FXT47:FYJ47"/>
    <mergeCell ref="FYK47:FZA47"/>
    <mergeCell ref="FZB47:FZR47"/>
    <mergeCell ref="FZS47:GAI47"/>
    <mergeCell ref="GAJ47:GAZ47"/>
    <mergeCell ref="FTE47:FTU47"/>
    <mergeCell ref="FTV47:FUL47"/>
    <mergeCell ref="FUM47:FVC47"/>
    <mergeCell ref="FVD47:FVT47"/>
    <mergeCell ref="FVU47:FWK47"/>
    <mergeCell ref="FWL47:FXB47"/>
    <mergeCell ref="FPG47:FPW47"/>
    <mergeCell ref="FPX47:FQN47"/>
    <mergeCell ref="FQO47:FRE47"/>
    <mergeCell ref="FRF47:FRV47"/>
    <mergeCell ref="FRW47:FSM47"/>
    <mergeCell ref="FSN47:FTD47"/>
    <mergeCell ref="FLI47:FLY47"/>
    <mergeCell ref="FLZ47:FMP47"/>
    <mergeCell ref="FMQ47:FNG47"/>
    <mergeCell ref="FNH47:FNX47"/>
    <mergeCell ref="FNY47:FOO47"/>
    <mergeCell ref="FOP47:FPF47"/>
    <mergeCell ref="FHK47:FIA47"/>
    <mergeCell ref="FIB47:FIR47"/>
    <mergeCell ref="FIS47:FJI47"/>
    <mergeCell ref="FJJ47:FJZ47"/>
    <mergeCell ref="FKA47:FKQ47"/>
    <mergeCell ref="FKR47:FLH47"/>
    <mergeCell ref="FDM47:FEC47"/>
    <mergeCell ref="FED47:FET47"/>
    <mergeCell ref="FEU47:FFK47"/>
    <mergeCell ref="FFL47:FGB47"/>
    <mergeCell ref="FGC47:FGS47"/>
    <mergeCell ref="FGT47:FHJ47"/>
    <mergeCell ref="EZO47:FAE47"/>
    <mergeCell ref="FAF47:FAV47"/>
    <mergeCell ref="FAW47:FBM47"/>
    <mergeCell ref="FBN47:FCD47"/>
    <mergeCell ref="FCE47:FCU47"/>
    <mergeCell ref="FCV47:FDL47"/>
    <mergeCell ref="EVQ47:EWG47"/>
    <mergeCell ref="EWH47:EWX47"/>
    <mergeCell ref="EWY47:EXO47"/>
    <mergeCell ref="EXP47:EYF47"/>
    <mergeCell ref="EYG47:EYW47"/>
    <mergeCell ref="EYX47:EZN47"/>
    <mergeCell ref="ERS47:ESI47"/>
    <mergeCell ref="ESJ47:ESZ47"/>
    <mergeCell ref="ETA47:ETQ47"/>
    <mergeCell ref="ETR47:EUH47"/>
    <mergeCell ref="EUI47:EUY47"/>
    <mergeCell ref="EUZ47:EVP47"/>
    <mergeCell ref="ENU47:EOK47"/>
    <mergeCell ref="EOL47:EPB47"/>
    <mergeCell ref="EPC47:EPS47"/>
    <mergeCell ref="EPT47:EQJ47"/>
    <mergeCell ref="EQK47:ERA47"/>
    <mergeCell ref="ERB47:ERR47"/>
    <mergeCell ref="EJW47:EKM47"/>
    <mergeCell ref="EKN47:ELD47"/>
    <mergeCell ref="ELE47:ELU47"/>
    <mergeCell ref="ELV47:EML47"/>
    <mergeCell ref="EMM47:ENC47"/>
    <mergeCell ref="END47:ENT47"/>
    <mergeCell ref="EFY47:EGO47"/>
    <mergeCell ref="EGP47:EHF47"/>
    <mergeCell ref="EHG47:EHW47"/>
    <mergeCell ref="EHX47:EIN47"/>
    <mergeCell ref="EIO47:EJE47"/>
    <mergeCell ref="EJF47:EJV47"/>
    <mergeCell ref="ECA47:ECQ47"/>
    <mergeCell ref="ECR47:EDH47"/>
    <mergeCell ref="EDI47:EDY47"/>
    <mergeCell ref="EDZ47:EEP47"/>
    <mergeCell ref="EEQ47:EFG47"/>
    <mergeCell ref="EFH47:EFX47"/>
    <mergeCell ref="DYC47:DYS47"/>
    <mergeCell ref="DYT47:DZJ47"/>
    <mergeCell ref="DZK47:EAA47"/>
    <mergeCell ref="EAB47:EAR47"/>
    <mergeCell ref="EAS47:EBI47"/>
    <mergeCell ref="EBJ47:EBZ47"/>
    <mergeCell ref="DUE47:DUU47"/>
    <mergeCell ref="DUV47:DVL47"/>
    <mergeCell ref="DVM47:DWC47"/>
    <mergeCell ref="DWD47:DWT47"/>
    <mergeCell ref="DWU47:DXK47"/>
    <mergeCell ref="DXL47:DYB47"/>
    <mergeCell ref="DQG47:DQW47"/>
    <mergeCell ref="DQX47:DRN47"/>
    <mergeCell ref="DRO47:DSE47"/>
    <mergeCell ref="DSF47:DSV47"/>
    <mergeCell ref="DSW47:DTM47"/>
    <mergeCell ref="DTN47:DUD47"/>
    <mergeCell ref="DMI47:DMY47"/>
    <mergeCell ref="DMZ47:DNP47"/>
    <mergeCell ref="DNQ47:DOG47"/>
    <mergeCell ref="DOH47:DOX47"/>
    <mergeCell ref="DOY47:DPO47"/>
    <mergeCell ref="DPP47:DQF47"/>
    <mergeCell ref="DIK47:DJA47"/>
    <mergeCell ref="DJB47:DJR47"/>
    <mergeCell ref="DJS47:DKI47"/>
    <mergeCell ref="DKJ47:DKZ47"/>
    <mergeCell ref="DLA47:DLQ47"/>
    <mergeCell ref="DLR47:DMH47"/>
    <mergeCell ref="DEM47:DFC47"/>
    <mergeCell ref="DFD47:DFT47"/>
    <mergeCell ref="DFU47:DGK47"/>
    <mergeCell ref="DGL47:DHB47"/>
    <mergeCell ref="DHC47:DHS47"/>
    <mergeCell ref="DHT47:DIJ47"/>
    <mergeCell ref="DAO47:DBE47"/>
    <mergeCell ref="DBF47:DBV47"/>
    <mergeCell ref="DBW47:DCM47"/>
    <mergeCell ref="DCN47:DDD47"/>
    <mergeCell ref="DDE47:DDU47"/>
    <mergeCell ref="DDV47:DEL47"/>
    <mergeCell ref="CWQ47:CXG47"/>
    <mergeCell ref="CXH47:CXX47"/>
    <mergeCell ref="CXY47:CYO47"/>
    <mergeCell ref="CYP47:CZF47"/>
    <mergeCell ref="CZG47:CZW47"/>
    <mergeCell ref="CZX47:DAN47"/>
    <mergeCell ref="CSS47:CTI47"/>
    <mergeCell ref="CTJ47:CTZ47"/>
    <mergeCell ref="CUA47:CUQ47"/>
    <mergeCell ref="CUR47:CVH47"/>
    <mergeCell ref="CVI47:CVY47"/>
    <mergeCell ref="CVZ47:CWP47"/>
    <mergeCell ref="COU47:CPK47"/>
    <mergeCell ref="CPL47:CQB47"/>
    <mergeCell ref="CQC47:CQS47"/>
    <mergeCell ref="CQT47:CRJ47"/>
    <mergeCell ref="CRK47:CSA47"/>
    <mergeCell ref="CSB47:CSR47"/>
    <mergeCell ref="CKW47:CLM47"/>
    <mergeCell ref="CLN47:CMD47"/>
    <mergeCell ref="CME47:CMU47"/>
    <mergeCell ref="CMV47:CNL47"/>
    <mergeCell ref="CNM47:COC47"/>
    <mergeCell ref="COD47:COT47"/>
    <mergeCell ref="CGY47:CHO47"/>
    <mergeCell ref="CHP47:CIF47"/>
    <mergeCell ref="CIG47:CIW47"/>
    <mergeCell ref="CIX47:CJN47"/>
    <mergeCell ref="CJO47:CKE47"/>
    <mergeCell ref="CKF47:CKV47"/>
    <mergeCell ref="CDA47:CDQ47"/>
    <mergeCell ref="CDR47:CEH47"/>
    <mergeCell ref="CEI47:CEY47"/>
    <mergeCell ref="CEZ47:CFP47"/>
    <mergeCell ref="CFQ47:CGG47"/>
    <mergeCell ref="CGH47:CGX47"/>
    <mergeCell ref="BZC47:BZS47"/>
    <mergeCell ref="BZT47:CAJ47"/>
    <mergeCell ref="CAK47:CBA47"/>
    <mergeCell ref="CBB47:CBR47"/>
    <mergeCell ref="CBS47:CCI47"/>
    <mergeCell ref="CCJ47:CCZ47"/>
    <mergeCell ref="BVE47:BVU47"/>
    <mergeCell ref="BVV47:BWL47"/>
    <mergeCell ref="BWM47:BXC47"/>
    <mergeCell ref="BXD47:BXT47"/>
    <mergeCell ref="BXU47:BYK47"/>
    <mergeCell ref="BYL47:BZB47"/>
    <mergeCell ref="BRG47:BRW47"/>
    <mergeCell ref="BRX47:BSN47"/>
    <mergeCell ref="BSO47:BTE47"/>
    <mergeCell ref="BTF47:BTV47"/>
    <mergeCell ref="BTW47:BUM47"/>
    <mergeCell ref="BUN47:BVD47"/>
    <mergeCell ref="BNI47:BNY47"/>
    <mergeCell ref="BNZ47:BOP47"/>
    <mergeCell ref="BOQ47:BPG47"/>
    <mergeCell ref="BPH47:BPX47"/>
    <mergeCell ref="BPY47:BQO47"/>
    <mergeCell ref="BQP47:BRF47"/>
    <mergeCell ref="BJK47:BKA47"/>
    <mergeCell ref="BKB47:BKR47"/>
    <mergeCell ref="BKS47:BLI47"/>
    <mergeCell ref="BLJ47:BLZ47"/>
    <mergeCell ref="BMA47:BMQ47"/>
    <mergeCell ref="BMR47:BNH47"/>
    <mergeCell ref="BFM47:BGC47"/>
    <mergeCell ref="BGD47:BGT47"/>
    <mergeCell ref="BGU47:BHK47"/>
    <mergeCell ref="BHL47:BIB47"/>
    <mergeCell ref="BIC47:BIS47"/>
    <mergeCell ref="BIT47:BJJ47"/>
    <mergeCell ref="BBO47:BCE47"/>
    <mergeCell ref="BCF47:BCV47"/>
    <mergeCell ref="BCW47:BDM47"/>
    <mergeCell ref="BDN47:BED47"/>
    <mergeCell ref="BEE47:BEU47"/>
    <mergeCell ref="BEV47:BFL47"/>
    <mergeCell ref="AXQ47:AYG47"/>
    <mergeCell ref="AYH47:AYX47"/>
    <mergeCell ref="AYY47:AZO47"/>
    <mergeCell ref="AZP47:BAF47"/>
    <mergeCell ref="BAG47:BAW47"/>
    <mergeCell ref="BAX47:BBN47"/>
    <mergeCell ref="ATS47:AUI47"/>
    <mergeCell ref="AUJ47:AUZ47"/>
    <mergeCell ref="AVA47:AVQ47"/>
    <mergeCell ref="AVR47:AWH47"/>
    <mergeCell ref="AWI47:AWY47"/>
    <mergeCell ref="AWZ47:AXP47"/>
    <mergeCell ref="APU47:AQK47"/>
    <mergeCell ref="AQL47:ARB47"/>
    <mergeCell ref="ARC47:ARS47"/>
    <mergeCell ref="ART47:ASJ47"/>
    <mergeCell ref="ASK47:ATA47"/>
    <mergeCell ref="ATB47:ATR47"/>
    <mergeCell ref="ALW47:AMM47"/>
    <mergeCell ref="AMN47:AND47"/>
    <mergeCell ref="ANE47:ANU47"/>
    <mergeCell ref="ANV47:AOL47"/>
    <mergeCell ref="AOM47:APC47"/>
    <mergeCell ref="APD47:APT47"/>
    <mergeCell ref="AHY47:AIO47"/>
    <mergeCell ref="AIP47:AJF47"/>
    <mergeCell ref="AJG47:AJW47"/>
    <mergeCell ref="AJX47:AKN47"/>
    <mergeCell ref="AKO47:ALE47"/>
    <mergeCell ref="ALF47:ALV47"/>
    <mergeCell ref="AEA47:AEQ47"/>
    <mergeCell ref="AER47:AFH47"/>
    <mergeCell ref="AFI47:AFY47"/>
    <mergeCell ref="AFZ47:AGP47"/>
    <mergeCell ref="AGQ47:AHG47"/>
    <mergeCell ref="AHH47:AHX47"/>
    <mergeCell ref="AAC47:AAS47"/>
    <mergeCell ref="AAT47:ABJ47"/>
    <mergeCell ref="ABK47:ACA47"/>
    <mergeCell ref="ACB47:ACR47"/>
    <mergeCell ref="ACS47:ADI47"/>
    <mergeCell ref="ADJ47:ADZ47"/>
    <mergeCell ref="WE47:WU47"/>
    <mergeCell ref="WV47:XL47"/>
    <mergeCell ref="XM47:YC47"/>
    <mergeCell ref="YD47:YT47"/>
    <mergeCell ref="YU47:ZK47"/>
    <mergeCell ref="ZL47:AAB47"/>
    <mergeCell ref="SG47:SW47"/>
    <mergeCell ref="SX47:TN47"/>
    <mergeCell ref="TO47:UE47"/>
    <mergeCell ref="UF47:UV47"/>
    <mergeCell ref="UW47:VM47"/>
    <mergeCell ref="VN47:WD47"/>
    <mergeCell ref="OI47:OY47"/>
    <mergeCell ref="OZ47:PP47"/>
    <mergeCell ref="PQ47:QG47"/>
    <mergeCell ref="QH47:QX47"/>
    <mergeCell ref="QY47:RO47"/>
    <mergeCell ref="RP47:SF47"/>
    <mergeCell ref="KK47:LA47"/>
    <mergeCell ref="LB47:LR47"/>
    <mergeCell ref="LS47:MI47"/>
    <mergeCell ref="MJ47:MZ47"/>
    <mergeCell ref="NA47:NQ47"/>
    <mergeCell ref="NR47:OH47"/>
    <mergeCell ref="GM47:HC47"/>
    <mergeCell ref="HD47:HT47"/>
    <mergeCell ref="HU47:IK47"/>
    <mergeCell ref="IL47:JB47"/>
    <mergeCell ref="JC47:JS47"/>
    <mergeCell ref="JT47:KJ47"/>
    <mergeCell ref="CO47:DE47"/>
    <mergeCell ref="DF47:DV47"/>
    <mergeCell ref="DW47:EM47"/>
    <mergeCell ref="EN47:FD47"/>
    <mergeCell ref="FE47:FU47"/>
    <mergeCell ref="FV47:GL47"/>
    <mergeCell ref="BL3:BP3"/>
    <mergeCell ref="BQ3:BU3"/>
    <mergeCell ref="BV3:BZ3"/>
    <mergeCell ref="CA3:CE3"/>
    <mergeCell ref="S47:AG47"/>
    <mergeCell ref="AX47:BM47"/>
    <mergeCell ref="BN47:BP47"/>
    <mergeCell ref="BQ47:BU47"/>
    <mergeCell ref="BY47:CN47"/>
    <mergeCell ref="AG3:AK3"/>
    <mergeCell ref="AM3:AQ3"/>
    <mergeCell ref="AR3:AV3"/>
    <mergeCell ref="AW3:BA3"/>
    <mergeCell ref="BB3:BF3"/>
    <mergeCell ref="BG3:BK3"/>
    <mergeCell ref="BL2:BP2"/>
    <mergeCell ref="BQ2:BU2"/>
    <mergeCell ref="BV2:BZ2"/>
    <mergeCell ref="CA2:CE2"/>
    <mergeCell ref="C3:G3"/>
    <mergeCell ref="H3:L3"/>
    <mergeCell ref="M3:Q3"/>
    <mergeCell ref="R3:V3"/>
    <mergeCell ref="W3:AA3"/>
    <mergeCell ref="AB3:AF3"/>
    <mergeCell ref="AG2:AK2"/>
    <mergeCell ref="AM2:AQ2"/>
    <mergeCell ref="AR2:AV2"/>
    <mergeCell ref="AW2:BA2"/>
    <mergeCell ref="BB2:BF2"/>
    <mergeCell ref="BG2:BK2"/>
    <mergeCell ref="C2:G2"/>
    <mergeCell ref="H2:L2"/>
    <mergeCell ref="M2:Q2"/>
    <mergeCell ref="R2:V2"/>
    <mergeCell ref="W2:AA2"/>
    <mergeCell ref="AB2:AF2"/>
  </mergeCells>
  <pageMargins left="0.70866141732283472" right="0.70866141732283472" top="0.74803149606299213" bottom="0.74803149606299213" header="0.31496062992125984" footer="0.31496062992125984"/>
  <pageSetup paperSize="9" scale="48" orientation="landscape"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6"/>
  <sheetViews>
    <sheetView showGridLines="0" topLeftCell="AC1" zoomScaleNormal="100" zoomScaleSheetLayoutView="85" workbookViewId="0">
      <selection activeCell="AZ15" sqref="AZ15"/>
    </sheetView>
  </sheetViews>
  <sheetFormatPr defaultColWidth="9" defaultRowHeight="28.5" customHeight="1" outlineLevelRow="1" outlineLevelCol="1"/>
  <cols>
    <col min="1" max="2" width="40.59765625" style="1" customWidth="1"/>
    <col min="3" max="14" width="10.59765625" style="1" customWidth="1" outlineLevel="1"/>
    <col min="15" max="15" width="9" style="1" customWidth="1" outlineLevel="1"/>
    <col min="16" max="17" width="10.59765625" style="1" customWidth="1" outlineLevel="1"/>
    <col min="18" max="20" width="9" style="1" customWidth="1" outlineLevel="1"/>
    <col min="21" max="22" width="10.59765625" style="1" customWidth="1" outlineLevel="1"/>
    <col min="23" max="25" width="9" style="1" customWidth="1" outlineLevel="1"/>
    <col min="26" max="27" width="10.59765625" style="1" customWidth="1" outlineLevel="1"/>
    <col min="28" max="30" width="9" style="1" customWidth="1" outlineLevel="1"/>
    <col min="31" max="32" width="10.59765625" style="1" customWidth="1" outlineLevel="1"/>
    <col min="33" max="35" width="9" style="1"/>
    <col min="36" max="37" width="10.59765625" style="1" customWidth="1"/>
    <col min="38" max="16384" width="9" style="1"/>
  </cols>
  <sheetData>
    <row r="1" spans="1:53" s="9" customFormat="1" ht="89.25" customHeight="1">
      <c r="A1" s="3"/>
      <c r="B1" s="3"/>
      <c r="C1" s="3"/>
      <c r="AM1" s="10"/>
      <c r="AN1" s="10"/>
      <c r="AR1" s="10"/>
      <c r="AS1" s="10"/>
      <c r="AW1" s="10"/>
      <c r="AX1" s="10"/>
    </row>
    <row r="2" spans="1:53" s="33" customFormat="1" ht="12.6" thickBot="1">
      <c r="A2" s="1012"/>
      <c r="B2" s="1012"/>
      <c r="C2" s="1012"/>
      <c r="D2" s="1012"/>
      <c r="E2" s="1012"/>
      <c r="F2" s="1012"/>
      <c r="G2" s="1012"/>
      <c r="H2" s="1012"/>
      <c r="I2" s="1012"/>
      <c r="J2" s="1012"/>
      <c r="K2" s="1012"/>
      <c r="L2" s="1012"/>
      <c r="M2" s="1012"/>
      <c r="N2" s="1012"/>
      <c r="O2" s="1012"/>
      <c r="AK2" s="67"/>
      <c r="AM2" s="1"/>
      <c r="AN2" s="1"/>
      <c r="AR2" s="1"/>
      <c r="AS2" s="1"/>
      <c r="AW2" s="1"/>
      <c r="AX2" s="1"/>
    </row>
    <row r="3" spans="1:53" s="312" customFormat="1" ht="20.100000000000001" customHeight="1">
      <c r="A3" s="177" t="s">
        <v>613</v>
      </c>
      <c r="B3" s="178" t="s">
        <v>614</v>
      </c>
      <c r="C3" s="1008">
        <v>2012</v>
      </c>
      <c r="D3" s="1009"/>
      <c r="E3" s="1009"/>
      <c r="F3" s="1009"/>
      <c r="G3" s="1010">
        <v>2012</v>
      </c>
      <c r="H3" s="1008">
        <v>2013</v>
      </c>
      <c r="I3" s="1009"/>
      <c r="J3" s="1009"/>
      <c r="K3" s="1009"/>
      <c r="L3" s="1010">
        <v>2013</v>
      </c>
      <c r="M3" s="1008">
        <v>2014</v>
      </c>
      <c r="N3" s="1009"/>
      <c r="O3" s="1009"/>
      <c r="P3" s="1009"/>
      <c r="Q3" s="1010">
        <v>2014</v>
      </c>
      <c r="R3" s="1008">
        <v>2015</v>
      </c>
      <c r="S3" s="1009"/>
      <c r="T3" s="1009"/>
      <c r="U3" s="1009"/>
      <c r="V3" s="1010">
        <v>2015</v>
      </c>
      <c r="W3" s="1008">
        <v>2016</v>
      </c>
      <c r="X3" s="1009"/>
      <c r="Y3" s="1009"/>
      <c r="Z3" s="1009"/>
      <c r="AA3" s="1010">
        <v>2016</v>
      </c>
      <c r="AB3" s="1008">
        <v>2017</v>
      </c>
      <c r="AC3" s="1009"/>
      <c r="AD3" s="1009"/>
      <c r="AE3" s="1009"/>
      <c r="AF3" s="1010">
        <v>2017</v>
      </c>
      <c r="AG3" s="1008">
        <v>2018</v>
      </c>
      <c r="AH3" s="1009"/>
      <c r="AI3" s="1009"/>
      <c r="AJ3" s="1009"/>
      <c r="AK3" s="1010" t="s">
        <v>724</v>
      </c>
      <c r="AL3" s="1008">
        <v>2019</v>
      </c>
      <c r="AM3" s="1009"/>
      <c r="AN3" s="1009"/>
      <c r="AO3" s="1009"/>
      <c r="AP3" s="1010" t="s">
        <v>27</v>
      </c>
      <c r="AQ3" s="1008">
        <v>2020</v>
      </c>
      <c r="AR3" s="1009"/>
      <c r="AS3" s="1009"/>
      <c r="AT3" s="1009"/>
      <c r="AU3" s="1010" t="s">
        <v>28</v>
      </c>
      <c r="AV3" s="1008">
        <v>2021</v>
      </c>
      <c r="AW3" s="1009"/>
      <c r="AX3" s="1009"/>
      <c r="AY3" s="1009"/>
      <c r="AZ3" s="1010" t="s">
        <v>29</v>
      </c>
    </row>
    <row r="4" spans="1:53" s="312" customFormat="1" ht="21.75" customHeight="1" thickBot="1">
      <c r="A4" s="179"/>
      <c r="B4" s="180"/>
      <c r="C4" s="261" t="s">
        <v>615</v>
      </c>
      <c r="D4" s="262" t="s">
        <v>616</v>
      </c>
      <c r="E4" s="262" t="s">
        <v>617</v>
      </c>
      <c r="F4" s="262" t="s">
        <v>618</v>
      </c>
      <c r="G4" s="1011"/>
      <c r="H4" s="313" t="s">
        <v>615</v>
      </c>
      <c r="I4" s="314" t="s">
        <v>616</v>
      </c>
      <c r="J4" s="314" t="s">
        <v>617</v>
      </c>
      <c r="K4" s="314" t="s">
        <v>618</v>
      </c>
      <c r="L4" s="1011"/>
      <c r="M4" s="313" t="s">
        <v>615</v>
      </c>
      <c r="N4" s="314" t="s">
        <v>616</v>
      </c>
      <c r="O4" s="314" t="s">
        <v>617</v>
      </c>
      <c r="P4" s="314" t="s">
        <v>618</v>
      </c>
      <c r="Q4" s="1011"/>
      <c r="R4" s="313" t="s">
        <v>615</v>
      </c>
      <c r="S4" s="314" t="s">
        <v>616</v>
      </c>
      <c r="T4" s="314" t="s">
        <v>617</v>
      </c>
      <c r="U4" s="314" t="s">
        <v>618</v>
      </c>
      <c r="V4" s="1011"/>
      <c r="W4" s="313" t="s">
        <v>615</v>
      </c>
      <c r="X4" s="262" t="s">
        <v>616</v>
      </c>
      <c r="Y4" s="262" t="s">
        <v>617</v>
      </c>
      <c r="Z4" s="314" t="s">
        <v>618</v>
      </c>
      <c r="AA4" s="1011"/>
      <c r="AB4" s="313" t="s">
        <v>615</v>
      </c>
      <c r="AC4" s="262" t="s">
        <v>616</v>
      </c>
      <c r="AD4" s="262" t="s">
        <v>617</v>
      </c>
      <c r="AE4" s="314" t="s">
        <v>618</v>
      </c>
      <c r="AF4" s="1011"/>
      <c r="AG4" s="313" t="s">
        <v>615</v>
      </c>
      <c r="AH4" s="262" t="s">
        <v>725</v>
      </c>
      <c r="AI4" s="262" t="s">
        <v>726</v>
      </c>
      <c r="AJ4" s="314" t="s">
        <v>727</v>
      </c>
      <c r="AK4" s="1011"/>
      <c r="AL4" s="313" t="s">
        <v>728</v>
      </c>
      <c r="AM4" s="262" t="s">
        <v>725</v>
      </c>
      <c r="AN4" s="262" t="s">
        <v>726</v>
      </c>
      <c r="AO4" s="314" t="s">
        <v>727</v>
      </c>
      <c r="AP4" s="1011"/>
      <c r="AQ4" s="313" t="s">
        <v>728</v>
      </c>
      <c r="AR4" s="262" t="s">
        <v>725</v>
      </c>
      <c r="AS4" s="262" t="s">
        <v>726</v>
      </c>
      <c r="AT4" s="314" t="s">
        <v>727</v>
      </c>
      <c r="AU4" s="1011"/>
      <c r="AV4" s="313" t="s">
        <v>728</v>
      </c>
      <c r="AW4" s="262" t="s">
        <v>725</v>
      </c>
      <c r="AX4" s="262" t="s">
        <v>726</v>
      </c>
      <c r="AY4" s="314" t="s">
        <v>727</v>
      </c>
      <c r="AZ4" s="1011"/>
    </row>
    <row r="5" spans="1:53" s="4" customFormat="1" ht="20.100000000000001" customHeight="1" thickBot="1">
      <c r="A5" s="175" t="s">
        <v>729</v>
      </c>
      <c r="B5" s="175" t="s">
        <v>730</v>
      </c>
      <c r="C5" s="264" t="s">
        <v>731</v>
      </c>
      <c r="D5" s="265" t="s">
        <v>731</v>
      </c>
      <c r="E5" s="265" t="s">
        <v>731</v>
      </c>
      <c r="F5" s="265" t="s">
        <v>731</v>
      </c>
      <c r="G5" s="266" t="s">
        <v>731</v>
      </c>
      <c r="H5" s="268">
        <f t="shared" ref="H5:AJ5" si="0">H7+H24</f>
        <v>16348336</v>
      </c>
      <c r="I5" s="269">
        <f t="shared" si="0"/>
        <v>16434266</v>
      </c>
      <c r="J5" s="269">
        <f t="shared" si="0"/>
        <v>16627551</v>
      </c>
      <c r="K5" s="269">
        <f t="shared" si="0"/>
        <v>16447334</v>
      </c>
      <c r="L5" s="305">
        <f t="shared" si="0"/>
        <v>16447334</v>
      </c>
      <c r="M5" s="268">
        <f t="shared" si="0"/>
        <v>16333003</v>
      </c>
      <c r="N5" s="269">
        <f t="shared" si="0"/>
        <v>16250497</v>
      </c>
      <c r="O5" s="269">
        <f t="shared" si="0"/>
        <v>16449992</v>
      </c>
      <c r="P5" s="269">
        <f t="shared" si="0"/>
        <v>16482031</v>
      </c>
      <c r="Q5" s="305">
        <f t="shared" si="0"/>
        <v>16482031</v>
      </c>
      <c r="R5" s="268">
        <f t="shared" si="0"/>
        <v>16429469</v>
      </c>
      <c r="S5" s="269">
        <f t="shared" si="0"/>
        <v>16349090</v>
      </c>
      <c r="T5" s="269">
        <f t="shared" si="0"/>
        <v>16395514</v>
      </c>
      <c r="U5" s="269">
        <f t="shared" si="0"/>
        <v>16469696</v>
      </c>
      <c r="V5" s="305">
        <f t="shared" si="0"/>
        <v>16469696</v>
      </c>
      <c r="W5" s="268">
        <f t="shared" si="0"/>
        <v>16531833</v>
      </c>
      <c r="X5" s="269">
        <f t="shared" si="0"/>
        <v>16711541</v>
      </c>
      <c r="Y5" s="269">
        <f t="shared" si="0"/>
        <v>16545653</v>
      </c>
      <c r="Z5" s="269">
        <f t="shared" si="0"/>
        <v>16524936</v>
      </c>
      <c r="AA5" s="305">
        <f t="shared" si="0"/>
        <v>16524936</v>
      </c>
      <c r="AB5" s="268">
        <f t="shared" si="0"/>
        <v>16216128</v>
      </c>
      <c r="AC5" s="269">
        <f t="shared" si="0"/>
        <v>16273840</v>
      </c>
      <c r="AD5" s="269">
        <f t="shared" si="0"/>
        <v>16410325</v>
      </c>
      <c r="AE5" s="269">
        <f t="shared" si="0"/>
        <v>16522597</v>
      </c>
      <c r="AF5" s="305">
        <f t="shared" si="0"/>
        <v>16522597</v>
      </c>
      <c r="AG5" s="268">
        <f>AG7+AG24</f>
        <v>16579337</v>
      </c>
      <c r="AH5" s="269">
        <f t="shared" si="0"/>
        <v>16698622</v>
      </c>
      <c r="AI5" s="269">
        <f>AI7+AI24</f>
        <v>16851153</v>
      </c>
      <c r="AJ5" s="269">
        <f t="shared" si="0"/>
        <v>16906133</v>
      </c>
      <c r="AK5" s="305">
        <f>AK7+AK24</f>
        <v>16906133</v>
      </c>
      <c r="AL5" s="268">
        <f t="shared" ref="AL5:AT5" si="1">AL7+AL24</f>
        <v>16973770</v>
      </c>
      <c r="AM5" s="269">
        <f t="shared" si="1"/>
        <v>17058921</v>
      </c>
      <c r="AN5" s="269">
        <f t="shared" si="1"/>
        <v>17266759</v>
      </c>
      <c r="AO5" s="269">
        <f t="shared" si="1"/>
        <v>17386252</v>
      </c>
      <c r="AP5" s="305">
        <f t="shared" si="1"/>
        <v>17386252</v>
      </c>
      <c r="AQ5" s="268">
        <f t="shared" si="1"/>
        <v>17435613</v>
      </c>
      <c r="AR5" s="269">
        <f>AR7+AR24</f>
        <v>17504720</v>
      </c>
      <c r="AS5" s="269">
        <f t="shared" si="1"/>
        <v>17840155</v>
      </c>
      <c r="AT5" s="269">
        <f t="shared" si="1"/>
        <v>17989701</v>
      </c>
      <c r="AU5" s="305">
        <f>AU7+AU24</f>
        <v>17989701</v>
      </c>
      <c r="AV5" s="268">
        <f t="shared" ref="AV5" si="2">AV7+AV24</f>
        <v>18094192</v>
      </c>
      <c r="AW5" s="269">
        <f>AW7+AW24</f>
        <v>18022621</v>
      </c>
      <c r="AX5" s="269">
        <f t="shared" ref="AX5:AY5" si="3">AX7+AX24</f>
        <v>18121078</v>
      </c>
      <c r="AY5" s="269">
        <f t="shared" si="3"/>
        <v>0</v>
      </c>
      <c r="AZ5" s="305">
        <f>AZ7+AZ24</f>
        <v>18121078</v>
      </c>
    </row>
    <row r="6" spans="1:53" s="263" customFormat="1" ht="20.100000000000001" customHeight="1" thickBot="1">
      <c r="A6" s="177" t="s">
        <v>732</v>
      </c>
      <c r="B6" s="177" t="s">
        <v>733</v>
      </c>
      <c r="C6" s="285"/>
      <c r="D6" s="286"/>
      <c r="E6" s="286"/>
      <c r="F6" s="286"/>
      <c r="G6" s="287"/>
      <c r="H6" s="288"/>
      <c r="I6" s="286"/>
      <c r="J6" s="286"/>
      <c r="K6" s="286"/>
      <c r="L6" s="287"/>
      <c r="M6" s="289"/>
      <c r="N6" s="286"/>
      <c r="O6" s="286"/>
      <c r="P6" s="286"/>
      <c r="Q6" s="287"/>
      <c r="R6" s="289"/>
      <c r="S6" s="286"/>
      <c r="T6" s="286"/>
      <c r="U6" s="286"/>
      <c r="V6" s="287"/>
      <c r="W6" s="289"/>
      <c r="X6" s="290"/>
      <c r="Y6" s="290"/>
      <c r="Z6" s="286"/>
      <c r="AA6" s="287"/>
      <c r="AB6" s="289"/>
      <c r="AC6" s="290"/>
      <c r="AD6" s="290"/>
      <c r="AE6" s="286"/>
      <c r="AF6" s="287"/>
      <c r="AG6" s="290"/>
      <c r="AH6" s="290"/>
      <c r="AI6" s="290"/>
      <c r="AJ6" s="290"/>
      <c r="AK6" s="287"/>
      <c r="AL6" s="290"/>
      <c r="AM6" s="290"/>
      <c r="AN6" s="290"/>
      <c r="AO6" s="290"/>
      <c r="AP6" s="287"/>
      <c r="AQ6" s="290"/>
      <c r="AR6" s="290"/>
      <c r="AS6" s="290"/>
      <c r="AT6" s="290"/>
      <c r="AU6" s="287"/>
      <c r="AV6" s="290"/>
      <c r="AW6" s="290"/>
      <c r="AX6" s="290"/>
      <c r="AY6" s="290"/>
      <c r="AZ6" s="287"/>
    </row>
    <row r="7" spans="1:53" ht="20.100000000000001" customHeight="1" thickBot="1">
      <c r="A7" s="273" t="s">
        <v>734</v>
      </c>
      <c r="B7" s="274" t="s">
        <v>735</v>
      </c>
      <c r="C7" s="275">
        <f>C8+C10+C11</f>
        <v>11532547</v>
      </c>
      <c r="D7" s="276">
        <f t="shared" ref="D7:N7" si="4">D8+D10+D11</f>
        <v>11516833</v>
      </c>
      <c r="E7" s="276">
        <f t="shared" si="4"/>
        <v>11605099</v>
      </c>
      <c r="F7" s="276">
        <f t="shared" si="4"/>
        <v>11735100</v>
      </c>
      <c r="G7" s="284">
        <f>SUM(G8,G10:G11)</f>
        <v>11735100</v>
      </c>
      <c r="H7" s="275">
        <f t="shared" si="4"/>
        <v>11799951</v>
      </c>
      <c r="I7" s="276">
        <f t="shared" si="4"/>
        <v>11868947</v>
      </c>
      <c r="J7" s="276">
        <f t="shared" si="4"/>
        <v>11908422</v>
      </c>
      <c r="K7" s="276">
        <f t="shared" si="4"/>
        <v>11978807</v>
      </c>
      <c r="L7" s="284">
        <f>SUM(L8,L10:L11)</f>
        <v>11978807</v>
      </c>
      <c r="M7" s="275">
        <f t="shared" si="4"/>
        <v>11982678</v>
      </c>
      <c r="N7" s="276">
        <f t="shared" si="4"/>
        <v>12023369</v>
      </c>
      <c r="O7" s="276">
        <f>O8+O10+O11</f>
        <v>12230798</v>
      </c>
      <c r="P7" s="276">
        <f>P8+P10+P11</f>
        <v>12347828</v>
      </c>
      <c r="Q7" s="284">
        <f>Q8+Q10+Q11</f>
        <v>12347828</v>
      </c>
      <c r="R7" s="275">
        <f t="shared" ref="R7:AJ7" si="5">R8+R10+R11</f>
        <v>12394712</v>
      </c>
      <c r="S7" s="276">
        <f t="shared" si="5"/>
        <v>12377021</v>
      </c>
      <c r="T7" s="276">
        <f t="shared" si="5"/>
        <v>12418707</v>
      </c>
      <c r="U7" s="276">
        <f t="shared" si="5"/>
        <v>12614703</v>
      </c>
      <c r="V7" s="284">
        <f t="shared" si="5"/>
        <v>12614703</v>
      </c>
      <c r="W7" s="275">
        <f t="shared" si="5"/>
        <v>12744166</v>
      </c>
      <c r="X7" s="276">
        <f t="shared" si="5"/>
        <v>12880725</v>
      </c>
      <c r="Y7" s="276">
        <f t="shared" si="5"/>
        <v>13017749</v>
      </c>
      <c r="Z7" s="276">
        <f t="shared" si="5"/>
        <v>13254598</v>
      </c>
      <c r="AA7" s="284">
        <f t="shared" si="5"/>
        <v>13254598</v>
      </c>
      <c r="AB7" s="275">
        <f t="shared" si="5"/>
        <v>13337038</v>
      </c>
      <c r="AC7" s="276">
        <f t="shared" si="5"/>
        <v>13419539</v>
      </c>
      <c r="AD7" s="276">
        <f t="shared" si="5"/>
        <v>13530164</v>
      </c>
      <c r="AE7" s="276">
        <f t="shared" si="5"/>
        <v>13685044</v>
      </c>
      <c r="AF7" s="284">
        <f t="shared" si="5"/>
        <v>13685044</v>
      </c>
      <c r="AG7" s="276">
        <f t="shared" si="5"/>
        <v>13796153</v>
      </c>
      <c r="AH7" s="276">
        <v>13929804</v>
      </c>
      <c r="AI7" s="276">
        <v>14057045</v>
      </c>
      <c r="AJ7" s="276">
        <f t="shared" si="5"/>
        <v>14259264</v>
      </c>
      <c r="AK7" s="284">
        <f>AK8+AK10+AK11</f>
        <v>14259264</v>
      </c>
      <c r="AL7" s="276">
        <f>SUM(AL8,AL10:AL11)</f>
        <v>14330995</v>
      </c>
      <c r="AM7" s="276">
        <f t="shared" ref="AM7:AP7" si="6">SUM(AM8,AM10:AM11)</f>
        <v>14451610</v>
      </c>
      <c r="AN7" s="276">
        <f t="shared" si="6"/>
        <v>14587869</v>
      </c>
      <c r="AO7" s="276">
        <f t="shared" si="6"/>
        <v>14728758</v>
      </c>
      <c r="AP7" s="284">
        <f t="shared" si="6"/>
        <v>14728758</v>
      </c>
      <c r="AQ7" s="276">
        <f>SUM(AQ8,AQ10:AQ11)</f>
        <v>14796975</v>
      </c>
      <c r="AR7" s="276">
        <f t="shared" ref="AR7:AT7" si="7">SUM(AR8,AR10:AR11)</f>
        <v>14979496</v>
      </c>
      <c r="AS7" s="276">
        <f t="shared" si="7"/>
        <v>15168916</v>
      </c>
      <c r="AT7" s="276">
        <f t="shared" si="7"/>
        <v>15371888</v>
      </c>
      <c r="AU7" s="284">
        <f>SUM(AU8,AU10:AU11)</f>
        <v>15371888</v>
      </c>
      <c r="AV7" s="276">
        <f>SUM(AV8,AV10:AV11)</f>
        <v>15358097</v>
      </c>
      <c r="AW7" s="276">
        <f t="shared" ref="AW7:AZ7" si="8">SUM(AW8,AW10:AW11)</f>
        <v>15426731</v>
      </c>
      <c r="AX7" s="276">
        <f t="shared" si="8"/>
        <v>15490364</v>
      </c>
      <c r="AY7" s="276">
        <f t="shared" si="8"/>
        <v>0</v>
      </c>
      <c r="AZ7" s="284">
        <f t="shared" si="8"/>
        <v>15490364</v>
      </c>
      <c r="BA7" s="241"/>
    </row>
    <row r="8" spans="1:53" ht="20.100000000000001" customHeight="1">
      <c r="A8" s="242" t="s">
        <v>736</v>
      </c>
      <c r="B8" s="242" t="s">
        <v>737</v>
      </c>
      <c r="C8" s="240">
        <v>3885022</v>
      </c>
      <c r="D8" s="70">
        <v>3868733</v>
      </c>
      <c r="E8" s="70">
        <v>3921673</v>
      </c>
      <c r="F8" s="70">
        <v>3994875</v>
      </c>
      <c r="G8" s="283">
        <f>F8</f>
        <v>3994875</v>
      </c>
      <c r="H8" s="240">
        <v>4047592</v>
      </c>
      <c r="I8" s="70">
        <v>4127560</v>
      </c>
      <c r="J8" s="70">
        <v>4160343</v>
      </c>
      <c r="K8" s="70">
        <v>4212323</v>
      </c>
      <c r="L8" s="283">
        <f>K8</f>
        <v>4212323</v>
      </c>
      <c r="M8" s="240">
        <v>4236986</v>
      </c>
      <c r="N8" s="70">
        <v>4255544</v>
      </c>
      <c r="O8" s="243">
        <v>4344773</v>
      </c>
      <c r="P8" s="70">
        <v>4391702</v>
      </c>
      <c r="Q8" s="283">
        <v>4391702</v>
      </c>
      <c r="R8" s="240">
        <v>4405464</v>
      </c>
      <c r="S8" s="70">
        <v>4374517</v>
      </c>
      <c r="T8" s="70">
        <v>4396361</v>
      </c>
      <c r="U8" s="70">
        <v>4503320</v>
      </c>
      <c r="V8" s="283">
        <f t="shared" ref="V8:V12" si="9">U8</f>
        <v>4503320</v>
      </c>
      <c r="W8" s="240">
        <v>4560267</v>
      </c>
      <c r="X8" s="70">
        <v>4632246</v>
      </c>
      <c r="Y8" s="70">
        <v>4679114</v>
      </c>
      <c r="Z8" s="70">
        <v>4766429</v>
      </c>
      <c r="AA8" s="283">
        <f t="shared" ref="AA8:AA12" si="10">Z8</f>
        <v>4766429</v>
      </c>
      <c r="AB8" s="240">
        <v>4785947</v>
      </c>
      <c r="AC8" s="70">
        <v>4835534</v>
      </c>
      <c r="AD8" s="70">
        <v>4882505</v>
      </c>
      <c r="AE8" s="70">
        <v>4942640</v>
      </c>
      <c r="AF8" s="283">
        <f t="shared" ref="AF8:AF12" si="11">AE8</f>
        <v>4942640</v>
      </c>
      <c r="AG8" s="70">
        <v>4984391</v>
      </c>
      <c r="AH8" s="70">
        <v>5027520</v>
      </c>
      <c r="AI8" s="70">
        <v>5038210</v>
      </c>
      <c r="AJ8" s="70">
        <v>5098917</v>
      </c>
      <c r="AK8" s="283">
        <v>5098917</v>
      </c>
      <c r="AL8" s="70">
        <v>5077221</v>
      </c>
      <c r="AM8" s="70">
        <v>5058740</v>
      </c>
      <c r="AN8" s="70">
        <v>5033398</v>
      </c>
      <c r="AO8" s="70">
        <v>5038448</v>
      </c>
      <c r="AP8" s="283">
        <f>AO8</f>
        <v>5038448</v>
      </c>
      <c r="AQ8" s="70">
        <v>4992356</v>
      </c>
      <c r="AR8" s="70">
        <v>5000734</v>
      </c>
      <c r="AS8" s="70">
        <v>5010376</v>
      </c>
      <c r="AT8" s="70">
        <v>5010358</v>
      </c>
      <c r="AU8" s="283">
        <f>AT8</f>
        <v>5010358</v>
      </c>
      <c r="AV8" s="70">
        <v>4985621</v>
      </c>
      <c r="AW8" s="70">
        <v>4961196</v>
      </c>
      <c r="AX8" s="70">
        <v>4922037</v>
      </c>
      <c r="AY8" s="69"/>
      <c r="AZ8" s="283">
        <f>AX8</f>
        <v>4922037</v>
      </c>
      <c r="BA8" s="241"/>
    </row>
    <row r="9" spans="1:53" ht="20.100000000000001" customHeight="1">
      <c r="A9" s="244" t="s">
        <v>738</v>
      </c>
      <c r="B9" s="244" t="s">
        <v>738</v>
      </c>
      <c r="C9" s="245">
        <v>394001</v>
      </c>
      <c r="D9" s="79">
        <v>416027</v>
      </c>
      <c r="E9" s="79">
        <v>470578</v>
      </c>
      <c r="F9" s="79">
        <v>510617</v>
      </c>
      <c r="G9" s="304">
        <f t="shared" ref="G9:G11" si="12">F9</f>
        <v>510617</v>
      </c>
      <c r="H9" s="245">
        <v>559997</v>
      </c>
      <c r="I9" s="79">
        <v>633475</v>
      </c>
      <c r="J9" s="79">
        <v>680316</v>
      </c>
      <c r="K9" s="79">
        <v>719935</v>
      </c>
      <c r="L9" s="304">
        <f>K9</f>
        <v>719935</v>
      </c>
      <c r="M9" s="245">
        <v>749319</v>
      </c>
      <c r="N9" s="79">
        <v>771481</v>
      </c>
      <c r="O9" s="246">
        <v>806064</v>
      </c>
      <c r="P9" s="79">
        <v>844809</v>
      </c>
      <c r="Q9" s="304">
        <v>844809</v>
      </c>
      <c r="R9" s="245">
        <v>872628</v>
      </c>
      <c r="S9" s="79">
        <v>886305</v>
      </c>
      <c r="T9" s="79">
        <v>901271</v>
      </c>
      <c r="U9" s="79">
        <v>936307</v>
      </c>
      <c r="V9" s="304">
        <f t="shared" si="9"/>
        <v>936307</v>
      </c>
      <c r="W9" s="245">
        <v>957952</v>
      </c>
      <c r="X9" s="79">
        <v>972771</v>
      </c>
      <c r="Y9" s="79">
        <v>982068</v>
      </c>
      <c r="Z9" s="79">
        <v>1021720</v>
      </c>
      <c r="AA9" s="304">
        <f t="shared" si="10"/>
        <v>1021720</v>
      </c>
      <c r="AB9" s="245">
        <v>1031294</v>
      </c>
      <c r="AC9" s="79">
        <v>1058982</v>
      </c>
      <c r="AD9" s="79">
        <v>1072513</v>
      </c>
      <c r="AE9" s="79">
        <v>1099582</v>
      </c>
      <c r="AF9" s="304">
        <f t="shared" si="11"/>
        <v>1099582</v>
      </c>
      <c r="AG9" s="79">
        <v>1114833</v>
      </c>
      <c r="AH9" s="79">
        <v>1127285</v>
      </c>
      <c r="AI9" s="79">
        <v>1141820</v>
      </c>
      <c r="AJ9" s="79">
        <v>1160353</v>
      </c>
      <c r="AK9" s="304">
        <v>1160353</v>
      </c>
      <c r="AL9" s="79">
        <v>1167983</v>
      </c>
      <c r="AM9" s="79">
        <v>1173866</v>
      </c>
      <c r="AN9" s="79">
        <v>1180891</v>
      </c>
      <c r="AO9" s="79">
        <v>1192984</v>
      </c>
      <c r="AP9" s="304">
        <f t="shared" ref="AP9:AP12" si="13">AO9</f>
        <v>1192984</v>
      </c>
      <c r="AQ9" s="79">
        <v>1187199</v>
      </c>
      <c r="AR9" s="79">
        <v>1197486</v>
      </c>
      <c r="AS9" s="79">
        <v>1200561</v>
      </c>
      <c r="AT9" s="79">
        <v>1208676</v>
      </c>
      <c r="AU9" s="304">
        <f>AT9</f>
        <v>1208676</v>
      </c>
      <c r="AV9" s="79">
        <v>1206068</v>
      </c>
      <c r="AW9" s="79">
        <v>1202991</v>
      </c>
      <c r="AX9" s="79">
        <v>1198803</v>
      </c>
      <c r="AY9" s="79"/>
      <c r="AZ9" s="304">
        <f t="shared" ref="AZ9:AZ11" si="14">AX9</f>
        <v>1198803</v>
      </c>
      <c r="BA9" s="241"/>
    </row>
    <row r="10" spans="1:53" ht="20.100000000000001" customHeight="1">
      <c r="A10" s="242" t="s">
        <v>625</v>
      </c>
      <c r="B10" s="242" t="s">
        <v>626</v>
      </c>
      <c r="C10" s="240">
        <v>6985015</v>
      </c>
      <c r="D10" s="70">
        <v>6978192</v>
      </c>
      <c r="E10" s="70">
        <v>6976594</v>
      </c>
      <c r="F10" s="70">
        <v>6979590</v>
      </c>
      <c r="G10" s="283">
        <f t="shared" si="12"/>
        <v>6979590</v>
      </c>
      <c r="H10" s="240">
        <v>6941638</v>
      </c>
      <c r="I10" s="70">
        <v>6891314</v>
      </c>
      <c r="J10" s="70">
        <v>6834719</v>
      </c>
      <c r="K10" s="70">
        <v>6778675</v>
      </c>
      <c r="L10" s="283">
        <f t="shared" ref="L10:L11" si="15">K10</f>
        <v>6778675</v>
      </c>
      <c r="M10" s="240">
        <v>6713629</v>
      </c>
      <c r="N10" s="70">
        <v>6644687</v>
      </c>
      <c r="O10" s="243">
        <v>6617382</v>
      </c>
      <c r="P10" s="70">
        <v>6587915</v>
      </c>
      <c r="Q10" s="283">
        <v>6587915</v>
      </c>
      <c r="R10" s="240">
        <v>6552365</v>
      </c>
      <c r="S10" s="70">
        <v>6519311</v>
      </c>
      <c r="T10" s="70">
        <v>6505016</v>
      </c>
      <c r="U10" s="70">
        <v>6516643</v>
      </c>
      <c r="V10" s="283">
        <f t="shared" si="9"/>
        <v>6516643</v>
      </c>
      <c r="W10" s="240">
        <v>6536366</v>
      </c>
      <c r="X10" s="70">
        <v>6559223</v>
      </c>
      <c r="Y10" s="70">
        <v>6616579</v>
      </c>
      <c r="Z10" s="70">
        <v>6730427</v>
      </c>
      <c r="AA10" s="283">
        <f t="shared" si="10"/>
        <v>6730427</v>
      </c>
      <c r="AB10" s="240">
        <v>6785002</v>
      </c>
      <c r="AC10" s="70">
        <v>6810999</v>
      </c>
      <c r="AD10" s="70">
        <v>6864787</v>
      </c>
      <c r="AE10" s="70">
        <v>6932676</v>
      </c>
      <c r="AF10" s="283">
        <f t="shared" si="11"/>
        <v>6932676</v>
      </c>
      <c r="AG10" s="70">
        <v>6997850</v>
      </c>
      <c r="AH10" s="70">
        <v>7098239</v>
      </c>
      <c r="AI10" s="70">
        <v>7209240</v>
      </c>
      <c r="AJ10" s="70">
        <v>7345213</v>
      </c>
      <c r="AK10" s="283">
        <v>7345213</v>
      </c>
      <c r="AL10" s="70">
        <v>7452479</v>
      </c>
      <c r="AM10" s="70">
        <v>7597611</v>
      </c>
      <c r="AN10" s="70">
        <v>7752113</v>
      </c>
      <c r="AO10" s="70">
        <v>7894581</v>
      </c>
      <c r="AP10" s="283">
        <f t="shared" si="13"/>
        <v>7894581</v>
      </c>
      <c r="AQ10" s="70">
        <v>8016501</v>
      </c>
      <c r="AR10" s="70">
        <v>8188807</v>
      </c>
      <c r="AS10" s="70">
        <v>8366901.0000000009</v>
      </c>
      <c r="AT10" s="70">
        <v>8534841</v>
      </c>
      <c r="AU10" s="283">
        <f>AT10</f>
        <v>8534841</v>
      </c>
      <c r="AV10" s="70">
        <v>8551871</v>
      </c>
      <c r="AW10" s="70">
        <v>8649761</v>
      </c>
      <c r="AX10" s="70">
        <v>8781111</v>
      </c>
      <c r="AY10" s="70"/>
      <c r="AZ10" s="283">
        <f t="shared" si="14"/>
        <v>8781111</v>
      </c>
      <c r="BA10" s="241"/>
    </row>
    <row r="11" spans="1:53" ht="20.100000000000001" customHeight="1" thickBot="1">
      <c r="A11" s="242" t="s">
        <v>628</v>
      </c>
      <c r="B11" s="242" t="s">
        <v>628</v>
      </c>
      <c r="C11" s="240">
        <v>662510</v>
      </c>
      <c r="D11" s="70">
        <v>669908</v>
      </c>
      <c r="E11" s="70">
        <v>706832</v>
      </c>
      <c r="F11" s="70">
        <v>760635</v>
      </c>
      <c r="G11" s="283">
        <f t="shared" si="12"/>
        <v>760635</v>
      </c>
      <c r="H11" s="240">
        <v>810721</v>
      </c>
      <c r="I11" s="70">
        <v>850073</v>
      </c>
      <c r="J11" s="70">
        <v>913360</v>
      </c>
      <c r="K11" s="70">
        <v>987809</v>
      </c>
      <c r="L11" s="283">
        <f t="shared" si="15"/>
        <v>987809</v>
      </c>
      <c r="M11" s="247">
        <v>1032063</v>
      </c>
      <c r="N11" s="71">
        <v>1123138</v>
      </c>
      <c r="O11" s="243">
        <v>1268643</v>
      </c>
      <c r="P11" s="1">
        <v>1368211</v>
      </c>
      <c r="Q11" s="283">
        <v>1368211</v>
      </c>
      <c r="R11" s="247">
        <v>1436883</v>
      </c>
      <c r="S11" s="71">
        <v>1483193</v>
      </c>
      <c r="T11" s="71">
        <v>1517330</v>
      </c>
      <c r="U11" s="70">
        <v>1594740</v>
      </c>
      <c r="V11" s="283">
        <f t="shared" si="9"/>
        <v>1594740</v>
      </c>
      <c r="W11" s="247">
        <v>1647533</v>
      </c>
      <c r="X11" s="71">
        <v>1689256</v>
      </c>
      <c r="Y11" s="71">
        <v>1722056</v>
      </c>
      <c r="Z11" s="70">
        <v>1757742</v>
      </c>
      <c r="AA11" s="283">
        <f t="shared" si="10"/>
        <v>1757742</v>
      </c>
      <c r="AB11" s="247">
        <v>1766089</v>
      </c>
      <c r="AC11" s="71">
        <v>1773006</v>
      </c>
      <c r="AD11" s="71">
        <v>1782872</v>
      </c>
      <c r="AE11" s="71">
        <v>1809728</v>
      </c>
      <c r="AF11" s="283">
        <f t="shared" si="11"/>
        <v>1809728</v>
      </c>
      <c r="AG11" s="71">
        <v>1813912</v>
      </c>
      <c r="AH11" s="71">
        <v>1804045</v>
      </c>
      <c r="AI11" s="71">
        <v>1809595</v>
      </c>
      <c r="AJ11" s="71">
        <v>1815134</v>
      </c>
      <c r="AK11" s="283">
        <v>1815134</v>
      </c>
      <c r="AL11" s="71">
        <v>1801295</v>
      </c>
      <c r="AM11" s="71">
        <v>1795259</v>
      </c>
      <c r="AN11" s="71">
        <v>1802358</v>
      </c>
      <c r="AO11" s="71">
        <v>1795729</v>
      </c>
      <c r="AP11" s="283">
        <f t="shared" si="13"/>
        <v>1795729</v>
      </c>
      <c r="AQ11" s="71">
        <v>1788118</v>
      </c>
      <c r="AR11" s="71">
        <v>1789955</v>
      </c>
      <c r="AS11" s="71">
        <v>1791639</v>
      </c>
      <c r="AT11" s="71">
        <v>1826689</v>
      </c>
      <c r="AU11" s="283">
        <f>AT11</f>
        <v>1826689</v>
      </c>
      <c r="AV11" s="71">
        <v>1820605</v>
      </c>
      <c r="AW11" s="71">
        <v>1815774</v>
      </c>
      <c r="AX11" s="70">
        <v>1787216</v>
      </c>
      <c r="AY11" s="71"/>
      <c r="AZ11" s="283">
        <f t="shared" si="14"/>
        <v>1787216</v>
      </c>
      <c r="BA11" s="241"/>
    </row>
    <row r="12" spans="1:53" ht="20.100000000000001" customHeight="1" thickBot="1">
      <c r="A12" s="175" t="s">
        <v>739</v>
      </c>
      <c r="B12" s="175" t="s">
        <v>740</v>
      </c>
      <c r="C12" s="268">
        <v>6282300</v>
      </c>
      <c r="D12" s="269">
        <v>6264412</v>
      </c>
      <c r="E12" s="269">
        <v>6281184</v>
      </c>
      <c r="F12" s="269">
        <v>6313423</v>
      </c>
      <c r="G12" s="270">
        <f>F12</f>
        <v>6313423</v>
      </c>
      <c r="H12" s="268">
        <v>6318321</v>
      </c>
      <c r="I12" s="269">
        <v>6306877</v>
      </c>
      <c r="J12" s="269">
        <v>6285607</v>
      </c>
      <c r="K12" s="269">
        <v>6287658</v>
      </c>
      <c r="L12" s="270">
        <f>K12</f>
        <v>6287658</v>
      </c>
      <c r="M12" s="268">
        <v>6260662</v>
      </c>
      <c r="N12" s="269">
        <v>6221111</v>
      </c>
      <c r="O12" s="269">
        <v>6184775</v>
      </c>
      <c r="P12" s="269">
        <v>6137531</v>
      </c>
      <c r="Q12" s="270">
        <v>6137531</v>
      </c>
      <c r="R12" s="268">
        <v>6068839</v>
      </c>
      <c r="S12" s="269">
        <v>5990051</v>
      </c>
      <c r="T12" s="269">
        <v>5937768</v>
      </c>
      <c r="U12" s="269">
        <v>5916103</v>
      </c>
      <c r="V12" s="270">
        <f t="shared" si="9"/>
        <v>5916103</v>
      </c>
      <c r="W12" s="268">
        <v>5893225</v>
      </c>
      <c r="X12" s="269">
        <v>5862310</v>
      </c>
      <c r="Y12" s="269">
        <v>5860884</v>
      </c>
      <c r="Z12" s="269">
        <v>5882804</v>
      </c>
      <c r="AA12" s="270">
        <f t="shared" si="10"/>
        <v>5882804</v>
      </c>
      <c r="AB12" s="268">
        <v>5847401</v>
      </c>
      <c r="AC12" s="269">
        <v>5819386</v>
      </c>
      <c r="AD12" s="269">
        <v>5791841</v>
      </c>
      <c r="AE12" s="269">
        <v>5776598</v>
      </c>
      <c r="AF12" s="270">
        <f t="shared" si="11"/>
        <v>5776598</v>
      </c>
      <c r="AG12" s="268">
        <v>5743832</v>
      </c>
      <c r="AH12" s="269">
        <v>5724492</v>
      </c>
      <c r="AI12" s="269">
        <v>5712151</v>
      </c>
      <c r="AJ12" s="269">
        <v>5706147</v>
      </c>
      <c r="AK12" s="270">
        <v>5706147</v>
      </c>
      <c r="AL12" s="268">
        <v>5672790</v>
      </c>
      <c r="AM12" s="269">
        <v>5652912</v>
      </c>
      <c r="AN12" s="269">
        <v>5644291</v>
      </c>
      <c r="AO12" s="269">
        <v>5637734</v>
      </c>
      <c r="AP12" s="270">
        <f t="shared" si="13"/>
        <v>5637734</v>
      </c>
      <c r="AQ12" s="268">
        <v>5601300</v>
      </c>
      <c r="AR12" s="269">
        <v>5587104</v>
      </c>
      <c r="AS12" s="269">
        <v>5569734</v>
      </c>
      <c r="AT12" s="269">
        <v>5548417</v>
      </c>
      <c r="AU12" s="270">
        <f>AT12</f>
        <v>5548417</v>
      </c>
      <c r="AV12" s="268">
        <v>5504797</v>
      </c>
      <c r="AW12" s="269">
        <v>5472855</v>
      </c>
      <c r="AX12" s="269">
        <v>5446111</v>
      </c>
      <c r="AY12" s="269"/>
      <c r="AZ12" s="270">
        <f>AX12</f>
        <v>5446111</v>
      </c>
      <c r="BA12" s="241"/>
    </row>
    <row r="13" spans="1:53" s="282" customFormat="1" ht="20.100000000000001" customHeight="1" thickBot="1">
      <c r="A13" s="280" t="s">
        <v>741</v>
      </c>
      <c r="B13" s="281" t="s">
        <v>742</v>
      </c>
      <c r="C13" s="278"/>
      <c r="D13" s="279"/>
      <c r="E13" s="279"/>
      <c r="F13" s="279"/>
      <c r="G13" s="277"/>
      <c r="H13" s="278"/>
      <c r="I13" s="279"/>
      <c r="J13" s="279"/>
      <c r="K13" s="279"/>
      <c r="L13" s="277"/>
      <c r="M13" s="278"/>
      <c r="N13" s="279"/>
      <c r="O13" s="279"/>
      <c r="P13" s="279"/>
      <c r="Q13" s="277"/>
      <c r="R13" s="278"/>
      <c r="S13" s="279"/>
      <c r="T13" s="279"/>
      <c r="U13" s="279"/>
      <c r="V13" s="277"/>
      <c r="W13" s="278"/>
      <c r="X13" s="279"/>
      <c r="Y13" s="279"/>
      <c r="Z13" s="279"/>
      <c r="AA13" s="277"/>
      <c r="AB13" s="278">
        <v>80.3</v>
      </c>
      <c r="AC13" s="279">
        <v>81.2</v>
      </c>
      <c r="AD13" s="279">
        <v>80.5</v>
      </c>
      <c r="AE13" s="279">
        <v>81.900000000000006</v>
      </c>
      <c r="AF13" s="277"/>
      <c r="AG13" s="279">
        <v>81.900000000000006</v>
      </c>
      <c r="AH13" s="279">
        <v>82.9</v>
      </c>
      <c r="AI13" s="279">
        <v>84</v>
      </c>
      <c r="AJ13" s="279">
        <v>84</v>
      </c>
      <c r="AK13" s="277">
        <v>83.2</v>
      </c>
      <c r="AL13" s="279">
        <v>82.9</v>
      </c>
      <c r="AM13" s="279">
        <v>83.4</v>
      </c>
      <c r="AN13" s="279">
        <v>84.8</v>
      </c>
      <c r="AO13" s="279">
        <v>85.6</v>
      </c>
      <c r="AP13" s="277">
        <v>84.2</v>
      </c>
      <c r="AQ13" s="279">
        <v>85.4</v>
      </c>
      <c r="AR13" s="279">
        <v>86.5</v>
      </c>
      <c r="AS13" s="279">
        <v>86.9</v>
      </c>
      <c r="AT13" s="279">
        <v>89.9</v>
      </c>
      <c r="AU13" s="277">
        <v>87.2</v>
      </c>
      <c r="AV13" s="279">
        <v>90.5</v>
      </c>
      <c r="AW13" s="279">
        <v>91.427769176968681</v>
      </c>
      <c r="AX13" s="279">
        <v>90.3</v>
      </c>
      <c r="AY13" s="279"/>
      <c r="AZ13" s="277">
        <v>90.737123963303631</v>
      </c>
    </row>
    <row r="14" spans="1:53" ht="20.100000000000001" hidden="1" customHeight="1" outlineLevel="1">
      <c r="A14" s="249" t="s">
        <v>743</v>
      </c>
      <c r="B14" s="249" t="s">
        <v>744</v>
      </c>
      <c r="C14" s="250">
        <v>92.5</v>
      </c>
      <c r="D14" s="80">
        <v>94.4</v>
      </c>
      <c r="E14" s="80">
        <v>93.8</v>
      </c>
      <c r="F14" s="80">
        <v>93.8</v>
      </c>
      <c r="G14" s="267">
        <v>93.6</v>
      </c>
      <c r="H14" s="250">
        <v>89.1</v>
      </c>
      <c r="I14" s="80">
        <v>90.3</v>
      </c>
      <c r="J14" s="80">
        <v>87.6</v>
      </c>
      <c r="K14" s="80">
        <v>87.1</v>
      </c>
      <c r="L14" s="267">
        <v>88.5</v>
      </c>
      <c r="M14" s="250">
        <v>84.8</v>
      </c>
      <c r="N14" s="80">
        <v>85.3</v>
      </c>
      <c r="O14" s="248">
        <v>86.5</v>
      </c>
      <c r="P14" s="80">
        <v>87.2</v>
      </c>
      <c r="Q14" s="267">
        <v>85.9</v>
      </c>
      <c r="R14" s="250">
        <v>85.8</v>
      </c>
      <c r="S14" s="80">
        <v>87</v>
      </c>
      <c r="T14" s="80">
        <v>88.1</v>
      </c>
      <c r="U14" s="80">
        <v>88.3</v>
      </c>
      <c r="V14" s="267">
        <v>87.3</v>
      </c>
      <c r="W14" s="250">
        <v>87</v>
      </c>
      <c r="X14" s="80">
        <v>88.4</v>
      </c>
      <c r="Y14" s="80">
        <v>88.6</v>
      </c>
      <c r="Z14" s="80">
        <v>90.7</v>
      </c>
      <c r="AA14" s="267">
        <v>88.7</v>
      </c>
      <c r="AB14" s="250">
        <v>89.1</v>
      </c>
      <c r="AC14" s="80">
        <v>89.6</v>
      </c>
      <c r="AD14" s="80">
        <v>88.4</v>
      </c>
      <c r="AE14" s="80">
        <v>89</v>
      </c>
      <c r="AF14" s="267">
        <v>89</v>
      </c>
      <c r="AG14" s="250">
        <v>88.7</v>
      </c>
      <c r="AH14" s="80">
        <v>89.6</v>
      </c>
      <c r="AI14" s="80">
        <v>90.1</v>
      </c>
      <c r="AJ14" s="80">
        <v>90.5</v>
      </c>
      <c r="AK14" s="267">
        <v>89.7</v>
      </c>
      <c r="AL14" s="250"/>
      <c r="AM14" s="80"/>
      <c r="AN14" s="80"/>
      <c r="AO14" s="80"/>
      <c r="AP14" s="267"/>
      <c r="AQ14" s="250"/>
      <c r="AR14" s="80"/>
      <c r="AS14" s="80"/>
      <c r="AT14" s="80">
        <v>6.4768102002308398E-2</v>
      </c>
      <c r="AU14" s="267"/>
      <c r="AV14" s="250"/>
      <c r="AW14" s="250">
        <v>7.00890484236706E-2</v>
      </c>
      <c r="AX14" s="80">
        <v>7.0767951058226197E-2</v>
      </c>
      <c r="AY14" s="80"/>
      <c r="AZ14" s="267"/>
      <c r="BA14" s="241"/>
    </row>
    <row r="15" spans="1:53" ht="20.100000000000001" customHeight="1" collapsed="1">
      <c r="A15" s="251" t="s">
        <v>745</v>
      </c>
      <c r="B15" s="251" t="s">
        <v>746</v>
      </c>
      <c r="C15" s="240" t="s">
        <v>731</v>
      </c>
      <c r="D15" s="70" t="s">
        <v>731</v>
      </c>
      <c r="E15" s="70" t="s">
        <v>731</v>
      </c>
      <c r="F15" s="72">
        <v>8.4252884188563901E-2</v>
      </c>
      <c r="G15" s="271">
        <f>F15</f>
        <v>8.4252884188563901E-2</v>
      </c>
      <c r="H15" s="252">
        <v>8.6500864834109098E-2</v>
      </c>
      <c r="I15" s="72">
        <v>8.7995678097648605E-2</v>
      </c>
      <c r="J15" s="72">
        <v>8.95665783401738E-2</v>
      </c>
      <c r="K15" s="72">
        <v>9.1612274770678806E-2</v>
      </c>
      <c r="L15" s="271">
        <f>K15</f>
        <v>9.1612274770678806E-2</v>
      </c>
      <c r="M15" s="252">
        <v>9.0641340484564806E-2</v>
      </c>
      <c r="N15" s="72">
        <v>8.7627794752018207E-2</v>
      </c>
      <c r="O15" s="253">
        <f>8.8%</f>
        <v>8.8000000000000009E-2</v>
      </c>
      <c r="P15" s="72">
        <v>9.0976359886998898E-2</v>
      </c>
      <c r="Q15" s="271">
        <v>9.0999999999999998E-2</v>
      </c>
      <c r="R15" s="252">
        <v>9.5000000000000001E-2</v>
      </c>
      <c r="S15" s="72">
        <v>0.10100000000000001</v>
      </c>
      <c r="T15" s="72">
        <v>0.10199999999999999</v>
      </c>
      <c r="U15" s="72">
        <v>0.1</v>
      </c>
      <c r="V15" s="271">
        <v>0.1</v>
      </c>
      <c r="W15" s="252">
        <v>9.8000000000000004E-2</v>
      </c>
      <c r="X15" s="72">
        <v>0.09</v>
      </c>
      <c r="Y15" s="72">
        <v>8.5000000000000006E-2</v>
      </c>
      <c r="Z15" s="72">
        <v>8.3000000000000004E-2</v>
      </c>
      <c r="AA15" s="271">
        <v>8.3000000000000004E-2</v>
      </c>
      <c r="AB15" s="252">
        <v>8.5000000000000006E-2</v>
      </c>
      <c r="AC15" s="72">
        <v>8.5999999999999993E-2</v>
      </c>
      <c r="AD15" s="72">
        <v>8.7999999999999995E-2</v>
      </c>
      <c r="AE15" s="72">
        <v>8.7999999999999995E-2</v>
      </c>
      <c r="AF15" s="271">
        <v>8.7999999999999995E-2</v>
      </c>
      <c r="AG15" s="72">
        <v>8.5000000000000006E-2</v>
      </c>
      <c r="AH15" s="72">
        <v>8.3000000000000004E-2</v>
      </c>
      <c r="AI15" s="72">
        <v>7.9000000000000001E-2</v>
      </c>
      <c r="AJ15" s="72">
        <v>7.5999999999999998E-2</v>
      </c>
      <c r="AK15" s="271">
        <v>7.5999999999999998E-2</v>
      </c>
      <c r="AL15" s="72">
        <v>7.1999999999999995E-2</v>
      </c>
      <c r="AM15" s="72">
        <v>7.0000000000000007E-2</v>
      </c>
      <c r="AN15" s="72">
        <v>6.8000000000000005E-2</v>
      </c>
      <c r="AO15" s="72">
        <v>6.4000000000000001E-2</v>
      </c>
      <c r="AP15" s="271">
        <f>AO15:AO16</f>
        <v>6.4000000000000001E-2</v>
      </c>
      <c r="AQ15" s="72">
        <v>6.6000000000000003E-2</v>
      </c>
      <c r="AR15" s="72">
        <v>6.4000000000000001E-2</v>
      </c>
      <c r="AS15" s="72">
        <v>6.0999999999999999E-2</v>
      </c>
      <c r="AT15" s="72">
        <v>6.5000000000000002E-2</v>
      </c>
      <c r="AU15" s="271">
        <f>AT15</f>
        <v>6.5000000000000002E-2</v>
      </c>
      <c r="AV15" s="72">
        <v>6.7000000000000004E-2</v>
      </c>
      <c r="AW15" s="72">
        <v>7.00890484236706E-2</v>
      </c>
      <c r="AX15" s="72">
        <v>7.0999999999999994E-2</v>
      </c>
      <c r="AY15" s="72"/>
      <c r="AZ15" s="271">
        <f t="shared" ref="AZ15:AZ16" si="16">AX15</f>
        <v>7.0999999999999994E-2</v>
      </c>
      <c r="BA15" s="241"/>
    </row>
    <row r="16" spans="1:53" ht="20.100000000000001" customHeight="1" thickBot="1">
      <c r="A16" s="251" t="s">
        <v>747</v>
      </c>
      <c r="B16" s="251" t="s">
        <v>748</v>
      </c>
      <c r="C16" s="298">
        <f t="shared" ref="C16:N16" si="17">C7/C12</f>
        <v>1.8357205163713926</v>
      </c>
      <c r="D16" s="299">
        <f t="shared" si="17"/>
        <v>1.838453952262399</v>
      </c>
      <c r="E16" s="299">
        <f t="shared" si="17"/>
        <v>1.8475973638091163</v>
      </c>
      <c r="F16" s="299">
        <f t="shared" si="17"/>
        <v>1.858753959619053</v>
      </c>
      <c r="G16" s="272">
        <f t="shared" si="17"/>
        <v>1.858753959619053</v>
      </c>
      <c r="H16" s="298">
        <f t="shared" si="17"/>
        <v>1.8675770034475931</v>
      </c>
      <c r="I16" s="299">
        <f t="shared" si="17"/>
        <v>1.8819055770391591</v>
      </c>
      <c r="J16" s="299">
        <f t="shared" si="17"/>
        <v>1.8945540184106324</v>
      </c>
      <c r="K16" s="299">
        <f t="shared" si="17"/>
        <v>1.9051301772456453</v>
      </c>
      <c r="L16" s="272">
        <f t="shared" si="17"/>
        <v>1.9051301772456453</v>
      </c>
      <c r="M16" s="298">
        <f t="shared" si="17"/>
        <v>1.9139634115369908</v>
      </c>
      <c r="N16" s="299">
        <f t="shared" si="17"/>
        <v>1.9326723152825918</v>
      </c>
      <c r="O16" s="300">
        <v>1.98</v>
      </c>
      <c r="P16" s="299">
        <v>2.0099999999999998</v>
      </c>
      <c r="Q16" s="272">
        <v>2.0099999999999998</v>
      </c>
      <c r="R16" s="298">
        <f>R7/R12</f>
        <v>2.0423530760990696</v>
      </c>
      <c r="S16" s="299">
        <v>2.0699999999999998</v>
      </c>
      <c r="T16" s="299">
        <v>2.09</v>
      </c>
      <c r="U16" s="299">
        <v>2.13</v>
      </c>
      <c r="V16" s="272">
        <v>2.13</v>
      </c>
      <c r="W16" s="298">
        <v>2.16</v>
      </c>
      <c r="X16" s="299">
        <v>2.2000000000000002</v>
      </c>
      <c r="Y16" s="299">
        <v>2.2200000000000002</v>
      </c>
      <c r="Z16" s="299">
        <v>2.25</v>
      </c>
      <c r="AA16" s="272">
        <f>Z16</f>
        <v>2.25</v>
      </c>
      <c r="AB16" s="298">
        <v>2.2799999999999998</v>
      </c>
      <c r="AC16" s="299">
        <v>2.31</v>
      </c>
      <c r="AD16" s="299">
        <v>2.34</v>
      </c>
      <c r="AE16" s="299">
        <v>2.37</v>
      </c>
      <c r="AF16" s="272">
        <v>2.37</v>
      </c>
      <c r="AG16" s="299">
        <v>2.4</v>
      </c>
      <c r="AH16" s="299">
        <v>2.4300000000000002</v>
      </c>
      <c r="AI16" s="299">
        <v>2.46</v>
      </c>
      <c r="AJ16" s="299">
        <v>2.5</v>
      </c>
      <c r="AK16" s="272">
        <v>2.5</v>
      </c>
      <c r="AL16" s="299">
        <v>2.5299999999999998</v>
      </c>
      <c r="AM16" s="299">
        <v>2.56</v>
      </c>
      <c r="AN16" s="299">
        <v>2.58</v>
      </c>
      <c r="AO16" s="299">
        <v>2.61</v>
      </c>
      <c r="AP16" s="272">
        <f>AO16</f>
        <v>2.61</v>
      </c>
      <c r="AQ16" s="299">
        <v>2.64</v>
      </c>
      <c r="AR16" s="299">
        <v>2.68</v>
      </c>
      <c r="AS16" s="299">
        <v>2.72</v>
      </c>
      <c r="AT16" s="299">
        <v>2.77</v>
      </c>
      <c r="AU16" s="272">
        <f>AT16</f>
        <v>2.77</v>
      </c>
      <c r="AV16" s="299">
        <v>2.79</v>
      </c>
      <c r="AW16" s="299">
        <v>2.8187721034085502</v>
      </c>
      <c r="AX16" s="299">
        <v>2.84</v>
      </c>
      <c r="AY16" s="299"/>
      <c r="AZ16" s="272">
        <f t="shared" si="16"/>
        <v>2.84</v>
      </c>
      <c r="BA16" s="241"/>
    </row>
    <row r="17" spans="1:53" ht="20.100000000000001" customHeight="1" thickBot="1">
      <c r="A17" s="273" t="s">
        <v>749</v>
      </c>
      <c r="B17" s="274" t="s">
        <v>750</v>
      </c>
      <c r="C17" s="301">
        <f>C18+C20+C21</f>
        <v>11497022</v>
      </c>
      <c r="D17" s="302">
        <f t="shared" ref="D17:N17" si="18">D18+D20+D21</f>
        <v>11521707</v>
      </c>
      <c r="E17" s="302">
        <f t="shared" si="18"/>
        <v>11558288</v>
      </c>
      <c r="F17" s="302">
        <f t="shared" si="18"/>
        <v>11659474</v>
      </c>
      <c r="G17" s="303">
        <f t="shared" si="18"/>
        <v>11559122.75</v>
      </c>
      <c r="H17" s="301">
        <f t="shared" si="18"/>
        <v>11772318</v>
      </c>
      <c r="I17" s="302">
        <f t="shared" si="18"/>
        <v>11846507</v>
      </c>
      <c r="J17" s="302">
        <f t="shared" si="18"/>
        <v>11884574</v>
      </c>
      <c r="K17" s="302">
        <f t="shared" si="18"/>
        <v>11924710</v>
      </c>
      <c r="L17" s="303">
        <f t="shared" si="18"/>
        <v>11857027.25</v>
      </c>
      <c r="M17" s="301">
        <f t="shared" si="18"/>
        <v>11986199</v>
      </c>
      <c r="N17" s="302">
        <f t="shared" si="18"/>
        <v>11981389</v>
      </c>
      <c r="O17" s="302">
        <f>O18+O20+O21</f>
        <v>12125363</v>
      </c>
      <c r="P17" s="302">
        <f>P18+P20+P21</f>
        <v>12272311</v>
      </c>
      <c r="Q17" s="303">
        <f>Q18+Q20+Q21</f>
        <v>12091316</v>
      </c>
      <c r="R17" s="301">
        <f t="shared" ref="R17:AJ17" si="19">R18+R20+R21</f>
        <v>12376603</v>
      </c>
      <c r="S17" s="302">
        <f t="shared" si="19"/>
        <v>12391326</v>
      </c>
      <c r="T17" s="302">
        <f t="shared" si="19"/>
        <v>12378586</v>
      </c>
      <c r="U17" s="302">
        <f t="shared" si="19"/>
        <v>12496080</v>
      </c>
      <c r="V17" s="303">
        <f t="shared" si="19"/>
        <v>12410649</v>
      </c>
      <c r="W17" s="301">
        <f t="shared" si="19"/>
        <v>12675864</v>
      </c>
      <c r="X17" s="302">
        <f t="shared" si="19"/>
        <v>12809438</v>
      </c>
      <c r="Y17" s="302">
        <f t="shared" si="19"/>
        <v>12940680</v>
      </c>
      <c r="Z17" s="302">
        <f t="shared" si="19"/>
        <v>13119033</v>
      </c>
      <c r="AA17" s="303">
        <f t="shared" si="19"/>
        <v>12886254</v>
      </c>
      <c r="AB17" s="301">
        <f t="shared" si="19"/>
        <v>13313971</v>
      </c>
      <c r="AC17" s="302">
        <f t="shared" si="19"/>
        <v>13379081</v>
      </c>
      <c r="AD17" s="302">
        <f t="shared" si="19"/>
        <v>13467835</v>
      </c>
      <c r="AE17" s="302">
        <f t="shared" si="19"/>
        <v>13596202</v>
      </c>
      <c r="AF17" s="303">
        <f t="shared" si="19"/>
        <v>13439272</v>
      </c>
      <c r="AG17" s="302">
        <f t="shared" si="19"/>
        <v>13741811</v>
      </c>
      <c r="AH17" s="302">
        <f t="shared" si="19"/>
        <v>13858205</v>
      </c>
      <c r="AI17" s="302">
        <f t="shared" si="19"/>
        <v>13995952</v>
      </c>
      <c r="AJ17" s="302">
        <f t="shared" si="19"/>
        <v>14159632</v>
      </c>
      <c r="AK17" s="303">
        <f>AK18+AK20+AK21</f>
        <v>13938900</v>
      </c>
      <c r="AL17" s="302">
        <f>AL18+AL20+AL21</f>
        <v>14283823</v>
      </c>
      <c r="AM17" s="302">
        <f t="shared" ref="AM17:AP17" si="20">AM18+AM20+AM21</f>
        <v>14381445</v>
      </c>
      <c r="AN17" s="302">
        <f t="shared" si="20"/>
        <v>14515058</v>
      </c>
      <c r="AO17" s="302">
        <f t="shared" si="20"/>
        <v>14660255</v>
      </c>
      <c r="AP17" s="306">
        <f t="shared" si="20"/>
        <v>14460145</v>
      </c>
      <c r="AQ17" s="302">
        <f>AQ18+AQ20+AQ21</f>
        <v>14774076</v>
      </c>
      <c r="AR17" s="302">
        <f t="shared" ref="AR17:AU17" si="21">AR18+AR20+AR21</f>
        <v>14867672</v>
      </c>
      <c r="AS17" s="302">
        <f t="shared" si="21"/>
        <v>15080830</v>
      </c>
      <c r="AT17" s="302">
        <f t="shared" si="21"/>
        <v>15265725</v>
      </c>
      <c r="AU17" s="306">
        <f t="shared" si="21"/>
        <v>14997076</v>
      </c>
      <c r="AV17" s="302">
        <f>AV18+AV20+AV21</f>
        <v>15350346</v>
      </c>
      <c r="AW17" s="302">
        <f t="shared" ref="AW17:AZ17" si="22">AW18+AW20+AW21</f>
        <v>15390843.999999998</v>
      </c>
      <c r="AX17" s="302">
        <f t="shared" si="22"/>
        <v>15454487</v>
      </c>
      <c r="AY17" s="302">
        <f t="shared" si="22"/>
        <v>0</v>
      </c>
      <c r="AZ17" s="306">
        <f t="shared" si="22"/>
        <v>15398559.11111111</v>
      </c>
      <c r="BA17" s="241"/>
    </row>
    <row r="18" spans="1:53" ht="20.100000000000001" customHeight="1">
      <c r="A18" s="242" t="s">
        <v>736</v>
      </c>
      <c r="B18" s="242" t="s">
        <v>737</v>
      </c>
      <c r="C18" s="240">
        <v>3858338</v>
      </c>
      <c r="D18" s="70">
        <v>3879834</v>
      </c>
      <c r="E18" s="70">
        <v>3894623</v>
      </c>
      <c r="F18" s="70">
        <v>3955082</v>
      </c>
      <c r="G18" s="283">
        <f>AVERAGE(C18:F18)</f>
        <v>3896969.25</v>
      </c>
      <c r="H18" s="240">
        <v>4018307</v>
      </c>
      <c r="I18" s="70">
        <v>4098051</v>
      </c>
      <c r="J18" s="70">
        <v>4144131</v>
      </c>
      <c r="K18" s="70">
        <v>4175145</v>
      </c>
      <c r="L18" s="283">
        <f>AVERAGE(H18:K18)</f>
        <v>4108908.5</v>
      </c>
      <c r="M18" s="240">
        <v>4227450</v>
      </c>
      <c r="N18" s="70">
        <v>4243880</v>
      </c>
      <c r="O18" s="243">
        <v>4301558</v>
      </c>
      <c r="P18" s="70">
        <v>4361890</v>
      </c>
      <c r="Q18" s="283">
        <v>4283695</v>
      </c>
      <c r="R18" s="240">
        <v>4403541</v>
      </c>
      <c r="S18" s="70">
        <v>4397999</v>
      </c>
      <c r="T18" s="70">
        <v>4376405</v>
      </c>
      <c r="U18" s="70">
        <v>4441918</v>
      </c>
      <c r="V18" s="283">
        <v>4404966</v>
      </c>
      <c r="W18" s="240">
        <v>4532806</v>
      </c>
      <c r="X18" s="70">
        <v>4595313</v>
      </c>
      <c r="Y18" s="70">
        <v>4654591</v>
      </c>
      <c r="Z18" s="70">
        <v>4712813</v>
      </c>
      <c r="AA18" s="283">
        <v>4623881</v>
      </c>
      <c r="AB18" s="240">
        <v>4781680</v>
      </c>
      <c r="AC18" s="70">
        <v>4817543</v>
      </c>
      <c r="AD18" s="70">
        <v>4856979</v>
      </c>
      <c r="AE18" s="70">
        <v>4905839</v>
      </c>
      <c r="AF18" s="283">
        <v>4840510</v>
      </c>
      <c r="AG18" s="70">
        <v>4963830</v>
      </c>
      <c r="AH18" s="70">
        <v>5013604</v>
      </c>
      <c r="AI18" s="70">
        <v>5029344</v>
      </c>
      <c r="AJ18" s="70">
        <v>5070219</v>
      </c>
      <c r="AK18" s="283">
        <v>5019249</v>
      </c>
      <c r="AL18" s="70">
        <v>5090723</v>
      </c>
      <c r="AM18" s="70">
        <v>5066146</v>
      </c>
      <c r="AN18" s="70">
        <v>5036833</v>
      </c>
      <c r="AO18" s="70">
        <v>5039351</v>
      </c>
      <c r="AP18" s="283">
        <v>5058263</v>
      </c>
      <c r="AQ18" s="70">
        <v>5018607</v>
      </c>
      <c r="AR18" s="70">
        <v>4995884</v>
      </c>
      <c r="AS18" s="70">
        <v>5007407</v>
      </c>
      <c r="AT18" s="70">
        <v>5009102</v>
      </c>
      <c r="AU18" s="283">
        <v>5007750</v>
      </c>
      <c r="AV18" s="70">
        <v>4996954</v>
      </c>
      <c r="AW18" s="70">
        <v>4973593.833333333</v>
      </c>
      <c r="AX18" s="70">
        <v>4944068</v>
      </c>
      <c r="AY18" s="70"/>
      <c r="AZ18" s="283">
        <v>4971538.5</v>
      </c>
      <c r="BA18" s="241"/>
    </row>
    <row r="19" spans="1:53" ht="20.100000000000001" customHeight="1">
      <c r="A19" s="244" t="s">
        <v>738</v>
      </c>
      <c r="B19" s="244" t="s">
        <v>738</v>
      </c>
      <c r="C19" s="245">
        <v>358652</v>
      </c>
      <c r="D19" s="79">
        <v>406943</v>
      </c>
      <c r="E19" s="79">
        <v>443743.5</v>
      </c>
      <c r="F19" s="79">
        <v>494506</v>
      </c>
      <c r="G19" s="304">
        <f>AVERAGE(C19:F19)</f>
        <v>425961.125</v>
      </c>
      <c r="H19" s="245">
        <v>535271</v>
      </c>
      <c r="I19" s="79">
        <v>600411</v>
      </c>
      <c r="J19" s="79">
        <v>658475</v>
      </c>
      <c r="K19" s="79">
        <v>697978</v>
      </c>
      <c r="L19" s="304">
        <f t="shared" ref="L19:L21" si="23">AVERAGE(H19:K19)</f>
        <v>623033.75</v>
      </c>
      <c r="M19" s="254">
        <v>736315</v>
      </c>
      <c r="N19" s="79">
        <v>759922</v>
      </c>
      <c r="O19" s="246">
        <v>787736</v>
      </c>
      <c r="P19" s="79">
        <v>822568</v>
      </c>
      <c r="Q19" s="304">
        <v>776635</v>
      </c>
      <c r="R19" s="254">
        <v>860827</v>
      </c>
      <c r="S19" s="79">
        <v>881296</v>
      </c>
      <c r="T19" s="79">
        <v>893001</v>
      </c>
      <c r="U19" s="79">
        <v>915940</v>
      </c>
      <c r="V19" s="304">
        <v>887766</v>
      </c>
      <c r="W19" s="254">
        <v>948366</v>
      </c>
      <c r="X19" s="73">
        <v>964197</v>
      </c>
      <c r="Y19" s="73">
        <v>977142</v>
      </c>
      <c r="Z19" s="79">
        <v>995820</v>
      </c>
      <c r="AA19" s="304">
        <v>971381</v>
      </c>
      <c r="AB19" s="254">
        <v>1029294</v>
      </c>
      <c r="AC19" s="70">
        <v>1051692</v>
      </c>
      <c r="AD19" s="73">
        <v>1064544</v>
      </c>
      <c r="AE19" s="73">
        <v>1082951</v>
      </c>
      <c r="AF19" s="304">
        <v>1057120</v>
      </c>
      <c r="AG19" s="73">
        <v>1108316</v>
      </c>
      <c r="AH19" s="73">
        <v>1121333</v>
      </c>
      <c r="AI19" s="73">
        <v>1134327</v>
      </c>
      <c r="AJ19" s="73">
        <v>1149795</v>
      </c>
      <c r="AK19" s="304">
        <v>1128443</v>
      </c>
      <c r="AL19" s="73">
        <v>1164591</v>
      </c>
      <c r="AM19" s="73">
        <v>1171425</v>
      </c>
      <c r="AN19" s="73">
        <v>1177222</v>
      </c>
      <c r="AO19" s="73">
        <v>1185919</v>
      </c>
      <c r="AP19" s="304">
        <v>1174789</v>
      </c>
      <c r="AQ19" s="73">
        <v>1193663</v>
      </c>
      <c r="AR19" s="73">
        <v>1193706</v>
      </c>
      <c r="AS19" s="73">
        <v>1199160</v>
      </c>
      <c r="AT19" s="73">
        <v>1203210</v>
      </c>
      <c r="AU19" s="304">
        <v>1197435</v>
      </c>
      <c r="AV19" s="73">
        <v>1207961</v>
      </c>
      <c r="AW19" s="73">
        <v>1204404.5</v>
      </c>
      <c r="AX19" s="73">
        <v>1201462</v>
      </c>
      <c r="AY19" s="73"/>
      <c r="AZ19" s="304">
        <v>1204609.1666666667</v>
      </c>
      <c r="BA19" s="241"/>
    </row>
    <row r="20" spans="1:53" ht="20.100000000000001" customHeight="1">
      <c r="A20" s="242" t="s">
        <v>625</v>
      </c>
      <c r="B20" s="242" t="s">
        <v>626</v>
      </c>
      <c r="C20" s="240">
        <v>6986951</v>
      </c>
      <c r="D20" s="70">
        <v>6977393</v>
      </c>
      <c r="E20" s="70">
        <v>6978772</v>
      </c>
      <c r="F20" s="70">
        <v>6974525</v>
      </c>
      <c r="G20" s="283">
        <f t="shared" ref="G20:G21" si="24">AVERAGE(C20:F20)</f>
        <v>6979410.25</v>
      </c>
      <c r="H20" s="240">
        <v>6965606</v>
      </c>
      <c r="I20" s="70">
        <v>6917102</v>
      </c>
      <c r="J20" s="70">
        <v>6862047</v>
      </c>
      <c r="K20" s="70">
        <v>6801845</v>
      </c>
      <c r="L20" s="283">
        <f t="shared" si="23"/>
        <v>6886650</v>
      </c>
      <c r="M20" s="255">
        <v>6749396</v>
      </c>
      <c r="N20" s="70">
        <v>6670820</v>
      </c>
      <c r="O20" s="243">
        <v>6628199</v>
      </c>
      <c r="P20" s="70">
        <v>6597742</v>
      </c>
      <c r="Q20" s="283">
        <v>6661539</v>
      </c>
      <c r="R20" s="255">
        <v>6570344</v>
      </c>
      <c r="S20" s="70">
        <v>6532488</v>
      </c>
      <c r="T20" s="70">
        <v>6508391</v>
      </c>
      <c r="U20" s="70">
        <v>6502872</v>
      </c>
      <c r="V20" s="283">
        <v>6528524</v>
      </c>
      <c r="W20" s="255">
        <v>6523316</v>
      </c>
      <c r="X20" s="74">
        <v>6546774</v>
      </c>
      <c r="Y20" s="74">
        <v>6579908</v>
      </c>
      <c r="Z20" s="70">
        <v>6667869</v>
      </c>
      <c r="AA20" s="283">
        <v>6579467</v>
      </c>
      <c r="AB20" s="255">
        <v>6769379</v>
      </c>
      <c r="AC20" s="70">
        <v>6790804</v>
      </c>
      <c r="AD20" s="74">
        <v>6836282</v>
      </c>
      <c r="AE20" s="74">
        <v>6894295</v>
      </c>
      <c r="AF20" s="283">
        <v>6822690</v>
      </c>
      <c r="AG20" s="74">
        <v>6963584</v>
      </c>
      <c r="AH20" s="74">
        <v>7036346</v>
      </c>
      <c r="AI20" s="74">
        <v>7161022</v>
      </c>
      <c r="AJ20" s="74">
        <v>7276732</v>
      </c>
      <c r="AK20" s="283">
        <v>7109421</v>
      </c>
      <c r="AL20" s="74">
        <v>7384746</v>
      </c>
      <c r="AM20" s="74">
        <v>7519107</v>
      </c>
      <c r="AN20" s="74">
        <v>7679532</v>
      </c>
      <c r="AO20" s="74">
        <v>7823962</v>
      </c>
      <c r="AP20" s="283">
        <v>7601837</v>
      </c>
      <c r="AQ20" s="74">
        <v>7964689</v>
      </c>
      <c r="AR20" s="74">
        <v>8082768</v>
      </c>
      <c r="AS20" s="74">
        <v>8283242</v>
      </c>
      <c r="AT20" s="74">
        <v>8452883</v>
      </c>
      <c r="AU20" s="283">
        <v>8195896</v>
      </c>
      <c r="AV20" s="74">
        <v>8529814</v>
      </c>
      <c r="AW20" s="74">
        <v>8598959</v>
      </c>
      <c r="AX20" s="74">
        <v>8715614</v>
      </c>
      <c r="AY20" s="73"/>
      <c r="AZ20" s="283">
        <v>8614795.666666666</v>
      </c>
      <c r="BA20" s="241"/>
    </row>
    <row r="21" spans="1:53" ht="20.100000000000001" customHeight="1" thickBot="1">
      <c r="A21" s="242" t="s">
        <v>628</v>
      </c>
      <c r="B21" s="242" t="s">
        <v>628</v>
      </c>
      <c r="C21" s="240">
        <v>651733</v>
      </c>
      <c r="D21" s="70">
        <v>664480</v>
      </c>
      <c r="E21" s="70">
        <v>684893</v>
      </c>
      <c r="F21" s="70">
        <v>729867</v>
      </c>
      <c r="G21" s="283">
        <f t="shared" si="24"/>
        <v>682743.25</v>
      </c>
      <c r="H21" s="240">
        <v>788405</v>
      </c>
      <c r="I21" s="70">
        <v>831354</v>
      </c>
      <c r="J21" s="70">
        <v>878396</v>
      </c>
      <c r="K21" s="70">
        <v>947720</v>
      </c>
      <c r="L21" s="283">
        <f t="shared" si="23"/>
        <v>861468.75</v>
      </c>
      <c r="M21" s="255">
        <v>1009353</v>
      </c>
      <c r="N21" s="70">
        <v>1066689</v>
      </c>
      <c r="O21" s="243">
        <v>1195606</v>
      </c>
      <c r="P21" s="70">
        <v>1312679</v>
      </c>
      <c r="Q21" s="283">
        <v>1146082</v>
      </c>
      <c r="R21" s="255">
        <v>1402718</v>
      </c>
      <c r="S21" s="70">
        <v>1460839</v>
      </c>
      <c r="T21" s="70">
        <v>1493790</v>
      </c>
      <c r="U21" s="70">
        <v>1551290</v>
      </c>
      <c r="V21" s="283">
        <v>1477159</v>
      </c>
      <c r="W21" s="255">
        <v>1619742</v>
      </c>
      <c r="X21" s="74">
        <v>1667351</v>
      </c>
      <c r="Y21" s="74">
        <v>1706181</v>
      </c>
      <c r="Z21" s="70">
        <v>1738351</v>
      </c>
      <c r="AA21" s="283">
        <v>1682906</v>
      </c>
      <c r="AB21" s="255">
        <v>1762912</v>
      </c>
      <c r="AC21" s="70">
        <v>1770734</v>
      </c>
      <c r="AD21" s="74">
        <v>1774574</v>
      </c>
      <c r="AE21" s="74">
        <v>1796068</v>
      </c>
      <c r="AF21" s="283">
        <v>1776072</v>
      </c>
      <c r="AG21" s="74">
        <v>1814397</v>
      </c>
      <c r="AH21" s="74">
        <v>1808255</v>
      </c>
      <c r="AI21" s="74">
        <v>1805586</v>
      </c>
      <c r="AJ21" s="74">
        <v>1812681</v>
      </c>
      <c r="AK21" s="283">
        <v>1810230</v>
      </c>
      <c r="AL21" s="74">
        <v>1808354</v>
      </c>
      <c r="AM21" s="74">
        <v>1796192</v>
      </c>
      <c r="AN21" s="74">
        <v>1798693</v>
      </c>
      <c r="AO21" s="74">
        <v>1796942</v>
      </c>
      <c r="AP21" s="283">
        <v>1800045</v>
      </c>
      <c r="AQ21" s="74">
        <v>1790780</v>
      </c>
      <c r="AR21" s="74">
        <v>1789020</v>
      </c>
      <c r="AS21" s="74">
        <v>1790181</v>
      </c>
      <c r="AT21" s="74">
        <v>1803740</v>
      </c>
      <c r="AU21" s="283">
        <v>1793430</v>
      </c>
      <c r="AV21" s="74">
        <v>1823578</v>
      </c>
      <c r="AW21" s="74">
        <v>1818291.1666666667</v>
      </c>
      <c r="AX21" s="74">
        <v>1794805</v>
      </c>
      <c r="AY21" s="74"/>
      <c r="AZ21" s="283">
        <v>1812224.9444444445</v>
      </c>
      <c r="BA21" s="241"/>
    </row>
    <row r="22" spans="1:53" ht="20.100000000000001" customHeight="1">
      <c r="A22" s="291" t="s">
        <v>751</v>
      </c>
      <c r="B22" s="292" t="s">
        <v>752</v>
      </c>
      <c r="C22" s="293">
        <v>6288609</v>
      </c>
      <c r="D22" s="294">
        <v>6272029</v>
      </c>
      <c r="E22" s="294">
        <v>6271838</v>
      </c>
      <c r="F22" s="294">
        <v>6291791</v>
      </c>
      <c r="G22" s="295">
        <f>AVERAGE(C22:F22)</f>
        <v>6281066.75</v>
      </c>
      <c r="H22" s="293">
        <v>6316275</v>
      </c>
      <c r="I22" s="294">
        <v>6317333</v>
      </c>
      <c r="J22" s="294">
        <v>6293472</v>
      </c>
      <c r="K22" s="294">
        <v>6279979</v>
      </c>
      <c r="L22" s="295">
        <f>AVERAGE(H22:K22)</f>
        <v>6301764.75</v>
      </c>
      <c r="M22" s="293">
        <v>6274951</v>
      </c>
      <c r="N22" s="294">
        <v>6242450</v>
      </c>
      <c r="O22" s="294">
        <v>6201335</v>
      </c>
      <c r="P22" s="294">
        <v>6159902.666666667</v>
      </c>
      <c r="Q22" s="295">
        <v>6219660</v>
      </c>
      <c r="R22" s="293">
        <v>6105250</v>
      </c>
      <c r="S22" s="294">
        <v>6031638</v>
      </c>
      <c r="T22" s="294">
        <v>5960463</v>
      </c>
      <c r="U22" s="294">
        <v>5922397</v>
      </c>
      <c r="V22" s="295">
        <v>6004937</v>
      </c>
      <c r="W22" s="293">
        <v>5902526</v>
      </c>
      <c r="X22" s="294">
        <v>5876458</v>
      </c>
      <c r="Y22" s="294">
        <v>5858477</v>
      </c>
      <c r="Z22" s="294">
        <v>5868541</v>
      </c>
      <c r="AA22" s="295">
        <v>5876500</v>
      </c>
      <c r="AB22" s="293">
        <v>5872517</v>
      </c>
      <c r="AC22" s="294">
        <v>5828405</v>
      </c>
      <c r="AD22" s="294">
        <v>5803517</v>
      </c>
      <c r="AE22" s="294">
        <v>5781207</v>
      </c>
      <c r="AF22" s="295">
        <v>5821411</v>
      </c>
      <c r="AG22" s="294">
        <v>5760338</v>
      </c>
      <c r="AH22" s="294">
        <v>5732091</v>
      </c>
      <c r="AI22" s="294">
        <v>5717882</v>
      </c>
      <c r="AJ22" s="294">
        <v>5708353</v>
      </c>
      <c r="AK22" s="295">
        <v>5729666</v>
      </c>
      <c r="AL22" s="294">
        <v>5688071</v>
      </c>
      <c r="AM22" s="294">
        <v>5662168</v>
      </c>
      <c r="AN22" s="294">
        <v>5649225</v>
      </c>
      <c r="AO22" s="294">
        <v>5641301</v>
      </c>
      <c r="AP22" s="295">
        <v>5660191</v>
      </c>
      <c r="AQ22" s="294">
        <v>5625993</v>
      </c>
      <c r="AR22" s="294">
        <v>5591571</v>
      </c>
      <c r="AS22" s="294">
        <v>5579661</v>
      </c>
      <c r="AT22" s="294">
        <v>5558348</v>
      </c>
      <c r="AU22" s="295">
        <v>5588893</v>
      </c>
      <c r="AV22" s="294">
        <v>5526063</v>
      </c>
      <c r="AW22" s="294">
        <v>5487976.333333333</v>
      </c>
      <c r="AX22" s="294">
        <v>5461033</v>
      </c>
      <c r="AY22" s="294"/>
      <c r="AZ22" s="295">
        <v>5491690.888888889</v>
      </c>
      <c r="BA22" s="241"/>
    </row>
    <row r="23" spans="1:53" s="263" customFormat="1" ht="20.100000000000001" customHeight="1" thickBot="1">
      <c r="A23" s="296" t="s">
        <v>640</v>
      </c>
      <c r="B23" s="296" t="s">
        <v>641</v>
      </c>
      <c r="C23" s="285"/>
      <c r="D23" s="286"/>
      <c r="E23" s="286"/>
      <c r="F23" s="286"/>
      <c r="G23" s="297"/>
      <c r="H23" s="285"/>
      <c r="I23" s="286"/>
      <c r="J23" s="286"/>
      <c r="K23" s="286"/>
      <c r="L23" s="297"/>
      <c r="M23" s="289"/>
      <c r="N23" s="286"/>
      <c r="O23" s="286"/>
      <c r="P23" s="286"/>
      <c r="Q23" s="297"/>
      <c r="R23" s="289"/>
      <c r="S23" s="286"/>
      <c r="T23" s="286"/>
      <c r="U23" s="286"/>
      <c r="V23" s="297"/>
      <c r="W23" s="289"/>
      <c r="X23" s="290"/>
      <c r="Y23" s="290"/>
      <c r="Z23" s="286"/>
      <c r="AA23" s="297"/>
      <c r="AB23" s="289"/>
      <c r="AC23" s="290"/>
      <c r="AD23" s="290"/>
      <c r="AE23" s="286"/>
      <c r="AF23" s="297"/>
      <c r="AG23" s="290"/>
      <c r="AH23" s="290"/>
      <c r="AI23" s="290"/>
      <c r="AJ23" s="290"/>
      <c r="AK23" s="297"/>
      <c r="AL23" s="290"/>
      <c r="AM23" s="290"/>
      <c r="AN23" s="290"/>
      <c r="AO23" s="290"/>
      <c r="AP23" s="297"/>
      <c r="AQ23" s="290"/>
      <c r="AR23" s="290"/>
      <c r="AS23" s="290"/>
      <c r="AT23" s="290"/>
      <c r="AU23" s="297"/>
      <c r="AV23" s="290"/>
      <c r="AW23" s="290"/>
      <c r="AX23" s="290"/>
      <c r="AY23" s="290"/>
      <c r="AZ23" s="297"/>
    </row>
    <row r="24" spans="1:53" s="241" customFormat="1" ht="20.100000000000001" customHeight="1" thickBot="1">
      <c r="A24" s="310" t="s">
        <v>734</v>
      </c>
      <c r="B24" s="311" t="s">
        <v>753</v>
      </c>
      <c r="C24" s="275" t="s">
        <v>731</v>
      </c>
      <c r="D24" s="276" t="s">
        <v>731</v>
      </c>
      <c r="E24" s="276" t="s">
        <v>731</v>
      </c>
      <c r="F24" s="276" t="s">
        <v>731</v>
      </c>
      <c r="G24" s="284" t="s">
        <v>731</v>
      </c>
      <c r="H24" s="275">
        <f>SUM(H25:H27)</f>
        <v>4548385</v>
      </c>
      <c r="I24" s="276">
        <f t="shared" ref="I24:N24" si="25">SUM(I25:I27)</f>
        <v>4565319</v>
      </c>
      <c r="J24" s="276">
        <f t="shared" si="25"/>
        <v>4719129</v>
      </c>
      <c r="K24" s="276">
        <f t="shared" si="25"/>
        <v>4468527</v>
      </c>
      <c r="L24" s="284">
        <f t="shared" si="25"/>
        <v>4468527</v>
      </c>
      <c r="M24" s="275">
        <f t="shared" si="25"/>
        <v>4350325</v>
      </c>
      <c r="N24" s="276">
        <f t="shared" si="25"/>
        <v>4227128</v>
      </c>
      <c r="O24" s="276">
        <f>SUM(O25:O27)</f>
        <v>4219194</v>
      </c>
      <c r="P24" s="276">
        <f>SUM(P25:P27)</f>
        <v>4134203</v>
      </c>
      <c r="Q24" s="284">
        <f>SUM(Q25:Q27)</f>
        <v>4134203</v>
      </c>
      <c r="R24" s="275">
        <f t="shared" ref="R24:AK24" si="26">SUM(R25:R27)</f>
        <v>4034757</v>
      </c>
      <c r="S24" s="276">
        <f t="shared" si="26"/>
        <v>3972069</v>
      </c>
      <c r="T24" s="276">
        <f t="shared" si="26"/>
        <v>3976807</v>
      </c>
      <c r="U24" s="276">
        <f t="shared" si="26"/>
        <v>3854993</v>
      </c>
      <c r="V24" s="284">
        <f t="shared" si="26"/>
        <v>3854993</v>
      </c>
      <c r="W24" s="275">
        <f t="shared" si="26"/>
        <v>3787667</v>
      </c>
      <c r="X24" s="276">
        <f t="shared" si="26"/>
        <v>3830816</v>
      </c>
      <c r="Y24" s="276">
        <f t="shared" si="26"/>
        <v>3527904</v>
      </c>
      <c r="Z24" s="276">
        <f t="shared" si="26"/>
        <v>3270338</v>
      </c>
      <c r="AA24" s="284">
        <f t="shared" si="26"/>
        <v>3270338</v>
      </c>
      <c r="AB24" s="275">
        <f t="shared" si="26"/>
        <v>2879090</v>
      </c>
      <c r="AC24" s="276">
        <f t="shared" si="26"/>
        <v>2854301</v>
      </c>
      <c r="AD24" s="276">
        <f t="shared" si="26"/>
        <v>2880161</v>
      </c>
      <c r="AE24" s="276">
        <f t="shared" si="26"/>
        <v>2837553</v>
      </c>
      <c r="AF24" s="284">
        <f t="shared" si="26"/>
        <v>2837553</v>
      </c>
      <c r="AG24" s="276">
        <f t="shared" si="26"/>
        <v>2783184</v>
      </c>
      <c r="AH24" s="276">
        <f t="shared" si="26"/>
        <v>2768818</v>
      </c>
      <c r="AI24" s="276">
        <f>SUM(AI25:AI27)</f>
        <v>2794108</v>
      </c>
      <c r="AJ24" s="276">
        <f t="shared" si="26"/>
        <v>2646869</v>
      </c>
      <c r="AK24" s="284">
        <f t="shared" si="26"/>
        <v>2646869</v>
      </c>
      <c r="AL24" s="276">
        <f>SUM(AL25:AL27)</f>
        <v>2642775</v>
      </c>
      <c r="AM24" s="276">
        <f t="shared" ref="AM24:AP24" si="27">SUM(AM25:AM27)</f>
        <v>2607311</v>
      </c>
      <c r="AN24" s="276">
        <f t="shared" si="27"/>
        <v>2678890</v>
      </c>
      <c r="AO24" s="276">
        <f t="shared" si="27"/>
        <v>2657494</v>
      </c>
      <c r="AP24" s="284">
        <f t="shared" si="27"/>
        <v>2657494</v>
      </c>
      <c r="AQ24" s="276">
        <f>SUM(AQ25:AQ27)</f>
        <v>2638638</v>
      </c>
      <c r="AR24" s="276">
        <f>SUM(AR25:AR27)</f>
        <v>2525224</v>
      </c>
      <c r="AS24" s="276">
        <f t="shared" ref="AS24:AU24" si="28">SUM(AS25:AS27)</f>
        <v>2671239</v>
      </c>
      <c r="AT24" s="276">
        <f t="shared" si="28"/>
        <v>2617813</v>
      </c>
      <c r="AU24" s="284">
        <f t="shared" si="28"/>
        <v>2617813</v>
      </c>
      <c r="AV24" s="276">
        <f>SUM(AV25:AV27)</f>
        <v>2736095</v>
      </c>
      <c r="AW24" s="276">
        <f>SUM(AW25:AW27)</f>
        <v>2595890</v>
      </c>
      <c r="AX24" s="276">
        <f t="shared" ref="AX24:AY24" si="29">SUM(AX25:AX27)</f>
        <v>2630714</v>
      </c>
      <c r="AY24" s="276">
        <f t="shared" si="29"/>
        <v>0</v>
      </c>
      <c r="AZ24" s="284">
        <f>SUM(AZ25:AZ27)</f>
        <v>2630714</v>
      </c>
    </row>
    <row r="25" spans="1:53" s="241" customFormat="1" ht="20.100000000000001" customHeight="1">
      <c r="A25" s="307" t="s">
        <v>644</v>
      </c>
      <c r="B25" s="307" t="s">
        <v>645</v>
      </c>
      <c r="C25" s="240" t="s">
        <v>731</v>
      </c>
      <c r="D25" s="70" t="s">
        <v>731</v>
      </c>
      <c r="E25" s="70" t="s">
        <v>731</v>
      </c>
      <c r="F25" s="70" t="s">
        <v>731</v>
      </c>
      <c r="G25" s="283" t="s">
        <v>731</v>
      </c>
      <c r="H25" s="240">
        <v>85574</v>
      </c>
      <c r="I25" s="70">
        <v>81441</v>
      </c>
      <c r="J25" s="70">
        <v>84538</v>
      </c>
      <c r="K25" s="70">
        <v>77771</v>
      </c>
      <c r="L25" s="283">
        <f>K25</f>
        <v>77771</v>
      </c>
      <c r="M25" s="240">
        <v>81619</v>
      </c>
      <c r="N25" s="70">
        <v>66578</v>
      </c>
      <c r="O25" s="243">
        <v>98136</v>
      </c>
      <c r="P25" s="70">
        <v>122787</v>
      </c>
      <c r="Q25" s="283">
        <v>122787</v>
      </c>
      <c r="R25" s="240">
        <v>66163</v>
      </c>
      <c r="S25" s="70">
        <v>41517</v>
      </c>
      <c r="T25" s="70">
        <v>60471</v>
      </c>
      <c r="U25" s="70">
        <v>31972</v>
      </c>
      <c r="V25" s="283">
        <f>U25</f>
        <v>31972</v>
      </c>
      <c r="W25" s="240">
        <v>35754</v>
      </c>
      <c r="X25" s="70">
        <v>73544</v>
      </c>
      <c r="Y25" s="70">
        <v>44913</v>
      </c>
      <c r="Z25" s="70">
        <v>79306</v>
      </c>
      <c r="AA25" s="283">
        <f>Z25</f>
        <v>79306</v>
      </c>
      <c r="AB25" s="240">
        <v>48224</v>
      </c>
      <c r="AC25" s="70">
        <v>57183</v>
      </c>
      <c r="AD25" s="70">
        <v>63627</v>
      </c>
      <c r="AE25" s="70">
        <v>79561</v>
      </c>
      <c r="AF25" s="283">
        <f>AE25</f>
        <v>79561</v>
      </c>
      <c r="AG25" s="70">
        <v>75159</v>
      </c>
      <c r="AH25" s="70">
        <v>59722</v>
      </c>
      <c r="AI25" s="70">
        <v>91261</v>
      </c>
      <c r="AJ25" s="70">
        <v>95685</v>
      </c>
      <c r="AK25" s="283">
        <v>95685</v>
      </c>
      <c r="AL25" s="70">
        <v>144586</v>
      </c>
      <c r="AM25" s="70">
        <v>87176</v>
      </c>
      <c r="AN25" s="70">
        <v>142886</v>
      </c>
      <c r="AO25" s="70">
        <v>161208</v>
      </c>
      <c r="AP25" s="283">
        <v>161208</v>
      </c>
      <c r="AQ25" s="70">
        <v>171958</v>
      </c>
      <c r="AR25" s="70">
        <v>93292</v>
      </c>
      <c r="AS25" s="70">
        <v>158060</v>
      </c>
      <c r="AT25" s="70">
        <v>114416</v>
      </c>
      <c r="AU25" s="283">
        <f>AT25</f>
        <v>114416</v>
      </c>
      <c r="AV25" s="70">
        <v>224608</v>
      </c>
      <c r="AW25" s="70">
        <v>135476</v>
      </c>
      <c r="AX25" s="70">
        <v>144885</v>
      </c>
      <c r="AY25" s="70"/>
      <c r="AZ25" s="283">
        <f t="shared" ref="AZ25:AZ27" si="30">AX25</f>
        <v>144885</v>
      </c>
    </row>
    <row r="26" spans="1:53" s="241" customFormat="1" ht="20.100000000000001" customHeight="1">
      <c r="A26" s="307" t="s">
        <v>625</v>
      </c>
      <c r="B26" s="307" t="s">
        <v>646</v>
      </c>
      <c r="C26" s="240" t="s">
        <v>731</v>
      </c>
      <c r="D26" s="70" t="s">
        <v>731</v>
      </c>
      <c r="E26" s="70" t="s">
        <v>731</v>
      </c>
      <c r="F26" s="70" t="s">
        <v>731</v>
      </c>
      <c r="G26" s="283" t="s">
        <v>731</v>
      </c>
      <c r="H26" s="240">
        <v>4385742</v>
      </c>
      <c r="I26" s="70">
        <v>4379630</v>
      </c>
      <c r="J26" s="70">
        <v>4475541</v>
      </c>
      <c r="K26" s="70">
        <v>4171810</v>
      </c>
      <c r="L26" s="283">
        <f>K26</f>
        <v>4171810</v>
      </c>
      <c r="M26" s="240">
        <v>4042605</v>
      </c>
      <c r="N26" s="70">
        <v>3923778</v>
      </c>
      <c r="O26" s="243">
        <v>3855669</v>
      </c>
      <c r="P26" s="70">
        <v>3792978</v>
      </c>
      <c r="Q26" s="283">
        <v>3792978</v>
      </c>
      <c r="R26" s="240">
        <v>3775976</v>
      </c>
      <c r="S26" s="70">
        <v>3737282</v>
      </c>
      <c r="T26" s="70">
        <v>3685092</v>
      </c>
      <c r="U26" s="70">
        <v>3591736</v>
      </c>
      <c r="V26" s="283">
        <f t="shared" ref="V26:V27" si="31">U26</f>
        <v>3591736</v>
      </c>
      <c r="W26" s="240">
        <v>3495733</v>
      </c>
      <c r="X26" s="70">
        <v>3473228</v>
      </c>
      <c r="Y26" s="70">
        <v>3223224</v>
      </c>
      <c r="Z26" s="70">
        <v>2972443</v>
      </c>
      <c r="AA26" s="283">
        <f t="shared" ref="AA26:AA27" si="32">Z26</f>
        <v>2972443</v>
      </c>
      <c r="AB26" s="240">
        <v>2646477</v>
      </c>
      <c r="AC26" s="70">
        <v>2616592</v>
      </c>
      <c r="AD26" s="70">
        <v>2623950</v>
      </c>
      <c r="AE26" s="70">
        <v>2579613</v>
      </c>
      <c r="AF26" s="283">
        <f t="shared" ref="AF26:AF27" si="33">AE26</f>
        <v>2579613</v>
      </c>
      <c r="AG26" s="70">
        <v>2539402</v>
      </c>
      <c r="AH26" s="70">
        <v>2545749</v>
      </c>
      <c r="AI26" s="70">
        <v>2550355</v>
      </c>
      <c r="AJ26" s="70">
        <v>2423774</v>
      </c>
      <c r="AK26" s="283">
        <v>2423774</v>
      </c>
      <c r="AL26" s="70">
        <v>2387672</v>
      </c>
      <c r="AM26" s="70">
        <v>2418370</v>
      </c>
      <c r="AN26" s="70">
        <v>2443295</v>
      </c>
      <c r="AO26" s="70">
        <v>2415819</v>
      </c>
      <c r="AP26" s="283">
        <v>2415819</v>
      </c>
      <c r="AQ26" s="70">
        <v>2393373</v>
      </c>
      <c r="AR26" s="70">
        <v>2364248</v>
      </c>
      <c r="AS26" s="70">
        <v>2449237</v>
      </c>
      <c r="AT26" s="70">
        <v>2445873</v>
      </c>
      <c r="AU26" s="283">
        <f>AT26</f>
        <v>2445873</v>
      </c>
      <c r="AV26" s="70">
        <v>2458165</v>
      </c>
      <c r="AW26" s="70">
        <v>2413672</v>
      </c>
      <c r="AX26" s="70">
        <v>2441939</v>
      </c>
      <c r="AY26" s="70"/>
      <c r="AZ26" s="283">
        <f t="shared" si="30"/>
        <v>2441939</v>
      </c>
    </row>
    <row r="27" spans="1:53" s="241" customFormat="1" ht="20.100000000000001" customHeight="1" thickBot="1">
      <c r="A27" s="307" t="s">
        <v>627</v>
      </c>
      <c r="B27" s="307" t="s">
        <v>627</v>
      </c>
      <c r="C27" s="240" t="s">
        <v>731</v>
      </c>
      <c r="D27" s="70" t="s">
        <v>731</v>
      </c>
      <c r="E27" s="70" t="s">
        <v>731</v>
      </c>
      <c r="F27" s="70" t="s">
        <v>731</v>
      </c>
      <c r="G27" s="283" t="s">
        <v>731</v>
      </c>
      <c r="H27" s="240">
        <v>77069</v>
      </c>
      <c r="I27" s="70">
        <v>104248</v>
      </c>
      <c r="J27" s="70">
        <v>159050</v>
      </c>
      <c r="K27" s="70">
        <v>218946</v>
      </c>
      <c r="L27" s="283">
        <f>K27</f>
        <v>218946</v>
      </c>
      <c r="M27" s="240">
        <v>226101</v>
      </c>
      <c r="N27" s="70">
        <v>236772</v>
      </c>
      <c r="O27" s="243">
        <v>265389</v>
      </c>
      <c r="P27" s="70">
        <v>218438</v>
      </c>
      <c r="Q27" s="283">
        <v>218438</v>
      </c>
      <c r="R27" s="240">
        <v>192618</v>
      </c>
      <c r="S27" s="70">
        <v>193270</v>
      </c>
      <c r="T27" s="70">
        <v>231244</v>
      </c>
      <c r="U27" s="70">
        <v>231285</v>
      </c>
      <c r="V27" s="283">
        <f t="shared" si="31"/>
        <v>231285</v>
      </c>
      <c r="W27" s="240">
        <v>256180</v>
      </c>
      <c r="X27" s="70">
        <v>284044</v>
      </c>
      <c r="Y27" s="70">
        <v>259767</v>
      </c>
      <c r="Z27" s="70">
        <v>218589</v>
      </c>
      <c r="AA27" s="283">
        <f t="shared" si="32"/>
        <v>218589</v>
      </c>
      <c r="AB27" s="240">
        <v>184389</v>
      </c>
      <c r="AC27" s="70">
        <v>180526</v>
      </c>
      <c r="AD27" s="70">
        <v>192584</v>
      </c>
      <c r="AE27" s="70">
        <v>178379</v>
      </c>
      <c r="AF27" s="283">
        <f t="shared" si="33"/>
        <v>178379</v>
      </c>
      <c r="AG27" s="70">
        <v>168623</v>
      </c>
      <c r="AH27" s="70">
        <v>163347</v>
      </c>
      <c r="AI27" s="70">
        <v>152492</v>
      </c>
      <c r="AJ27" s="70">
        <v>127410</v>
      </c>
      <c r="AK27" s="283">
        <v>127410</v>
      </c>
      <c r="AL27" s="70">
        <v>110517</v>
      </c>
      <c r="AM27" s="70">
        <v>101765</v>
      </c>
      <c r="AN27" s="70">
        <v>92709</v>
      </c>
      <c r="AO27" s="70">
        <v>80467</v>
      </c>
      <c r="AP27" s="283">
        <v>80467</v>
      </c>
      <c r="AQ27" s="70">
        <v>73307</v>
      </c>
      <c r="AR27" s="70">
        <v>67684</v>
      </c>
      <c r="AS27" s="70">
        <v>63942</v>
      </c>
      <c r="AT27" s="70">
        <v>57524</v>
      </c>
      <c r="AU27" s="283">
        <f>AT27</f>
        <v>57524</v>
      </c>
      <c r="AV27" s="70">
        <v>53322</v>
      </c>
      <c r="AW27" s="70">
        <v>46742</v>
      </c>
      <c r="AX27" s="70">
        <v>43890</v>
      </c>
      <c r="AY27" s="70"/>
      <c r="AZ27" s="283">
        <f t="shared" si="30"/>
        <v>43890</v>
      </c>
    </row>
    <row r="28" spans="1:53" s="282" customFormat="1" ht="20.100000000000001" customHeight="1" thickBot="1">
      <c r="A28" s="280" t="s">
        <v>754</v>
      </c>
      <c r="B28" s="281" t="s">
        <v>755</v>
      </c>
      <c r="C28" s="278" t="s">
        <v>731</v>
      </c>
      <c r="D28" s="279" t="s">
        <v>731</v>
      </c>
      <c r="E28" s="279" t="s">
        <v>731</v>
      </c>
      <c r="F28" s="279" t="s">
        <v>731</v>
      </c>
      <c r="G28" s="277" t="s">
        <v>731</v>
      </c>
      <c r="H28" s="278">
        <v>18</v>
      </c>
      <c r="I28" s="279">
        <v>19.2</v>
      </c>
      <c r="J28" s="279">
        <v>18.2</v>
      </c>
      <c r="K28" s="279">
        <v>17.5</v>
      </c>
      <c r="L28" s="277">
        <v>18.2</v>
      </c>
      <c r="M28" s="278">
        <v>16.5</v>
      </c>
      <c r="N28" s="279">
        <v>17.899999999999999</v>
      </c>
      <c r="O28" s="279">
        <v>18.3</v>
      </c>
      <c r="P28" s="279">
        <v>18.2</v>
      </c>
      <c r="Q28" s="277">
        <v>17.7</v>
      </c>
      <c r="R28" s="278">
        <v>17.3</v>
      </c>
      <c r="S28" s="279">
        <v>18.3</v>
      </c>
      <c r="T28" s="279">
        <v>19</v>
      </c>
      <c r="U28" s="279">
        <v>18.5</v>
      </c>
      <c r="V28" s="277">
        <v>18.3</v>
      </c>
      <c r="W28" s="278">
        <v>17.7</v>
      </c>
      <c r="X28" s="279">
        <v>18.899999999999999</v>
      </c>
      <c r="Y28" s="279">
        <v>18.7</v>
      </c>
      <c r="Z28" s="279">
        <v>19.2</v>
      </c>
      <c r="AA28" s="277">
        <v>18.600000000000001</v>
      </c>
      <c r="AB28" s="278">
        <v>18.7</v>
      </c>
      <c r="AC28" s="279">
        <v>20.5</v>
      </c>
      <c r="AD28" s="279">
        <v>20.2</v>
      </c>
      <c r="AE28" s="279">
        <v>20.100000000000001</v>
      </c>
      <c r="AF28" s="277">
        <v>19.899999999999999</v>
      </c>
      <c r="AG28" s="279">
        <v>20.100000000000001</v>
      </c>
      <c r="AH28" s="279">
        <v>20.399999999999999</v>
      </c>
      <c r="AI28" s="279">
        <v>20.8</v>
      </c>
      <c r="AJ28" s="279">
        <v>20.3</v>
      </c>
      <c r="AK28" s="277">
        <v>20.399999999999999</v>
      </c>
      <c r="AL28" s="279">
        <v>20.100000000000001</v>
      </c>
      <c r="AM28" s="279">
        <v>20.8</v>
      </c>
      <c r="AN28" s="279">
        <v>20.8</v>
      </c>
      <c r="AO28" s="279">
        <v>20.3</v>
      </c>
      <c r="AP28" s="277">
        <v>20.5</v>
      </c>
      <c r="AQ28" s="279">
        <v>20.7</v>
      </c>
      <c r="AR28" s="279">
        <v>21.4</v>
      </c>
      <c r="AS28" s="279">
        <v>21.5</v>
      </c>
      <c r="AT28" s="279">
        <v>21.8</v>
      </c>
      <c r="AU28" s="277">
        <v>21.4</v>
      </c>
      <c r="AV28" s="279">
        <v>21.5</v>
      </c>
      <c r="AW28" s="279">
        <v>21.967114718613772</v>
      </c>
      <c r="AX28" s="279">
        <v>21.4</v>
      </c>
      <c r="AY28" s="279"/>
      <c r="AZ28" s="277">
        <v>21.61653706970829</v>
      </c>
    </row>
    <row r="29" spans="1:53" s="241" customFormat="1" ht="20.100000000000001" customHeight="1" thickBot="1">
      <c r="A29" s="310" t="s">
        <v>749</v>
      </c>
      <c r="B29" s="311" t="s">
        <v>756</v>
      </c>
      <c r="C29" s="275" t="s">
        <v>731</v>
      </c>
      <c r="D29" s="276" t="s">
        <v>731</v>
      </c>
      <c r="E29" s="276" t="s">
        <v>731</v>
      </c>
      <c r="F29" s="276" t="s">
        <v>731</v>
      </c>
      <c r="G29" s="284" t="s">
        <v>731</v>
      </c>
      <c r="H29" s="275">
        <f>SUM(H30:H32)</f>
        <v>4549031</v>
      </c>
      <c r="I29" s="276">
        <f t="shared" ref="I29:N29" si="34">SUM(I30:I32)</f>
        <v>4532090</v>
      </c>
      <c r="J29" s="276">
        <f t="shared" si="34"/>
        <v>4635182</v>
      </c>
      <c r="K29" s="276">
        <f t="shared" si="34"/>
        <v>4599374</v>
      </c>
      <c r="L29" s="284">
        <f t="shared" si="34"/>
        <v>4578919.25</v>
      </c>
      <c r="M29" s="275">
        <f t="shared" si="34"/>
        <v>4398038</v>
      </c>
      <c r="N29" s="276">
        <f t="shared" si="34"/>
        <v>4285747</v>
      </c>
      <c r="O29" s="276">
        <f>SUM(O30:O32)</f>
        <v>4212274</v>
      </c>
      <c r="P29" s="276">
        <f>SUM(P30:P32)</f>
        <v>4172129</v>
      </c>
      <c r="Q29" s="284">
        <f>SUM(Q30:Q32)</f>
        <v>4267047</v>
      </c>
      <c r="R29" s="275">
        <f t="shared" ref="R29:AU29" si="35">SUM(R30:R32)</f>
        <v>4068646</v>
      </c>
      <c r="S29" s="276">
        <f t="shared" si="35"/>
        <v>4006108</v>
      </c>
      <c r="T29" s="276">
        <f t="shared" si="35"/>
        <v>3970091</v>
      </c>
      <c r="U29" s="276">
        <f t="shared" si="35"/>
        <v>3917979</v>
      </c>
      <c r="V29" s="284">
        <f t="shared" si="35"/>
        <v>3990706</v>
      </c>
      <c r="W29" s="275">
        <f t="shared" si="35"/>
        <v>3801870</v>
      </c>
      <c r="X29" s="276">
        <f t="shared" si="35"/>
        <v>3794613</v>
      </c>
      <c r="Y29" s="276">
        <f t="shared" si="35"/>
        <v>3713417</v>
      </c>
      <c r="Z29" s="276">
        <f t="shared" si="35"/>
        <v>3341220</v>
      </c>
      <c r="AA29" s="284">
        <f t="shared" si="35"/>
        <v>3662780</v>
      </c>
      <c r="AB29" s="275">
        <f t="shared" si="35"/>
        <v>3050604</v>
      </c>
      <c r="AC29" s="276">
        <f t="shared" si="35"/>
        <v>2882155</v>
      </c>
      <c r="AD29" s="276">
        <f t="shared" si="35"/>
        <v>2863783</v>
      </c>
      <c r="AE29" s="276">
        <f t="shared" si="35"/>
        <v>2851766</v>
      </c>
      <c r="AF29" s="284">
        <f t="shared" si="35"/>
        <v>2912076</v>
      </c>
      <c r="AG29" s="276">
        <f t="shared" si="35"/>
        <v>2789695</v>
      </c>
      <c r="AH29" s="276">
        <f t="shared" si="35"/>
        <v>2771707.333333333</v>
      </c>
      <c r="AI29" s="276">
        <f t="shared" si="35"/>
        <v>2774199</v>
      </c>
      <c r="AJ29" s="276">
        <f t="shared" si="35"/>
        <v>2745638</v>
      </c>
      <c r="AK29" s="284">
        <f t="shared" si="35"/>
        <v>2770309</v>
      </c>
      <c r="AL29" s="276">
        <f t="shared" si="35"/>
        <v>2613613</v>
      </c>
      <c r="AM29" s="276">
        <f t="shared" si="35"/>
        <v>2616887</v>
      </c>
      <c r="AN29" s="276">
        <f t="shared" si="35"/>
        <v>2633673</v>
      </c>
      <c r="AO29" s="276">
        <f t="shared" si="35"/>
        <v>2656703</v>
      </c>
      <c r="AP29" s="284">
        <f t="shared" si="35"/>
        <v>2630219</v>
      </c>
      <c r="AQ29" s="276">
        <f t="shared" si="35"/>
        <v>2604742</v>
      </c>
      <c r="AR29" s="276">
        <f t="shared" si="35"/>
        <v>2591758</v>
      </c>
      <c r="AS29" s="276">
        <f t="shared" si="35"/>
        <v>2612383</v>
      </c>
      <c r="AT29" s="276">
        <f t="shared" si="35"/>
        <v>2687327</v>
      </c>
      <c r="AU29" s="284">
        <f t="shared" si="35"/>
        <v>2624052.4583333335</v>
      </c>
      <c r="AV29" s="276">
        <f t="shared" ref="AV29:AZ29" si="36">SUM(AV30:AV32)</f>
        <v>2638165</v>
      </c>
      <c r="AW29" s="276">
        <f t="shared" si="36"/>
        <v>2651956.8333333335</v>
      </c>
      <c r="AX29" s="276">
        <f t="shared" si="36"/>
        <v>2596767</v>
      </c>
      <c r="AY29" s="276">
        <f t="shared" si="36"/>
        <v>0</v>
      </c>
      <c r="AZ29" s="284">
        <f t="shared" si="36"/>
        <v>2628962.7222222225</v>
      </c>
    </row>
    <row r="30" spans="1:53" s="241" customFormat="1" ht="20.100000000000001" customHeight="1">
      <c r="A30" s="307" t="s">
        <v>644</v>
      </c>
      <c r="B30" s="307" t="s">
        <v>645</v>
      </c>
      <c r="C30" s="240" t="s">
        <v>731</v>
      </c>
      <c r="D30" s="70" t="s">
        <v>731</v>
      </c>
      <c r="E30" s="70" t="s">
        <v>731</v>
      </c>
      <c r="F30" s="70" t="s">
        <v>731</v>
      </c>
      <c r="G30" s="283" t="s">
        <v>731</v>
      </c>
      <c r="H30" s="240">
        <v>78707</v>
      </c>
      <c r="I30" s="70">
        <v>73828</v>
      </c>
      <c r="J30" s="70">
        <v>68740</v>
      </c>
      <c r="K30" s="70">
        <v>77953</v>
      </c>
      <c r="L30" s="283">
        <f>AVERAGE(H30:K30)</f>
        <v>74807</v>
      </c>
      <c r="M30" s="240">
        <v>77779</v>
      </c>
      <c r="N30" s="70">
        <v>79253</v>
      </c>
      <c r="O30" s="243">
        <v>69522</v>
      </c>
      <c r="P30" s="70">
        <v>129021</v>
      </c>
      <c r="Q30" s="283">
        <v>88894</v>
      </c>
      <c r="R30" s="240">
        <v>67972</v>
      </c>
      <c r="S30" s="70">
        <v>61165</v>
      </c>
      <c r="T30" s="70">
        <v>41313</v>
      </c>
      <c r="U30" s="70">
        <v>56743</v>
      </c>
      <c r="V30" s="283">
        <v>56798</v>
      </c>
      <c r="W30" s="240">
        <v>36255</v>
      </c>
      <c r="X30" s="70">
        <v>52114</v>
      </c>
      <c r="Y30" s="70">
        <v>42971</v>
      </c>
      <c r="Z30" s="70">
        <v>54083</v>
      </c>
      <c r="AA30" s="283">
        <v>46356</v>
      </c>
      <c r="AB30" s="240">
        <v>48659</v>
      </c>
      <c r="AC30" s="70">
        <v>69132</v>
      </c>
      <c r="AD30" s="70">
        <v>54950</v>
      </c>
      <c r="AE30" s="70">
        <v>65088</v>
      </c>
      <c r="AF30" s="283">
        <v>59457</v>
      </c>
      <c r="AG30" s="70">
        <v>58222</v>
      </c>
      <c r="AH30" s="70">
        <v>69503.166666666672</v>
      </c>
      <c r="AI30" s="70">
        <v>58358</v>
      </c>
      <c r="AJ30" s="70">
        <v>95346</v>
      </c>
      <c r="AK30" s="283">
        <v>70357</v>
      </c>
      <c r="AL30" s="70">
        <v>91940</v>
      </c>
      <c r="AM30" s="70">
        <v>113249</v>
      </c>
      <c r="AN30" s="70">
        <v>94727</v>
      </c>
      <c r="AO30" s="70">
        <v>145284</v>
      </c>
      <c r="AP30" s="283">
        <v>111300</v>
      </c>
      <c r="AQ30" s="70">
        <v>122482</v>
      </c>
      <c r="AR30" s="70">
        <v>160079</v>
      </c>
      <c r="AS30" s="70">
        <v>131105</v>
      </c>
      <c r="AT30" s="70">
        <v>176926</v>
      </c>
      <c r="AU30" s="283">
        <v>147648</v>
      </c>
      <c r="AV30" s="70">
        <v>140172</v>
      </c>
      <c r="AW30" s="70">
        <v>188256.66666666666</v>
      </c>
      <c r="AX30" s="70">
        <v>118857</v>
      </c>
      <c r="AY30" s="70"/>
      <c r="AZ30" s="283">
        <v>149094.94444444444</v>
      </c>
    </row>
    <row r="31" spans="1:53" s="241" customFormat="1" ht="20.100000000000001" customHeight="1">
      <c r="A31" s="307" t="s">
        <v>625</v>
      </c>
      <c r="B31" s="307" t="s">
        <v>646</v>
      </c>
      <c r="C31" s="240" t="s">
        <v>731</v>
      </c>
      <c r="D31" s="70" t="s">
        <v>731</v>
      </c>
      <c r="E31" s="70" t="s">
        <v>731</v>
      </c>
      <c r="F31" s="70" t="s">
        <v>731</v>
      </c>
      <c r="G31" s="283" t="s">
        <v>731</v>
      </c>
      <c r="H31" s="240">
        <v>4397976</v>
      </c>
      <c r="I31" s="70">
        <v>4370181</v>
      </c>
      <c r="J31" s="70">
        <v>4431149</v>
      </c>
      <c r="K31" s="70">
        <v>4338987</v>
      </c>
      <c r="L31" s="283">
        <f t="shared" ref="L31:L32" si="37">AVERAGE(H31:K31)</f>
        <v>4384573.25</v>
      </c>
      <c r="M31" s="240">
        <v>4091609</v>
      </c>
      <c r="N31" s="70">
        <v>3975410</v>
      </c>
      <c r="O31" s="243">
        <v>3893375</v>
      </c>
      <c r="P31" s="70">
        <v>3798701</v>
      </c>
      <c r="Q31" s="283">
        <v>3939774</v>
      </c>
      <c r="R31" s="240">
        <v>3797423</v>
      </c>
      <c r="S31" s="70">
        <v>3755130</v>
      </c>
      <c r="T31" s="70">
        <v>3713656</v>
      </c>
      <c r="U31" s="70">
        <v>3630863</v>
      </c>
      <c r="V31" s="283">
        <v>3724268</v>
      </c>
      <c r="W31" s="240">
        <v>3529840</v>
      </c>
      <c r="X31" s="70">
        <v>3473104</v>
      </c>
      <c r="Y31" s="70">
        <v>3386794</v>
      </c>
      <c r="Z31" s="70">
        <v>3058691</v>
      </c>
      <c r="AA31" s="283">
        <v>3362107</v>
      </c>
      <c r="AB31" s="240">
        <v>2800366</v>
      </c>
      <c r="AC31" s="70">
        <v>2631773</v>
      </c>
      <c r="AD31" s="70">
        <v>2620575</v>
      </c>
      <c r="AE31" s="70">
        <v>2601552</v>
      </c>
      <c r="AF31" s="283">
        <v>2663566</v>
      </c>
      <c r="AG31" s="70">
        <v>2558174</v>
      </c>
      <c r="AH31" s="70">
        <v>2536844.1666666665</v>
      </c>
      <c r="AI31" s="70">
        <v>2555414</v>
      </c>
      <c r="AJ31" s="70">
        <v>2511226</v>
      </c>
      <c r="AK31" s="283">
        <v>2540414</v>
      </c>
      <c r="AL31" s="70">
        <v>2403135</v>
      </c>
      <c r="AM31" s="70">
        <v>2398016</v>
      </c>
      <c r="AN31" s="70">
        <v>2441160</v>
      </c>
      <c r="AO31" s="70">
        <v>2425301</v>
      </c>
      <c r="AP31" s="283">
        <v>2416903</v>
      </c>
      <c r="AQ31" s="70">
        <v>2405796</v>
      </c>
      <c r="AR31" s="70">
        <v>2361397</v>
      </c>
      <c r="AS31" s="70">
        <v>2414825</v>
      </c>
      <c r="AT31" s="70">
        <v>2449774</v>
      </c>
      <c r="AU31" s="283">
        <v>2407948</v>
      </c>
      <c r="AV31" s="70">
        <v>2442879</v>
      </c>
      <c r="AW31" s="70">
        <v>2415289.8333333335</v>
      </c>
      <c r="AX31" s="70">
        <v>2432438</v>
      </c>
      <c r="AY31" s="70"/>
      <c r="AZ31" s="283">
        <v>2430202.3333333335</v>
      </c>
    </row>
    <row r="32" spans="1:53" s="241" customFormat="1" ht="20.100000000000001" customHeight="1" thickBot="1">
      <c r="A32" s="308" t="s">
        <v>627</v>
      </c>
      <c r="B32" s="308" t="s">
        <v>627</v>
      </c>
      <c r="C32" s="256" t="s">
        <v>731</v>
      </c>
      <c r="D32" s="641" t="s">
        <v>731</v>
      </c>
      <c r="E32" s="641" t="s">
        <v>731</v>
      </c>
      <c r="F32" s="641" t="s">
        <v>731</v>
      </c>
      <c r="G32" s="309" t="s">
        <v>731</v>
      </c>
      <c r="H32" s="256">
        <v>72348</v>
      </c>
      <c r="I32" s="641">
        <v>88081</v>
      </c>
      <c r="J32" s="641">
        <v>135293</v>
      </c>
      <c r="K32" s="641">
        <v>182434</v>
      </c>
      <c r="L32" s="309">
        <f t="shared" si="37"/>
        <v>119539</v>
      </c>
      <c r="M32" s="256">
        <v>228650</v>
      </c>
      <c r="N32" s="641">
        <v>231084</v>
      </c>
      <c r="O32" s="642">
        <v>249377</v>
      </c>
      <c r="P32" s="641">
        <v>244407</v>
      </c>
      <c r="Q32" s="309">
        <v>238379</v>
      </c>
      <c r="R32" s="256">
        <v>203251</v>
      </c>
      <c r="S32" s="641">
        <v>189813</v>
      </c>
      <c r="T32" s="641">
        <v>215122</v>
      </c>
      <c r="U32" s="641">
        <v>230373</v>
      </c>
      <c r="V32" s="309">
        <v>209640</v>
      </c>
      <c r="W32" s="256">
        <v>235775</v>
      </c>
      <c r="X32" s="641">
        <v>269395</v>
      </c>
      <c r="Y32" s="641">
        <v>283652</v>
      </c>
      <c r="Z32" s="641">
        <v>228446</v>
      </c>
      <c r="AA32" s="309">
        <v>254317</v>
      </c>
      <c r="AB32" s="256">
        <v>201579</v>
      </c>
      <c r="AC32" s="641">
        <v>181250</v>
      </c>
      <c r="AD32" s="641">
        <v>188258</v>
      </c>
      <c r="AE32" s="641">
        <v>185126</v>
      </c>
      <c r="AF32" s="309">
        <v>189053</v>
      </c>
      <c r="AG32" s="641">
        <v>173299</v>
      </c>
      <c r="AH32" s="641">
        <v>165360</v>
      </c>
      <c r="AI32" s="641">
        <v>160427</v>
      </c>
      <c r="AJ32" s="641">
        <v>139066</v>
      </c>
      <c r="AK32" s="309">
        <v>159538</v>
      </c>
      <c r="AL32" s="641">
        <v>118538</v>
      </c>
      <c r="AM32" s="641">
        <v>105622</v>
      </c>
      <c r="AN32" s="641">
        <v>97786</v>
      </c>
      <c r="AO32" s="641">
        <v>86118</v>
      </c>
      <c r="AP32" s="309">
        <v>102016</v>
      </c>
      <c r="AQ32" s="641">
        <v>76464</v>
      </c>
      <c r="AR32" s="641">
        <v>70282</v>
      </c>
      <c r="AS32" s="641">
        <v>66453</v>
      </c>
      <c r="AT32" s="641">
        <v>60627</v>
      </c>
      <c r="AU32" s="309">
        <v>68456.458333333299</v>
      </c>
      <c r="AV32" s="641">
        <v>55114</v>
      </c>
      <c r="AW32" s="641">
        <v>48410.333333333336</v>
      </c>
      <c r="AX32" s="641">
        <v>45472</v>
      </c>
      <c r="AY32" s="641"/>
      <c r="AZ32" s="309">
        <v>49665.444444444445</v>
      </c>
    </row>
    <row r="33" spans="1:37" ht="20.100000000000001" customHeight="1"/>
    <row r="34" spans="1:37" ht="36">
      <c r="A34" s="257" t="s">
        <v>757</v>
      </c>
      <c r="B34" s="257" t="s">
        <v>758</v>
      </c>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258"/>
    </row>
    <row r="35" spans="1:37" ht="48">
      <c r="A35" s="257" t="s">
        <v>759</v>
      </c>
      <c r="B35" s="257" t="s">
        <v>760</v>
      </c>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258"/>
    </row>
    <row r="36" spans="1:37" ht="48">
      <c r="A36" s="259" t="s">
        <v>761</v>
      </c>
      <c r="B36" s="257" t="s">
        <v>762</v>
      </c>
      <c r="C36" s="260"/>
      <c r="D36" s="260"/>
      <c r="E36" s="260"/>
      <c r="F36" s="260"/>
      <c r="G36" s="260"/>
      <c r="H36" s="260"/>
      <c r="I36" s="260"/>
      <c r="J36" s="260"/>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row>
    <row r="37" spans="1:37" ht="132" customHeight="1">
      <c r="A37" s="259" t="s">
        <v>763</v>
      </c>
      <c r="B37" s="257" t="s">
        <v>764</v>
      </c>
      <c r="C37" s="260"/>
      <c r="D37" s="260"/>
      <c r="E37" s="260"/>
      <c r="F37" s="260"/>
      <c r="G37" s="260"/>
      <c r="H37" s="260"/>
      <c r="I37" s="260"/>
      <c r="J37" s="260"/>
      <c r="K37" s="260"/>
      <c r="L37" s="260"/>
      <c r="M37" s="260"/>
      <c r="N37" s="260"/>
      <c r="O37" s="259"/>
      <c r="P37" s="259"/>
      <c r="Q37" s="259"/>
      <c r="R37" s="259"/>
      <c r="S37" s="259"/>
      <c r="T37" s="259"/>
    </row>
    <row r="38" spans="1:37" ht="36">
      <c r="A38" s="259" t="s">
        <v>765</v>
      </c>
      <c r="B38" s="257" t="s">
        <v>766</v>
      </c>
      <c r="C38" s="260"/>
      <c r="D38" s="260"/>
      <c r="E38" s="260"/>
      <c r="F38" s="260"/>
      <c r="G38" s="260"/>
      <c r="H38" s="260"/>
      <c r="I38" s="260"/>
      <c r="J38" s="260"/>
      <c r="K38" s="260"/>
      <c r="L38" s="260"/>
      <c r="M38" s="260"/>
      <c r="N38" s="260"/>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258"/>
    </row>
    <row r="39" spans="1:37" ht="72">
      <c r="A39" s="257" t="s">
        <v>767</v>
      </c>
      <c r="B39" s="257" t="s">
        <v>768</v>
      </c>
    </row>
    <row r="40" spans="1:37" ht="20.100000000000001" customHeight="1"/>
    <row r="41" spans="1:37" ht="20.100000000000001" customHeight="1"/>
    <row r="42" spans="1:37" ht="20.100000000000001" customHeight="1"/>
    <row r="43" spans="1:37" ht="20.100000000000001" customHeight="1"/>
    <row r="44" spans="1:37" ht="20.100000000000001" customHeight="1"/>
    <row r="45" spans="1:37" ht="20.100000000000001" customHeight="1"/>
    <row r="46" spans="1:37" ht="20.100000000000001" customHeight="1"/>
    <row r="47" spans="1:37" ht="20.100000000000001" customHeight="1"/>
    <row r="48" spans="1:37"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sheetData>
  <customSheetViews>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1"/>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3"/>
    </customSheetView>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4"/>
    </customSheetView>
  </customSheetViews>
  <mergeCells count="21">
    <mergeCell ref="AB3:AE3"/>
    <mergeCell ref="A2:O2"/>
    <mergeCell ref="C3:F3"/>
    <mergeCell ref="G3:G4"/>
    <mergeCell ref="H3:K3"/>
    <mergeCell ref="L3:L4"/>
    <mergeCell ref="M3:P3"/>
    <mergeCell ref="Q3:Q4"/>
    <mergeCell ref="R3:U3"/>
    <mergeCell ref="V3:V4"/>
    <mergeCell ref="W3:Z3"/>
    <mergeCell ref="AA3:AA4"/>
    <mergeCell ref="AV3:AY3"/>
    <mergeCell ref="AZ3:AZ4"/>
    <mergeCell ref="AU3:AU4"/>
    <mergeCell ref="AF3:AF4"/>
    <mergeCell ref="AG3:AJ3"/>
    <mergeCell ref="AK3:AK4"/>
    <mergeCell ref="AL3:AO3"/>
    <mergeCell ref="AP3:AP4"/>
    <mergeCell ref="AQ3:AT3"/>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O90"/>
  <sheetViews>
    <sheetView showGridLines="0" zoomScale="72" zoomScaleNormal="70" zoomScaleSheetLayoutView="85" workbookViewId="0">
      <pane xSplit="1" ySplit="4" topLeftCell="B5" activePane="bottomRight" state="frozen"/>
      <selection pane="topRight" activeCell="B1" sqref="B1"/>
      <selection pane="bottomLeft" activeCell="A5" sqref="A5"/>
      <selection pane="bottomRight" activeCell="A12" sqref="A12"/>
    </sheetView>
  </sheetViews>
  <sheetFormatPr defaultColWidth="9" defaultRowHeight="13.8" outlineLevelCol="1"/>
  <cols>
    <col min="1" max="1" width="53" style="4" customWidth="1"/>
    <col min="2" max="2" width="53" style="39" customWidth="1"/>
    <col min="3" max="3" width="11.5" style="5" hidden="1" customWidth="1" outlineLevel="1"/>
    <col min="4" max="4" width="12.296875" style="5" hidden="1" customWidth="1" outlineLevel="1"/>
    <col min="5" max="5" width="13.59765625" style="5" hidden="1" customWidth="1" outlineLevel="1"/>
    <col min="6" max="6" width="12.09765625" style="5" hidden="1" customWidth="1" outlineLevel="1"/>
    <col min="7" max="9" width="13.59765625" style="5" hidden="1" customWidth="1" outlineLevel="1"/>
    <col min="10" max="10" width="12.09765625" style="5" hidden="1" customWidth="1" outlineLevel="1"/>
    <col min="11" max="13" width="13.59765625" style="5" hidden="1" customWidth="1" outlineLevel="1"/>
    <col min="14" max="14" width="12.09765625" style="5" hidden="1" customWidth="1" outlineLevel="1"/>
    <col min="15" max="46" width="13.59765625" style="5" hidden="1" customWidth="1" outlineLevel="1"/>
    <col min="47" max="47" width="13.59765625" style="5" customWidth="1" collapsed="1"/>
    <col min="48" max="58" width="13.59765625" style="5" customWidth="1"/>
    <col min="59" max="16384" width="9" style="5"/>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406" customFormat="1" ht="42.75" customHeight="1">
      <c r="A2" s="403" t="s">
        <v>106</v>
      </c>
      <c r="B2" s="404" t="s">
        <v>107</v>
      </c>
      <c r="C2" s="972">
        <v>2012</v>
      </c>
      <c r="D2" s="972"/>
      <c r="E2" s="972"/>
      <c r="F2" s="973"/>
      <c r="G2" s="972">
        <v>2013</v>
      </c>
      <c r="H2" s="972"/>
      <c r="I2" s="972"/>
      <c r="J2" s="972"/>
      <c r="K2" s="974">
        <v>2014</v>
      </c>
      <c r="L2" s="972"/>
      <c r="M2" s="972"/>
      <c r="N2" s="973"/>
      <c r="O2" s="972">
        <v>2015</v>
      </c>
      <c r="P2" s="972"/>
      <c r="Q2" s="972"/>
      <c r="R2" s="973"/>
      <c r="S2" s="974">
        <v>2016</v>
      </c>
      <c r="T2" s="972"/>
      <c r="U2" s="972"/>
      <c r="V2" s="973"/>
      <c r="W2" s="974" t="s">
        <v>108</v>
      </c>
      <c r="X2" s="972"/>
      <c r="Y2" s="972"/>
      <c r="Z2" s="973"/>
      <c r="AA2" s="974" t="s">
        <v>109</v>
      </c>
      <c r="AB2" s="972"/>
      <c r="AC2" s="972"/>
      <c r="AD2" s="973"/>
      <c r="AE2" s="974" t="s">
        <v>110</v>
      </c>
      <c r="AF2" s="975"/>
      <c r="AG2" s="975"/>
      <c r="AH2" s="976"/>
      <c r="AI2" s="974">
        <v>2020</v>
      </c>
      <c r="AJ2" s="975"/>
      <c r="AK2" s="975"/>
      <c r="AL2" s="976"/>
      <c r="AM2" s="974">
        <v>2021</v>
      </c>
      <c r="AN2" s="975"/>
      <c r="AO2" s="975"/>
      <c r="AP2" s="976"/>
      <c r="AQ2" s="974">
        <v>2022</v>
      </c>
      <c r="AR2" s="975"/>
      <c r="AS2" s="975"/>
      <c r="AT2" s="976"/>
      <c r="AU2" s="974">
        <v>2023</v>
      </c>
      <c r="AV2" s="975"/>
      <c r="AW2" s="975"/>
      <c r="AX2" s="976"/>
      <c r="AY2" s="974">
        <v>2024</v>
      </c>
      <c r="AZ2" s="975"/>
      <c r="BA2" s="975"/>
      <c r="BB2" s="976"/>
      <c r="BC2" s="974">
        <v>2025</v>
      </c>
      <c r="BD2" s="975"/>
      <c r="BE2" s="975"/>
      <c r="BF2" s="976"/>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405"/>
      <c r="DK2" s="405"/>
      <c r="DL2" s="405"/>
      <c r="DM2" s="405"/>
      <c r="DN2" s="405"/>
      <c r="DO2" s="405"/>
      <c r="DP2" s="405"/>
      <c r="DQ2" s="405"/>
      <c r="DR2" s="405"/>
      <c r="DS2" s="405"/>
      <c r="DT2" s="405"/>
      <c r="DU2" s="405"/>
      <c r="DV2" s="405"/>
      <c r="DW2" s="405"/>
      <c r="DX2" s="405"/>
      <c r="DY2" s="405"/>
      <c r="DZ2" s="405"/>
      <c r="EA2" s="405"/>
      <c r="EB2" s="405"/>
      <c r="EC2" s="405"/>
      <c r="ED2" s="405"/>
      <c r="EE2" s="405"/>
      <c r="EF2" s="405"/>
      <c r="EG2" s="405"/>
      <c r="EH2" s="405"/>
      <c r="EI2" s="405"/>
      <c r="EJ2" s="405"/>
      <c r="EK2" s="405"/>
      <c r="EL2" s="405"/>
      <c r="EM2" s="405"/>
      <c r="EN2" s="405"/>
      <c r="EO2" s="405"/>
      <c r="EP2" s="405"/>
      <c r="EQ2" s="405"/>
      <c r="ER2" s="405"/>
      <c r="ES2" s="405"/>
      <c r="ET2" s="405"/>
      <c r="EU2" s="405"/>
      <c r="EV2" s="405"/>
      <c r="EW2" s="405"/>
      <c r="EX2" s="405"/>
      <c r="EY2" s="405"/>
      <c r="EZ2" s="405"/>
      <c r="FA2" s="405"/>
      <c r="FB2" s="405"/>
      <c r="FC2" s="405"/>
      <c r="FD2" s="405"/>
      <c r="FE2" s="405"/>
      <c r="FF2" s="405"/>
      <c r="FG2" s="405"/>
      <c r="FH2" s="405"/>
      <c r="FI2" s="405"/>
      <c r="FJ2" s="405"/>
      <c r="FK2" s="405"/>
      <c r="FL2" s="405"/>
      <c r="FM2" s="405"/>
      <c r="FN2" s="405"/>
      <c r="FO2" s="405"/>
      <c r="FP2" s="405"/>
      <c r="FQ2" s="405"/>
      <c r="FR2" s="405"/>
      <c r="FS2" s="405"/>
      <c r="FT2" s="405"/>
      <c r="FU2" s="405"/>
      <c r="FV2" s="405"/>
      <c r="FW2" s="405"/>
      <c r="FX2" s="405"/>
      <c r="FY2" s="405"/>
      <c r="FZ2" s="405"/>
      <c r="GA2" s="405"/>
      <c r="GB2" s="405"/>
      <c r="GC2" s="405"/>
      <c r="GD2" s="405"/>
      <c r="GE2" s="405"/>
      <c r="GF2" s="405"/>
      <c r="GG2" s="405"/>
      <c r="GH2" s="405"/>
      <c r="GI2" s="405"/>
      <c r="GJ2" s="405"/>
      <c r="GK2" s="405"/>
      <c r="GL2" s="405"/>
      <c r="GM2" s="405"/>
      <c r="GN2" s="405"/>
      <c r="GO2" s="405"/>
      <c r="GP2" s="405"/>
      <c r="GQ2" s="405"/>
      <c r="GR2" s="405"/>
      <c r="GS2" s="405"/>
      <c r="GT2" s="405"/>
      <c r="GU2" s="405"/>
      <c r="GV2" s="405"/>
      <c r="GW2" s="405"/>
      <c r="GX2" s="405"/>
      <c r="GY2" s="405"/>
      <c r="GZ2" s="405"/>
      <c r="HA2" s="405"/>
      <c r="HB2" s="405"/>
      <c r="HC2" s="405"/>
      <c r="HD2" s="405"/>
      <c r="HE2" s="405"/>
      <c r="HF2" s="405"/>
      <c r="HG2" s="405"/>
      <c r="HH2" s="405"/>
      <c r="HI2" s="405"/>
      <c r="HJ2" s="405"/>
      <c r="HK2" s="405"/>
      <c r="HL2" s="405"/>
      <c r="HM2" s="405"/>
      <c r="HN2" s="405"/>
      <c r="HO2" s="405"/>
      <c r="HP2" s="405"/>
      <c r="HQ2" s="405"/>
      <c r="HR2" s="405"/>
      <c r="HS2" s="405"/>
      <c r="HT2" s="405"/>
      <c r="HU2" s="405"/>
      <c r="HV2" s="405"/>
      <c r="HW2" s="405"/>
      <c r="HX2" s="405"/>
      <c r="HY2" s="405"/>
      <c r="HZ2" s="405"/>
      <c r="IA2" s="405"/>
      <c r="IB2" s="405"/>
      <c r="IC2" s="405"/>
      <c r="ID2" s="405"/>
      <c r="IE2" s="405"/>
      <c r="IF2" s="405"/>
      <c r="IG2" s="405"/>
      <c r="IH2" s="405"/>
      <c r="II2" s="405"/>
      <c r="IJ2" s="405"/>
      <c r="IK2" s="405"/>
      <c r="IL2" s="405"/>
      <c r="IM2" s="405"/>
      <c r="IN2" s="405"/>
      <c r="IO2" s="405"/>
      <c r="IP2" s="405"/>
      <c r="IQ2" s="405"/>
      <c r="IR2" s="405"/>
      <c r="IS2" s="405"/>
      <c r="IT2" s="405"/>
      <c r="IU2" s="405"/>
      <c r="IV2" s="405"/>
      <c r="IW2" s="405"/>
      <c r="IX2" s="405"/>
      <c r="IY2" s="405"/>
      <c r="IZ2" s="405"/>
      <c r="JA2" s="405"/>
      <c r="JB2" s="405"/>
      <c r="JC2" s="405"/>
      <c r="JD2" s="405"/>
      <c r="JE2" s="405"/>
      <c r="JF2" s="405"/>
      <c r="JG2" s="405"/>
      <c r="JH2" s="405"/>
      <c r="JI2" s="405"/>
      <c r="JJ2" s="405"/>
      <c r="JK2" s="405"/>
      <c r="JL2" s="405"/>
      <c r="JM2" s="405"/>
      <c r="JN2" s="405"/>
      <c r="JO2" s="405"/>
      <c r="JP2" s="405"/>
      <c r="JQ2" s="405"/>
      <c r="JR2" s="405"/>
      <c r="JS2" s="405"/>
      <c r="JT2" s="405"/>
      <c r="JU2" s="405"/>
      <c r="JV2" s="405"/>
      <c r="JW2" s="405"/>
      <c r="JX2" s="405"/>
      <c r="JY2" s="405"/>
      <c r="JZ2" s="405"/>
      <c r="KA2" s="405"/>
      <c r="KB2" s="405"/>
      <c r="KC2" s="405"/>
      <c r="KD2" s="405"/>
      <c r="KE2" s="405"/>
      <c r="KF2" s="405"/>
      <c r="KG2" s="405"/>
      <c r="KH2" s="405"/>
      <c r="KI2" s="405"/>
      <c r="KJ2" s="405"/>
      <c r="KK2" s="405"/>
      <c r="KL2" s="405"/>
      <c r="KM2" s="405"/>
      <c r="KN2" s="405"/>
      <c r="KO2" s="405"/>
      <c r="KP2" s="405"/>
      <c r="KQ2" s="405"/>
      <c r="KR2" s="405"/>
      <c r="KS2" s="405"/>
      <c r="KT2" s="405"/>
      <c r="KU2" s="405"/>
      <c r="KV2" s="405"/>
      <c r="KW2" s="405"/>
      <c r="KX2" s="405"/>
      <c r="KY2" s="405"/>
      <c r="KZ2" s="405"/>
      <c r="LA2" s="405"/>
      <c r="LB2" s="405"/>
      <c r="LC2" s="405"/>
      <c r="LD2" s="405"/>
      <c r="LE2" s="405"/>
      <c r="LF2" s="405"/>
      <c r="LG2" s="405"/>
      <c r="LH2" s="405"/>
      <c r="LI2" s="405"/>
      <c r="LJ2" s="405"/>
      <c r="LK2" s="405"/>
      <c r="LL2" s="405"/>
      <c r="LM2" s="405"/>
      <c r="LN2" s="405"/>
      <c r="LO2" s="405"/>
      <c r="LP2" s="405"/>
      <c r="LQ2" s="405"/>
      <c r="LR2" s="405"/>
      <c r="LS2" s="405"/>
      <c r="LT2" s="405"/>
      <c r="LU2" s="405"/>
      <c r="LV2" s="405"/>
      <c r="LW2" s="405"/>
      <c r="LX2" s="405"/>
      <c r="LY2" s="405"/>
      <c r="LZ2" s="405"/>
      <c r="MA2" s="405"/>
      <c r="MB2" s="405"/>
      <c r="MC2" s="405"/>
      <c r="MD2" s="405"/>
      <c r="ME2" s="405"/>
      <c r="MF2" s="405"/>
      <c r="MG2" s="405"/>
      <c r="MH2" s="405"/>
      <c r="MI2" s="405"/>
      <c r="MJ2" s="405"/>
      <c r="MK2" s="405"/>
      <c r="ML2" s="405"/>
      <c r="MM2" s="405"/>
      <c r="MN2" s="405"/>
      <c r="MO2" s="405"/>
      <c r="MP2" s="405"/>
      <c r="MQ2" s="405"/>
      <c r="MR2" s="405"/>
      <c r="MS2" s="405"/>
      <c r="MT2" s="405"/>
      <c r="MU2" s="405"/>
      <c r="MV2" s="405"/>
      <c r="MW2" s="405"/>
      <c r="MX2" s="405"/>
      <c r="MY2" s="405"/>
      <c r="MZ2" s="405"/>
      <c r="NA2" s="405"/>
      <c r="NB2" s="405"/>
      <c r="NC2" s="405"/>
      <c r="ND2" s="405"/>
      <c r="NE2" s="405"/>
      <c r="NF2" s="405"/>
      <c r="NG2" s="405"/>
      <c r="NH2" s="405"/>
      <c r="NI2" s="405"/>
      <c r="NJ2" s="405"/>
      <c r="NK2" s="405"/>
      <c r="NL2" s="405"/>
      <c r="NM2" s="405"/>
      <c r="NN2" s="405"/>
      <c r="NO2" s="405"/>
      <c r="NP2" s="405"/>
      <c r="NQ2" s="405"/>
      <c r="NR2" s="405"/>
      <c r="NS2" s="405"/>
      <c r="NT2" s="405"/>
      <c r="NU2" s="405"/>
      <c r="NV2" s="405"/>
      <c r="NW2" s="405"/>
      <c r="NX2" s="405"/>
      <c r="NY2" s="405"/>
      <c r="NZ2" s="405"/>
      <c r="OA2" s="405"/>
      <c r="OB2" s="405"/>
      <c r="OC2" s="405"/>
      <c r="OD2" s="405"/>
      <c r="OE2" s="405"/>
      <c r="OF2" s="405"/>
      <c r="OG2" s="405"/>
      <c r="OH2" s="405"/>
      <c r="OI2" s="405"/>
      <c r="OJ2" s="405"/>
      <c r="OK2" s="405"/>
      <c r="OL2" s="405"/>
      <c r="OM2" s="405"/>
      <c r="ON2" s="405"/>
      <c r="OO2" s="405"/>
      <c r="OP2" s="405"/>
      <c r="OQ2" s="405"/>
      <c r="OR2" s="405"/>
      <c r="OS2" s="405"/>
      <c r="OT2" s="405"/>
      <c r="OU2" s="405"/>
      <c r="OV2" s="405"/>
      <c r="OW2" s="405"/>
      <c r="OX2" s="405"/>
      <c r="OY2" s="405"/>
      <c r="OZ2" s="405"/>
      <c r="PA2" s="405"/>
      <c r="PB2" s="405"/>
      <c r="PC2" s="405"/>
      <c r="PD2" s="405"/>
      <c r="PE2" s="405"/>
      <c r="PF2" s="405"/>
      <c r="PG2" s="405"/>
      <c r="PH2" s="405"/>
      <c r="PI2" s="405"/>
      <c r="PJ2" s="405"/>
      <c r="PK2" s="405"/>
      <c r="PL2" s="405"/>
      <c r="PM2" s="405"/>
      <c r="PN2" s="405"/>
      <c r="PO2" s="405"/>
      <c r="PP2" s="405"/>
      <c r="PQ2" s="405"/>
      <c r="PR2" s="405"/>
      <c r="PS2" s="405"/>
      <c r="PT2" s="405"/>
      <c r="PU2" s="405"/>
      <c r="PV2" s="405"/>
      <c r="PW2" s="405"/>
      <c r="PX2" s="405"/>
      <c r="PY2" s="405"/>
      <c r="PZ2" s="405"/>
      <c r="QA2" s="405"/>
      <c r="QB2" s="405"/>
      <c r="QC2" s="405"/>
      <c r="QD2" s="405"/>
      <c r="QE2" s="405"/>
      <c r="QF2" s="405"/>
      <c r="QG2" s="405"/>
      <c r="QH2" s="405"/>
      <c r="QI2" s="405"/>
      <c r="QJ2" s="405"/>
      <c r="QK2" s="405"/>
      <c r="QL2" s="405"/>
      <c r="QM2" s="405"/>
      <c r="QN2" s="405"/>
      <c r="QO2" s="405"/>
      <c r="QP2" s="405"/>
      <c r="QQ2" s="405"/>
      <c r="QR2" s="405"/>
      <c r="QS2" s="405"/>
      <c r="QT2" s="405"/>
      <c r="QU2" s="405"/>
      <c r="QV2" s="405"/>
      <c r="QW2" s="405"/>
      <c r="QX2" s="405"/>
      <c r="QY2" s="405"/>
      <c r="QZ2" s="405"/>
      <c r="RA2" s="405"/>
      <c r="RB2" s="405"/>
      <c r="RC2" s="405"/>
      <c r="RD2" s="405"/>
      <c r="RE2" s="405"/>
      <c r="RF2" s="405"/>
      <c r="RG2" s="405"/>
      <c r="RH2" s="405"/>
      <c r="RI2" s="405"/>
      <c r="RJ2" s="405"/>
      <c r="RK2" s="405"/>
      <c r="RL2" s="405"/>
      <c r="RM2" s="405"/>
      <c r="RN2" s="405"/>
      <c r="RO2" s="405"/>
    </row>
    <row r="3" spans="1:483" s="413" customFormat="1" ht="15">
      <c r="A3" s="407" t="s">
        <v>20</v>
      </c>
      <c r="B3" s="407" t="s">
        <v>20</v>
      </c>
      <c r="C3" s="408" t="s">
        <v>111</v>
      </c>
      <c r="D3" s="409" t="s">
        <v>112</v>
      </c>
      <c r="E3" s="409" t="s">
        <v>113</v>
      </c>
      <c r="F3" s="410" t="s">
        <v>114</v>
      </c>
      <c r="G3" s="409" t="s">
        <v>111</v>
      </c>
      <c r="H3" s="409" t="s">
        <v>112</v>
      </c>
      <c r="I3" s="409" t="s">
        <v>113</v>
      </c>
      <c r="J3" s="410" t="s">
        <v>114</v>
      </c>
      <c r="K3" s="408" t="s">
        <v>111</v>
      </c>
      <c r="L3" s="409" t="s">
        <v>112</v>
      </c>
      <c r="M3" s="409" t="s">
        <v>113</v>
      </c>
      <c r="N3" s="411" t="s">
        <v>115</v>
      </c>
      <c r="O3" s="409" t="s">
        <v>111</v>
      </c>
      <c r="P3" s="409" t="s">
        <v>112</v>
      </c>
      <c r="Q3" s="409" t="s">
        <v>113</v>
      </c>
      <c r="R3" s="410" t="s">
        <v>114</v>
      </c>
      <c r="S3" s="409" t="s">
        <v>111</v>
      </c>
      <c r="T3" s="409" t="s">
        <v>112</v>
      </c>
      <c r="U3" s="409" t="s">
        <v>113</v>
      </c>
      <c r="V3" s="410" t="s">
        <v>114</v>
      </c>
      <c r="W3" s="409" t="s">
        <v>111</v>
      </c>
      <c r="X3" s="409" t="s">
        <v>112</v>
      </c>
      <c r="Y3" s="409" t="s">
        <v>113</v>
      </c>
      <c r="Z3" s="410" t="s">
        <v>114</v>
      </c>
      <c r="AA3" s="412" t="s">
        <v>111</v>
      </c>
      <c r="AB3" s="409" t="s">
        <v>112</v>
      </c>
      <c r="AC3" s="409" t="s">
        <v>113</v>
      </c>
      <c r="AD3" s="410" t="s">
        <v>114</v>
      </c>
      <c r="AE3" s="412" t="s">
        <v>111</v>
      </c>
      <c r="AF3" s="409" t="s">
        <v>112</v>
      </c>
      <c r="AG3" s="409" t="s">
        <v>113</v>
      </c>
      <c r="AH3" s="410" t="s">
        <v>114</v>
      </c>
      <c r="AI3" s="412" t="s">
        <v>111</v>
      </c>
      <c r="AJ3" s="409" t="s">
        <v>112</v>
      </c>
      <c r="AK3" s="409" t="s">
        <v>113</v>
      </c>
      <c r="AL3" s="410" t="s">
        <v>114</v>
      </c>
      <c r="AM3" s="412" t="s">
        <v>111</v>
      </c>
      <c r="AN3" s="409" t="s">
        <v>112</v>
      </c>
      <c r="AO3" s="409" t="s">
        <v>113</v>
      </c>
      <c r="AP3" s="410" t="s">
        <v>114</v>
      </c>
      <c r="AQ3" s="412" t="s">
        <v>111</v>
      </c>
      <c r="AR3" s="409" t="s">
        <v>112</v>
      </c>
      <c r="AS3" s="409" t="s">
        <v>113</v>
      </c>
      <c r="AT3" s="410" t="s">
        <v>114</v>
      </c>
      <c r="AU3" s="412" t="s">
        <v>111</v>
      </c>
      <c r="AV3" s="409" t="s">
        <v>112</v>
      </c>
      <c r="AW3" s="409" t="s">
        <v>113</v>
      </c>
      <c r="AX3" s="410" t="s">
        <v>114</v>
      </c>
      <c r="AY3" s="412" t="s">
        <v>111</v>
      </c>
      <c r="AZ3" s="409" t="s">
        <v>112</v>
      </c>
      <c r="BA3" s="409" t="s">
        <v>113</v>
      </c>
      <c r="BB3" s="410" t="s">
        <v>114</v>
      </c>
      <c r="BC3" s="412" t="s">
        <v>111</v>
      </c>
      <c r="BD3" s="409" t="s">
        <v>112</v>
      </c>
      <c r="BE3" s="409" t="s">
        <v>113</v>
      </c>
      <c r="BF3" s="410" t="s">
        <v>114</v>
      </c>
    </row>
    <row r="4" spans="1:483" s="418" customFormat="1" ht="16.5" customHeight="1">
      <c r="A4" s="414"/>
      <c r="B4" s="415"/>
      <c r="C4" s="416" t="s">
        <v>116</v>
      </c>
      <c r="D4" s="416" t="s">
        <v>117</v>
      </c>
      <c r="E4" s="387" t="s">
        <v>118</v>
      </c>
      <c r="F4" s="417" t="s">
        <v>119</v>
      </c>
      <c r="G4" s="416" t="s">
        <v>116</v>
      </c>
      <c r="H4" s="416" t="s">
        <v>117</v>
      </c>
      <c r="I4" s="387" t="s">
        <v>118</v>
      </c>
      <c r="J4" s="417" t="s">
        <v>119</v>
      </c>
      <c r="K4" s="416" t="s">
        <v>116</v>
      </c>
      <c r="L4" s="416" t="s">
        <v>117</v>
      </c>
      <c r="M4" s="387" t="s">
        <v>118</v>
      </c>
      <c r="N4" s="417" t="s">
        <v>120</v>
      </c>
      <c r="O4" s="416" t="s">
        <v>116</v>
      </c>
      <c r="P4" s="416" t="s">
        <v>117</v>
      </c>
      <c r="Q4" s="387" t="s">
        <v>118</v>
      </c>
      <c r="R4" s="417" t="s">
        <v>119</v>
      </c>
      <c r="S4" s="416" t="s">
        <v>116</v>
      </c>
      <c r="T4" s="416" t="s">
        <v>117</v>
      </c>
      <c r="U4" s="387" t="s">
        <v>118</v>
      </c>
      <c r="V4" s="417" t="s">
        <v>119</v>
      </c>
      <c r="W4" s="416" t="s">
        <v>116</v>
      </c>
      <c r="X4" s="416" t="s">
        <v>117</v>
      </c>
      <c r="Y4" s="387" t="s">
        <v>118</v>
      </c>
      <c r="Z4" s="417" t="s">
        <v>119</v>
      </c>
      <c r="AA4" s="416" t="s">
        <v>116</v>
      </c>
      <c r="AB4" s="416" t="s">
        <v>117</v>
      </c>
      <c r="AC4" s="387" t="s">
        <v>118</v>
      </c>
      <c r="AD4" s="417" t="s">
        <v>119</v>
      </c>
      <c r="AE4" s="416" t="s">
        <v>116</v>
      </c>
      <c r="AF4" s="416" t="s">
        <v>117</v>
      </c>
      <c r="AG4" s="387" t="s">
        <v>118</v>
      </c>
      <c r="AH4" s="417" t="s">
        <v>119</v>
      </c>
      <c r="AI4" s="416" t="s">
        <v>116</v>
      </c>
      <c r="AJ4" s="416" t="s">
        <v>117</v>
      </c>
      <c r="AK4" s="387" t="s">
        <v>118</v>
      </c>
      <c r="AL4" s="417" t="s">
        <v>119</v>
      </c>
      <c r="AM4" s="416" t="s">
        <v>116</v>
      </c>
      <c r="AN4" s="416" t="s">
        <v>117</v>
      </c>
      <c r="AO4" s="387" t="s">
        <v>118</v>
      </c>
      <c r="AP4" s="417" t="s">
        <v>119</v>
      </c>
      <c r="AQ4" s="416" t="s">
        <v>116</v>
      </c>
      <c r="AR4" s="416" t="s">
        <v>117</v>
      </c>
      <c r="AS4" s="387" t="s">
        <v>118</v>
      </c>
      <c r="AT4" s="417" t="s">
        <v>119</v>
      </c>
      <c r="AU4" s="416" t="s">
        <v>116</v>
      </c>
      <c r="AV4" s="416" t="s">
        <v>117</v>
      </c>
      <c r="AW4" s="387" t="s">
        <v>118</v>
      </c>
      <c r="AX4" s="417" t="s">
        <v>119</v>
      </c>
      <c r="AY4" s="416" t="s">
        <v>116</v>
      </c>
      <c r="AZ4" s="416" t="s">
        <v>117</v>
      </c>
      <c r="BA4" s="387" t="s">
        <v>118</v>
      </c>
      <c r="BB4" s="417" t="s">
        <v>119</v>
      </c>
      <c r="BC4" s="416" t="s">
        <v>116</v>
      </c>
      <c r="BD4" s="416" t="s">
        <v>117</v>
      </c>
      <c r="BE4" s="387" t="s">
        <v>118</v>
      </c>
      <c r="BF4" s="417" t="s">
        <v>119</v>
      </c>
    </row>
    <row r="5" spans="1:483" s="372" customFormat="1" ht="38.25" customHeight="1">
      <c r="A5" s="370" t="s">
        <v>121</v>
      </c>
      <c r="B5" s="371" t="s">
        <v>122</v>
      </c>
      <c r="C5" s="400"/>
      <c r="D5" s="400"/>
      <c r="E5" s="401"/>
      <c r="F5" s="402"/>
      <c r="G5" s="400"/>
      <c r="H5" s="400"/>
      <c r="I5" s="401"/>
      <c r="J5" s="402"/>
      <c r="K5" s="400"/>
      <c r="L5" s="400"/>
      <c r="M5" s="401"/>
      <c r="N5" s="402"/>
      <c r="O5" s="400"/>
      <c r="P5" s="400"/>
      <c r="Q5" s="401"/>
      <c r="R5" s="402"/>
      <c r="S5" s="400"/>
      <c r="T5" s="400"/>
      <c r="U5" s="401"/>
      <c r="V5" s="402"/>
      <c r="W5" s="400"/>
      <c r="X5" s="400"/>
      <c r="Y5" s="401"/>
      <c r="Z5" s="402"/>
      <c r="AA5" s="400"/>
      <c r="AB5" s="400"/>
      <c r="AC5" s="401"/>
      <c r="AD5" s="402"/>
      <c r="AE5" s="400"/>
      <c r="AF5" s="400"/>
      <c r="AG5" s="401"/>
      <c r="AH5" s="402"/>
      <c r="AI5" s="400"/>
      <c r="AJ5" s="400"/>
      <c r="AK5" s="401"/>
      <c r="AL5" s="402"/>
      <c r="AM5" s="400"/>
      <c r="AN5" s="400"/>
      <c r="AO5" s="401"/>
      <c r="AP5" s="402"/>
      <c r="AQ5" s="400"/>
      <c r="AR5" s="400"/>
      <c r="AS5" s="401"/>
      <c r="AT5" s="402"/>
      <c r="AU5" s="400"/>
      <c r="AV5" s="724"/>
      <c r="AW5" s="401"/>
      <c r="AX5" s="402"/>
      <c r="AY5" s="400"/>
      <c r="AZ5" s="724"/>
      <c r="BA5" s="401"/>
      <c r="BB5" s="402"/>
      <c r="BC5" s="400"/>
      <c r="BD5" s="724"/>
      <c r="BE5" s="401"/>
      <c r="BF5" s="402"/>
    </row>
    <row r="6" spans="1:483" s="7" customFormat="1" ht="20.100000000000001" customHeight="1">
      <c r="A6" s="27" t="s">
        <v>123</v>
      </c>
      <c r="B6" s="105" t="s">
        <v>124</v>
      </c>
      <c r="C6" s="17">
        <f>415.308</f>
        <v>415.30799999999999</v>
      </c>
      <c r="D6" s="17">
        <f>419.479</f>
        <v>419.47899999999998</v>
      </c>
      <c r="E6" s="30">
        <f>(425068)*0.001</f>
        <v>425.06799999999998</v>
      </c>
      <c r="F6" s="183">
        <f>(420060)*0.001</f>
        <v>420.06</v>
      </c>
      <c r="G6" s="30">
        <f>(419894)*0.001</f>
        <v>419.89400000000001</v>
      </c>
      <c r="H6" s="30">
        <f>(418521)*0.001</f>
        <v>418.52100000000002</v>
      </c>
      <c r="I6" s="30">
        <f>(409736)*0.001</f>
        <v>409.73599999999999</v>
      </c>
      <c r="J6" s="183">
        <f>(407579)*0.001</f>
        <v>407.57900000000001</v>
      </c>
      <c r="K6" s="40">
        <f>(395393)*0.001</f>
        <v>395.39300000000003</v>
      </c>
      <c r="L6" s="17">
        <v>384.8</v>
      </c>
      <c r="M6" s="17">
        <v>417</v>
      </c>
      <c r="N6" s="183">
        <v>421.1</v>
      </c>
      <c r="O6" s="17">
        <v>416.6</v>
      </c>
      <c r="P6" s="17">
        <v>401.1</v>
      </c>
      <c r="Q6" s="17">
        <v>377</v>
      </c>
      <c r="R6" s="183">
        <v>371</v>
      </c>
      <c r="S6" s="77">
        <v>356.7</v>
      </c>
      <c r="T6" s="77">
        <v>353.3</v>
      </c>
      <c r="U6" s="77">
        <v>350.4</v>
      </c>
      <c r="V6" s="183">
        <v>350.9</v>
      </c>
      <c r="W6" s="77">
        <v>342.2</v>
      </c>
      <c r="X6" s="77">
        <v>332.9</v>
      </c>
      <c r="Y6" s="77">
        <v>324</v>
      </c>
      <c r="Z6" s="183">
        <v>325.3</v>
      </c>
      <c r="AA6" s="77">
        <v>312.5</v>
      </c>
      <c r="AB6" s="77">
        <v>294.10000000000002</v>
      </c>
      <c r="AC6" s="77">
        <v>275.8</v>
      </c>
      <c r="AD6" s="183">
        <v>264.5</v>
      </c>
      <c r="AE6" s="77">
        <v>258.2</v>
      </c>
      <c r="AF6" s="77">
        <v>249.4</v>
      </c>
      <c r="AG6" s="34">
        <v>248.8</v>
      </c>
      <c r="AH6" s="183">
        <v>262.7</v>
      </c>
      <c r="AI6" s="77">
        <v>267.39999999999998</v>
      </c>
      <c r="AJ6" s="77">
        <v>277</v>
      </c>
      <c r="AK6" s="34">
        <v>288</v>
      </c>
      <c r="AL6" s="183">
        <v>293.39999999999998</v>
      </c>
      <c r="AM6" s="77">
        <v>297.3</v>
      </c>
      <c r="AN6" s="77">
        <v>288.60000000000002</v>
      </c>
      <c r="AO6" s="34">
        <v>279.89999999999998</v>
      </c>
      <c r="AP6" s="183">
        <v>284</v>
      </c>
      <c r="AQ6" s="77">
        <v>292.7</v>
      </c>
      <c r="AR6" s="662">
        <v>288.8</v>
      </c>
      <c r="AS6" s="662">
        <v>278.5</v>
      </c>
      <c r="AT6" s="183">
        <v>282</v>
      </c>
      <c r="AU6" s="77">
        <v>278.7</v>
      </c>
      <c r="AV6" s="662">
        <v>273.3</v>
      </c>
      <c r="AW6" s="662">
        <v>287.2</v>
      </c>
      <c r="AX6" s="196" t="s">
        <v>125</v>
      </c>
      <c r="AY6" s="777" t="s">
        <v>125</v>
      </c>
      <c r="AZ6" s="196" t="s">
        <v>125</v>
      </c>
      <c r="BA6" s="196" t="s">
        <v>125</v>
      </c>
      <c r="BB6" s="196" t="s">
        <v>125</v>
      </c>
      <c r="BC6" s="777" t="s">
        <v>125</v>
      </c>
      <c r="BD6" s="196" t="s">
        <v>125</v>
      </c>
      <c r="BE6" s="196"/>
      <c r="BF6" s="196"/>
      <c r="BG6" s="777"/>
    </row>
    <row r="7" spans="1:483" s="7" customFormat="1" ht="20.100000000000001" customHeight="1">
      <c r="A7" s="27" t="s">
        <v>126</v>
      </c>
      <c r="B7" s="105" t="s">
        <v>127</v>
      </c>
      <c r="C7" s="17">
        <f>258.7</f>
        <v>258.7</v>
      </c>
      <c r="D7" s="17">
        <f>258.506</f>
        <v>258.50599999999997</v>
      </c>
      <c r="E7" s="30">
        <f>(257043)*0.001</f>
        <v>257.04300000000001</v>
      </c>
      <c r="F7" s="183">
        <f>(276407)*0.001</f>
        <v>276.40699999999998</v>
      </c>
      <c r="G7" s="30">
        <f>(266252)*0.001</f>
        <v>266.25200000000001</v>
      </c>
      <c r="H7" s="30">
        <f>(265011)*0.001</f>
        <v>265.01100000000002</v>
      </c>
      <c r="I7" s="30">
        <f>(252063)*0.001</f>
        <v>252.06300000000002</v>
      </c>
      <c r="J7" s="183">
        <f>(251152)*0.001</f>
        <v>251.15200000000002</v>
      </c>
      <c r="K7" s="40">
        <f>(248178)*0.001</f>
        <v>248.178</v>
      </c>
      <c r="L7" s="16">
        <v>3010.6</v>
      </c>
      <c r="M7" s="16">
        <v>2933.8</v>
      </c>
      <c r="N7" s="183">
        <v>2714.9</v>
      </c>
      <c r="O7" s="17">
        <v>2855.8</v>
      </c>
      <c r="P7" s="17">
        <v>2541.1999999999998</v>
      </c>
      <c r="Q7" s="16">
        <v>2535.1999999999998</v>
      </c>
      <c r="R7" s="183">
        <v>2548.6</v>
      </c>
      <c r="S7" s="77">
        <v>3002.2</v>
      </c>
      <c r="T7" s="77">
        <v>2931</v>
      </c>
      <c r="U7" s="77">
        <v>2882.8</v>
      </c>
      <c r="V7" s="183">
        <v>2964.3</v>
      </c>
      <c r="W7" s="77">
        <v>2885.9</v>
      </c>
      <c r="X7" s="77">
        <v>2904.7</v>
      </c>
      <c r="Y7" s="77">
        <v>2866.4</v>
      </c>
      <c r="Z7" s="183">
        <v>2867.1</v>
      </c>
      <c r="AA7" s="77">
        <v>2797</v>
      </c>
      <c r="AB7" s="77">
        <v>4419.8999999999996</v>
      </c>
      <c r="AC7" s="77">
        <v>4438</v>
      </c>
      <c r="AD7" s="183">
        <v>4792.2</v>
      </c>
      <c r="AE7" s="77">
        <v>4720.3</v>
      </c>
      <c r="AF7" s="77">
        <v>4782.7</v>
      </c>
      <c r="AG7" s="34">
        <v>4797.3</v>
      </c>
      <c r="AH7" s="183">
        <v>4976.8999999999996</v>
      </c>
      <c r="AI7" s="77">
        <v>5004.3</v>
      </c>
      <c r="AJ7" s="77">
        <v>5041.8</v>
      </c>
      <c r="AK7" s="34">
        <v>5135.3999999999996</v>
      </c>
      <c r="AL7" s="183">
        <v>5391</v>
      </c>
      <c r="AM7" s="77">
        <v>2877.2</v>
      </c>
      <c r="AN7" s="77">
        <v>3072.7</v>
      </c>
      <c r="AO7" s="34">
        <v>3206.2</v>
      </c>
      <c r="AP7" s="183">
        <v>3326.9</v>
      </c>
      <c r="AQ7" s="77">
        <v>3375.4</v>
      </c>
      <c r="AR7" s="662">
        <v>3566.7</v>
      </c>
      <c r="AS7" s="662">
        <v>3481</v>
      </c>
      <c r="AT7" s="183">
        <v>3600.9</v>
      </c>
      <c r="AU7" s="77">
        <v>3601.5</v>
      </c>
      <c r="AV7" s="676">
        <v>3592.7</v>
      </c>
      <c r="AW7" s="676">
        <v>5680.9</v>
      </c>
      <c r="AX7" s="216">
        <v>6494.3</v>
      </c>
      <c r="AY7" s="190">
        <v>6571.9</v>
      </c>
      <c r="AZ7" s="676">
        <v>6729.2</v>
      </c>
      <c r="BA7" s="676">
        <v>7058.7</v>
      </c>
      <c r="BB7" s="216">
        <v>7423.3</v>
      </c>
      <c r="BC7" s="190">
        <v>7571.2</v>
      </c>
      <c r="BD7" s="676">
        <v>7554.5</v>
      </c>
      <c r="BE7" s="676"/>
      <c r="BF7" s="216"/>
    </row>
    <row r="8" spans="1:483" s="7" customFormat="1" ht="20.100000000000001" customHeight="1">
      <c r="A8" s="27" t="s">
        <v>128</v>
      </c>
      <c r="B8" s="105" t="s">
        <v>129</v>
      </c>
      <c r="C8" s="17">
        <f>2422.989</f>
        <v>2422.989</v>
      </c>
      <c r="D8" s="17">
        <f>2575.456</f>
        <v>2575.4560000000001</v>
      </c>
      <c r="E8" s="17">
        <f>(2575456)*0.001</f>
        <v>2575.4560000000001</v>
      </c>
      <c r="F8" s="184">
        <f>(2568033)*0.001</f>
        <v>2568.0329999999999</v>
      </c>
      <c r="G8" s="17">
        <f>(2568033)*0.001</f>
        <v>2568.0329999999999</v>
      </c>
      <c r="H8" s="17">
        <f>(2568033)*0.001</f>
        <v>2568.0329999999999</v>
      </c>
      <c r="I8" s="17">
        <f>(2637594)*0.001</f>
        <v>2637.5940000000001</v>
      </c>
      <c r="J8" s="184">
        <f>(2602804)*0.001</f>
        <v>2602.8040000000001</v>
      </c>
      <c r="K8" s="17">
        <f>(2602804)*0.001</f>
        <v>2602.8040000000001</v>
      </c>
      <c r="L8" s="16">
        <v>11735.5</v>
      </c>
      <c r="M8" s="16">
        <v>11735.5</v>
      </c>
      <c r="N8" s="184">
        <v>10585.3</v>
      </c>
      <c r="O8" s="17">
        <v>10831.2</v>
      </c>
      <c r="P8" s="17">
        <v>10606.4</v>
      </c>
      <c r="Q8" s="16">
        <v>10606.4</v>
      </c>
      <c r="R8" s="184">
        <v>10606.4</v>
      </c>
      <c r="S8" s="77">
        <v>11675.3</v>
      </c>
      <c r="T8" s="77">
        <v>10975.2</v>
      </c>
      <c r="U8" s="77">
        <v>10975.3</v>
      </c>
      <c r="V8" s="184">
        <v>10975.4</v>
      </c>
      <c r="W8" s="77">
        <v>10975.4</v>
      </c>
      <c r="X8" s="77">
        <v>10975.4</v>
      </c>
      <c r="Y8" s="77">
        <v>10975.4</v>
      </c>
      <c r="Z8" s="184">
        <v>11041.7</v>
      </c>
      <c r="AA8" s="77">
        <v>11060.5</v>
      </c>
      <c r="AB8" s="77">
        <v>11530</v>
      </c>
      <c r="AC8" s="77">
        <v>11519.3</v>
      </c>
      <c r="AD8" s="184">
        <v>11309.4</v>
      </c>
      <c r="AE8" s="77">
        <v>11309.4</v>
      </c>
      <c r="AF8" s="77">
        <v>11316.4</v>
      </c>
      <c r="AG8" s="34">
        <v>11316.4</v>
      </c>
      <c r="AH8" s="184">
        <v>11336.4</v>
      </c>
      <c r="AI8" s="77">
        <v>11349.5</v>
      </c>
      <c r="AJ8" s="77">
        <v>11349.5</v>
      </c>
      <c r="AK8" s="34">
        <v>11801.8</v>
      </c>
      <c r="AL8" s="184">
        <v>11808.4</v>
      </c>
      <c r="AM8" s="77">
        <v>11808.4</v>
      </c>
      <c r="AN8" s="77">
        <v>10664.9</v>
      </c>
      <c r="AO8" s="34">
        <v>10809</v>
      </c>
      <c r="AP8" s="184">
        <v>10802</v>
      </c>
      <c r="AQ8" s="77">
        <v>10831.9</v>
      </c>
      <c r="AR8" s="662">
        <v>10788</v>
      </c>
      <c r="AS8" s="662">
        <v>10810.9</v>
      </c>
      <c r="AT8" s="184">
        <v>10818.1</v>
      </c>
      <c r="AU8" s="77">
        <v>10818.2</v>
      </c>
      <c r="AV8" s="676">
        <v>10818.2</v>
      </c>
      <c r="AW8" s="676">
        <v>11276.7</v>
      </c>
      <c r="AX8" s="216">
        <v>10980.2</v>
      </c>
      <c r="AY8" s="190">
        <v>10975.4</v>
      </c>
      <c r="AZ8" s="676">
        <v>10971.2</v>
      </c>
      <c r="BA8" s="676">
        <v>10971.2</v>
      </c>
      <c r="BB8" s="216">
        <v>10975.3</v>
      </c>
      <c r="BC8" s="190">
        <v>10975.3</v>
      </c>
      <c r="BD8" s="676">
        <v>10975.3</v>
      </c>
      <c r="BE8" s="676"/>
      <c r="BF8" s="216"/>
    </row>
    <row r="9" spans="1:483" s="7" customFormat="1" ht="20.100000000000001" customHeight="1">
      <c r="A9" s="27" t="s">
        <v>130</v>
      </c>
      <c r="B9" s="106" t="s">
        <v>131</v>
      </c>
      <c r="C9" s="18">
        <f>0</f>
        <v>0</v>
      </c>
      <c r="D9" s="18">
        <v>0</v>
      </c>
      <c r="E9" s="18">
        <f>0</f>
        <v>0</v>
      </c>
      <c r="F9" s="185">
        <v>0</v>
      </c>
      <c r="G9" s="18">
        <f>0</f>
        <v>0</v>
      </c>
      <c r="H9" s="18">
        <f>0</f>
        <v>0</v>
      </c>
      <c r="I9" s="18">
        <f>0</f>
        <v>0</v>
      </c>
      <c r="J9" s="185">
        <f>0</f>
        <v>0</v>
      </c>
      <c r="K9" s="31">
        <v>0</v>
      </c>
      <c r="L9" s="16">
        <v>4482</v>
      </c>
      <c r="M9" s="16">
        <v>4331.8999999999996</v>
      </c>
      <c r="N9" s="185">
        <v>4255.8</v>
      </c>
      <c r="O9" s="20">
        <v>4002.2</v>
      </c>
      <c r="P9" s="20">
        <v>3944.6</v>
      </c>
      <c r="Q9" s="16">
        <v>3791.6</v>
      </c>
      <c r="R9" s="185">
        <v>3638.5</v>
      </c>
      <c r="S9" s="34">
        <v>3488.7</v>
      </c>
      <c r="T9" s="34">
        <v>3337.3</v>
      </c>
      <c r="U9" s="34">
        <v>3184.2</v>
      </c>
      <c r="V9" s="185">
        <v>3031.2</v>
      </c>
      <c r="W9" s="34">
        <v>2883.1</v>
      </c>
      <c r="X9" s="34">
        <v>2762.8</v>
      </c>
      <c r="Y9" s="34">
        <v>2660.5</v>
      </c>
      <c r="Z9" s="185">
        <v>2557.3000000000002</v>
      </c>
      <c r="AA9" s="77">
        <v>2458.6</v>
      </c>
      <c r="AB9" s="76">
        <v>2358.6999999999998</v>
      </c>
      <c r="AC9" s="77">
        <v>2257.6999999999998</v>
      </c>
      <c r="AD9" s="185">
        <v>2212.1999999999998</v>
      </c>
      <c r="AE9" s="77">
        <v>2111.6</v>
      </c>
      <c r="AF9" s="34">
        <v>2009.9</v>
      </c>
      <c r="AG9" s="34">
        <v>1907</v>
      </c>
      <c r="AH9" s="185">
        <v>1821.4</v>
      </c>
      <c r="AI9" s="77">
        <v>1723.5</v>
      </c>
      <c r="AJ9" s="34">
        <v>1620.6</v>
      </c>
      <c r="AK9" s="34">
        <v>1516.7</v>
      </c>
      <c r="AL9" s="184">
        <v>1412.7</v>
      </c>
      <c r="AM9" s="77">
        <v>1310.9</v>
      </c>
      <c r="AN9" s="77">
        <v>1208</v>
      </c>
      <c r="AO9" s="34">
        <v>1110</v>
      </c>
      <c r="AP9" s="184">
        <v>1005.7</v>
      </c>
      <c r="AQ9" s="77">
        <v>903.6</v>
      </c>
      <c r="AR9" s="662">
        <v>858.2</v>
      </c>
      <c r="AS9" s="662">
        <v>750.9</v>
      </c>
      <c r="AT9" s="184">
        <v>643.70000000000005</v>
      </c>
      <c r="AU9" s="77">
        <v>538.70000000000005</v>
      </c>
      <c r="AV9" s="675">
        <v>432.6</v>
      </c>
      <c r="AW9" s="676">
        <v>325.3</v>
      </c>
      <c r="AX9" s="216">
        <v>300.2</v>
      </c>
      <c r="AY9" s="190">
        <v>191.1</v>
      </c>
      <c r="AZ9" s="675">
        <v>81.3</v>
      </c>
      <c r="BA9" s="676">
        <v>131.9</v>
      </c>
      <c r="BB9" s="216">
        <v>120.1</v>
      </c>
      <c r="BC9" s="190">
        <v>111</v>
      </c>
      <c r="BD9" s="675">
        <v>101.9</v>
      </c>
      <c r="BE9" s="676"/>
      <c r="BF9" s="216"/>
    </row>
    <row r="10" spans="1:483" s="7" customFormat="1" ht="20.100000000000001" customHeight="1">
      <c r="A10" s="27" t="s">
        <v>132</v>
      </c>
      <c r="B10" s="105" t="s">
        <v>133</v>
      </c>
      <c r="C10" s="17">
        <f>840</f>
        <v>840</v>
      </c>
      <c r="D10" s="30">
        <f>(840000)*0.001</f>
        <v>840</v>
      </c>
      <c r="E10" s="30">
        <f>(840000)*0.001</f>
        <v>840</v>
      </c>
      <c r="F10" s="183">
        <f>(847800)*0.001</f>
        <v>847.80000000000007</v>
      </c>
      <c r="G10" s="30">
        <f>(847800)*0.001</f>
        <v>847.80000000000007</v>
      </c>
      <c r="H10" s="30">
        <f>(847800)*0.001</f>
        <v>847.80000000000007</v>
      </c>
      <c r="I10" s="30">
        <f>(847800)*0.001</f>
        <v>847.80000000000007</v>
      </c>
      <c r="J10" s="183">
        <f>(890800)*0.001</f>
        <v>890.80000000000007</v>
      </c>
      <c r="K10" s="40">
        <f>(890800)*0.001</f>
        <v>890.80000000000007</v>
      </c>
      <c r="L10" s="21">
        <v>890.8</v>
      </c>
      <c r="M10" s="21">
        <v>890.8</v>
      </c>
      <c r="N10" s="183">
        <v>2085.9</v>
      </c>
      <c r="O10" s="17">
        <v>1783.7</v>
      </c>
      <c r="P10" s="17">
        <v>2092.6999999999998</v>
      </c>
      <c r="Q10" s="21">
        <v>2086.6</v>
      </c>
      <c r="R10" s="183">
        <v>2080.6</v>
      </c>
      <c r="S10" s="77">
        <v>2074.6</v>
      </c>
      <c r="T10" s="77">
        <v>2068.6</v>
      </c>
      <c r="U10" s="77">
        <v>2062.5</v>
      </c>
      <c r="V10" s="183">
        <v>2056.5</v>
      </c>
      <c r="W10" s="77">
        <v>2050.5</v>
      </c>
      <c r="X10" s="77">
        <v>2044.4</v>
      </c>
      <c r="Y10" s="77">
        <v>2038.4</v>
      </c>
      <c r="Z10" s="183">
        <v>2037.1</v>
      </c>
      <c r="AA10" s="77">
        <v>2031</v>
      </c>
      <c r="AB10" s="77">
        <v>2024.8</v>
      </c>
      <c r="AC10" s="77">
        <v>2019</v>
      </c>
      <c r="AD10" s="183">
        <v>2096.1</v>
      </c>
      <c r="AE10" s="77">
        <v>2087.9</v>
      </c>
      <c r="AF10" s="77">
        <v>2079.6999999999998</v>
      </c>
      <c r="AG10" s="34">
        <v>2071.4</v>
      </c>
      <c r="AH10" s="183">
        <v>2063.1999999999998</v>
      </c>
      <c r="AI10" s="77">
        <v>2054.9</v>
      </c>
      <c r="AJ10" s="77">
        <v>2048.1999999999998</v>
      </c>
      <c r="AK10" s="34">
        <v>2040</v>
      </c>
      <c r="AL10" s="183">
        <v>2031.7</v>
      </c>
      <c r="AM10" s="77">
        <v>2023.5</v>
      </c>
      <c r="AN10" s="77">
        <v>2095.1999999999998</v>
      </c>
      <c r="AO10" s="34">
        <v>2078.5</v>
      </c>
      <c r="AP10" s="183">
        <v>2069.6</v>
      </c>
      <c r="AQ10" s="77">
        <v>2060.6</v>
      </c>
      <c r="AR10" s="662">
        <v>2079.1999999999998</v>
      </c>
      <c r="AS10" s="662">
        <v>2070.1</v>
      </c>
      <c r="AT10" s="183">
        <v>2060.9</v>
      </c>
      <c r="AU10" s="77">
        <v>2041.2</v>
      </c>
      <c r="AV10" s="676">
        <v>2021.5</v>
      </c>
      <c r="AW10" s="676">
        <v>2000</v>
      </c>
      <c r="AX10" s="216">
        <v>1979.7</v>
      </c>
      <c r="AY10" s="190">
        <v>1959.7</v>
      </c>
      <c r="AZ10" s="676">
        <v>1947.4</v>
      </c>
      <c r="BA10" s="676">
        <v>1926.7</v>
      </c>
      <c r="BB10" s="216">
        <v>1906.3</v>
      </c>
      <c r="BC10" s="190">
        <v>1885.9</v>
      </c>
      <c r="BD10" s="676">
        <v>1865.4</v>
      </c>
      <c r="BE10" s="676"/>
      <c r="BF10" s="216"/>
    </row>
    <row r="11" spans="1:483" s="7" customFormat="1" ht="20.100000000000001" customHeight="1">
      <c r="A11" s="27" t="s">
        <v>134</v>
      </c>
      <c r="B11" s="105" t="s">
        <v>135</v>
      </c>
      <c r="C11" s="17">
        <f>69.466</f>
        <v>69.465999999999994</v>
      </c>
      <c r="D11" s="30">
        <f>(69627)*0.001</f>
        <v>69.626999999999995</v>
      </c>
      <c r="E11" s="30">
        <f>(68459)*0.001</f>
        <v>68.459000000000003</v>
      </c>
      <c r="F11" s="183">
        <f>(81380)*0.001</f>
        <v>81.38</v>
      </c>
      <c r="G11" s="30">
        <f>(82841)*0.001</f>
        <v>82.841000000000008</v>
      </c>
      <c r="H11" s="30">
        <f>(83804)*0.001</f>
        <v>83.804000000000002</v>
      </c>
      <c r="I11" s="30">
        <f>(115337)*0.001</f>
        <v>115.337</v>
      </c>
      <c r="J11" s="183">
        <f>(137401)*0.001</f>
        <v>137.40100000000001</v>
      </c>
      <c r="K11" s="40">
        <f>(136697)*0.001</f>
        <v>136.697</v>
      </c>
      <c r="L11" s="16">
        <v>2360.6</v>
      </c>
      <c r="M11" s="16">
        <v>2624.2</v>
      </c>
      <c r="N11" s="183">
        <v>2591.4</v>
      </c>
      <c r="O11" s="17">
        <v>2527.5</v>
      </c>
      <c r="P11" s="17">
        <v>2525.8000000000002</v>
      </c>
      <c r="Q11" s="16">
        <v>2464.1999999999998</v>
      </c>
      <c r="R11" s="183">
        <v>2422.1999999999998</v>
      </c>
      <c r="S11" s="77">
        <v>2988.7</v>
      </c>
      <c r="T11" s="77">
        <v>3903</v>
      </c>
      <c r="U11" s="77">
        <v>3769.5</v>
      </c>
      <c r="V11" s="183">
        <v>3656.2</v>
      </c>
      <c r="W11" s="77">
        <v>3540.5</v>
      </c>
      <c r="X11" s="77">
        <v>3471.1</v>
      </c>
      <c r="Y11" s="77">
        <v>3343.6</v>
      </c>
      <c r="Z11" s="183">
        <v>3261.5</v>
      </c>
      <c r="AA11" s="77">
        <v>3146.4</v>
      </c>
      <c r="AB11" s="77">
        <v>3097.5</v>
      </c>
      <c r="AC11" s="77">
        <v>3015.6</v>
      </c>
      <c r="AD11" s="183">
        <v>3005.5</v>
      </c>
      <c r="AE11" s="77">
        <v>2967.8</v>
      </c>
      <c r="AF11" s="77">
        <v>2943.7</v>
      </c>
      <c r="AG11" s="34">
        <v>2911.7</v>
      </c>
      <c r="AH11" s="183">
        <v>2857.8</v>
      </c>
      <c r="AI11" s="77">
        <v>2749.9</v>
      </c>
      <c r="AJ11" s="77">
        <v>2648.1</v>
      </c>
      <c r="AK11" s="34">
        <v>2602.3000000000002</v>
      </c>
      <c r="AL11" s="183">
        <v>2616.4</v>
      </c>
      <c r="AM11" s="77">
        <v>2503.3000000000002</v>
      </c>
      <c r="AN11" s="77">
        <v>2462.9</v>
      </c>
      <c r="AO11" s="34">
        <v>2400.1</v>
      </c>
      <c r="AP11" s="183">
        <v>2374.1</v>
      </c>
      <c r="AQ11" s="77">
        <v>2299.9</v>
      </c>
      <c r="AR11" s="662">
        <v>2228.9</v>
      </c>
      <c r="AS11" s="662">
        <v>2165.4</v>
      </c>
      <c r="AT11" s="183">
        <v>3340.6</v>
      </c>
      <c r="AU11" s="77">
        <v>3255.2</v>
      </c>
      <c r="AV11" s="676">
        <v>3166.5</v>
      </c>
      <c r="AW11" s="676">
        <v>3450.2</v>
      </c>
      <c r="AX11" s="216">
        <v>4835.8</v>
      </c>
      <c r="AY11" s="190">
        <v>4807.1000000000004</v>
      </c>
      <c r="AZ11" s="676">
        <v>4753.2</v>
      </c>
      <c r="BA11" s="676">
        <v>4699</v>
      </c>
      <c r="BB11" s="216">
        <v>4993</v>
      </c>
      <c r="BC11" s="190">
        <v>4921.8999999999996</v>
      </c>
      <c r="BD11" s="676">
        <v>5263</v>
      </c>
      <c r="BE11" s="676"/>
      <c r="BF11" s="216"/>
    </row>
    <row r="12" spans="1:483" s="7" customFormat="1" ht="20.100000000000001" customHeight="1">
      <c r="A12" s="27" t="s">
        <v>136</v>
      </c>
      <c r="B12" s="107" t="s">
        <v>137</v>
      </c>
      <c r="C12" s="17"/>
      <c r="D12" s="30"/>
      <c r="E12" s="30"/>
      <c r="F12" s="183"/>
      <c r="G12" s="30"/>
      <c r="H12" s="30"/>
      <c r="I12" s="30"/>
      <c r="J12" s="183"/>
      <c r="K12" s="40"/>
      <c r="L12" s="16"/>
      <c r="M12" s="16"/>
      <c r="N12" s="183"/>
      <c r="O12" s="17"/>
      <c r="P12" s="17"/>
      <c r="Q12" s="16"/>
      <c r="R12" s="183"/>
      <c r="S12" s="77"/>
      <c r="T12" s="77"/>
      <c r="U12" s="77"/>
      <c r="V12" s="183"/>
      <c r="W12" s="77"/>
      <c r="X12" s="77"/>
      <c r="Y12" s="77"/>
      <c r="Z12" s="183"/>
      <c r="AA12" s="77"/>
      <c r="AB12" s="77"/>
      <c r="AC12" s="77"/>
      <c r="AD12" s="183"/>
      <c r="AE12" s="77">
        <v>1482</v>
      </c>
      <c r="AF12" s="77">
        <v>1408.2</v>
      </c>
      <c r="AG12" s="34">
        <v>1340.8</v>
      </c>
      <c r="AH12" s="183">
        <v>1420.3</v>
      </c>
      <c r="AI12" s="77">
        <v>1383.8</v>
      </c>
      <c r="AJ12" s="77">
        <v>1410.2</v>
      </c>
      <c r="AK12" s="34">
        <v>1398.7</v>
      </c>
      <c r="AL12" s="183">
        <v>1519.4</v>
      </c>
      <c r="AM12" s="77">
        <v>727</v>
      </c>
      <c r="AN12" s="77">
        <v>712.6</v>
      </c>
      <c r="AO12" s="34">
        <v>685.2</v>
      </c>
      <c r="AP12" s="183">
        <v>696.5</v>
      </c>
      <c r="AQ12" s="77">
        <v>671.8</v>
      </c>
      <c r="AR12" s="662">
        <v>545.79999999999995</v>
      </c>
      <c r="AS12" s="662">
        <v>517.5</v>
      </c>
      <c r="AT12" s="183">
        <v>527</v>
      </c>
      <c r="AU12" s="77">
        <v>527</v>
      </c>
      <c r="AV12" s="675">
        <v>520.5</v>
      </c>
      <c r="AW12" s="675">
        <v>597.9</v>
      </c>
      <c r="AX12" s="216">
        <v>644.6</v>
      </c>
      <c r="AY12" s="190">
        <v>685.3</v>
      </c>
      <c r="AZ12" s="675">
        <v>706.3</v>
      </c>
      <c r="BA12" s="675">
        <v>689.6</v>
      </c>
      <c r="BB12" s="216">
        <v>724.8</v>
      </c>
      <c r="BC12" s="190">
        <v>730.2</v>
      </c>
      <c r="BD12" s="675">
        <v>726.6</v>
      </c>
      <c r="BE12" s="675"/>
      <c r="BF12" s="216"/>
    </row>
    <row r="13" spans="1:483" s="7" customFormat="1" ht="20.100000000000001" customHeight="1">
      <c r="A13" s="27" t="s">
        <v>138</v>
      </c>
      <c r="B13" s="105" t="s">
        <v>139</v>
      </c>
      <c r="C13" s="17">
        <f>91.415</f>
        <v>91.415000000000006</v>
      </c>
      <c r="D13" s="30">
        <f>(95405)*0.001</f>
        <v>95.405000000000001</v>
      </c>
      <c r="E13" s="30">
        <f>(95323)*0.001</f>
        <v>95.323000000000008</v>
      </c>
      <c r="F13" s="183">
        <f>(97988)*0.001</f>
        <v>97.988</v>
      </c>
      <c r="G13" s="30">
        <f>(104074)*0.001</f>
        <v>104.074</v>
      </c>
      <c r="H13" s="30">
        <f>(115904)*0.001</f>
        <v>115.904</v>
      </c>
      <c r="I13" s="30">
        <f>(82162)*0.001</f>
        <v>82.162000000000006</v>
      </c>
      <c r="J13" s="183">
        <f>(71571)*0.001</f>
        <v>71.570999999999998</v>
      </c>
      <c r="K13" s="40">
        <f>(107548)*0.001</f>
        <v>107.548</v>
      </c>
      <c r="L13" s="21">
        <v>128.1</v>
      </c>
      <c r="M13" s="21">
        <v>148.80000000000001</v>
      </c>
      <c r="N13" s="183">
        <v>135.80000000000001</v>
      </c>
      <c r="O13" s="17">
        <v>158.69999999999999</v>
      </c>
      <c r="P13" s="17">
        <v>174.6</v>
      </c>
      <c r="Q13" s="21">
        <v>109</v>
      </c>
      <c r="R13" s="183">
        <v>145</v>
      </c>
      <c r="S13" s="77">
        <v>129.80000000000001</v>
      </c>
      <c r="T13" s="77">
        <v>156.19999999999999</v>
      </c>
      <c r="U13" s="77">
        <v>125.6</v>
      </c>
      <c r="V13" s="183">
        <v>151.80000000000001</v>
      </c>
      <c r="W13" s="77">
        <v>150</v>
      </c>
      <c r="X13" s="77">
        <v>167.3</v>
      </c>
      <c r="Y13" s="77">
        <v>180.5</v>
      </c>
      <c r="Z13" s="183">
        <v>170.1</v>
      </c>
      <c r="AA13" s="77">
        <v>170.1</v>
      </c>
      <c r="AB13" s="77">
        <v>211.1</v>
      </c>
      <c r="AC13" s="77">
        <v>584.29999999999995</v>
      </c>
      <c r="AD13" s="183">
        <v>503.8</v>
      </c>
      <c r="AE13" s="77">
        <v>474</v>
      </c>
      <c r="AF13" s="77">
        <v>517.5</v>
      </c>
      <c r="AG13" s="34">
        <v>445.4</v>
      </c>
      <c r="AH13" s="183">
        <v>402.6</v>
      </c>
      <c r="AI13" s="77">
        <v>330.4</v>
      </c>
      <c r="AJ13" s="77">
        <v>270.8</v>
      </c>
      <c r="AK13" s="34">
        <v>261.60000000000002</v>
      </c>
      <c r="AL13" s="183">
        <v>282.5</v>
      </c>
      <c r="AM13" s="77">
        <v>290.5</v>
      </c>
      <c r="AN13" s="77">
        <v>243.3</v>
      </c>
      <c r="AO13" s="34">
        <v>542.29999999999995</v>
      </c>
      <c r="AP13" s="183">
        <v>739.4</v>
      </c>
      <c r="AQ13" s="77">
        <v>460.9</v>
      </c>
      <c r="AR13" s="662">
        <v>606</v>
      </c>
      <c r="AS13" s="662">
        <v>442.8</v>
      </c>
      <c r="AT13" s="183">
        <v>501.8</v>
      </c>
      <c r="AU13" s="77">
        <v>372.3</v>
      </c>
      <c r="AV13" s="725">
        <v>342</v>
      </c>
      <c r="AW13" s="675">
        <v>327.9</v>
      </c>
      <c r="AX13" s="216">
        <v>304.8</v>
      </c>
      <c r="AY13" s="190">
        <v>285.89999999999998</v>
      </c>
      <c r="AZ13" s="725">
        <v>259.89999999999998</v>
      </c>
      <c r="BA13" s="675">
        <v>304.5</v>
      </c>
      <c r="BB13" s="216">
        <v>335.7</v>
      </c>
      <c r="BC13" s="190">
        <v>395</v>
      </c>
      <c r="BD13" s="725">
        <v>447</v>
      </c>
      <c r="BE13" s="675"/>
      <c r="BF13" s="216"/>
      <c r="BG13" s="715"/>
      <c r="BH13" s="715"/>
      <c r="BI13" s="714"/>
    </row>
    <row r="14" spans="1:483" s="7" customFormat="1" ht="20.100000000000001" customHeight="1">
      <c r="A14" s="27" t="s">
        <v>140</v>
      </c>
      <c r="B14" s="105" t="s">
        <v>141</v>
      </c>
      <c r="C14" s="17">
        <f>8.419</f>
        <v>8.4190000000000005</v>
      </c>
      <c r="D14" s="30">
        <f>(8398)*0.001</f>
        <v>8.3979999999999997</v>
      </c>
      <c r="E14" s="30">
        <f>(8378)*0.001</f>
        <v>8.3780000000000001</v>
      </c>
      <c r="F14" s="183">
        <f>(8357)*0.001</f>
        <v>8.3569999999999993</v>
      </c>
      <c r="G14" s="30">
        <f>(8336)*0.001</f>
        <v>8.3360000000000003</v>
      </c>
      <c r="H14" s="30">
        <f>(7788)*0.001</f>
        <v>7.7880000000000003</v>
      </c>
      <c r="I14" s="30">
        <f>(7427)*0.001</f>
        <v>7.4270000000000005</v>
      </c>
      <c r="J14" s="183">
        <f>(5330)*0.001</f>
        <v>5.33</v>
      </c>
      <c r="K14" s="40">
        <f>(5315)*0.001</f>
        <v>5.3150000000000004</v>
      </c>
      <c r="L14" s="21">
        <v>5.3</v>
      </c>
      <c r="M14" s="21">
        <v>5.3</v>
      </c>
      <c r="N14" s="183">
        <v>5.3</v>
      </c>
      <c r="O14" s="17">
        <v>5.2</v>
      </c>
      <c r="P14" s="17">
        <v>5.2</v>
      </c>
      <c r="Q14" s="21">
        <v>5.2</v>
      </c>
      <c r="R14" s="183">
        <v>5.2</v>
      </c>
      <c r="S14" s="77">
        <v>5.2</v>
      </c>
      <c r="T14" s="77">
        <v>5.2</v>
      </c>
      <c r="U14" s="77">
        <v>5.2</v>
      </c>
      <c r="V14" s="183">
        <v>5.0999999999999996</v>
      </c>
      <c r="W14" s="77">
        <v>5.0999999999999996</v>
      </c>
      <c r="X14" s="77">
        <v>5.0999999999999996</v>
      </c>
      <c r="Y14" s="77">
        <v>5.0999999999999996</v>
      </c>
      <c r="Z14" s="183">
        <v>5.0999999999999996</v>
      </c>
      <c r="AA14" s="77">
        <v>5.0999999999999996</v>
      </c>
      <c r="AB14" s="77">
        <v>30</v>
      </c>
      <c r="AC14" s="77">
        <v>29.9</v>
      </c>
      <c r="AD14" s="183">
        <v>29.9</v>
      </c>
      <c r="AE14" s="77">
        <v>29.7</v>
      </c>
      <c r="AF14" s="77">
        <v>29.6</v>
      </c>
      <c r="AG14" s="77">
        <v>29.5</v>
      </c>
      <c r="AH14" s="183">
        <v>29.4</v>
      </c>
      <c r="AI14" s="77">
        <v>29.3</v>
      </c>
      <c r="AJ14" s="77">
        <v>29.1</v>
      </c>
      <c r="AK14" s="77">
        <v>29</v>
      </c>
      <c r="AL14" s="183">
        <v>50</v>
      </c>
      <c r="AM14" s="77">
        <v>50.2</v>
      </c>
      <c r="AN14" s="77">
        <v>49.8</v>
      </c>
      <c r="AO14" s="77">
        <v>49.7</v>
      </c>
      <c r="AP14" s="183">
        <v>28.4</v>
      </c>
      <c r="AQ14" s="77">
        <v>28.3</v>
      </c>
      <c r="AR14" s="662">
        <v>1103.5</v>
      </c>
      <c r="AS14" s="662">
        <v>1107.0999999999999</v>
      </c>
      <c r="AT14" s="183">
        <v>647</v>
      </c>
      <c r="AU14" s="77">
        <v>652.4</v>
      </c>
      <c r="AV14" s="675">
        <v>594.1</v>
      </c>
      <c r="AW14" s="725">
        <v>579.79999999999995</v>
      </c>
      <c r="AX14" s="216">
        <v>700</v>
      </c>
      <c r="AY14" s="190">
        <v>694.9</v>
      </c>
      <c r="AZ14" s="675">
        <v>693.7</v>
      </c>
      <c r="BA14" s="725">
        <v>699.5</v>
      </c>
      <c r="BB14" s="216">
        <v>700.3</v>
      </c>
      <c r="BC14" s="190">
        <v>702.2</v>
      </c>
      <c r="BD14" s="675">
        <v>728.4</v>
      </c>
      <c r="BE14" s="725"/>
      <c r="BF14" s="216"/>
    </row>
    <row r="15" spans="1:483" s="7" customFormat="1" ht="20.100000000000001" customHeight="1">
      <c r="A15" s="27" t="s">
        <v>142</v>
      </c>
      <c r="B15" s="105" t="s">
        <v>143</v>
      </c>
      <c r="C15" s="45">
        <v>0</v>
      </c>
      <c r="D15" s="41">
        <f>(33259)*0.001</f>
        <v>33.259</v>
      </c>
      <c r="E15" s="41">
        <f>(33252)*0.001</f>
        <v>33.252000000000002</v>
      </c>
      <c r="F15" s="186">
        <f>(35125)*0.001</f>
        <v>35.125</v>
      </c>
      <c r="G15" s="41">
        <f>(34399)*0.001</f>
        <v>34.399000000000001</v>
      </c>
      <c r="H15" s="41">
        <f>(32935)*0.001</f>
        <v>32.935000000000002</v>
      </c>
      <c r="I15" s="41">
        <f>(29318)*0.001</f>
        <v>29.318000000000001</v>
      </c>
      <c r="J15" s="186">
        <f>(29551)*0.001</f>
        <v>29.551000000000002</v>
      </c>
      <c r="K15" s="42">
        <f>(26502)*0.001</f>
        <v>26.501999999999999</v>
      </c>
      <c r="L15" s="21">
        <v>46.2</v>
      </c>
      <c r="M15" s="21">
        <v>67</v>
      </c>
      <c r="N15" s="186">
        <v>81</v>
      </c>
      <c r="O15" s="17">
        <v>84.1</v>
      </c>
      <c r="P15" s="17">
        <v>82.3</v>
      </c>
      <c r="Q15" s="21">
        <v>81.2</v>
      </c>
      <c r="R15" s="186">
        <v>83.3</v>
      </c>
      <c r="S15" s="77">
        <v>81.099999999999994</v>
      </c>
      <c r="T15" s="77">
        <v>79.7</v>
      </c>
      <c r="U15" s="77">
        <v>80.400000000000006</v>
      </c>
      <c r="V15" s="186">
        <v>82.8</v>
      </c>
      <c r="W15" s="77">
        <v>83.8</v>
      </c>
      <c r="X15" s="77">
        <v>82.9</v>
      </c>
      <c r="Y15" s="77">
        <v>85.8</v>
      </c>
      <c r="Z15" s="186">
        <v>91.4</v>
      </c>
      <c r="AA15" s="77">
        <v>90.4</v>
      </c>
      <c r="AB15" s="77">
        <v>93</v>
      </c>
      <c r="AC15" s="77">
        <v>94.8</v>
      </c>
      <c r="AD15" s="186">
        <v>99.7</v>
      </c>
      <c r="AE15" s="77">
        <v>97.9</v>
      </c>
      <c r="AF15" s="77">
        <v>93.9</v>
      </c>
      <c r="AG15" s="77">
        <v>98.1</v>
      </c>
      <c r="AH15" s="186">
        <v>100.5</v>
      </c>
      <c r="AI15" s="77">
        <v>96</v>
      </c>
      <c r="AJ15" s="77">
        <v>91.1</v>
      </c>
      <c r="AK15" s="77">
        <v>94.9</v>
      </c>
      <c r="AL15" s="186">
        <v>93.5</v>
      </c>
      <c r="AM15" s="77">
        <v>90.6</v>
      </c>
      <c r="AN15" s="77">
        <v>82.1</v>
      </c>
      <c r="AO15" s="77">
        <v>77.099999999999994</v>
      </c>
      <c r="AP15" s="186">
        <v>73.5</v>
      </c>
      <c r="AQ15" s="77">
        <v>72.599999999999994</v>
      </c>
      <c r="AR15" s="662">
        <v>75</v>
      </c>
      <c r="AS15" s="662">
        <v>77.099999999999994</v>
      </c>
      <c r="AT15" s="186">
        <v>79.8</v>
      </c>
      <c r="AU15" s="77">
        <v>79.8</v>
      </c>
      <c r="AV15" s="675">
        <v>76.3</v>
      </c>
      <c r="AW15" s="675">
        <v>77.7</v>
      </c>
      <c r="AX15" s="216">
        <v>85</v>
      </c>
      <c r="AY15" s="190">
        <v>74.5</v>
      </c>
      <c r="AZ15" s="675">
        <v>75.400000000000006</v>
      </c>
      <c r="BA15" s="675">
        <v>77.7</v>
      </c>
      <c r="BB15" s="216">
        <v>92.2</v>
      </c>
      <c r="BC15" s="190">
        <v>96.6</v>
      </c>
      <c r="BD15" s="675">
        <v>103.7</v>
      </c>
      <c r="BE15" s="675"/>
      <c r="BF15" s="216"/>
    </row>
    <row r="16" spans="1:483" s="7" customFormat="1" ht="20.100000000000001" customHeight="1">
      <c r="A16" s="27" t="s">
        <v>144</v>
      </c>
      <c r="B16" s="108" t="s">
        <v>145</v>
      </c>
      <c r="C16" s="24">
        <v>0</v>
      </c>
      <c r="D16" s="24">
        <v>0</v>
      </c>
      <c r="E16" s="24">
        <v>0</v>
      </c>
      <c r="F16" s="187">
        <v>0</v>
      </c>
      <c r="G16" s="24">
        <v>0</v>
      </c>
      <c r="H16" s="24">
        <v>0</v>
      </c>
      <c r="I16" s="24">
        <v>0</v>
      </c>
      <c r="J16" s="187">
        <v>0</v>
      </c>
      <c r="K16" s="24">
        <v>0</v>
      </c>
      <c r="L16" s="24">
        <v>0</v>
      </c>
      <c r="M16" s="24">
        <v>0</v>
      </c>
      <c r="N16" s="187">
        <v>0</v>
      </c>
      <c r="O16" s="24">
        <v>0</v>
      </c>
      <c r="P16" s="24">
        <v>0</v>
      </c>
      <c r="Q16" s="24">
        <v>0</v>
      </c>
      <c r="R16" s="187">
        <v>0</v>
      </c>
      <c r="S16" s="77">
        <v>180.5</v>
      </c>
      <c r="T16" s="77">
        <v>0</v>
      </c>
      <c r="U16" s="77">
        <v>0</v>
      </c>
      <c r="V16" s="187">
        <v>0</v>
      </c>
      <c r="W16" s="77">
        <v>0</v>
      </c>
      <c r="X16" s="77">
        <v>0</v>
      </c>
      <c r="Y16" s="77">
        <v>0</v>
      </c>
      <c r="Z16" s="187">
        <v>0</v>
      </c>
      <c r="AA16" s="77">
        <v>0</v>
      </c>
      <c r="AB16" s="77">
        <v>0</v>
      </c>
      <c r="AC16" s="77">
        <v>0</v>
      </c>
      <c r="AD16" s="187">
        <v>0</v>
      </c>
      <c r="AE16" s="77">
        <v>0</v>
      </c>
      <c r="AF16" s="77">
        <v>0</v>
      </c>
      <c r="AG16" s="77">
        <v>0</v>
      </c>
      <c r="AH16" s="187">
        <v>0</v>
      </c>
      <c r="AI16" s="77">
        <v>0</v>
      </c>
      <c r="AJ16" s="77">
        <v>0</v>
      </c>
      <c r="AK16" s="77">
        <v>0</v>
      </c>
      <c r="AL16" s="187">
        <v>0</v>
      </c>
      <c r="AM16" s="77">
        <v>0</v>
      </c>
      <c r="AN16" s="77">
        <v>0</v>
      </c>
      <c r="AO16" s="77">
        <v>0</v>
      </c>
      <c r="AP16" s="187">
        <v>0</v>
      </c>
      <c r="AQ16" s="77">
        <v>0</v>
      </c>
      <c r="AR16" s="662">
        <v>0</v>
      </c>
      <c r="AS16" s="662">
        <v>0</v>
      </c>
      <c r="AT16" s="187">
        <v>0</v>
      </c>
      <c r="AU16" s="77">
        <v>0</v>
      </c>
      <c r="AV16" s="662">
        <v>0</v>
      </c>
      <c r="AW16" s="662">
        <v>0</v>
      </c>
      <c r="AX16" s="762">
        <v>0</v>
      </c>
      <c r="AY16" s="190">
        <v>0</v>
      </c>
      <c r="AZ16" s="662">
        <v>0</v>
      </c>
      <c r="BA16" s="662">
        <v>0</v>
      </c>
      <c r="BB16" s="762">
        <v>0</v>
      </c>
      <c r="BC16" s="190">
        <v>0</v>
      </c>
      <c r="BD16" s="662">
        <v>0</v>
      </c>
      <c r="BE16" s="662"/>
      <c r="BF16" s="762"/>
      <c r="BN16" s="714"/>
    </row>
    <row r="17" spans="1:60" s="7" customFormat="1" ht="20.100000000000001" customHeight="1">
      <c r="A17" s="27" t="s">
        <v>146</v>
      </c>
      <c r="B17" s="108" t="s">
        <v>147</v>
      </c>
      <c r="C17" s="24"/>
      <c r="D17" s="24"/>
      <c r="E17" s="24"/>
      <c r="F17" s="187"/>
      <c r="G17" s="24"/>
      <c r="H17" s="24"/>
      <c r="I17" s="24"/>
      <c r="J17" s="187"/>
      <c r="K17" s="24"/>
      <c r="L17" s="24"/>
      <c r="M17" s="24"/>
      <c r="N17" s="187"/>
      <c r="O17" s="24"/>
      <c r="P17" s="24"/>
      <c r="Q17" s="24"/>
      <c r="R17" s="187"/>
      <c r="S17" s="77"/>
      <c r="T17" s="77"/>
      <c r="U17" s="77"/>
      <c r="V17" s="187"/>
      <c r="W17" s="77"/>
      <c r="X17" s="77"/>
      <c r="Y17" s="77"/>
      <c r="Z17" s="187"/>
      <c r="AA17" s="77"/>
      <c r="AB17" s="77"/>
      <c r="AC17" s="77"/>
      <c r="AD17" s="581">
        <v>616.9</v>
      </c>
      <c r="AE17" s="77"/>
      <c r="AF17" s="77"/>
      <c r="AG17" s="77"/>
      <c r="AH17" s="581">
        <v>776.5</v>
      </c>
      <c r="AI17" s="77">
        <v>749.5</v>
      </c>
      <c r="AJ17" s="77">
        <v>747.8</v>
      </c>
      <c r="AK17" s="77">
        <v>791.7</v>
      </c>
      <c r="AL17" s="581">
        <v>832</v>
      </c>
      <c r="AM17" s="77">
        <v>797.7</v>
      </c>
      <c r="AN17" s="77">
        <v>774</v>
      </c>
      <c r="AO17" s="77">
        <v>751.8</v>
      </c>
      <c r="AP17" s="183">
        <v>777.1</v>
      </c>
      <c r="AQ17" s="77">
        <v>748.7</v>
      </c>
      <c r="AR17" s="662">
        <v>775.8</v>
      </c>
      <c r="AS17" s="662">
        <v>839.8</v>
      </c>
      <c r="AT17" s="183">
        <v>930</v>
      </c>
      <c r="AU17" s="190">
        <v>931.1</v>
      </c>
      <c r="AV17" s="675">
        <v>979.3</v>
      </c>
      <c r="AW17" s="675">
        <v>964.2</v>
      </c>
      <c r="AX17" s="216">
        <v>968.1</v>
      </c>
      <c r="AY17" s="190">
        <v>925.7</v>
      </c>
      <c r="AZ17" s="675">
        <v>878.5</v>
      </c>
      <c r="BA17" s="675">
        <v>891.3</v>
      </c>
      <c r="BB17" s="216">
        <v>903.8</v>
      </c>
      <c r="BC17" s="190">
        <v>866.8</v>
      </c>
      <c r="BD17" s="675">
        <v>846.6</v>
      </c>
      <c r="BE17" s="675"/>
      <c r="BF17" s="216"/>
    </row>
    <row r="18" spans="1:60" ht="20.100000000000001" customHeight="1">
      <c r="A18" s="636" t="s">
        <v>148</v>
      </c>
      <c r="B18" s="108" t="s">
        <v>149</v>
      </c>
      <c r="C18" s="202"/>
      <c r="D18" s="202"/>
      <c r="E18" s="202"/>
      <c r="F18" s="201"/>
      <c r="G18" s="202"/>
      <c r="H18" s="202"/>
      <c r="I18" s="202"/>
      <c r="J18" s="201"/>
      <c r="K18" s="202"/>
      <c r="L18" s="202"/>
      <c r="M18" s="202"/>
      <c r="N18" s="201"/>
      <c r="O18" s="202"/>
      <c r="P18" s="202"/>
      <c r="Q18" s="202"/>
      <c r="R18" s="201"/>
      <c r="S18" s="190"/>
      <c r="T18" s="190"/>
      <c r="U18" s="190"/>
      <c r="V18" s="201"/>
      <c r="W18" s="190"/>
      <c r="X18" s="190"/>
      <c r="Y18" s="190"/>
      <c r="Z18" s="201"/>
      <c r="AA18" s="190"/>
      <c r="AB18" s="190"/>
      <c r="AC18" s="190"/>
      <c r="AD18" s="201"/>
      <c r="AE18" s="190"/>
      <c r="AF18" s="190"/>
      <c r="AG18" s="190"/>
      <c r="AH18" s="201"/>
      <c r="AI18" s="190"/>
      <c r="AJ18" s="190"/>
      <c r="AK18" s="190"/>
      <c r="AL18" s="692"/>
      <c r="AM18" s="190"/>
      <c r="AN18" s="190"/>
      <c r="AO18" s="190"/>
      <c r="AP18" s="216">
        <v>57.1</v>
      </c>
      <c r="AQ18" s="190"/>
      <c r="AR18" s="666"/>
      <c r="AS18" s="666"/>
      <c r="AT18" s="216">
        <v>325.60000000000002</v>
      </c>
      <c r="AU18" s="190">
        <v>576.29999999999995</v>
      </c>
      <c r="AV18" s="675">
        <v>758.5</v>
      </c>
      <c r="AW18" s="675">
        <v>117.6</v>
      </c>
      <c r="AX18" s="216">
        <v>10.9</v>
      </c>
      <c r="AY18" s="190">
        <v>11</v>
      </c>
      <c r="AZ18" s="675">
        <v>2.7</v>
      </c>
      <c r="BA18" s="675">
        <v>2.8</v>
      </c>
      <c r="BB18" s="216">
        <v>2.2000000000000002</v>
      </c>
      <c r="BC18" s="190">
        <v>2.4</v>
      </c>
      <c r="BD18" s="675">
        <v>2.4</v>
      </c>
      <c r="BE18" s="675"/>
      <c r="BF18" s="216"/>
    </row>
    <row r="19" spans="1:60" ht="20.100000000000001" customHeight="1">
      <c r="A19" s="636" t="s">
        <v>150</v>
      </c>
      <c r="B19" s="108" t="s">
        <v>151</v>
      </c>
      <c r="C19" s="205">
        <f>92.159</f>
        <v>92.159000000000006</v>
      </c>
      <c r="D19" s="211">
        <f>(84770)*0.001</f>
        <v>84.77</v>
      </c>
      <c r="E19" s="211">
        <f>(116704)*0.001</f>
        <v>116.70400000000001</v>
      </c>
      <c r="F19" s="216">
        <f>(109642)*0.001</f>
        <v>109.642</v>
      </c>
      <c r="G19" s="211">
        <f>(62960)*0.001</f>
        <v>62.96</v>
      </c>
      <c r="H19" s="211">
        <f>(61422)*0.001</f>
        <v>61.422000000000004</v>
      </c>
      <c r="I19" s="211">
        <f>(27107)*0.001</f>
        <v>27.106999999999999</v>
      </c>
      <c r="J19" s="216">
        <f>(20803)*0.001</f>
        <v>20.803000000000001</v>
      </c>
      <c r="K19" s="217">
        <f>(6430)*0.001</f>
        <v>6.43</v>
      </c>
      <c r="L19" s="693">
        <v>107.4</v>
      </c>
      <c r="M19" s="693">
        <v>141.4</v>
      </c>
      <c r="N19" s="216">
        <v>198.5</v>
      </c>
      <c r="O19" s="205">
        <v>238</v>
      </c>
      <c r="P19" s="205">
        <v>232.8</v>
      </c>
      <c r="Q19" s="693">
        <v>232.7</v>
      </c>
      <c r="R19" s="216">
        <v>272.8</v>
      </c>
      <c r="S19" s="190">
        <v>295.39999999999998</v>
      </c>
      <c r="T19" s="190">
        <v>331.8</v>
      </c>
      <c r="U19" s="190">
        <v>373.3</v>
      </c>
      <c r="V19" s="216">
        <v>452</v>
      </c>
      <c r="W19" s="190">
        <v>476.3</v>
      </c>
      <c r="X19" s="190">
        <v>508.1</v>
      </c>
      <c r="Y19" s="190">
        <v>544.20000000000005</v>
      </c>
      <c r="Z19" s="216">
        <v>1270.7</v>
      </c>
      <c r="AA19" s="190">
        <v>1280.5999999999999</v>
      </c>
      <c r="AB19" s="190">
        <v>649.29999999999995</v>
      </c>
      <c r="AC19" s="190">
        <v>647.9</v>
      </c>
      <c r="AD19" s="216">
        <v>84.2</v>
      </c>
      <c r="AE19" s="190">
        <v>714.5</v>
      </c>
      <c r="AF19" s="190">
        <v>781.6</v>
      </c>
      <c r="AG19" s="190">
        <v>830.6</v>
      </c>
      <c r="AH19" s="216">
        <v>1315.8</v>
      </c>
      <c r="AI19" s="190">
        <v>1337.2</v>
      </c>
      <c r="AJ19" s="190">
        <v>1314.7</v>
      </c>
      <c r="AK19" s="190">
        <v>1329.2</v>
      </c>
      <c r="AL19" s="216">
        <v>1283.5999999999999</v>
      </c>
      <c r="AM19" s="190">
        <v>1330.6</v>
      </c>
      <c r="AN19" s="190">
        <v>1799.7</v>
      </c>
      <c r="AO19" s="190">
        <v>1820.5</v>
      </c>
      <c r="AP19" s="216">
        <v>1845.2</v>
      </c>
      <c r="AQ19" s="190">
        <v>2037.6</v>
      </c>
      <c r="AR19" s="666">
        <v>2659.2</v>
      </c>
      <c r="AS19" s="666">
        <v>2285.3000000000002</v>
      </c>
      <c r="AT19" s="694">
        <v>1918</v>
      </c>
      <c r="AU19" s="190">
        <v>1933.7</v>
      </c>
      <c r="AV19" s="676">
        <v>2028.6</v>
      </c>
      <c r="AW19" s="676">
        <v>746.3</v>
      </c>
      <c r="AX19" s="694">
        <v>702.8</v>
      </c>
      <c r="AY19" s="190">
        <v>741.7</v>
      </c>
      <c r="AZ19" s="676">
        <v>790.2</v>
      </c>
      <c r="BA19" s="676">
        <v>804.7</v>
      </c>
      <c r="BB19" s="694">
        <v>83.6</v>
      </c>
      <c r="BC19" s="190">
        <v>78.5</v>
      </c>
      <c r="BD19" s="676">
        <v>130.30000000000001</v>
      </c>
      <c r="BE19" s="676"/>
      <c r="BF19" s="694"/>
    </row>
    <row r="20" spans="1:60" s="743" customFormat="1" ht="27.6">
      <c r="A20" s="695" t="s">
        <v>152</v>
      </c>
      <c r="B20" s="754" t="s">
        <v>153</v>
      </c>
      <c r="C20" s="60"/>
      <c r="D20" s="60"/>
      <c r="E20" s="60"/>
      <c r="F20" s="696"/>
      <c r="G20" s="60"/>
      <c r="H20" s="60"/>
      <c r="I20" s="60"/>
      <c r="J20" s="188"/>
      <c r="K20" s="60"/>
      <c r="L20" s="60"/>
      <c r="M20" s="60"/>
      <c r="N20" s="188"/>
      <c r="O20" s="60"/>
      <c r="P20" s="60"/>
      <c r="Q20" s="60"/>
      <c r="R20" s="188"/>
      <c r="S20" s="60"/>
      <c r="T20" s="60"/>
      <c r="U20" s="60"/>
      <c r="V20" s="774">
        <v>0</v>
      </c>
      <c r="W20" s="60"/>
      <c r="X20" s="60"/>
      <c r="Y20" s="60"/>
      <c r="Z20" s="696">
        <v>665.2</v>
      </c>
      <c r="AA20" s="173">
        <v>681.2</v>
      </c>
      <c r="AB20" s="173">
        <v>40.4</v>
      </c>
      <c r="AC20" s="173">
        <v>36.9</v>
      </c>
      <c r="AD20" s="696">
        <v>43</v>
      </c>
      <c r="AE20" s="173">
        <v>41.3</v>
      </c>
      <c r="AF20" s="60">
        <v>67.5</v>
      </c>
      <c r="AG20" s="173">
        <v>66.2</v>
      </c>
      <c r="AH20" s="696">
        <v>1282.4000000000001</v>
      </c>
      <c r="AI20" s="173">
        <v>1306.0999999999999</v>
      </c>
      <c r="AJ20" s="173">
        <v>1284.0999999999999</v>
      </c>
      <c r="AK20" s="173">
        <v>1298.2</v>
      </c>
      <c r="AL20" s="696">
        <v>1257.8</v>
      </c>
      <c r="AM20" s="173">
        <v>1274.3</v>
      </c>
      <c r="AN20" s="173">
        <v>1740.2</v>
      </c>
      <c r="AO20" s="173">
        <v>1752.6</v>
      </c>
      <c r="AP20" s="583">
        <v>1764.4</v>
      </c>
      <c r="AQ20" s="173">
        <v>1774.8</v>
      </c>
      <c r="AR20" s="663">
        <v>2232.6999999999998</v>
      </c>
      <c r="AS20" s="663">
        <v>1786.1</v>
      </c>
      <c r="AT20" s="697">
        <v>1884.2</v>
      </c>
      <c r="AU20" s="173">
        <v>1904.6</v>
      </c>
      <c r="AV20" s="726">
        <v>1821.8</v>
      </c>
      <c r="AW20" s="726">
        <v>80.5</v>
      </c>
      <c r="AX20" s="765">
        <v>10.1</v>
      </c>
      <c r="AY20" s="173">
        <v>10.1</v>
      </c>
      <c r="AZ20" s="681">
        <v>10.199999999999999</v>
      </c>
      <c r="BA20" s="726">
        <v>9.4</v>
      </c>
      <c r="BB20" s="765">
        <v>0</v>
      </c>
      <c r="BC20" s="173">
        <v>0</v>
      </c>
      <c r="BD20" s="681">
        <v>0</v>
      </c>
      <c r="BE20" s="726"/>
      <c r="BF20" s="765"/>
    </row>
    <row r="21" spans="1:60" s="743" customFormat="1" ht="27.6">
      <c r="A21" s="695" t="s">
        <v>791</v>
      </c>
      <c r="B21" s="754" t="s">
        <v>792</v>
      </c>
      <c r="C21" s="60"/>
      <c r="D21" s="60"/>
      <c r="E21" s="60"/>
      <c r="F21" s="696"/>
      <c r="G21" s="60"/>
      <c r="H21" s="60"/>
      <c r="I21" s="60"/>
      <c r="J21" s="188"/>
      <c r="K21" s="60"/>
      <c r="L21" s="60"/>
      <c r="M21" s="60"/>
      <c r="N21" s="188"/>
      <c r="O21" s="60"/>
      <c r="P21" s="60"/>
      <c r="Q21" s="60"/>
      <c r="R21" s="188"/>
      <c r="S21" s="60"/>
      <c r="T21" s="60"/>
      <c r="U21" s="60"/>
      <c r="V21" s="774"/>
      <c r="W21" s="60"/>
      <c r="X21" s="60"/>
      <c r="Y21" s="60"/>
      <c r="Z21" s="696"/>
      <c r="AA21" s="173"/>
      <c r="AB21" s="173"/>
      <c r="AC21" s="173"/>
      <c r="AD21" s="696"/>
      <c r="AE21" s="78">
        <v>0</v>
      </c>
      <c r="AF21" s="78">
        <v>0</v>
      </c>
      <c r="AG21" s="78">
        <v>0</v>
      </c>
      <c r="AH21" s="775">
        <v>0</v>
      </c>
      <c r="AI21" s="78">
        <v>0</v>
      </c>
      <c r="AJ21" s="78">
        <v>0</v>
      </c>
      <c r="AK21" s="78">
        <v>0</v>
      </c>
      <c r="AL21" s="775">
        <v>0</v>
      </c>
      <c r="AM21" s="78">
        <v>0</v>
      </c>
      <c r="AN21" s="78">
        <v>0</v>
      </c>
      <c r="AO21" s="78">
        <v>0</v>
      </c>
      <c r="AP21" s="775">
        <v>0</v>
      </c>
      <c r="AQ21" s="78">
        <v>0</v>
      </c>
      <c r="AR21" s="665">
        <v>0</v>
      </c>
      <c r="AS21" s="665">
        <v>0</v>
      </c>
      <c r="AT21" s="776">
        <v>1.6</v>
      </c>
      <c r="AU21" s="78">
        <v>0</v>
      </c>
      <c r="AV21" s="665">
        <v>0</v>
      </c>
      <c r="AW21" s="726">
        <v>604.20000000000005</v>
      </c>
      <c r="AX21" s="765">
        <v>615.9</v>
      </c>
      <c r="AY21" s="173">
        <v>652.9</v>
      </c>
      <c r="AZ21" s="681">
        <v>678.4</v>
      </c>
      <c r="BA21" s="681">
        <v>735.9</v>
      </c>
      <c r="BB21" s="765">
        <v>5.5</v>
      </c>
      <c r="BC21" s="173">
        <v>5.6</v>
      </c>
      <c r="BD21" s="681">
        <v>5.6</v>
      </c>
      <c r="BE21" s="681"/>
      <c r="BF21" s="765"/>
    </row>
    <row r="22" spans="1:60" s="15" customFormat="1" ht="20.100000000000001" customHeight="1">
      <c r="A22" s="29" t="s">
        <v>154</v>
      </c>
      <c r="B22" s="109" t="s">
        <v>155</v>
      </c>
      <c r="C22" s="23">
        <v>0</v>
      </c>
      <c r="D22" s="23">
        <v>0</v>
      </c>
      <c r="E22" s="23">
        <v>0</v>
      </c>
      <c r="F22" s="439"/>
      <c r="G22" s="23">
        <v>0</v>
      </c>
      <c r="H22" s="23">
        <v>0</v>
      </c>
      <c r="I22" s="23">
        <v>0</v>
      </c>
      <c r="J22" s="189">
        <v>0</v>
      </c>
      <c r="K22" s="32">
        <v>0</v>
      </c>
      <c r="L22" s="23">
        <v>0</v>
      </c>
      <c r="M22" s="23">
        <v>0</v>
      </c>
      <c r="N22" s="189">
        <v>1.2</v>
      </c>
      <c r="O22" s="23">
        <v>0</v>
      </c>
      <c r="P22" s="23">
        <v>0</v>
      </c>
      <c r="Q22" s="23">
        <v>0</v>
      </c>
      <c r="R22" s="189">
        <v>6.9</v>
      </c>
      <c r="S22" s="78">
        <v>0.6</v>
      </c>
      <c r="T22" s="78">
        <v>0</v>
      </c>
      <c r="U22" s="78">
        <v>3.5</v>
      </c>
      <c r="V22" s="439">
        <v>9.5</v>
      </c>
      <c r="W22" s="78">
        <v>7.8</v>
      </c>
      <c r="X22" s="78">
        <v>4.9000000000000004</v>
      </c>
      <c r="Y22" s="78">
        <v>2.5</v>
      </c>
      <c r="Z22" s="439">
        <v>1.9</v>
      </c>
      <c r="AA22" s="78">
        <v>0.1</v>
      </c>
      <c r="AB22" s="78">
        <v>1.4</v>
      </c>
      <c r="AC22" s="78">
        <v>2.7</v>
      </c>
      <c r="AD22" s="448">
        <v>0</v>
      </c>
      <c r="AE22" s="78">
        <v>0</v>
      </c>
      <c r="AF22" s="78">
        <v>0</v>
      </c>
      <c r="AG22" s="78">
        <v>0.2</v>
      </c>
      <c r="AH22" s="439">
        <v>1.2</v>
      </c>
      <c r="AI22" s="78">
        <v>0</v>
      </c>
      <c r="AJ22" s="78">
        <v>0</v>
      </c>
      <c r="AK22" s="78">
        <v>0</v>
      </c>
      <c r="AL22" s="439">
        <v>0.4</v>
      </c>
      <c r="AM22" s="78">
        <v>2.9</v>
      </c>
      <c r="AN22" s="173">
        <v>4</v>
      </c>
      <c r="AO22" s="78">
        <v>6.5</v>
      </c>
      <c r="AP22" s="582">
        <v>23</v>
      </c>
      <c r="AQ22" s="173">
        <v>23</v>
      </c>
      <c r="AR22" s="663">
        <v>36.9</v>
      </c>
      <c r="AS22" s="663">
        <v>34.4</v>
      </c>
      <c r="AT22" s="690">
        <v>17.399999999999999</v>
      </c>
      <c r="AU22" s="173">
        <v>10.1</v>
      </c>
      <c r="AV22" s="681">
        <v>158.80000000000001</v>
      </c>
      <c r="AW22" s="681">
        <v>8.9</v>
      </c>
      <c r="AX22" s="765">
        <v>35.200000000000003</v>
      </c>
      <c r="AY22" s="173">
        <v>22.2</v>
      </c>
      <c r="AZ22" s="681">
        <v>42.1</v>
      </c>
      <c r="BA22" s="681">
        <v>22.9</v>
      </c>
      <c r="BB22" s="765">
        <v>40.200000000000003</v>
      </c>
      <c r="BC22" s="173">
        <v>29.5</v>
      </c>
      <c r="BD22" s="681">
        <v>45.5</v>
      </c>
      <c r="BE22" s="681"/>
      <c r="BF22" s="765"/>
    </row>
    <row r="23" spans="1:60" s="7" customFormat="1" ht="20.100000000000001" customHeight="1" thickBot="1">
      <c r="A23" s="27" t="s">
        <v>156</v>
      </c>
      <c r="B23" s="105" t="s">
        <v>157</v>
      </c>
      <c r="C23" s="17">
        <f>30.5</f>
        <v>30.5</v>
      </c>
      <c r="D23" s="30">
        <f>(40245)*0.001</f>
        <v>40.244999999999997</v>
      </c>
      <c r="E23" s="30">
        <f>(37018)*0.001</f>
        <v>37.018000000000001</v>
      </c>
      <c r="F23" s="183">
        <f>(31356)*0.001</f>
        <v>31.356000000000002</v>
      </c>
      <c r="G23" s="30">
        <f>(30260)*0.001</f>
        <v>30.26</v>
      </c>
      <c r="H23" s="30">
        <f>(27326)*0.001</f>
        <v>27.326000000000001</v>
      </c>
      <c r="I23" s="30">
        <f>(27552)*0.001</f>
        <v>27.552</v>
      </c>
      <c r="J23" s="183">
        <f>(38854)*0.001</f>
        <v>38.853999999999999</v>
      </c>
      <c r="K23" s="40">
        <f>(34685)*0.001</f>
        <v>34.685000000000002</v>
      </c>
      <c r="L23" s="21">
        <v>240.5</v>
      </c>
      <c r="M23" s="21">
        <v>285.7</v>
      </c>
      <c r="N23" s="183">
        <v>281.10000000000002</v>
      </c>
      <c r="O23" s="17">
        <v>229</v>
      </c>
      <c r="P23" s="17">
        <v>260.89999999999998</v>
      </c>
      <c r="Q23" s="21">
        <v>107.2</v>
      </c>
      <c r="R23" s="183">
        <v>87.6</v>
      </c>
      <c r="S23" s="77">
        <v>211.3</v>
      </c>
      <c r="T23" s="77">
        <v>236.5</v>
      </c>
      <c r="U23" s="77">
        <v>238.4</v>
      </c>
      <c r="V23" s="183">
        <v>232.7</v>
      </c>
      <c r="W23" s="77">
        <v>249.3</v>
      </c>
      <c r="X23" s="77">
        <v>199.9</v>
      </c>
      <c r="Y23" s="77">
        <v>192.1</v>
      </c>
      <c r="Z23" s="183">
        <v>197.2</v>
      </c>
      <c r="AA23" s="77">
        <v>178.4</v>
      </c>
      <c r="AB23" s="77">
        <v>216</v>
      </c>
      <c r="AC23" s="77">
        <v>213</v>
      </c>
      <c r="AD23" s="183">
        <v>259.7</v>
      </c>
      <c r="AE23" s="77">
        <v>258.2</v>
      </c>
      <c r="AF23" s="77">
        <v>260.5</v>
      </c>
      <c r="AG23" s="77">
        <v>267.3</v>
      </c>
      <c r="AH23" s="183">
        <v>241.2</v>
      </c>
      <c r="AI23" s="77">
        <v>243.2</v>
      </c>
      <c r="AJ23" s="77">
        <v>260.7</v>
      </c>
      <c r="AK23" s="77">
        <v>242.5</v>
      </c>
      <c r="AL23" s="183">
        <v>223.2</v>
      </c>
      <c r="AM23" s="77">
        <v>158.6</v>
      </c>
      <c r="AN23" s="77">
        <v>106.6</v>
      </c>
      <c r="AO23" s="77">
        <v>119.2</v>
      </c>
      <c r="AP23" s="183">
        <v>80.2</v>
      </c>
      <c r="AQ23" s="190">
        <v>87.6</v>
      </c>
      <c r="AR23" s="662">
        <v>104.2</v>
      </c>
      <c r="AS23" s="662">
        <v>112.1</v>
      </c>
      <c r="AT23" s="689">
        <v>99.9</v>
      </c>
      <c r="AU23" s="190">
        <v>110.5</v>
      </c>
      <c r="AV23" s="727">
        <v>108.8</v>
      </c>
      <c r="AW23" s="727">
        <v>151.9</v>
      </c>
      <c r="AX23" s="694">
        <v>142.80000000000001</v>
      </c>
      <c r="AY23" s="190">
        <v>157.4</v>
      </c>
      <c r="AZ23" s="727">
        <v>158.19999999999999</v>
      </c>
      <c r="BA23" s="727">
        <v>170.5</v>
      </c>
      <c r="BB23" s="694">
        <v>180.5</v>
      </c>
      <c r="BC23" s="190">
        <v>184.5</v>
      </c>
      <c r="BD23" s="727">
        <v>207.3</v>
      </c>
      <c r="BE23" s="727"/>
      <c r="BF23" s="694"/>
    </row>
    <row r="24" spans="1:60" s="199" customFormat="1" ht="25.2" customHeight="1" thickBot="1">
      <c r="A24" s="373" t="s">
        <v>158</v>
      </c>
      <c r="B24" s="373" t="s">
        <v>159</v>
      </c>
      <c r="C24" s="374">
        <f t="shared" ref="C24:K24" si="0">(SUM(C6:C23))</f>
        <v>4228.9560000000001</v>
      </c>
      <c r="D24" s="375">
        <f t="shared" si="0"/>
        <v>4425.1450000000004</v>
      </c>
      <c r="E24" s="375">
        <f t="shared" si="0"/>
        <v>4456.701</v>
      </c>
      <c r="F24" s="376">
        <f t="shared" si="0"/>
        <v>4476.1480000000001</v>
      </c>
      <c r="G24" s="375">
        <f t="shared" si="0"/>
        <v>4424.8490000000011</v>
      </c>
      <c r="H24" s="375">
        <f t="shared" si="0"/>
        <v>4428.5439999999999</v>
      </c>
      <c r="I24" s="375">
        <f t="shared" si="0"/>
        <v>4436.0960000000005</v>
      </c>
      <c r="J24" s="376">
        <f t="shared" si="0"/>
        <v>4455.8450000000003</v>
      </c>
      <c r="K24" s="374">
        <f t="shared" si="0"/>
        <v>4454.3520000000008</v>
      </c>
      <c r="L24" s="375">
        <f>SUM(L6:L23)</f>
        <v>23391.8</v>
      </c>
      <c r="M24" s="375">
        <f>SUM(M6:M23)</f>
        <v>23581.399999999998</v>
      </c>
      <c r="N24" s="376">
        <f t="shared" ref="N24:Y24" si="1">(SUM(N6:N23))-N22</f>
        <v>23356.1</v>
      </c>
      <c r="O24" s="374">
        <f t="shared" si="1"/>
        <v>23132</v>
      </c>
      <c r="P24" s="375">
        <f t="shared" si="1"/>
        <v>22867.599999999999</v>
      </c>
      <c r="Q24" s="375">
        <f t="shared" si="1"/>
        <v>22396.3</v>
      </c>
      <c r="R24" s="376">
        <f t="shared" si="1"/>
        <v>22261.199999999997</v>
      </c>
      <c r="S24" s="374">
        <f t="shared" si="1"/>
        <v>24489.499999999996</v>
      </c>
      <c r="T24" s="375">
        <f t="shared" si="1"/>
        <v>24377.8</v>
      </c>
      <c r="U24" s="375">
        <f t="shared" si="1"/>
        <v>24047.600000000002</v>
      </c>
      <c r="V24" s="376">
        <f t="shared" si="1"/>
        <v>23958.899999999998</v>
      </c>
      <c r="W24" s="374">
        <f t="shared" si="1"/>
        <v>23642.099999999995</v>
      </c>
      <c r="X24" s="375">
        <f t="shared" si="1"/>
        <v>23454.6</v>
      </c>
      <c r="Y24" s="375">
        <f t="shared" si="1"/>
        <v>23215.999999999996</v>
      </c>
      <c r="Z24" s="376">
        <f>(SUM(Z6:Z23))-Z22-Z20</f>
        <v>23824.5</v>
      </c>
      <c r="AA24" s="374">
        <f>SUM(AA6:AA19,AA23)</f>
        <v>23530.6</v>
      </c>
      <c r="AB24" s="375">
        <f>SUM(AB6:AB19,AB23)</f>
        <v>24924.399999999998</v>
      </c>
      <c r="AC24" s="375">
        <f>SUM(AC6:AC19,AC23)</f>
        <v>25095.3</v>
      </c>
      <c r="AD24" s="376">
        <f>(SUM(AD6:AD23))-AD22-AD20</f>
        <v>25274.100000000002</v>
      </c>
      <c r="AE24" s="374">
        <f>SUM(AE6:AE19,AE23)</f>
        <v>26511.500000000004</v>
      </c>
      <c r="AF24" s="375">
        <f>SUM(AF6:AF19,AF23)</f>
        <v>26473.100000000002</v>
      </c>
      <c r="AG24" s="375">
        <f>SUM(AG6:AG19,AG23)</f>
        <v>26264.3</v>
      </c>
      <c r="AH24" s="376">
        <f>(SUM(AH6:AH23))-AH22-AH20</f>
        <v>27604.7</v>
      </c>
      <c r="AI24" s="374">
        <f>SUM(AI6:AI19,AI23)</f>
        <v>27318.900000000005</v>
      </c>
      <c r="AJ24" s="375">
        <f>SUM(AJ6:AJ19,AJ23)</f>
        <v>27109.599999999995</v>
      </c>
      <c r="AK24" s="375">
        <f>SUM(AK6:AK19,AK23)</f>
        <v>27531.8</v>
      </c>
      <c r="AL24" s="376">
        <f>(SUM(AL6:AL23))-AL22-AL20</f>
        <v>27837.800000000003</v>
      </c>
      <c r="AM24" s="374">
        <f>SUM(AM6:AM19,AM23)</f>
        <v>24265.799999999996</v>
      </c>
      <c r="AN24" s="375">
        <f>SUM(AN6:AN19,AN23)</f>
        <v>23560.399999999994</v>
      </c>
      <c r="AO24" s="375">
        <f>SUM(AO6:AO19,AO23)</f>
        <v>23929.499999999996</v>
      </c>
      <c r="AP24" s="376">
        <f>(SUM(AP6:AP23))-AP22-AP20</f>
        <v>24159.7</v>
      </c>
      <c r="AQ24" s="374">
        <f t="shared" ref="AQ24:BB24" si="2">SUM(AQ6:AQ19,AQ23)</f>
        <v>23871.599999999999</v>
      </c>
      <c r="AR24" s="664">
        <f t="shared" si="2"/>
        <v>25679.300000000003</v>
      </c>
      <c r="AS24" s="375">
        <f t="shared" si="2"/>
        <v>24938.499999999993</v>
      </c>
      <c r="AT24" s="375">
        <f t="shared" si="2"/>
        <v>25775.3</v>
      </c>
      <c r="AU24" s="374">
        <f t="shared" si="2"/>
        <v>25716.600000000002</v>
      </c>
      <c r="AV24" s="664">
        <f t="shared" si="2"/>
        <v>25712.899999999998</v>
      </c>
      <c r="AW24" s="375">
        <f t="shared" si="2"/>
        <v>26583.600000000002</v>
      </c>
      <c r="AX24" s="376">
        <f t="shared" si="2"/>
        <v>28149.199999999997</v>
      </c>
      <c r="AY24" s="374">
        <f t="shared" si="2"/>
        <v>28081.600000000002</v>
      </c>
      <c r="AZ24" s="664">
        <f t="shared" si="2"/>
        <v>28047.200000000008</v>
      </c>
      <c r="BA24" s="664">
        <f t="shared" si="2"/>
        <v>28428.100000000002</v>
      </c>
      <c r="BB24" s="376">
        <f t="shared" si="2"/>
        <v>28441.099999999995</v>
      </c>
      <c r="BC24" s="374">
        <f t="shared" ref="BC24:BD24" si="3">SUM(BC6:BC19,BC23)</f>
        <v>28521.500000000004</v>
      </c>
      <c r="BD24" s="664">
        <f t="shared" si="3"/>
        <v>28952.400000000001</v>
      </c>
      <c r="BE24" s="664"/>
      <c r="BF24" s="376"/>
      <c r="BG24" s="773"/>
      <c r="BH24" s="773"/>
    </row>
    <row r="25" spans="1:60" s="8" customFormat="1" ht="20.100000000000001" customHeight="1">
      <c r="A25" s="27" t="s">
        <v>160</v>
      </c>
      <c r="B25" s="105" t="s">
        <v>161</v>
      </c>
      <c r="C25" s="17">
        <f>176.114</f>
        <v>176.114</v>
      </c>
      <c r="D25" s="30">
        <f>(167251)*0.001</f>
        <v>167.251</v>
      </c>
      <c r="E25" s="30">
        <f>(171461)*0.001</f>
        <v>171.46100000000001</v>
      </c>
      <c r="F25" s="183">
        <f>(141652)*0.001</f>
        <v>141.65200000000002</v>
      </c>
      <c r="G25" s="30">
        <f>(155399)*0.001</f>
        <v>155.399</v>
      </c>
      <c r="H25" s="30">
        <f>(170743)*0.001</f>
        <v>170.74299999999999</v>
      </c>
      <c r="I25" s="30">
        <f>(208533)*0.001</f>
        <v>208.53300000000002</v>
      </c>
      <c r="J25" s="183">
        <f>(181341)*0.001</f>
        <v>181.34100000000001</v>
      </c>
      <c r="K25" s="40">
        <f>(228936)*0.001</f>
        <v>228.93600000000001</v>
      </c>
      <c r="L25" s="21">
        <v>199.1</v>
      </c>
      <c r="M25" s="21">
        <v>172.6</v>
      </c>
      <c r="N25" s="183">
        <v>152.1</v>
      </c>
      <c r="O25" s="17">
        <v>163.1</v>
      </c>
      <c r="P25" s="17">
        <v>170.4</v>
      </c>
      <c r="Q25" s="21">
        <v>255.6</v>
      </c>
      <c r="R25" s="183">
        <v>192.2</v>
      </c>
      <c r="S25" s="77">
        <v>234.7</v>
      </c>
      <c r="T25" s="77">
        <v>163.5</v>
      </c>
      <c r="U25" s="77">
        <v>219.1</v>
      </c>
      <c r="V25" s="183">
        <v>192</v>
      </c>
      <c r="W25" s="77">
        <v>179.8</v>
      </c>
      <c r="X25" s="77">
        <v>214.3</v>
      </c>
      <c r="Y25" s="77">
        <v>243.6</v>
      </c>
      <c r="Z25" s="183">
        <v>251.7</v>
      </c>
      <c r="AA25" s="77">
        <v>256.60000000000002</v>
      </c>
      <c r="AB25" s="77">
        <v>353.2</v>
      </c>
      <c r="AC25" s="77">
        <v>544.5</v>
      </c>
      <c r="AD25" s="183">
        <v>543.20000000000005</v>
      </c>
      <c r="AE25" s="77">
        <v>539.79999999999995</v>
      </c>
      <c r="AF25" s="77">
        <v>538.9</v>
      </c>
      <c r="AG25" s="77">
        <v>552.6</v>
      </c>
      <c r="AH25" s="183">
        <v>512.29999999999995</v>
      </c>
      <c r="AI25" s="77">
        <v>535.20000000000005</v>
      </c>
      <c r="AJ25" s="77">
        <v>516.20000000000005</v>
      </c>
      <c r="AK25" s="77">
        <v>525.9</v>
      </c>
      <c r="AL25" s="183">
        <v>413.2</v>
      </c>
      <c r="AM25" s="77">
        <v>412.7</v>
      </c>
      <c r="AN25" s="77">
        <v>477</v>
      </c>
      <c r="AO25" s="77">
        <v>925.1</v>
      </c>
      <c r="AP25" s="183">
        <v>630.6</v>
      </c>
      <c r="AQ25" s="77">
        <v>826.8</v>
      </c>
      <c r="AR25" s="662">
        <v>678.2</v>
      </c>
      <c r="AS25" s="675">
        <v>829.1</v>
      </c>
      <c r="AT25" s="183">
        <v>699.2</v>
      </c>
      <c r="AU25" s="77">
        <v>769.8</v>
      </c>
      <c r="AV25" s="675">
        <v>722.8</v>
      </c>
      <c r="AW25" s="675">
        <v>752.1</v>
      </c>
      <c r="AX25" s="216">
        <v>678.2</v>
      </c>
      <c r="AY25" s="77">
        <v>674.5</v>
      </c>
      <c r="AZ25" s="675">
        <v>634.1</v>
      </c>
      <c r="BA25" s="675">
        <v>833.9</v>
      </c>
      <c r="BB25" s="216">
        <v>641</v>
      </c>
      <c r="BC25" s="77">
        <v>769.6</v>
      </c>
      <c r="BD25" s="675">
        <v>707.5</v>
      </c>
      <c r="BE25" s="675"/>
      <c r="BF25" s="216"/>
      <c r="BG25" s="798"/>
    </row>
    <row r="26" spans="1:60" s="8" customFormat="1" ht="20.100000000000001" customHeight="1">
      <c r="A26" s="27" t="s">
        <v>162</v>
      </c>
      <c r="B26" s="105" t="s">
        <v>163</v>
      </c>
      <c r="C26" s="17"/>
      <c r="D26" s="30"/>
      <c r="E26" s="30"/>
      <c r="F26" s="183"/>
      <c r="G26" s="30"/>
      <c r="H26" s="30"/>
      <c r="I26" s="30"/>
      <c r="J26" s="183"/>
      <c r="K26" s="40"/>
      <c r="L26" s="21"/>
      <c r="M26" s="21"/>
      <c r="N26" s="183"/>
      <c r="O26" s="17"/>
      <c r="P26" s="17"/>
      <c r="Q26" s="21"/>
      <c r="R26" s="183"/>
      <c r="S26" s="77"/>
      <c r="T26" s="77"/>
      <c r="U26" s="77"/>
      <c r="V26" s="183"/>
      <c r="W26" s="77"/>
      <c r="X26" s="77"/>
      <c r="Y26" s="77"/>
      <c r="Z26" s="183"/>
      <c r="AA26" s="77">
        <v>680.8</v>
      </c>
      <c r="AB26" s="77">
        <v>681.5</v>
      </c>
      <c r="AC26" s="77">
        <v>655.20000000000005</v>
      </c>
      <c r="AD26" s="183">
        <v>648.4</v>
      </c>
      <c r="AE26" s="77">
        <v>657.6</v>
      </c>
      <c r="AF26" s="77">
        <v>651.70000000000005</v>
      </c>
      <c r="AG26" s="77">
        <v>639.20000000000005</v>
      </c>
      <c r="AH26" s="183">
        <v>638.70000000000005</v>
      </c>
      <c r="AI26" s="77">
        <v>628.1</v>
      </c>
      <c r="AJ26" s="77">
        <v>592.5</v>
      </c>
      <c r="AK26" s="77">
        <v>567.5</v>
      </c>
      <c r="AL26" s="183">
        <v>537.70000000000005</v>
      </c>
      <c r="AM26" s="77">
        <v>505.6</v>
      </c>
      <c r="AN26" s="77">
        <v>476.2</v>
      </c>
      <c r="AO26" s="77">
        <v>438.7</v>
      </c>
      <c r="AP26" s="183">
        <v>418</v>
      </c>
      <c r="AQ26" s="77">
        <v>393.8</v>
      </c>
      <c r="AR26" s="662">
        <v>374.1</v>
      </c>
      <c r="AS26" s="675">
        <v>361.5</v>
      </c>
      <c r="AT26" s="183">
        <v>362.9</v>
      </c>
      <c r="AU26" s="77">
        <v>377.5</v>
      </c>
      <c r="AV26" s="675">
        <v>375.3</v>
      </c>
      <c r="AW26" s="675">
        <v>352.2</v>
      </c>
      <c r="AX26" s="216">
        <v>349</v>
      </c>
      <c r="AY26" s="77">
        <v>340.8</v>
      </c>
      <c r="AZ26" s="675">
        <v>336.6</v>
      </c>
      <c r="BA26" s="675">
        <v>337.7</v>
      </c>
      <c r="BB26" s="216">
        <v>342</v>
      </c>
      <c r="BC26" s="77">
        <v>338.5</v>
      </c>
      <c r="BD26" s="675">
        <v>340.6</v>
      </c>
      <c r="BE26" s="675"/>
      <c r="BF26" s="216"/>
      <c r="BG26" s="798"/>
    </row>
    <row r="27" spans="1:60" s="7" customFormat="1" ht="20.100000000000001" customHeight="1">
      <c r="A27" s="27" t="s">
        <v>164</v>
      </c>
      <c r="B27" s="105" t="s">
        <v>165</v>
      </c>
      <c r="C27" s="17">
        <f>185.376</f>
        <v>185.376</v>
      </c>
      <c r="D27" s="30">
        <f>(185528)*0.001</f>
        <v>185.52799999999999</v>
      </c>
      <c r="E27" s="30">
        <f>(177054)*0.001</f>
        <v>177.054</v>
      </c>
      <c r="F27" s="183">
        <f>(161974)*0.001</f>
        <v>161.97399999999999</v>
      </c>
      <c r="G27" s="30">
        <f>(150701)*0.001</f>
        <v>150.70099999999999</v>
      </c>
      <c r="H27" s="30">
        <f>(157445)*0.001</f>
        <v>157.44499999999999</v>
      </c>
      <c r="I27" s="30">
        <f>(155698)*0.001</f>
        <v>155.69800000000001</v>
      </c>
      <c r="J27" s="183">
        <f>(146771)*0.001</f>
        <v>146.77100000000002</v>
      </c>
      <c r="K27" s="40">
        <f>(163072)*0.001</f>
        <v>163.072</v>
      </c>
      <c r="L27" s="16">
        <v>343.8</v>
      </c>
      <c r="M27" s="16">
        <v>316.60000000000002</v>
      </c>
      <c r="N27" s="183">
        <v>301.39999999999998</v>
      </c>
      <c r="O27" s="17">
        <v>252.9</v>
      </c>
      <c r="P27" s="17">
        <v>261.7</v>
      </c>
      <c r="Q27" s="16">
        <v>264.10000000000002</v>
      </c>
      <c r="R27" s="183">
        <v>281</v>
      </c>
      <c r="S27" s="77">
        <v>260.2</v>
      </c>
      <c r="T27" s="77">
        <v>270</v>
      </c>
      <c r="U27" s="77">
        <v>281</v>
      </c>
      <c r="V27" s="183">
        <v>278.7</v>
      </c>
      <c r="W27" s="77">
        <v>237.2</v>
      </c>
      <c r="X27" s="77">
        <v>279</v>
      </c>
      <c r="Y27" s="77">
        <v>295.60000000000002</v>
      </c>
      <c r="Z27" s="183">
        <v>283.7</v>
      </c>
      <c r="AA27" s="76">
        <v>305.3</v>
      </c>
      <c r="AB27" s="77">
        <v>362.1</v>
      </c>
      <c r="AC27" s="77">
        <v>387.6</v>
      </c>
      <c r="AD27" s="183">
        <v>394</v>
      </c>
      <c r="AE27" s="76">
        <v>333.7</v>
      </c>
      <c r="AF27" s="77">
        <v>344.5</v>
      </c>
      <c r="AG27" s="77">
        <v>359.6</v>
      </c>
      <c r="AH27" s="183">
        <v>306.8</v>
      </c>
      <c r="AI27" s="76">
        <v>398.3</v>
      </c>
      <c r="AJ27" s="77">
        <v>502.8</v>
      </c>
      <c r="AK27" s="77">
        <v>409</v>
      </c>
      <c r="AL27" s="183">
        <v>299.39999999999998</v>
      </c>
      <c r="AM27" s="76">
        <v>359.8</v>
      </c>
      <c r="AN27" s="76">
        <v>439.1</v>
      </c>
      <c r="AO27" s="77">
        <v>515</v>
      </c>
      <c r="AP27" s="183">
        <v>595.70000000000005</v>
      </c>
      <c r="AQ27" s="76">
        <v>597.5</v>
      </c>
      <c r="AR27" s="76">
        <v>935.5</v>
      </c>
      <c r="AS27" s="675">
        <v>888.7</v>
      </c>
      <c r="AT27" s="183">
        <v>1162.4000000000001</v>
      </c>
      <c r="AU27" s="76">
        <v>1272.2</v>
      </c>
      <c r="AV27" s="676">
        <v>1269.8</v>
      </c>
      <c r="AW27" s="676">
        <v>1341</v>
      </c>
      <c r="AX27" s="216">
        <v>1215.5999999999999</v>
      </c>
      <c r="AY27" s="76">
        <v>1229.3</v>
      </c>
      <c r="AZ27" s="676">
        <v>1205.9000000000001</v>
      </c>
      <c r="BA27" s="676">
        <v>1106.0999999999999</v>
      </c>
      <c r="BB27" s="216">
        <v>1028</v>
      </c>
      <c r="BC27" s="76">
        <v>1041.2</v>
      </c>
      <c r="BD27" s="676">
        <v>1061.5999999999999</v>
      </c>
      <c r="BE27" s="676"/>
      <c r="BF27" s="216"/>
    </row>
    <row r="28" spans="1:60" ht="20.100000000000001" customHeight="1">
      <c r="A28" s="636" t="s">
        <v>166</v>
      </c>
      <c r="B28" s="108" t="s">
        <v>167</v>
      </c>
      <c r="C28" s="205">
        <f>342.386</f>
        <v>342.38600000000002</v>
      </c>
      <c r="D28" s="211">
        <f>(382365)*0.001</f>
        <v>382.36500000000001</v>
      </c>
      <c r="E28" s="211">
        <f>(376949)*0.001</f>
        <v>376.94900000000001</v>
      </c>
      <c r="F28" s="216">
        <f>(375659)*0.001</f>
        <v>375.65899999999999</v>
      </c>
      <c r="G28" s="211">
        <f>(403593)*0.001</f>
        <v>403.59300000000002</v>
      </c>
      <c r="H28" s="211">
        <f>(410902)*0.001</f>
        <v>410.90199999999999</v>
      </c>
      <c r="I28" s="211">
        <f>(401503)*0.001</f>
        <v>401.50299999999999</v>
      </c>
      <c r="J28" s="216">
        <f>(374424)*0.001</f>
        <v>374.42400000000004</v>
      </c>
      <c r="K28" s="217">
        <f>(398589)*0.001</f>
        <v>398.589</v>
      </c>
      <c r="L28" s="208">
        <v>1374.4</v>
      </c>
      <c r="M28" s="208">
        <v>1369.9</v>
      </c>
      <c r="N28" s="216">
        <v>1453.4</v>
      </c>
      <c r="O28" s="205">
        <v>1599.5</v>
      </c>
      <c r="P28" s="205">
        <v>1988.6</v>
      </c>
      <c r="Q28" s="208">
        <v>1699.4</v>
      </c>
      <c r="R28" s="216">
        <v>1619.1</v>
      </c>
      <c r="S28" s="190">
        <v>1503.9</v>
      </c>
      <c r="T28" s="190">
        <v>1541.1</v>
      </c>
      <c r="U28" s="190">
        <v>1571.8</v>
      </c>
      <c r="V28" s="216">
        <v>1688</v>
      </c>
      <c r="W28" s="190">
        <v>1608.5</v>
      </c>
      <c r="X28" s="190">
        <v>1727</v>
      </c>
      <c r="Y28" s="190">
        <v>1758.5</v>
      </c>
      <c r="Z28" s="216">
        <v>1983.2</v>
      </c>
      <c r="AA28" s="190">
        <v>1990.7</v>
      </c>
      <c r="AB28" s="190">
        <v>2161.3000000000002</v>
      </c>
      <c r="AC28" s="190">
        <v>2197.3000000000002</v>
      </c>
      <c r="AD28" s="216">
        <v>2370.4</v>
      </c>
      <c r="AE28" s="190">
        <v>2334.6999999999998</v>
      </c>
      <c r="AF28" s="190">
        <v>2284.4</v>
      </c>
      <c r="AG28" s="190">
        <v>2291.6</v>
      </c>
      <c r="AH28" s="216">
        <v>2511.6</v>
      </c>
      <c r="AI28" s="190">
        <v>2335.9</v>
      </c>
      <c r="AJ28" s="190">
        <v>2298.1</v>
      </c>
      <c r="AK28" s="190">
        <v>2348.1999999999998</v>
      </c>
      <c r="AL28" s="216">
        <v>2390.4</v>
      </c>
      <c r="AM28" s="190">
        <v>2387.4</v>
      </c>
      <c r="AN28" s="190">
        <v>2441.5</v>
      </c>
      <c r="AO28" s="190">
        <v>2413.9</v>
      </c>
      <c r="AP28" s="216">
        <v>2435</v>
      </c>
      <c r="AQ28" s="698">
        <v>2424.3000000000002</v>
      </c>
      <c r="AR28" s="698">
        <v>2623.1</v>
      </c>
      <c r="AS28" s="698">
        <v>2669.6</v>
      </c>
      <c r="AT28" s="216">
        <v>2751.3</v>
      </c>
      <c r="AU28" s="698">
        <v>2614.1999999999998</v>
      </c>
      <c r="AV28" s="676">
        <v>2565.5</v>
      </c>
      <c r="AW28" s="676">
        <v>3022.5</v>
      </c>
      <c r="AX28" s="216">
        <v>2947.1</v>
      </c>
      <c r="AY28" s="698">
        <v>2914.1</v>
      </c>
      <c r="AZ28" s="676">
        <v>3007</v>
      </c>
      <c r="BA28" s="676">
        <v>2910.3</v>
      </c>
      <c r="BB28" s="216">
        <v>3052.7</v>
      </c>
      <c r="BC28" s="698">
        <v>3072.7</v>
      </c>
      <c r="BD28" s="676">
        <v>2982.5</v>
      </c>
      <c r="BE28" s="676"/>
      <c r="BF28" s="216"/>
    </row>
    <row r="29" spans="1:60" ht="20.100000000000001" customHeight="1">
      <c r="A29" s="636" t="s">
        <v>168</v>
      </c>
      <c r="B29" s="108" t="s">
        <v>169</v>
      </c>
      <c r="C29" s="205">
        <f>1.102</f>
        <v>1.1020000000000001</v>
      </c>
      <c r="D29" s="220">
        <f>0</f>
        <v>0</v>
      </c>
      <c r="E29" s="220">
        <f>0</f>
        <v>0</v>
      </c>
      <c r="F29" s="219">
        <f>0</f>
        <v>0</v>
      </c>
      <c r="G29" s="220">
        <f>0</f>
        <v>0</v>
      </c>
      <c r="H29" s="220">
        <f>0</f>
        <v>0</v>
      </c>
      <c r="I29" s="220">
        <f>0</f>
        <v>0</v>
      </c>
      <c r="J29" s="219">
        <v>0</v>
      </c>
      <c r="K29" s="221">
        <v>0</v>
      </c>
      <c r="L29" s="202">
        <v>0</v>
      </c>
      <c r="M29" s="202">
        <v>0</v>
      </c>
      <c r="N29" s="219" t="e">
        <f>0*($A$88)</f>
        <v>#VALUE!</v>
      </c>
      <c r="O29" s="220" t="e">
        <f>0*($A$88)</f>
        <v>#VALUE!</v>
      </c>
      <c r="P29" s="220">
        <v>0</v>
      </c>
      <c r="Q29" s="202">
        <v>0</v>
      </c>
      <c r="R29" s="219">
        <v>0</v>
      </c>
      <c r="S29" s="699">
        <v>0</v>
      </c>
      <c r="T29" s="699">
        <v>0</v>
      </c>
      <c r="U29" s="699">
        <v>0</v>
      </c>
      <c r="V29" s="219">
        <v>0</v>
      </c>
      <c r="W29" s="699">
        <v>0</v>
      </c>
      <c r="X29" s="699">
        <v>0</v>
      </c>
      <c r="Y29" s="699">
        <v>0</v>
      </c>
      <c r="Z29" s="219">
        <v>0</v>
      </c>
      <c r="AA29" s="190">
        <v>0</v>
      </c>
      <c r="AB29" s="700">
        <v>0</v>
      </c>
      <c r="AC29" s="190">
        <v>0</v>
      </c>
      <c r="AD29" s="219">
        <v>0</v>
      </c>
      <c r="AE29" s="190">
        <v>0</v>
      </c>
      <c r="AF29" s="699">
        <v>0</v>
      </c>
      <c r="AG29" s="190">
        <v>0</v>
      </c>
      <c r="AH29" s="219">
        <v>0</v>
      </c>
      <c r="AI29" s="190">
        <v>0</v>
      </c>
      <c r="AJ29" s="699">
        <v>0</v>
      </c>
      <c r="AK29" s="190">
        <v>0</v>
      </c>
      <c r="AL29" s="219">
        <v>0</v>
      </c>
      <c r="AM29" s="190">
        <v>0</v>
      </c>
      <c r="AN29" s="190">
        <v>0</v>
      </c>
      <c r="AO29" s="190">
        <v>0</v>
      </c>
      <c r="AP29" s="216">
        <v>15.3</v>
      </c>
      <c r="AQ29" s="701">
        <v>0</v>
      </c>
      <c r="AR29" s="702">
        <v>0</v>
      </c>
      <c r="AS29" s="702">
        <v>0</v>
      </c>
      <c r="AT29" s="216">
        <v>250.5</v>
      </c>
      <c r="AU29" s="698">
        <v>86.2</v>
      </c>
      <c r="AV29" s="675">
        <v>19.3</v>
      </c>
      <c r="AW29" s="675">
        <v>19.399999999999999</v>
      </c>
      <c r="AX29" s="216">
        <v>116.2</v>
      </c>
      <c r="AY29" s="698">
        <v>117.7</v>
      </c>
      <c r="AZ29" s="675">
        <v>13.4</v>
      </c>
      <c r="BA29" s="675">
        <v>22.3</v>
      </c>
      <c r="BB29" s="216">
        <v>22.8</v>
      </c>
      <c r="BC29" s="698">
        <v>23.1</v>
      </c>
      <c r="BD29" s="675">
        <v>23.7</v>
      </c>
      <c r="BE29" s="675"/>
      <c r="BF29" s="216"/>
    </row>
    <row r="30" spans="1:60" s="7" customFormat="1" ht="20.100000000000001" customHeight="1">
      <c r="A30" s="27" t="s">
        <v>170</v>
      </c>
      <c r="B30" s="105" t="s">
        <v>171</v>
      </c>
      <c r="C30" s="17">
        <f>9.894</f>
        <v>9.8940000000000001</v>
      </c>
      <c r="D30" s="30">
        <f>(263)*0.001</f>
        <v>0.26300000000000001</v>
      </c>
      <c r="E30" s="30">
        <f>(321)*0.001</f>
        <v>0.32100000000000001</v>
      </c>
      <c r="F30" s="183">
        <f>(6494)*0.001</f>
        <v>6.4939999999999998</v>
      </c>
      <c r="G30" s="30">
        <f>(1372)*0.001</f>
        <v>1.3720000000000001</v>
      </c>
      <c r="H30" s="30">
        <f>(1952)*0.001</f>
        <v>1.952</v>
      </c>
      <c r="I30" s="30">
        <f>(1195)*0.001</f>
        <v>1.1950000000000001</v>
      </c>
      <c r="J30" s="183">
        <f>(183)*0.001</f>
        <v>0.183</v>
      </c>
      <c r="K30" s="40">
        <f>(365)*0.001</f>
        <v>0.36499999999999999</v>
      </c>
      <c r="L30" s="16">
        <v>28</v>
      </c>
      <c r="M30" s="16">
        <v>26</v>
      </c>
      <c r="N30" s="183">
        <v>26</v>
      </c>
      <c r="O30" s="17">
        <v>28.9</v>
      </c>
      <c r="P30" s="17">
        <v>1.5</v>
      </c>
      <c r="Q30" s="16">
        <v>0.7</v>
      </c>
      <c r="R30" s="183">
        <v>0.7</v>
      </c>
      <c r="S30" s="77">
        <v>1.9</v>
      </c>
      <c r="T30" s="77">
        <v>1.4</v>
      </c>
      <c r="U30" s="77">
        <v>0.9</v>
      </c>
      <c r="V30" s="183">
        <v>29.1</v>
      </c>
      <c r="W30" s="77">
        <v>30.3</v>
      </c>
      <c r="X30" s="77">
        <v>17</v>
      </c>
      <c r="Y30" s="77">
        <v>25.3</v>
      </c>
      <c r="Z30" s="183">
        <v>1.3</v>
      </c>
      <c r="AA30" s="77">
        <v>55.8</v>
      </c>
      <c r="AB30" s="77">
        <v>68.7</v>
      </c>
      <c r="AC30" s="77">
        <v>65.400000000000006</v>
      </c>
      <c r="AD30" s="183">
        <v>34.6</v>
      </c>
      <c r="AE30" s="77">
        <v>36.799999999999997</v>
      </c>
      <c r="AF30" s="77">
        <v>5.6</v>
      </c>
      <c r="AG30" s="77">
        <v>4.5</v>
      </c>
      <c r="AH30" s="183">
        <v>4.8</v>
      </c>
      <c r="AI30" s="77">
        <v>7.1</v>
      </c>
      <c r="AJ30" s="77">
        <v>4.7</v>
      </c>
      <c r="AK30" s="77">
        <v>4.8</v>
      </c>
      <c r="AL30" s="183">
        <v>9</v>
      </c>
      <c r="AM30" s="77">
        <v>9.4</v>
      </c>
      <c r="AN30" s="77">
        <v>11.8</v>
      </c>
      <c r="AO30" s="77">
        <v>4.5999999999999996</v>
      </c>
      <c r="AP30" s="183">
        <v>4.5</v>
      </c>
      <c r="AQ30" s="77">
        <v>15.2</v>
      </c>
      <c r="AR30" s="662">
        <v>16.600000000000001</v>
      </c>
      <c r="AS30" s="677">
        <v>3.6</v>
      </c>
      <c r="AT30" s="183">
        <v>5</v>
      </c>
      <c r="AU30" s="77">
        <v>5.8</v>
      </c>
      <c r="AV30" s="675">
        <v>9.1</v>
      </c>
      <c r="AW30" s="675">
        <v>1.3</v>
      </c>
      <c r="AX30" s="216">
        <v>20</v>
      </c>
      <c r="AY30" s="77">
        <v>28</v>
      </c>
      <c r="AZ30" s="675">
        <v>25.3</v>
      </c>
      <c r="BA30" s="675">
        <v>3.5</v>
      </c>
      <c r="BB30" s="216">
        <v>34.299999999999997</v>
      </c>
      <c r="BC30" s="77">
        <v>51.1</v>
      </c>
      <c r="BD30" s="675">
        <v>5.9</v>
      </c>
      <c r="BE30" s="675"/>
      <c r="BF30" s="216"/>
    </row>
    <row r="31" spans="1:60" s="7" customFormat="1" ht="20.100000000000001" customHeight="1">
      <c r="A31" s="27" t="s">
        <v>172</v>
      </c>
      <c r="B31" s="105" t="s">
        <v>173</v>
      </c>
      <c r="C31" s="18">
        <v>0</v>
      </c>
      <c r="D31" s="30">
        <f>(53916)*0.001</f>
        <v>53.916000000000004</v>
      </c>
      <c r="E31" s="30">
        <f>(54038)*0.001</f>
        <v>54.038000000000004</v>
      </c>
      <c r="F31" s="183">
        <f>(57096)*0.001</f>
        <v>57.096000000000004</v>
      </c>
      <c r="G31" s="30">
        <f>(60035)*0.001</f>
        <v>60.035000000000004</v>
      </c>
      <c r="H31" s="30">
        <f>(63564)*0.001</f>
        <v>63.564</v>
      </c>
      <c r="I31" s="30">
        <f>(65852)*0.001</f>
        <v>65.852000000000004</v>
      </c>
      <c r="J31" s="183">
        <f>(70055)*0.001</f>
        <v>70.055000000000007</v>
      </c>
      <c r="K31" s="40">
        <f>(70958)*0.001</f>
        <v>70.957999999999998</v>
      </c>
      <c r="L31" s="16">
        <v>91.2</v>
      </c>
      <c r="M31" s="16">
        <v>117.3</v>
      </c>
      <c r="N31" s="183">
        <v>141.69999999999999</v>
      </c>
      <c r="O31" s="17">
        <v>165.3</v>
      </c>
      <c r="P31" s="17">
        <v>186.1</v>
      </c>
      <c r="Q31" s="16">
        <v>200.4</v>
      </c>
      <c r="R31" s="183">
        <v>212.7</v>
      </c>
      <c r="S31" s="77">
        <v>213.3</v>
      </c>
      <c r="T31" s="77">
        <v>209.1</v>
      </c>
      <c r="U31" s="77">
        <v>207.6</v>
      </c>
      <c r="V31" s="183">
        <v>207.2</v>
      </c>
      <c r="W31" s="77">
        <v>205.7</v>
      </c>
      <c r="X31" s="77">
        <v>202.3</v>
      </c>
      <c r="Y31" s="77">
        <v>203.5</v>
      </c>
      <c r="Z31" s="183">
        <v>207.9</v>
      </c>
      <c r="AA31" s="77">
        <v>206.9</v>
      </c>
      <c r="AB31" s="77">
        <v>230.1</v>
      </c>
      <c r="AC31" s="77">
        <v>230.1</v>
      </c>
      <c r="AD31" s="183">
        <v>218.5</v>
      </c>
      <c r="AE31" s="77">
        <v>221.6</v>
      </c>
      <c r="AF31" s="77">
        <v>221.7</v>
      </c>
      <c r="AG31" s="77">
        <v>227.5</v>
      </c>
      <c r="AH31" s="183">
        <v>225.7</v>
      </c>
      <c r="AI31" s="77">
        <v>222.1</v>
      </c>
      <c r="AJ31" s="77">
        <v>221.4</v>
      </c>
      <c r="AK31" s="77">
        <v>218.5</v>
      </c>
      <c r="AL31" s="183">
        <v>222.4</v>
      </c>
      <c r="AM31" s="77">
        <v>222.9</v>
      </c>
      <c r="AN31" s="77">
        <v>222.5</v>
      </c>
      <c r="AO31" s="77">
        <v>223.8</v>
      </c>
      <c r="AP31" s="183">
        <v>226.8</v>
      </c>
      <c r="AQ31" s="77">
        <v>221.2</v>
      </c>
      <c r="AR31" s="662">
        <v>220</v>
      </c>
      <c r="AS31" s="675">
        <v>216.6</v>
      </c>
      <c r="AT31" s="183">
        <v>217.3</v>
      </c>
      <c r="AU31" s="77">
        <v>214.8</v>
      </c>
      <c r="AV31" s="675">
        <v>213.5</v>
      </c>
      <c r="AW31" s="675">
        <v>226.3</v>
      </c>
      <c r="AX31" s="216">
        <v>227.4</v>
      </c>
      <c r="AY31" s="77">
        <v>241</v>
      </c>
      <c r="AZ31" s="675">
        <v>244.1</v>
      </c>
      <c r="BA31" s="675">
        <v>251.8</v>
      </c>
      <c r="BB31" s="216">
        <v>245.4</v>
      </c>
      <c r="BC31" s="77">
        <v>238.3</v>
      </c>
      <c r="BD31" s="675">
        <v>236.4</v>
      </c>
      <c r="BE31" s="675"/>
      <c r="BF31" s="216"/>
    </row>
    <row r="32" spans="1:60" s="7" customFormat="1" ht="20.100000000000001" customHeight="1">
      <c r="A32" s="27" t="s">
        <v>174</v>
      </c>
      <c r="B32" s="105" t="s">
        <v>175</v>
      </c>
      <c r="C32" s="17">
        <f>136.299</f>
        <v>136.29900000000001</v>
      </c>
      <c r="D32" s="30">
        <f>(73814)*0.001</f>
        <v>73.814000000000007</v>
      </c>
      <c r="E32" s="30">
        <f>(53239)*0.001</f>
        <v>53.239000000000004</v>
      </c>
      <c r="F32" s="183">
        <f>(71968)*0.001</f>
        <v>71.968000000000004</v>
      </c>
      <c r="G32" s="30">
        <f>(109187)*0.001</f>
        <v>109.187</v>
      </c>
      <c r="H32" s="30">
        <f>(93754)*0.001</f>
        <v>93.754000000000005</v>
      </c>
      <c r="I32" s="30">
        <f>(113708)*0.001</f>
        <v>113.708</v>
      </c>
      <c r="J32" s="183">
        <f>(105360)*0.001</f>
        <v>105.36</v>
      </c>
      <c r="K32" s="40">
        <f>(106732)*0.001</f>
        <v>106.732</v>
      </c>
      <c r="L32" s="16">
        <v>221.9</v>
      </c>
      <c r="M32" s="16">
        <v>224.2</v>
      </c>
      <c r="N32" s="183">
        <v>160.1</v>
      </c>
      <c r="O32" s="17">
        <v>212.9</v>
      </c>
      <c r="P32" s="17">
        <v>226.2</v>
      </c>
      <c r="Q32" s="16">
        <v>255</v>
      </c>
      <c r="R32" s="183">
        <v>399.5</v>
      </c>
      <c r="S32" s="77">
        <v>69.599999999999994</v>
      </c>
      <c r="T32" s="77">
        <v>62.8</v>
      </c>
      <c r="U32" s="77">
        <v>54.9</v>
      </c>
      <c r="V32" s="183">
        <v>38.700000000000003</v>
      </c>
      <c r="W32" s="77">
        <v>72.3</v>
      </c>
      <c r="X32" s="77">
        <v>60.7</v>
      </c>
      <c r="Y32" s="77">
        <v>61.7</v>
      </c>
      <c r="Z32" s="183">
        <v>31.7</v>
      </c>
      <c r="AA32" s="77">
        <v>70.2</v>
      </c>
      <c r="AB32" s="77">
        <v>82.5</v>
      </c>
      <c r="AC32" s="77">
        <v>56.8</v>
      </c>
      <c r="AD32" s="183">
        <v>34.9</v>
      </c>
      <c r="AE32" s="77">
        <v>71.099999999999994</v>
      </c>
      <c r="AF32" s="77">
        <v>55.5</v>
      </c>
      <c r="AG32" s="77">
        <v>52.2</v>
      </c>
      <c r="AH32" s="183">
        <v>31.9</v>
      </c>
      <c r="AI32" s="77">
        <v>72.3</v>
      </c>
      <c r="AJ32" s="77">
        <v>57</v>
      </c>
      <c r="AK32" s="77">
        <v>44.2</v>
      </c>
      <c r="AL32" s="183">
        <v>39.299999999999997</v>
      </c>
      <c r="AM32" s="77">
        <v>57.7</v>
      </c>
      <c r="AN32" s="77">
        <v>44.2</v>
      </c>
      <c r="AO32" s="77">
        <v>44.5</v>
      </c>
      <c r="AP32" s="183">
        <v>107.1</v>
      </c>
      <c r="AQ32" s="77">
        <v>191.1</v>
      </c>
      <c r="AR32" s="662">
        <v>225.2</v>
      </c>
      <c r="AS32" s="675">
        <v>182.5</v>
      </c>
      <c r="AT32" s="183">
        <v>137.19999999999999</v>
      </c>
      <c r="AU32" s="77">
        <v>152.4</v>
      </c>
      <c r="AV32" s="675">
        <v>148.69999999999999</v>
      </c>
      <c r="AW32" s="725">
        <v>158.69999999999999</v>
      </c>
      <c r="AX32" s="216">
        <v>139.69999999999999</v>
      </c>
      <c r="AY32" s="77">
        <v>207</v>
      </c>
      <c r="AZ32" s="675">
        <v>177.6</v>
      </c>
      <c r="BA32" s="725">
        <v>177.9</v>
      </c>
      <c r="BB32" s="216">
        <v>970.3</v>
      </c>
      <c r="BC32" s="77">
        <v>208.4</v>
      </c>
      <c r="BD32" s="675">
        <v>168.3</v>
      </c>
      <c r="BE32" s="725"/>
      <c r="BF32" s="216"/>
    </row>
    <row r="33" spans="1:58" s="7" customFormat="1" ht="20.100000000000001" customHeight="1">
      <c r="A33" s="29" t="s">
        <v>777</v>
      </c>
      <c r="B33" s="109" t="s">
        <v>778</v>
      </c>
      <c r="C33" s="17"/>
      <c r="D33" s="30"/>
      <c r="E33" s="30"/>
      <c r="F33" s="183"/>
      <c r="G33" s="30"/>
      <c r="H33" s="30"/>
      <c r="I33" s="30"/>
      <c r="J33" s="183"/>
      <c r="K33" s="40"/>
      <c r="L33" s="16"/>
      <c r="M33" s="16"/>
      <c r="N33" s="183"/>
      <c r="O33" s="17"/>
      <c r="P33" s="17"/>
      <c r="Q33" s="16"/>
      <c r="R33" s="183"/>
      <c r="S33" s="77"/>
      <c r="T33" s="77"/>
      <c r="U33" s="77"/>
      <c r="V33" s="183"/>
      <c r="W33" s="77"/>
      <c r="X33" s="77"/>
      <c r="Y33" s="77"/>
      <c r="Z33" s="183"/>
      <c r="AA33" s="77"/>
      <c r="AB33" s="77"/>
      <c r="AC33" s="77"/>
      <c r="AD33" s="183"/>
      <c r="AE33" s="78">
        <v>0</v>
      </c>
      <c r="AF33" s="78">
        <v>0</v>
      </c>
      <c r="AG33" s="77">
        <v>0</v>
      </c>
      <c r="AH33" s="185">
        <v>0</v>
      </c>
      <c r="AI33" s="78">
        <v>0</v>
      </c>
      <c r="AJ33" s="78">
        <v>0</v>
      </c>
      <c r="AK33" s="77">
        <v>0</v>
      </c>
      <c r="AL33" s="185">
        <v>0</v>
      </c>
      <c r="AM33" s="78">
        <v>0</v>
      </c>
      <c r="AN33" s="78">
        <v>0</v>
      </c>
      <c r="AO33" s="77">
        <v>0</v>
      </c>
      <c r="AP33" s="185">
        <v>0</v>
      </c>
      <c r="AQ33" s="78">
        <v>0</v>
      </c>
      <c r="AR33" s="78">
        <v>0</v>
      </c>
      <c r="AS33" s="77">
        <v>0</v>
      </c>
      <c r="AT33" s="185">
        <v>0</v>
      </c>
      <c r="AU33" s="78">
        <v>0</v>
      </c>
      <c r="AV33" s="78">
        <v>0</v>
      </c>
      <c r="AW33" s="77">
        <v>0</v>
      </c>
      <c r="AX33" s="185">
        <v>0</v>
      </c>
      <c r="AY33" s="78">
        <v>0</v>
      </c>
      <c r="AZ33" s="78">
        <v>0</v>
      </c>
      <c r="BA33" s="77">
        <v>0</v>
      </c>
      <c r="BB33" s="696">
        <v>808.6</v>
      </c>
      <c r="BC33" s="78">
        <v>0</v>
      </c>
      <c r="BD33" s="78">
        <v>0</v>
      </c>
      <c r="BE33" s="77"/>
      <c r="BF33" s="696"/>
    </row>
    <row r="34" spans="1:58" s="15" customFormat="1" ht="20.100000000000001" customHeight="1">
      <c r="A34" s="29" t="s">
        <v>154</v>
      </c>
      <c r="B34" s="109" t="s">
        <v>176</v>
      </c>
      <c r="C34" s="18">
        <v>0</v>
      </c>
      <c r="D34" s="18">
        <f>0</f>
        <v>0</v>
      </c>
      <c r="E34" s="18">
        <v>0</v>
      </c>
      <c r="F34" s="185">
        <f>0</f>
        <v>0</v>
      </c>
      <c r="G34" s="18">
        <f>0</f>
        <v>0</v>
      </c>
      <c r="H34" s="18">
        <v>0</v>
      </c>
      <c r="I34" s="18">
        <f>0</f>
        <v>0</v>
      </c>
      <c r="J34" s="185">
        <v>0</v>
      </c>
      <c r="K34" s="31">
        <v>0</v>
      </c>
      <c r="L34" s="18" t="e">
        <f>0*($A$88)</f>
        <v>#VALUE!</v>
      </c>
      <c r="M34" s="18" t="e">
        <f>0*($A$88)</f>
        <v>#VALUE!</v>
      </c>
      <c r="N34" s="185">
        <v>22.2</v>
      </c>
      <c r="O34" s="22">
        <v>26.3</v>
      </c>
      <c r="P34" s="22">
        <v>27.3</v>
      </c>
      <c r="Q34" s="25">
        <v>3.8</v>
      </c>
      <c r="R34" s="185">
        <v>10.5</v>
      </c>
      <c r="S34" s="78">
        <v>0.2</v>
      </c>
      <c r="T34" s="78">
        <v>3.6</v>
      </c>
      <c r="U34" s="78">
        <v>4.8</v>
      </c>
      <c r="V34" s="185">
        <v>6.7</v>
      </c>
      <c r="W34" s="78">
        <v>4.9000000000000004</v>
      </c>
      <c r="X34" s="78">
        <v>5.3</v>
      </c>
      <c r="Y34" s="78">
        <v>6.4</v>
      </c>
      <c r="Z34" s="185">
        <v>5.0999999999999996</v>
      </c>
      <c r="AA34" s="78">
        <v>2.7</v>
      </c>
      <c r="AB34" s="78">
        <v>1.6</v>
      </c>
      <c r="AC34" s="78">
        <v>0.4</v>
      </c>
      <c r="AD34" s="185">
        <v>0</v>
      </c>
      <c r="AE34" s="78">
        <v>0</v>
      </c>
      <c r="AF34" s="78">
        <v>0</v>
      </c>
      <c r="AG34" s="77">
        <v>0</v>
      </c>
      <c r="AH34" s="185">
        <v>0.2</v>
      </c>
      <c r="AI34" s="78">
        <v>0</v>
      </c>
      <c r="AJ34" s="78">
        <v>0.2</v>
      </c>
      <c r="AK34" s="78">
        <v>0</v>
      </c>
      <c r="AL34" s="583">
        <v>2</v>
      </c>
      <c r="AM34" s="78">
        <v>1.6</v>
      </c>
      <c r="AN34" s="173">
        <v>1.6</v>
      </c>
      <c r="AO34" s="78">
        <v>3.6</v>
      </c>
      <c r="AP34" s="583">
        <v>60.9</v>
      </c>
      <c r="AQ34" s="173">
        <v>108.8</v>
      </c>
      <c r="AR34" s="663">
        <v>138.80000000000001</v>
      </c>
      <c r="AS34" s="681">
        <v>99.3</v>
      </c>
      <c r="AT34" s="582">
        <v>63.9</v>
      </c>
      <c r="AU34" s="173">
        <v>36.5</v>
      </c>
      <c r="AV34" s="681">
        <v>29.6</v>
      </c>
      <c r="AW34" s="748">
        <v>12</v>
      </c>
      <c r="AX34" s="696">
        <v>21.6</v>
      </c>
      <c r="AY34" s="173">
        <v>33.9</v>
      </c>
      <c r="AZ34" s="681">
        <v>39.200000000000003</v>
      </c>
      <c r="BA34" s="748">
        <v>36.4</v>
      </c>
      <c r="BB34" s="696">
        <v>40.4</v>
      </c>
      <c r="BC34" s="173">
        <v>38.200000000000003</v>
      </c>
      <c r="BD34" s="681">
        <v>23.9</v>
      </c>
      <c r="BE34" s="748"/>
      <c r="BF34" s="696"/>
    </row>
    <row r="35" spans="1:58" s="7" customFormat="1" ht="20.100000000000001" customHeight="1">
      <c r="A35" s="27" t="s">
        <v>177</v>
      </c>
      <c r="B35" s="105" t="s">
        <v>178</v>
      </c>
      <c r="C35" s="18">
        <v>0</v>
      </c>
      <c r="D35" s="18">
        <f>0</f>
        <v>0</v>
      </c>
      <c r="E35" s="18">
        <v>0</v>
      </c>
      <c r="F35" s="185">
        <v>0</v>
      </c>
      <c r="G35" s="18">
        <f>0</f>
        <v>0</v>
      </c>
      <c r="H35" s="18">
        <v>0</v>
      </c>
      <c r="I35" s="18">
        <f>0</f>
        <v>0</v>
      </c>
      <c r="J35" s="185">
        <v>0</v>
      </c>
      <c r="K35" s="31">
        <v>0</v>
      </c>
      <c r="L35" s="26">
        <v>270</v>
      </c>
      <c r="M35" s="26">
        <v>30</v>
      </c>
      <c r="N35" s="185" t="e">
        <f>0*($A$88)</f>
        <v>#VALUE!</v>
      </c>
      <c r="O35" s="17">
        <v>42.7</v>
      </c>
      <c r="P35" s="17">
        <v>43.1</v>
      </c>
      <c r="Q35" s="19">
        <v>0</v>
      </c>
      <c r="R35" s="185">
        <v>0</v>
      </c>
      <c r="S35" s="77">
        <v>12.4</v>
      </c>
      <c r="T35" s="77">
        <v>0</v>
      </c>
      <c r="U35" s="77">
        <v>0</v>
      </c>
      <c r="V35" s="185">
        <v>0</v>
      </c>
      <c r="W35" s="77">
        <v>0</v>
      </c>
      <c r="X35" s="77">
        <v>0</v>
      </c>
      <c r="Y35" s="77">
        <v>0</v>
      </c>
      <c r="Z35" s="185">
        <v>0</v>
      </c>
      <c r="AA35" s="77">
        <v>0</v>
      </c>
      <c r="AB35" s="77">
        <v>0</v>
      </c>
      <c r="AC35" s="77">
        <v>0</v>
      </c>
      <c r="AD35" s="185">
        <v>0</v>
      </c>
      <c r="AE35" s="77">
        <v>0</v>
      </c>
      <c r="AF35" s="77">
        <v>0</v>
      </c>
      <c r="AG35" s="77">
        <v>0</v>
      </c>
      <c r="AH35" s="185">
        <v>0</v>
      </c>
      <c r="AI35" s="77">
        <v>0</v>
      </c>
      <c r="AJ35" s="77">
        <v>0</v>
      </c>
      <c r="AK35" s="77">
        <v>0</v>
      </c>
      <c r="AL35" s="185">
        <v>0</v>
      </c>
      <c r="AM35" s="77">
        <v>0</v>
      </c>
      <c r="AN35" s="77">
        <v>0</v>
      </c>
      <c r="AO35" s="77">
        <v>0</v>
      </c>
      <c r="AP35" s="185">
        <v>0</v>
      </c>
      <c r="AQ35" s="77">
        <v>0</v>
      </c>
      <c r="AR35" s="662">
        <v>0</v>
      </c>
      <c r="AS35" s="662">
        <v>0</v>
      </c>
      <c r="AT35" s="185">
        <v>0</v>
      </c>
      <c r="AU35" s="77">
        <v>0</v>
      </c>
      <c r="AV35" s="662">
        <v>0</v>
      </c>
      <c r="AW35" s="662">
        <v>0</v>
      </c>
      <c r="AX35" s="219">
        <v>0</v>
      </c>
      <c r="AY35" s="77">
        <v>1.6</v>
      </c>
      <c r="AZ35" s="662">
        <v>0</v>
      </c>
      <c r="BA35" s="662">
        <v>0</v>
      </c>
      <c r="BB35" s="219">
        <v>0</v>
      </c>
      <c r="BC35" s="77">
        <v>0</v>
      </c>
      <c r="BD35" s="662">
        <v>0</v>
      </c>
      <c r="BE35" s="662"/>
      <c r="BF35" s="219"/>
    </row>
    <row r="36" spans="1:58" s="7" customFormat="1" ht="20.100000000000001" customHeight="1">
      <c r="A36" s="27" t="s">
        <v>179</v>
      </c>
      <c r="B36" s="105" t="s">
        <v>180</v>
      </c>
      <c r="C36" s="17">
        <f>422.627</f>
        <v>422.62700000000001</v>
      </c>
      <c r="D36" s="30">
        <f>(309519)*0.001</f>
        <v>309.51900000000001</v>
      </c>
      <c r="E36" s="30">
        <f>(225111)*0.001</f>
        <v>225.11100000000002</v>
      </c>
      <c r="F36" s="183">
        <f>(270354)*0.001</f>
        <v>270.35399999999998</v>
      </c>
      <c r="G36" s="30">
        <f>(324338)*0.001</f>
        <v>324.33800000000002</v>
      </c>
      <c r="H36" s="30">
        <f>(265803)*0.001</f>
        <v>265.803</v>
      </c>
      <c r="I36" s="30">
        <f>(215396)*0.001</f>
        <v>215.39600000000002</v>
      </c>
      <c r="J36" s="183">
        <f>(342251)*0.001</f>
        <v>342.25100000000003</v>
      </c>
      <c r="K36" s="40">
        <f>(428190)*0.001</f>
        <v>428.19</v>
      </c>
      <c r="L36" s="16">
        <v>1894.3</v>
      </c>
      <c r="M36" s="16">
        <v>1631</v>
      </c>
      <c r="N36" s="183">
        <v>1735.3</v>
      </c>
      <c r="O36" s="17">
        <v>1478.9</v>
      </c>
      <c r="P36" s="17">
        <v>1383.8</v>
      </c>
      <c r="Q36" s="16">
        <v>1059.5999999999999</v>
      </c>
      <c r="R36" s="183">
        <v>1512</v>
      </c>
      <c r="S36" s="77">
        <v>1538.6</v>
      </c>
      <c r="T36" s="77">
        <v>944.5</v>
      </c>
      <c r="U36" s="77">
        <v>1099.4000000000001</v>
      </c>
      <c r="V36" s="183">
        <v>1326</v>
      </c>
      <c r="W36" s="77">
        <v>1567.7</v>
      </c>
      <c r="X36" s="77">
        <v>1354.6</v>
      </c>
      <c r="Y36" s="77">
        <v>1080.2</v>
      </c>
      <c r="Z36" s="183">
        <v>1161.5</v>
      </c>
      <c r="AA36" s="77">
        <v>785.9</v>
      </c>
      <c r="AB36" s="77">
        <v>876.1</v>
      </c>
      <c r="AC36" s="77">
        <v>1151.5</v>
      </c>
      <c r="AD36" s="183">
        <v>1167</v>
      </c>
      <c r="AE36" s="77">
        <v>745.7</v>
      </c>
      <c r="AF36" s="77">
        <v>774.9</v>
      </c>
      <c r="AG36" s="77">
        <v>878.2</v>
      </c>
      <c r="AH36" s="183">
        <v>743.5</v>
      </c>
      <c r="AI36" s="77">
        <v>1130.5999999999999</v>
      </c>
      <c r="AJ36" s="77">
        <v>1310.4000000000001</v>
      </c>
      <c r="AK36" s="77">
        <v>1153.0999999999999</v>
      </c>
      <c r="AL36" s="183">
        <v>1355.4</v>
      </c>
      <c r="AM36" s="77">
        <v>1147.5999999999999</v>
      </c>
      <c r="AN36" s="77">
        <v>659.8</v>
      </c>
      <c r="AO36" s="77">
        <v>7462.8</v>
      </c>
      <c r="AP36" s="183">
        <v>3632.4</v>
      </c>
      <c r="AQ36" s="77">
        <v>3342.9</v>
      </c>
      <c r="AR36" s="662">
        <v>1053</v>
      </c>
      <c r="AS36" s="676">
        <v>1586</v>
      </c>
      <c r="AT36" s="183">
        <v>808.5</v>
      </c>
      <c r="AU36" s="77">
        <v>1463.5</v>
      </c>
      <c r="AV36" s="676">
        <v>3466.3</v>
      </c>
      <c r="AW36" s="676">
        <v>4162</v>
      </c>
      <c r="AX36" s="216">
        <v>3306</v>
      </c>
      <c r="AY36" s="77">
        <v>2694.9</v>
      </c>
      <c r="AZ36" s="676">
        <v>3060</v>
      </c>
      <c r="BA36" s="676">
        <v>3073.3</v>
      </c>
      <c r="BB36" s="216">
        <v>2653</v>
      </c>
      <c r="BC36" s="77">
        <v>2228.3000000000002</v>
      </c>
      <c r="BD36" s="676">
        <v>2389.1</v>
      </c>
      <c r="BE36" s="676"/>
      <c r="BF36" s="216"/>
    </row>
    <row r="37" spans="1:58" s="7" customFormat="1" ht="20.100000000000001" customHeight="1" thickBot="1">
      <c r="A37" s="27" t="s">
        <v>181</v>
      </c>
      <c r="B37" s="105" t="s">
        <v>182</v>
      </c>
      <c r="C37" s="18">
        <v>0</v>
      </c>
      <c r="D37" s="18">
        <f>0</f>
        <v>0</v>
      </c>
      <c r="E37" s="18">
        <f>0</f>
        <v>0</v>
      </c>
      <c r="F37" s="185">
        <v>0</v>
      </c>
      <c r="G37" s="18">
        <f>0</f>
        <v>0</v>
      </c>
      <c r="H37" s="18">
        <v>0</v>
      </c>
      <c r="I37" s="18">
        <f>0</f>
        <v>0</v>
      </c>
      <c r="J37" s="185">
        <v>0</v>
      </c>
      <c r="K37" s="31">
        <v>0</v>
      </c>
      <c r="L37" s="26">
        <v>12.6</v>
      </c>
      <c r="M37" s="26">
        <v>12.2</v>
      </c>
      <c r="N37" s="185">
        <v>12.6</v>
      </c>
      <c r="O37" s="17">
        <v>12.7</v>
      </c>
      <c r="P37" s="17">
        <v>12.8</v>
      </c>
      <c r="Q37" s="26">
        <v>12.4</v>
      </c>
      <c r="R37" s="185">
        <v>11.7</v>
      </c>
      <c r="S37" s="77">
        <v>31.4</v>
      </c>
      <c r="T37" s="77">
        <v>10.9</v>
      </c>
      <c r="U37" s="77">
        <v>10.8</v>
      </c>
      <c r="V37" s="185">
        <v>10.7</v>
      </c>
      <c r="W37" s="77">
        <v>9.6</v>
      </c>
      <c r="X37" s="77">
        <v>8</v>
      </c>
      <c r="Y37" s="77">
        <v>8.1999999999999993</v>
      </c>
      <c r="Z37" s="185">
        <v>10.5</v>
      </c>
      <c r="AA37" s="77">
        <v>11.6</v>
      </c>
      <c r="AB37" s="77">
        <v>11.7</v>
      </c>
      <c r="AC37" s="77">
        <v>11.6</v>
      </c>
      <c r="AD37" s="185">
        <v>11.7</v>
      </c>
      <c r="AE37" s="77">
        <v>11.3</v>
      </c>
      <c r="AF37" s="77">
        <v>8.9</v>
      </c>
      <c r="AG37" s="77">
        <v>8</v>
      </c>
      <c r="AH37" s="185">
        <v>9.6</v>
      </c>
      <c r="AI37" s="77">
        <v>10.199999999999999</v>
      </c>
      <c r="AJ37" s="77">
        <v>10.1</v>
      </c>
      <c r="AK37" s="77">
        <v>11.1</v>
      </c>
      <c r="AL37" s="185">
        <v>10.4</v>
      </c>
      <c r="AM37" s="77">
        <v>11.2</v>
      </c>
      <c r="AN37" s="77">
        <v>8.6999999999999993</v>
      </c>
      <c r="AO37" s="77">
        <v>9.5</v>
      </c>
      <c r="AP37" s="183">
        <v>11.9</v>
      </c>
      <c r="AQ37" s="77">
        <v>10.8</v>
      </c>
      <c r="AR37" s="662">
        <v>9</v>
      </c>
      <c r="AS37" s="77">
        <v>10.1</v>
      </c>
      <c r="AT37" s="183">
        <v>9.3000000000000007</v>
      </c>
      <c r="AU37" s="77">
        <v>9.9</v>
      </c>
      <c r="AV37" s="727">
        <v>12.2</v>
      </c>
      <c r="AW37" s="727">
        <v>19.7</v>
      </c>
      <c r="AX37" s="216">
        <v>19.7</v>
      </c>
      <c r="AY37" s="77">
        <v>24.3</v>
      </c>
      <c r="AZ37" s="727">
        <v>16.8</v>
      </c>
      <c r="BA37" s="727">
        <v>24.3</v>
      </c>
      <c r="BB37" s="216">
        <v>34.1</v>
      </c>
      <c r="BC37" s="77">
        <v>26.6</v>
      </c>
      <c r="BD37" s="727">
        <v>17.899999999999999</v>
      </c>
      <c r="BE37" s="727"/>
      <c r="BF37" s="216"/>
    </row>
    <row r="38" spans="1:58" s="199" customFormat="1" ht="25.2" customHeight="1" thickBot="1">
      <c r="A38" s="373" t="s">
        <v>183</v>
      </c>
      <c r="B38" s="373" t="s">
        <v>184</v>
      </c>
      <c r="C38" s="374">
        <f t="shared" ref="C38:M38" si="4">SUM(C25:C37)</f>
        <v>1273.798</v>
      </c>
      <c r="D38" s="375">
        <f t="shared" si="4"/>
        <v>1172.6559999999999</v>
      </c>
      <c r="E38" s="375">
        <f t="shared" si="4"/>
        <v>1058.173</v>
      </c>
      <c r="F38" s="376">
        <f t="shared" si="4"/>
        <v>1085.1969999999999</v>
      </c>
      <c r="G38" s="375">
        <f t="shared" si="4"/>
        <v>1204.625</v>
      </c>
      <c r="H38" s="375">
        <f t="shared" si="4"/>
        <v>1164.163</v>
      </c>
      <c r="I38" s="375">
        <f t="shared" si="4"/>
        <v>1161.885</v>
      </c>
      <c r="J38" s="376">
        <f t="shared" si="4"/>
        <v>1220.3850000000002</v>
      </c>
      <c r="K38" s="374">
        <f t="shared" si="4"/>
        <v>1396.8419999999999</v>
      </c>
      <c r="L38" s="375" t="e">
        <f t="shared" si="4"/>
        <v>#VALUE!</v>
      </c>
      <c r="M38" s="375" t="e">
        <f t="shared" si="4"/>
        <v>#VALUE!</v>
      </c>
      <c r="N38" s="376" t="e">
        <f t="shared" ref="N38:BA38" si="5">SUM(N25:N37)-N34</f>
        <v>#VALUE!</v>
      </c>
      <c r="O38" s="374" t="e">
        <f t="shared" si="5"/>
        <v>#VALUE!</v>
      </c>
      <c r="P38" s="375">
        <f t="shared" si="5"/>
        <v>4274.2</v>
      </c>
      <c r="Q38" s="375">
        <f t="shared" si="5"/>
        <v>3747.2000000000003</v>
      </c>
      <c r="R38" s="376">
        <f t="shared" si="5"/>
        <v>4228.8999999999987</v>
      </c>
      <c r="S38" s="374">
        <f t="shared" si="5"/>
        <v>3866.0000000000005</v>
      </c>
      <c r="T38" s="375">
        <f t="shared" si="5"/>
        <v>3203.3</v>
      </c>
      <c r="U38" s="375">
        <f t="shared" si="5"/>
        <v>3445.5000000000005</v>
      </c>
      <c r="V38" s="376">
        <f t="shared" si="5"/>
        <v>3770.3999999999992</v>
      </c>
      <c r="W38" s="374">
        <f t="shared" si="5"/>
        <v>3911.1000000000004</v>
      </c>
      <c r="X38" s="375">
        <f t="shared" si="5"/>
        <v>3862.9</v>
      </c>
      <c r="Y38" s="375">
        <f t="shared" si="5"/>
        <v>3676.6</v>
      </c>
      <c r="Z38" s="376">
        <f t="shared" si="5"/>
        <v>3931.5</v>
      </c>
      <c r="AA38" s="374">
        <f t="shared" si="5"/>
        <v>4363.8</v>
      </c>
      <c r="AB38" s="375">
        <f t="shared" si="5"/>
        <v>4827.2</v>
      </c>
      <c r="AC38" s="375">
        <f t="shared" si="5"/>
        <v>5300.0000000000009</v>
      </c>
      <c r="AD38" s="376">
        <f t="shared" si="5"/>
        <v>5422.7</v>
      </c>
      <c r="AE38" s="374">
        <f t="shared" si="5"/>
        <v>4952.3000000000011</v>
      </c>
      <c r="AF38" s="375">
        <f t="shared" si="5"/>
        <v>4886.0999999999985</v>
      </c>
      <c r="AG38" s="375">
        <f t="shared" si="5"/>
        <v>5013.3999999999996</v>
      </c>
      <c r="AH38" s="376">
        <f t="shared" si="5"/>
        <v>4984.8999999999996</v>
      </c>
      <c r="AI38" s="374">
        <f t="shared" si="5"/>
        <v>5339.8</v>
      </c>
      <c r="AJ38" s="375">
        <f t="shared" si="5"/>
        <v>5513.2</v>
      </c>
      <c r="AK38" s="375">
        <f t="shared" si="5"/>
        <v>5282.3000000000011</v>
      </c>
      <c r="AL38" s="376">
        <f t="shared" si="5"/>
        <v>5277.2000000000007</v>
      </c>
      <c r="AM38" s="374">
        <f t="shared" si="5"/>
        <v>5114.2999999999993</v>
      </c>
      <c r="AN38" s="375">
        <f t="shared" si="5"/>
        <v>4780.8</v>
      </c>
      <c r="AO38" s="375">
        <f t="shared" si="5"/>
        <v>12037.9</v>
      </c>
      <c r="AP38" s="376">
        <f t="shared" si="5"/>
        <v>8077.3000000000011</v>
      </c>
      <c r="AQ38" s="374">
        <f t="shared" si="5"/>
        <v>8023.6</v>
      </c>
      <c r="AR38" s="664">
        <f t="shared" si="5"/>
        <v>6134.7</v>
      </c>
      <c r="AS38" s="375">
        <f t="shared" si="5"/>
        <v>6747.7000000000007</v>
      </c>
      <c r="AT38" s="376">
        <f t="shared" si="5"/>
        <v>6403.6</v>
      </c>
      <c r="AU38" s="374">
        <f t="shared" si="5"/>
        <v>6966.2999999999993</v>
      </c>
      <c r="AV38" s="664">
        <f t="shared" si="5"/>
        <v>8802.5000000000018</v>
      </c>
      <c r="AW38" s="375">
        <f t="shared" si="5"/>
        <v>10055.200000000001</v>
      </c>
      <c r="AX38" s="376">
        <f t="shared" si="5"/>
        <v>9018.9</v>
      </c>
      <c r="AY38" s="374">
        <f t="shared" si="5"/>
        <v>8473.1999999999989</v>
      </c>
      <c r="AZ38" s="664">
        <f t="shared" si="5"/>
        <v>8720.7999999999993</v>
      </c>
      <c r="BA38" s="664">
        <f t="shared" si="5"/>
        <v>8741.1</v>
      </c>
      <c r="BB38" s="376">
        <f>SUM(BB25:BB37)-BB34-BB33</f>
        <v>9023.6</v>
      </c>
      <c r="BC38" s="374">
        <f t="shared" ref="BC38" si="6">SUM(BC25:BC37)-BC34</f>
        <v>7997.8000000000011</v>
      </c>
      <c r="BD38" s="664">
        <f>SUM(BD25:BD37)-BD34-BD33</f>
        <v>7933.4999999999982</v>
      </c>
      <c r="BE38" s="664"/>
      <c r="BF38" s="376"/>
    </row>
    <row r="39" spans="1:58" s="7" customFormat="1" ht="20.100000000000001" customHeight="1">
      <c r="A39" s="198" t="s">
        <v>185</v>
      </c>
      <c r="B39" s="181" t="s">
        <v>186</v>
      </c>
      <c r="C39" s="18"/>
      <c r="D39" s="18"/>
      <c r="E39" s="18"/>
      <c r="F39" s="185"/>
      <c r="G39" s="18"/>
      <c r="H39" s="18"/>
      <c r="I39" s="18"/>
      <c r="J39" s="185"/>
      <c r="K39" s="31"/>
      <c r="L39" s="26"/>
      <c r="M39" s="26"/>
      <c r="N39" s="185"/>
      <c r="O39" s="17"/>
      <c r="P39" s="17"/>
      <c r="Q39" s="19"/>
      <c r="R39" s="185"/>
      <c r="S39" s="77"/>
      <c r="T39" s="77"/>
      <c r="U39" s="77"/>
      <c r="V39" s="185"/>
      <c r="W39" s="77"/>
      <c r="X39" s="77"/>
      <c r="Y39" s="77"/>
      <c r="Z39" s="185"/>
      <c r="AA39" s="77"/>
      <c r="AB39" s="77"/>
      <c r="AC39" s="77"/>
      <c r="AD39" s="185"/>
      <c r="AE39" s="77"/>
      <c r="AF39" s="77"/>
      <c r="AG39" s="77"/>
      <c r="AH39" s="185"/>
      <c r="AI39" s="77"/>
      <c r="AJ39" s="77"/>
      <c r="AK39" s="77"/>
      <c r="AL39" s="185"/>
      <c r="AM39" s="77">
        <v>3574.4</v>
      </c>
      <c r="AN39" s="182">
        <v>4581.1000000000004</v>
      </c>
      <c r="AO39" s="77">
        <v>0</v>
      </c>
      <c r="AP39" s="185">
        <v>0</v>
      </c>
      <c r="AQ39" s="77"/>
      <c r="AR39" s="486"/>
      <c r="AS39" s="77"/>
      <c r="AT39" s="183">
        <v>127.7</v>
      </c>
      <c r="AU39" s="77">
        <v>127.7</v>
      </c>
      <c r="AV39" s="486">
        <v>183.2</v>
      </c>
      <c r="AW39" s="77">
        <v>133.5</v>
      </c>
      <c r="AX39" s="183">
        <v>8.6</v>
      </c>
      <c r="AY39" s="77">
        <v>5.7</v>
      </c>
      <c r="AZ39" s="486">
        <v>9.1</v>
      </c>
      <c r="BA39" s="77">
        <v>9.1</v>
      </c>
      <c r="BB39" s="183">
        <v>3.3</v>
      </c>
      <c r="BC39" s="77">
        <v>1.5</v>
      </c>
      <c r="BD39" s="486">
        <v>60</v>
      </c>
      <c r="BE39" s="77"/>
      <c r="BF39" s="183"/>
    </row>
    <row r="40" spans="1:58" s="7" customFormat="1" ht="20.100000000000001" customHeight="1">
      <c r="A40" s="368" t="s">
        <v>187</v>
      </c>
      <c r="B40" s="369" t="s">
        <v>188</v>
      </c>
      <c r="C40" s="18"/>
      <c r="D40" s="18"/>
      <c r="E40" s="18"/>
      <c r="F40" s="185"/>
      <c r="G40" s="18"/>
      <c r="H40" s="18"/>
      <c r="I40" s="18"/>
      <c r="J40" s="185"/>
      <c r="K40" s="31"/>
      <c r="L40" s="26"/>
      <c r="M40" s="26"/>
      <c r="N40" s="185"/>
      <c r="O40" s="17"/>
      <c r="P40" s="17"/>
      <c r="Q40" s="19"/>
      <c r="R40" s="185"/>
      <c r="S40" s="77"/>
      <c r="T40" s="77"/>
      <c r="U40" s="77"/>
      <c r="V40" s="185"/>
      <c r="W40" s="77"/>
      <c r="X40" s="77"/>
      <c r="Y40" s="77"/>
      <c r="Z40" s="185"/>
      <c r="AA40" s="77"/>
      <c r="AB40" s="77"/>
      <c r="AC40" s="77"/>
      <c r="AD40" s="185"/>
      <c r="AE40" s="77"/>
      <c r="AF40" s="77"/>
      <c r="AG40" s="77"/>
      <c r="AH40" s="185"/>
      <c r="AI40" s="77"/>
      <c r="AJ40" s="77"/>
      <c r="AK40" s="77"/>
      <c r="AL40" s="185"/>
      <c r="AM40" s="78">
        <v>108.5</v>
      </c>
      <c r="AN40" s="78">
        <v>95.5</v>
      </c>
      <c r="AO40" s="77">
        <v>0</v>
      </c>
      <c r="AP40" s="185"/>
      <c r="AQ40" s="78"/>
      <c r="AR40" s="665"/>
      <c r="AS40" s="77"/>
      <c r="AT40" s="185"/>
      <c r="AU40" s="78"/>
      <c r="AV40" s="665"/>
      <c r="AW40" s="77"/>
      <c r="AX40" s="696">
        <v>1.2</v>
      </c>
      <c r="AY40" s="77">
        <v>0</v>
      </c>
      <c r="AZ40" s="665">
        <v>0</v>
      </c>
      <c r="BA40" s="77">
        <v>0</v>
      </c>
      <c r="BB40" s="696">
        <v>0</v>
      </c>
      <c r="BC40" s="77">
        <v>0</v>
      </c>
      <c r="BD40" s="665">
        <v>0</v>
      </c>
      <c r="BE40" s="77"/>
      <c r="BF40" s="696"/>
    </row>
    <row r="41" spans="1:58" s="200" customFormat="1" ht="25.2" customHeight="1">
      <c r="A41" s="364" t="s">
        <v>189</v>
      </c>
      <c r="B41" s="364" t="s">
        <v>190</v>
      </c>
      <c r="C41" s="365">
        <f t="shared" ref="C41:AL41" si="7">C24+C38</f>
        <v>5502.7539999999999</v>
      </c>
      <c r="D41" s="366">
        <f t="shared" si="7"/>
        <v>5597.8010000000004</v>
      </c>
      <c r="E41" s="366">
        <f t="shared" si="7"/>
        <v>5514.8739999999998</v>
      </c>
      <c r="F41" s="367">
        <f t="shared" si="7"/>
        <v>5561.3450000000003</v>
      </c>
      <c r="G41" s="366">
        <f t="shared" si="7"/>
        <v>5629.4740000000011</v>
      </c>
      <c r="H41" s="366">
        <f t="shared" si="7"/>
        <v>5592.7070000000003</v>
      </c>
      <c r="I41" s="366">
        <f t="shared" si="7"/>
        <v>5597.9810000000007</v>
      </c>
      <c r="J41" s="367">
        <f t="shared" si="7"/>
        <v>5676.2300000000005</v>
      </c>
      <c r="K41" s="365">
        <f t="shared" si="7"/>
        <v>5851.1940000000004</v>
      </c>
      <c r="L41" s="366" t="e">
        <f t="shared" si="7"/>
        <v>#VALUE!</v>
      </c>
      <c r="M41" s="366" t="e">
        <f t="shared" si="7"/>
        <v>#VALUE!</v>
      </c>
      <c r="N41" s="367" t="e">
        <f t="shared" si="7"/>
        <v>#VALUE!</v>
      </c>
      <c r="O41" s="365" t="e">
        <f t="shared" si="7"/>
        <v>#VALUE!</v>
      </c>
      <c r="P41" s="366">
        <f t="shared" si="7"/>
        <v>27141.8</v>
      </c>
      <c r="Q41" s="366">
        <f t="shared" si="7"/>
        <v>26143.5</v>
      </c>
      <c r="R41" s="367">
        <f t="shared" si="7"/>
        <v>26490.099999999995</v>
      </c>
      <c r="S41" s="365">
        <f t="shared" si="7"/>
        <v>28355.499999999996</v>
      </c>
      <c r="T41" s="366">
        <f t="shared" si="7"/>
        <v>27581.1</v>
      </c>
      <c r="U41" s="366">
        <f t="shared" si="7"/>
        <v>27493.100000000002</v>
      </c>
      <c r="V41" s="367">
        <f t="shared" si="7"/>
        <v>27729.299999999996</v>
      </c>
      <c r="W41" s="365">
        <f t="shared" si="7"/>
        <v>27553.199999999997</v>
      </c>
      <c r="X41" s="366">
        <f t="shared" si="7"/>
        <v>27317.5</v>
      </c>
      <c r="Y41" s="366">
        <f t="shared" si="7"/>
        <v>26892.599999999995</v>
      </c>
      <c r="Z41" s="367">
        <f t="shared" si="7"/>
        <v>27756</v>
      </c>
      <c r="AA41" s="365">
        <f t="shared" si="7"/>
        <v>27894.399999999998</v>
      </c>
      <c r="AB41" s="366">
        <f t="shared" si="7"/>
        <v>29751.599999999999</v>
      </c>
      <c r="AC41" s="366">
        <f t="shared" si="7"/>
        <v>30395.3</v>
      </c>
      <c r="AD41" s="367">
        <f t="shared" si="7"/>
        <v>30696.800000000003</v>
      </c>
      <c r="AE41" s="365">
        <f t="shared" si="7"/>
        <v>31463.800000000003</v>
      </c>
      <c r="AF41" s="366">
        <f t="shared" si="7"/>
        <v>31359.200000000001</v>
      </c>
      <c r="AG41" s="366">
        <f t="shared" si="7"/>
        <v>31277.699999999997</v>
      </c>
      <c r="AH41" s="367">
        <f t="shared" si="7"/>
        <v>32589.599999999999</v>
      </c>
      <c r="AI41" s="365">
        <f t="shared" si="7"/>
        <v>32658.700000000004</v>
      </c>
      <c r="AJ41" s="366">
        <f t="shared" si="7"/>
        <v>32622.799999999996</v>
      </c>
      <c r="AK41" s="366">
        <f t="shared" si="7"/>
        <v>32814.1</v>
      </c>
      <c r="AL41" s="367">
        <f t="shared" si="7"/>
        <v>33115</v>
      </c>
      <c r="AM41" s="365">
        <f>AM24+AM38+AM39</f>
        <v>32954.499999999993</v>
      </c>
      <c r="AN41" s="366">
        <f>AN24+AN38+AN39</f>
        <v>32922.299999999996</v>
      </c>
      <c r="AO41" s="366">
        <f>AO24+AO38</f>
        <v>35967.399999999994</v>
      </c>
      <c r="AP41" s="367">
        <f>AP24+AP38</f>
        <v>32237</v>
      </c>
      <c r="AQ41" s="366">
        <f>AQ24+AQ38+AQ39</f>
        <v>31895.199999999997</v>
      </c>
      <c r="AR41" s="366">
        <f>AR24+AR38+AR39</f>
        <v>31814.000000000004</v>
      </c>
      <c r="AS41" s="366">
        <f>AS24+AS38</f>
        <v>31686.199999999993</v>
      </c>
      <c r="AT41" s="367">
        <f t="shared" ref="AT41:BB41" si="8">AT24+AT38+AT39</f>
        <v>32306.600000000002</v>
      </c>
      <c r="AU41" s="366">
        <f t="shared" si="8"/>
        <v>32810.6</v>
      </c>
      <c r="AV41" s="366">
        <f t="shared" si="8"/>
        <v>34698.6</v>
      </c>
      <c r="AW41" s="366">
        <f t="shared" si="8"/>
        <v>36772.300000000003</v>
      </c>
      <c r="AX41" s="367">
        <f t="shared" si="8"/>
        <v>37176.699999999997</v>
      </c>
      <c r="AY41" s="366">
        <f t="shared" si="8"/>
        <v>36560.5</v>
      </c>
      <c r="AZ41" s="366">
        <f t="shared" si="8"/>
        <v>36777.100000000006</v>
      </c>
      <c r="BA41" s="366">
        <f t="shared" si="8"/>
        <v>37178.300000000003</v>
      </c>
      <c r="BB41" s="367">
        <f t="shared" si="8"/>
        <v>37468</v>
      </c>
      <c r="BC41" s="366">
        <f t="shared" ref="BC41:BD41" si="9">BC24+BC38+BC39</f>
        <v>36520.800000000003</v>
      </c>
      <c r="BD41" s="366">
        <f t="shared" si="9"/>
        <v>36945.9</v>
      </c>
      <c r="BE41" s="366"/>
      <c r="BF41" s="367"/>
    </row>
    <row r="42" spans="1:58" s="372" customFormat="1" ht="38.25" customHeight="1">
      <c r="A42" s="370" t="s">
        <v>191</v>
      </c>
      <c r="B42" s="371" t="s">
        <v>192</v>
      </c>
      <c r="C42" s="400"/>
      <c r="D42" s="400"/>
      <c r="E42" s="401"/>
      <c r="F42" s="402"/>
      <c r="G42" s="400"/>
      <c r="H42" s="400"/>
      <c r="I42" s="401"/>
      <c r="J42" s="402"/>
      <c r="K42" s="400"/>
      <c r="L42" s="400"/>
      <c r="M42" s="401"/>
      <c r="N42" s="402"/>
      <c r="O42" s="400"/>
      <c r="P42" s="400"/>
      <c r="Q42" s="401"/>
      <c r="R42" s="402"/>
      <c r="S42" s="400"/>
      <c r="T42" s="400"/>
      <c r="U42" s="401"/>
      <c r="V42" s="402"/>
      <c r="W42" s="400"/>
      <c r="X42" s="400"/>
      <c r="Y42" s="401"/>
      <c r="Z42" s="402"/>
      <c r="AA42" s="400"/>
      <c r="AB42" s="400"/>
      <c r="AC42" s="401"/>
      <c r="AD42" s="402"/>
      <c r="AE42" s="400"/>
      <c r="AF42" s="400"/>
      <c r="AG42" s="401"/>
      <c r="AH42" s="402"/>
      <c r="AI42" s="400"/>
      <c r="AJ42" s="400"/>
      <c r="AK42" s="401"/>
      <c r="AL42" s="402"/>
      <c r="AM42" s="400"/>
      <c r="AN42" s="400"/>
      <c r="AO42" s="401"/>
      <c r="AP42" s="402"/>
      <c r="AQ42" s="400"/>
      <c r="AR42" s="400"/>
      <c r="AS42" s="401"/>
      <c r="AT42" s="402"/>
      <c r="AU42" s="400"/>
      <c r="AV42" s="724"/>
      <c r="AW42" s="401"/>
      <c r="AX42" s="402"/>
      <c r="AY42" s="400"/>
      <c r="AZ42" s="724"/>
      <c r="BA42" s="401"/>
      <c r="BB42" s="402"/>
      <c r="BC42" s="400"/>
      <c r="BD42" s="724"/>
      <c r="BE42" s="401"/>
      <c r="BF42" s="402"/>
    </row>
    <row r="43" spans="1:58" s="7" customFormat="1" ht="20.100000000000001" customHeight="1">
      <c r="A43" s="27" t="s">
        <v>193</v>
      </c>
      <c r="B43" s="105" t="s">
        <v>194</v>
      </c>
      <c r="C43" s="41">
        <f>13.934</f>
        <v>13.933999999999999</v>
      </c>
      <c r="D43" s="41">
        <f t="shared" ref="D43:K43" si="10">(13934)*0.001</f>
        <v>13.934000000000001</v>
      </c>
      <c r="E43" s="41">
        <f t="shared" si="10"/>
        <v>13.934000000000001</v>
      </c>
      <c r="F43" s="209">
        <f t="shared" si="10"/>
        <v>13.934000000000001</v>
      </c>
      <c r="G43" s="210">
        <f t="shared" si="10"/>
        <v>13.934000000000001</v>
      </c>
      <c r="H43" s="210">
        <f t="shared" si="10"/>
        <v>13.934000000000001</v>
      </c>
      <c r="I43" s="210">
        <f t="shared" si="10"/>
        <v>13.934000000000001</v>
      </c>
      <c r="J43" s="210">
        <f t="shared" si="10"/>
        <v>13.934000000000001</v>
      </c>
      <c r="K43" s="222">
        <f t="shared" si="10"/>
        <v>13.934000000000001</v>
      </c>
      <c r="L43" s="208">
        <v>25.6</v>
      </c>
      <c r="M43" s="208">
        <v>25.6</v>
      </c>
      <c r="N43" s="215">
        <v>25.6</v>
      </c>
      <c r="O43" s="218">
        <v>25.6</v>
      </c>
      <c r="P43" s="218">
        <v>25.6</v>
      </c>
      <c r="Q43" s="218">
        <v>25.6</v>
      </c>
      <c r="R43" s="191">
        <v>25.6</v>
      </c>
      <c r="S43" s="190">
        <v>25.6</v>
      </c>
      <c r="T43" s="190">
        <v>25.6</v>
      </c>
      <c r="U43" s="190">
        <v>25.6</v>
      </c>
      <c r="V43" s="191">
        <v>25.6</v>
      </c>
      <c r="W43" s="190">
        <v>25.6</v>
      </c>
      <c r="X43" s="190">
        <v>25.6</v>
      </c>
      <c r="Y43" s="190">
        <v>25.6</v>
      </c>
      <c r="Z43" s="191">
        <v>25.6</v>
      </c>
      <c r="AA43" s="190">
        <v>25.6</v>
      </c>
      <c r="AB43" s="190">
        <v>25.6</v>
      </c>
      <c r="AC43" s="190">
        <v>25.6</v>
      </c>
      <c r="AD43" s="191">
        <v>25.6</v>
      </c>
      <c r="AE43" s="190">
        <v>25.6</v>
      </c>
      <c r="AF43" s="190">
        <v>25.6</v>
      </c>
      <c r="AG43" s="190">
        <v>25.6</v>
      </c>
      <c r="AH43" s="191">
        <v>25.6</v>
      </c>
      <c r="AI43" s="190">
        <v>25.6</v>
      </c>
      <c r="AJ43" s="190">
        <v>25.6</v>
      </c>
      <c r="AK43" s="190">
        <v>25.6</v>
      </c>
      <c r="AL43" s="191">
        <v>25.6</v>
      </c>
      <c r="AM43" s="190">
        <v>25.6</v>
      </c>
      <c r="AN43" s="190">
        <v>25.6</v>
      </c>
      <c r="AO43" s="190">
        <v>25.6</v>
      </c>
      <c r="AP43" s="191">
        <v>25.6</v>
      </c>
      <c r="AQ43" s="190">
        <v>25.6</v>
      </c>
      <c r="AR43" s="190">
        <v>25.6</v>
      </c>
      <c r="AS43" s="190">
        <v>25.6</v>
      </c>
      <c r="AT43" s="688">
        <v>25.6</v>
      </c>
      <c r="AU43" s="190">
        <v>25.6</v>
      </c>
      <c r="AV43" s="190">
        <v>25.6</v>
      </c>
      <c r="AW43" s="190">
        <v>25.6</v>
      </c>
      <c r="AX43" s="688">
        <v>25.6</v>
      </c>
      <c r="AY43" s="190">
        <v>25.6</v>
      </c>
      <c r="AZ43" s="190">
        <v>25.6</v>
      </c>
      <c r="BA43" s="190">
        <v>25.6</v>
      </c>
      <c r="BB43" s="688">
        <v>25.6</v>
      </c>
      <c r="BC43" s="190">
        <v>25.6</v>
      </c>
      <c r="BD43" s="190">
        <v>25.6</v>
      </c>
      <c r="BE43" s="190"/>
      <c r="BF43" s="688"/>
    </row>
    <row r="44" spans="1:58" s="7" customFormat="1" ht="20.100000000000001" customHeight="1">
      <c r="A44" s="27" t="s">
        <v>195</v>
      </c>
      <c r="B44" s="105" t="s">
        <v>196</v>
      </c>
      <c r="C44" s="41">
        <f>432.265</f>
        <v>432.26499999999999</v>
      </c>
      <c r="D44" s="24">
        <v>0</v>
      </c>
      <c r="E44" s="24">
        <v>0</v>
      </c>
      <c r="F44" s="201">
        <v>0</v>
      </c>
      <c r="G44" s="202">
        <v>0</v>
      </c>
      <c r="H44" s="202">
        <v>0</v>
      </c>
      <c r="I44" s="202">
        <v>0</v>
      </c>
      <c r="J44" s="202">
        <v>0</v>
      </c>
      <c r="K44" s="203">
        <v>0</v>
      </c>
      <c r="L44" s="202">
        <v>0</v>
      </c>
      <c r="M44" s="202">
        <v>0</v>
      </c>
      <c r="N44" s="201">
        <v>0</v>
      </c>
      <c r="O44" s="202">
        <v>0</v>
      </c>
      <c r="P44" s="202">
        <v>0</v>
      </c>
      <c r="Q44" s="202">
        <v>0</v>
      </c>
      <c r="R44" s="191">
        <v>0</v>
      </c>
      <c r="S44" s="192">
        <v>0</v>
      </c>
      <c r="T44" s="192">
        <v>0</v>
      </c>
      <c r="U44" s="192">
        <v>0</v>
      </c>
      <c r="V44" s="191">
        <v>0</v>
      </c>
      <c r="W44" s="192">
        <v>0</v>
      </c>
      <c r="X44" s="192">
        <v>0</v>
      </c>
      <c r="Y44" s="192">
        <v>0</v>
      </c>
      <c r="Z44" s="191">
        <v>0</v>
      </c>
      <c r="AA44" s="192">
        <v>0</v>
      </c>
      <c r="AB44" s="192">
        <v>0</v>
      </c>
      <c r="AC44" s="192">
        <v>0</v>
      </c>
      <c r="AD44" s="191">
        <v>0</v>
      </c>
      <c r="AE44" s="192">
        <v>0</v>
      </c>
      <c r="AF44" s="192">
        <v>0</v>
      </c>
      <c r="AG44" s="192">
        <v>0</v>
      </c>
      <c r="AH44" s="191">
        <v>0</v>
      </c>
      <c r="AI44" s="192">
        <v>0</v>
      </c>
      <c r="AJ44" s="192">
        <v>0</v>
      </c>
      <c r="AK44" s="192">
        <v>0</v>
      </c>
      <c r="AL44" s="191">
        <v>0</v>
      </c>
      <c r="AM44" s="192">
        <v>0</v>
      </c>
      <c r="AN44" s="192">
        <v>0</v>
      </c>
      <c r="AO44" s="192">
        <v>0</v>
      </c>
      <c r="AP44" s="191">
        <v>0</v>
      </c>
      <c r="AQ44" s="192">
        <v>0</v>
      </c>
      <c r="AR44" s="192">
        <v>0</v>
      </c>
      <c r="AS44" s="192">
        <v>0</v>
      </c>
      <c r="AT44" s="688">
        <v>0</v>
      </c>
      <c r="AU44" s="192">
        <v>0</v>
      </c>
      <c r="AV44" s="192">
        <v>0</v>
      </c>
      <c r="AW44" s="190">
        <v>0</v>
      </c>
      <c r="AX44" s="688">
        <v>0</v>
      </c>
      <c r="AY44" s="192" t="s">
        <v>197</v>
      </c>
      <c r="AZ44" s="192">
        <v>0</v>
      </c>
      <c r="BA44" s="192">
        <v>0</v>
      </c>
      <c r="BB44" s="688">
        <v>0</v>
      </c>
      <c r="BC44" s="192">
        <v>0</v>
      </c>
      <c r="BD44" s="192">
        <v>0</v>
      </c>
      <c r="BE44" s="192"/>
      <c r="BF44" s="688"/>
    </row>
    <row r="45" spans="1:58" s="7" customFormat="1" ht="20.100000000000001" customHeight="1">
      <c r="A45" s="27" t="s">
        <v>198</v>
      </c>
      <c r="B45" s="105" t="s">
        <v>199</v>
      </c>
      <c r="C45" s="41">
        <f>1305.277</f>
        <v>1305.277</v>
      </c>
      <c r="D45" s="24">
        <v>0</v>
      </c>
      <c r="E45" s="24">
        <v>0</v>
      </c>
      <c r="F45" s="201">
        <v>0</v>
      </c>
      <c r="G45" s="202">
        <v>0</v>
      </c>
      <c r="H45" s="202">
        <v>0</v>
      </c>
      <c r="I45" s="202">
        <v>0</v>
      </c>
      <c r="J45" s="202">
        <v>0</v>
      </c>
      <c r="K45" s="203">
        <v>0</v>
      </c>
      <c r="L45" s="202">
        <v>0</v>
      </c>
      <c r="M45" s="202">
        <v>0</v>
      </c>
      <c r="N45" s="201">
        <v>0</v>
      </c>
      <c r="O45" s="202">
        <v>0</v>
      </c>
      <c r="P45" s="202">
        <v>0</v>
      </c>
      <c r="Q45" s="202">
        <v>0</v>
      </c>
      <c r="R45" s="191">
        <v>0</v>
      </c>
      <c r="S45" s="192">
        <v>0</v>
      </c>
      <c r="T45" s="192">
        <v>0</v>
      </c>
      <c r="U45" s="192">
        <v>0</v>
      </c>
      <c r="V45" s="191">
        <v>0</v>
      </c>
      <c r="W45" s="192">
        <v>0</v>
      </c>
      <c r="X45" s="192">
        <v>0</v>
      </c>
      <c r="Y45" s="192">
        <v>0</v>
      </c>
      <c r="Z45" s="191">
        <v>0</v>
      </c>
      <c r="AA45" s="192">
        <v>0</v>
      </c>
      <c r="AB45" s="192">
        <v>0</v>
      </c>
      <c r="AC45" s="192">
        <v>0</v>
      </c>
      <c r="AD45" s="191">
        <v>0</v>
      </c>
      <c r="AE45" s="192">
        <v>0</v>
      </c>
      <c r="AF45" s="192">
        <v>0</v>
      </c>
      <c r="AG45" s="192">
        <v>0</v>
      </c>
      <c r="AH45" s="191">
        <v>0</v>
      </c>
      <c r="AI45" s="192">
        <v>0</v>
      </c>
      <c r="AJ45" s="192">
        <v>0</v>
      </c>
      <c r="AK45" s="192">
        <v>0</v>
      </c>
      <c r="AL45" s="191">
        <v>0</v>
      </c>
      <c r="AM45" s="192">
        <v>0</v>
      </c>
      <c r="AN45" s="192">
        <v>0</v>
      </c>
      <c r="AO45" s="192">
        <v>0</v>
      </c>
      <c r="AP45" s="191">
        <v>0</v>
      </c>
      <c r="AQ45" s="192">
        <v>0</v>
      </c>
      <c r="AR45" s="192">
        <v>0</v>
      </c>
      <c r="AS45" s="192">
        <v>0</v>
      </c>
      <c r="AT45" s="688">
        <v>0</v>
      </c>
      <c r="AU45" s="192">
        <v>0</v>
      </c>
      <c r="AV45" s="192">
        <v>0</v>
      </c>
      <c r="AW45" s="192">
        <v>0</v>
      </c>
      <c r="AX45" s="688">
        <v>0</v>
      </c>
      <c r="AY45" s="192" t="s">
        <v>197</v>
      </c>
      <c r="AZ45" s="192">
        <v>0</v>
      </c>
      <c r="BA45" s="192">
        <v>0</v>
      </c>
      <c r="BB45" s="688">
        <v>0</v>
      </c>
      <c r="BC45" s="192">
        <v>0</v>
      </c>
      <c r="BD45" s="192">
        <v>0</v>
      </c>
      <c r="BE45" s="192"/>
      <c r="BF45" s="688"/>
    </row>
    <row r="46" spans="1:58" s="7" customFormat="1" ht="20.100000000000001" customHeight="1">
      <c r="A46" s="27" t="s">
        <v>200</v>
      </c>
      <c r="B46" s="105" t="s">
        <v>201</v>
      </c>
      <c r="C46" s="24">
        <v>0</v>
      </c>
      <c r="D46" s="17">
        <f t="shared" ref="D46:K46" si="11">(1295103)*0.001</f>
        <v>1295.1030000000001</v>
      </c>
      <c r="E46" s="17">
        <f t="shared" si="11"/>
        <v>1295.1030000000001</v>
      </c>
      <c r="F46" s="204">
        <f t="shared" si="11"/>
        <v>1295.1030000000001</v>
      </c>
      <c r="G46" s="205">
        <f t="shared" si="11"/>
        <v>1295.1030000000001</v>
      </c>
      <c r="H46" s="205">
        <f t="shared" si="11"/>
        <v>1295.1030000000001</v>
      </c>
      <c r="I46" s="205">
        <f t="shared" si="11"/>
        <v>1295.1030000000001</v>
      </c>
      <c r="J46" s="204">
        <f t="shared" si="11"/>
        <v>1295.1030000000001</v>
      </c>
      <c r="K46" s="205">
        <f t="shared" si="11"/>
        <v>1295.1030000000001</v>
      </c>
      <c r="L46" s="206">
        <v>7237.5</v>
      </c>
      <c r="M46" s="206">
        <v>7237.5</v>
      </c>
      <c r="N46" s="207">
        <v>7174</v>
      </c>
      <c r="O46" s="208">
        <v>7237.4</v>
      </c>
      <c r="P46" s="208">
        <v>7174</v>
      </c>
      <c r="Q46" s="208">
        <v>7174</v>
      </c>
      <c r="R46" s="191">
        <v>7174</v>
      </c>
      <c r="S46" s="190">
        <v>7174</v>
      </c>
      <c r="T46" s="190">
        <v>7174</v>
      </c>
      <c r="U46" s="190">
        <v>7174</v>
      </c>
      <c r="V46" s="191">
        <v>7174</v>
      </c>
      <c r="W46" s="190">
        <v>7174</v>
      </c>
      <c r="X46" s="190">
        <v>7174</v>
      </c>
      <c r="Y46" s="190">
        <v>7174</v>
      </c>
      <c r="Z46" s="191">
        <v>7174</v>
      </c>
      <c r="AA46" s="190">
        <v>7174</v>
      </c>
      <c r="AB46" s="190">
        <v>7174</v>
      </c>
      <c r="AC46" s="190">
        <v>7174</v>
      </c>
      <c r="AD46" s="191">
        <v>7174</v>
      </c>
      <c r="AE46" s="190">
        <v>7174</v>
      </c>
      <c r="AF46" s="190">
        <v>7174</v>
      </c>
      <c r="AG46" s="190">
        <v>7174</v>
      </c>
      <c r="AH46" s="191">
        <v>7174</v>
      </c>
      <c r="AI46" s="190">
        <v>7174</v>
      </c>
      <c r="AJ46" s="190">
        <v>7174</v>
      </c>
      <c r="AK46" s="190">
        <v>7174</v>
      </c>
      <c r="AL46" s="191">
        <v>7174</v>
      </c>
      <c r="AM46" s="190">
        <v>7174</v>
      </c>
      <c r="AN46" s="190">
        <v>7174</v>
      </c>
      <c r="AO46" s="190">
        <v>7174</v>
      </c>
      <c r="AP46" s="191">
        <v>7174</v>
      </c>
      <c r="AQ46" s="190">
        <v>7174</v>
      </c>
      <c r="AR46" s="190">
        <v>7174</v>
      </c>
      <c r="AS46" s="190">
        <v>7174</v>
      </c>
      <c r="AT46" s="688">
        <v>7174</v>
      </c>
      <c r="AU46" s="190">
        <v>7174</v>
      </c>
      <c r="AV46" s="190">
        <v>7174</v>
      </c>
      <c r="AW46" s="190">
        <v>7174</v>
      </c>
      <c r="AX46" s="688">
        <v>7174</v>
      </c>
      <c r="AY46" s="190">
        <v>7174</v>
      </c>
      <c r="AZ46" s="190">
        <v>7174</v>
      </c>
      <c r="BA46" s="190">
        <v>7174</v>
      </c>
      <c r="BB46" s="688">
        <v>7174</v>
      </c>
      <c r="BC46" s="192">
        <v>7174</v>
      </c>
      <c r="BD46" s="190">
        <v>7174</v>
      </c>
      <c r="BE46" s="190"/>
      <c r="BF46" s="688"/>
    </row>
    <row r="47" spans="1:58" s="7" customFormat="1" ht="20.100000000000001" customHeight="1">
      <c r="A47" s="27" t="s">
        <v>202</v>
      </c>
      <c r="B47" s="105" t="s">
        <v>203</v>
      </c>
      <c r="C47" s="43">
        <f>-3.17</f>
        <v>-3.17</v>
      </c>
      <c r="D47" s="24">
        <v>0</v>
      </c>
      <c r="E47" s="24">
        <v>0</v>
      </c>
      <c r="F47" s="201">
        <v>0</v>
      </c>
      <c r="G47" s="202">
        <v>0</v>
      </c>
      <c r="H47" s="202">
        <v>0</v>
      </c>
      <c r="I47" s="202">
        <v>0</v>
      </c>
      <c r="J47" s="202">
        <v>0</v>
      </c>
      <c r="K47" s="203">
        <v>0</v>
      </c>
      <c r="L47" s="202">
        <v>0</v>
      </c>
      <c r="M47" s="202">
        <v>0</v>
      </c>
      <c r="N47" s="201">
        <v>0</v>
      </c>
      <c r="O47" s="202">
        <v>0</v>
      </c>
      <c r="P47" s="202">
        <v>0</v>
      </c>
      <c r="Q47" s="202">
        <v>0</v>
      </c>
      <c r="R47" s="191">
        <v>0</v>
      </c>
      <c r="S47" s="192">
        <v>0</v>
      </c>
      <c r="T47" s="192">
        <v>0</v>
      </c>
      <c r="U47" s="192">
        <v>0</v>
      </c>
      <c r="V47" s="191">
        <v>0</v>
      </c>
      <c r="W47" s="192">
        <v>0</v>
      </c>
      <c r="X47" s="192">
        <v>0</v>
      </c>
      <c r="Y47" s="192">
        <v>0</v>
      </c>
      <c r="Z47" s="191">
        <v>0</v>
      </c>
      <c r="AA47" s="192">
        <v>0</v>
      </c>
      <c r="AB47" s="192">
        <v>0</v>
      </c>
      <c r="AC47" s="192">
        <v>0</v>
      </c>
      <c r="AD47" s="191">
        <v>0</v>
      </c>
      <c r="AE47" s="192">
        <v>0</v>
      </c>
      <c r="AF47" s="192">
        <v>0</v>
      </c>
      <c r="AG47" s="192">
        <v>0</v>
      </c>
      <c r="AH47" s="191">
        <v>0</v>
      </c>
      <c r="AI47" s="192">
        <v>0</v>
      </c>
      <c r="AJ47" s="192">
        <v>0</v>
      </c>
      <c r="AK47" s="192">
        <v>0</v>
      </c>
      <c r="AL47" s="191">
        <v>0</v>
      </c>
      <c r="AM47" s="192">
        <v>0</v>
      </c>
      <c r="AN47" s="192">
        <v>0</v>
      </c>
      <c r="AO47" s="192">
        <v>0</v>
      </c>
      <c r="AP47" s="191">
        <v>0</v>
      </c>
      <c r="AQ47" s="192">
        <v>0</v>
      </c>
      <c r="AR47" s="192">
        <v>0</v>
      </c>
      <c r="AS47" s="192">
        <v>0</v>
      </c>
      <c r="AT47" s="688">
        <v>0</v>
      </c>
      <c r="AU47" s="192">
        <v>0</v>
      </c>
      <c r="AV47" s="192">
        <v>0</v>
      </c>
      <c r="AW47" s="192">
        <v>0</v>
      </c>
      <c r="AX47" s="688">
        <v>0</v>
      </c>
      <c r="AY47" s="192" t="s">
        <v>197</v>
      </c>
      <c r="AZ47" s="192">
        <v>0</v>
      </c>
      <c r="BA47" s="192">
        <v>0</v>
      </c>
      <c r="BB47" s="688">
        <v>0</v>
      </c>
      <c r="BC47" s="192">
        <v>0</v>
      </c>
      <c r="BD47" s="192">
        <v>0</v>
      </c>
      <c r="BE47" s="192"/>
      <c r="BF47" s="688"/>
    </row>
    <row r="48" spans="1:58" s="7" customFormat="1" ht="20.100000000000001" customHeight="1">
      <c r="A48" s="27" t="s">
        <v>204</v>
      </c>
      <c r="B48" s="105" t="s">
        <v>205</v>
      </c>
      <c r="C48" s="41">
        <f>2.396</f>
        <v>2.3959999999999999</v>
      </c>
      <c r="D48" s="24">
        <v>0</v>
      </c>
      <c r="E48" s="24">
        <v>0</v>
      </c>
      <c r="F48" s="201">
        <v>0</v>
      </c>
      <c r="G48" s="202">
        <v>0</v>
      </c>
      <c r="H48" s="202">
        <v>0</v>
      </c>
      <c r="I48" s="202">
        <v>0</v>
      </c>
      <c r="J48" s="202">
        <v>0</v>
      </c>
      <c r="K48" s="203">
        <v>0</v>
      </c>
      <c r="L48" s="202">
        <v>0</v>
      </c>
      <c r="M48" s="202">
        <v>0</v>
      </c>
      <c r="N48" s="201">
        <v>0</v>
      </c>
      <c r="O48" s="202">
        <v>0</v>
      </c>
      <c r="P48" s="202">
        <v>0</v>
      </c>
      <c r="Q48" s="202">
        <v>0</v>
      </c>
      <c r="R48" s="191">
        <v>0</v>
      </c>
      <c r="S48" s="192">
        <v>0</v>
      </c>
      <c r="T48" s="192">
        <v>0</v>
      </c>
      <c r="U48" s="192">
        <v>0</v>
      </c>
      <c r="V48" s="191">
        <v>0</v>
      </c>
      <c r="W48" s="192">
        <v>0</v>
      </c>
      <c r="X48" s="192">
        <v>0</v>
      </c>
      <c r="Y48" s="192">
        <v>0</v>
      </c>
      <c r="Z48" s="191">
        <v>0</v>
      </c>
      <c r="AA48" s="192">
        <v>0</v>
      </c>
      <c r="AB48" s="192">
        <v>0</v>
      </c>
      <c r="AC48" s="192">
        <v>0</v>
      </c>
      <c r="AD48" s="191">
        <v>0</v>
      </c>
      <c r="AE48" s="192">
        <v>0</v>
      </c>
      <c r="AF48" s="192">
        <v>0</v>
      </c>
      <c r="AG48" s="192">
        <v>0</v>
      </c>
      <c r="AH48" s="191">
        <v>0</v>
      </c>
      <c r="AI48" s="192">
        <v>0</v>
      </c>
      <c r="AJ48" s="192">
        <v>0</v>
      </c>
      <c r="AK48" s="192">
        <v>0</v>
      </c>
      <c r="AL48" s="191">
        <v>0</v>
      </c>
      <c r="AM48" s="192">
        <v>0</v>
      </c>
      <c r="AN48" s="192">
        <v>0</v>
      </c>
      <c r="AO48" s="192">
        <v>0</v>
      </c>
      <c r="AP48" s="191">
        <v>0</v>
      </c>
      <c r="AQ48" s="192">
        <v>0</v>
      </c>
      <c r="AR48" s="192">
        <v>0</v>
      </c>
      <c r="AS48" s="192">
        <v>0</v>
      </c>
      <c r="AT48" s="688">
        <v>0</v>
      </c>
      <c r="AU48" s="192">
        <v>0</v>
      </c>
      <c r="AV48" s="192">
        <v>0</v>
      </c>
      <c r="AW48" s="192">
        <v>0</v>
      </c>
      <c r="AX48" s="688">
        <v>0</v>
      </c>
      <c r="AY48" s="192" t="s">
        <v>197</v>
      </c>
      <c r="AZ48" s="192">
        <v>0</v>
      </c>
      <c r="BA48" s="192">
        <v>0</v>
      </c>
      <c r="BB48" s="688">
        <v>0</v>
      </c>
      <c r="BC48" s="190">
        <v>0</v>
      </c>
      <c r="BD48" s="192">
        <v>0</v>
      </c>
      <c r="BE48" s="192"/>
      <c r="BF48" s="688"/>
    </row>
    <row r="49" spans="1:60" s="7" customFormat="1" ht="20.100000000000001" customHeight="1">
      <c r="A49" s="27" t="s">
        <v>206</v>
      </c>
      <c r="B49" s="108" t="s">
        <v>207</v>
      </c>
      <c r="C49" s="41"/>
      <c r="D49" s="24"/>
      <c r="E49" s="24"/>
      <c r="F49" s="201"/>
      <c r="G49" s="202"/>
      <c r="H49" s="202"/>
      <c r="I49" s="202"/>
      <c r="J49" s="202"/>
      <c r="K49" s="203"/>
      <c r="L49" s="202"/>
      <c r="M49" s="202"/>
      <c r="N49" s="201"/>
      <c r="O49" s="202"/>
      <c r="P49" s="202"/>
      <c r="Q49" s="202"/>
      <c r="R49" s="191"/>
      <c r="S49" s="192"/>
      <c r="T49" s="192"/>
      <c r="U49" s="192"/>
      <c r="V49" s="191"/>
      <c r="W49" s="192"/>
      <c r="X49" s="192"/>
      <c r="Y49" s="192"/>
      <c r="Z49" s="191"/>
      <c r="AA49" s="192"/>
      <c r="AB49" s="192"/>
      <c r="AC49" s="192"/>
      <c r="AD49" s="191"/>
      <c r="AE49" s="192"/>
      <c r="AF49" s="192"/>
      <c r="AG49" s="192"/>
      <c r="AH49" s="191"/>
      <c r="AI49" s="192"/>
      <c r="AJ49" s="192">
        <v>17.100000000000001</v>
      </c>
      <c r="AK49" s="192">
        <v>17.100000000000001</v>
      </c>
      <c r="AL49" s="191">
        <v>21.2</v>
      </c>
      <c r="AM49" s="192">
        <v>21.2</v>
      </c>
      <c r="AN49" s="192">
        <v>21.3</v>
      </c>
      <c r="AO49" s="192">
        <v>21.4</v>
      </c>
      <c r="AP49" s="191">
        <v>32.1</v>
      </c>
      <c r="AQ49" s="192">
        <v>32.200000000000003</v>
      </c>
      <c r="AR49" s="192">
        <v>41.7</v>
      </c>
      <c r="AS49" s="192">
        <v>56.6</v>
      </c>
      <c r="AT49" s="688">
        <v>51.9</v>
      </c>
      <c r="AU49" s="192">
        <v>52</v>
      </c>
      <c r="AV49" s="192">
        <v>45.8</v>
      </c>
      <c r="AW49" s="192">
        <v>0</v>
      </c>
      <c r="AX49" s="688">
        <v>0</v>
      </c>
      <c r="AY49" s="192">
        <v>-0.1</v>
      </c>
      <c r="AZ49" s="192">
        <v>-0.1</v>
      </c>
      <c r="BA49" s="192">
        <v>-0.1</v>
      </c>
      <c r="BB49" s="688">
        <v>0</v>
      </c>
      <c r="BC49" s="192">
        <v>0.1</v>
      </c>
      <c r="BD49" s="192">
        <v>0</v>
      </c>
      <c r="BE49" s="192"/>
      <c r="BF49" s="688"/>
    </row>
    <row r="50" spans="1:60" s="7" customFormat="1" ht="20.100000000000001" customHeight="1">
      <c r="A50" s="27" t="s">
        <v>208</v>
      </c>
      <c r="B50" s="105" t="s">
        <v>199</v>
      </c>
      <c r="C50" s="24">
        <v>0</v>
      </c>
      <c r="D50" s="41">
        <f>(1225)*0.001</f>
        <v>1.2250000000000001</v>
      </c>
      <c r="E50" s="43">
        <f>(-8191)*0.001</f>
        <v>-8.1910000000000007</v>
      </c>
      <c r="F50" s="232">
        <f>(-16327)*0.001</f>
        <v>-16.327000000000002</v>
      </c>
      <c r="G50" s="43">
        <f>(-17667)*0.001</f>
        <v>-17.667000000000002</v>
      </c>
      <c r="H50" s="43">
        <f>(-13285)*0.001</f>
        <v>-13.285</v>
      </c>
      <c r="I50" s="43">
        <f>(-11455)*0.001</f>
        <v>-11.455</v>
      </c>
      <c r="J50" s="232">
        <f>(-8964)*0.001</f>
        <v>-8.9640000000000004</v>
      </c>
      <c r="K50" s="203">
        <v>0</v>
      </c>
      <c r="L50" s="202">
        <v>0</v>
      </c>
      <c r="M50" s="211">
        <v>-9.1999999999999993</v>
      </c>
      <c r="N50" s="212">
        <v>-12.2</v>
      </c>
      <c r="O50" s="211">
        <v>-12.7</v>
      </c>
      <c r="P50" s="211">
        <v>-7.9</v>
      </c>
      <c r="Q50" s="211">
        <v>-8.1999999999999993</v>
      </c>
      <c r="R50" s="191">
        <v>-3.7</v>
      </c>
      <c r="S50" s="193">
        <v>-1.7</v>
      </c>
      <c r="T50" s="193">
        <v>0.1</v>
      </c>
      <c r="U50" s="193">
        <v>2.2000000000000002</v>
      </c>
      <c r="V50" s="191">
        <v>4.5</v>
      </c>
      <c r="W50" s="193">
        <v>3.8</v>
      </c>
      <c r="X50" s="193">
        <v>3.6</v>
      </c>
      <c r="Y50" s="193">
        <v>3.5</v>
      </c>
      <c r="Z50" s="191">
        <v>3.2</v>
      </c>
      <c r="AA50" s="193">
        <v>2.8</v>
      </c>
      <c r="AB50" s="193">
        <v>-204.3</v>
      </c>
      <c r="AC50" s="190">
        <v>-204.1</v>
      </c>
      <c r="AD50" s="191">
        <v>-162.5</v>
      </c>
      <c r="AE50" s="193">
        <v>-162.4</v>
      </c>
      <c r="AF50" s="193">
        <v>3.3</v>
      </c>
      <c r="AG50" s="190">
        <v>3.4</v>
      </c>
      <c r="AH50" s="191">
        <v>1.5</v>
      </c>
      <c r="AI50" s="193">
        <v>-4.8</v>
      </c>
      <c r="AJ50" s="193">
        <v>-7.2</v>
      </c>
      <c r="AK50" s="190">
        <v>-7.4</v>
      </c>
      <c r="AL50" s="191">
        <v>99.7</v>
      </c>
      <c r="AM50" s="193">
        <v>-4.3</v>
      </c>
      <c r="AN50" s="190">
        <v>-22.1</v>
      </c>
      <c r="AO50" s="190">
        <v>-126.3</v>
      </c>
      <c r="AP50" s="191">
        <v>2801.3</v>
      </c>
      <c r="AQ50" s="190">
        <v>2812.1</v>
      </c>
      <c r="AR50" s="666">
        <v>2827.1</v>
      </c>
      <c r="AS50" s="190">
        <v>2827.1</v>
      </c>
      <c r="AT50" s="688">
        <v>2815.9</v>
      </c>
      <c r="AU50" s="190">
        <v>2806</v>
      </c>
      <c r="AV50" s="486">
        <v>2795.5</v>
      </c>
      <c r="AW50" s="190">
        <v>2776.7</v>
      </c>
      <c r="AX50" s="688">
        <v>2752.8</v>
      </c>
      <c r="AY50" s="190">
        <v>2755.7</v>
      </c>
      <c r="AZ50" s="486">
        <v>2794.9</v>
      </c>
      <c r="BA50" s="486">
        <v>2785.3</v>
      </c>
      <c r="BB50" s="688">
        <v>2790.8</v>
      </c>
      <c r="BC50" s="190">
        <v>2776.5</v>
      </c>
      <c r="BD50" s="486">
        <v>2761.2</v>
      </c>
      <c r="BE50" s="486"/>
      <c r="BF50" s="688"/>
    </row>
    <row r="51" spans="1:60" s="7" customFormat="1" ht="20.100000000000001" customHeight="1">
      <c r="A51" s="27" t="s">
        <v>209</v>
      </c>
      <c r="B51" s="105" t="s">
        <v>210</v>
      </c>
      <c r="C51" s="41">
        <f>340.065</f>
        <v>340.065</v>
      </c>
      <c r="D51" s="41">
        <f>(882007)*0.001</f>
        <v>882.00700000000006</v>
      </c>
      <c r="E51" s="44">
        <f>(1054069)*0.001</f>
        <v>1054.069</v>
      </c>
      <c r="F51" s="213">
        <f>(1175693)*0.001</f>
        <v>1175.693</v>
      </c>
      <c r="G51" s="214">
        <f>(1270798)*0.001</f>
        <v>1270.798</v>
      </c>
      <c r="H51" s="214">
        <f>(1351543)*0.001</f>
        <v>1351.5430000000001</v>
      </c>
      <c r="I51" s="214">
        <f>(1527994)*0.001</f>
        <v>1527.9940000000001</v>
      </c>
      <c r="J51" s="213">
        <f>(1701138)*0.001</f>
        <v>1701.1380000000001</v>
      </c>
      <c r="K51" s="214">
        <f>(1799310)*0.001</f>
        <v>1799.31</v>
      </c>
      <c r="L51" s="206">
        <v>1828.6</v>
      </c>
      <c r="M51" s="206">
        <v>1876.8</v>
      </c>
      <c r="N51" s="215">
        <v>1890.8</v>
      </c>
      <c r="O51" s="206">
        <v>2061.6</v>
      </c>
      <c r="P51" s="206">
        <v>2366.1</v>
      </c>
      <c r="Q51" s="206">
        <v>2868.6</v>
      </c>
      <c r="R51" s="191">
        <v>3054.2</v>
      </c>
      <c r="S51" s="193">
        <v>3229.7</v>
      </c>
      <c r="T51" s="193">
        <v>3467.4</v>
      </c>
      <c r="U51" s="193">
        <v>3745.6</v>
      </c>
      <c r="V51" s="191">
        <v>4095.5</v>
      </c>
      <c r="W51" s="193">
        <v>4374.8999999999996</v>
      </c>
      <c r="X51" s="193">
        <v>4461.3999999999996</v>
      </c>
      <c r="Y51" s="193">
        <v>4704.3</v>
      </c>
      <c r="Z51" s="191">
        <v>4871.3999999999996</v>
      </c>
      <c r="AA51" s="193">
        <v>5668.6</v>
      </c>
      <c r="AB51" s="193">
        <v>5904.4</v>
      </c>
      <c r="AC51" s="190">
        <v>6130.5</v>
      </c>
      <c r="AD51" s="191">
        <v>6189.9</v>
      </c>
      <c r="AE51" s="193">
        <v>6481.8</v>
      </c>
      <c r="AF51" s="193">
        <v>6065.1</v>
      </c>
      <c r="AG51" s="190">
        <v>6296.4</v>
      </c>
      <c r="AH51" s="191">
        <v>6610.2</v>
      </c>
      <c r="AI51" s="193">
        <v>6792.6</v>
      </c>
      <c r="AJ51" s="193">
        <v>7081</v>
      </c>
      <c r="AK51" s="190">
        <v>6787.4</v>
      </c>
      <c r="AL51" s="191">
        <v>7112.3</v>
      </c>
      <c r="AM51" s="190">
        <v>7501.9</v>
      </c>
      <c r="AN51" s="190">
        <v>7273.7</v>
      </c>
      <c r="AO51" s="190">
        <v>10416.1</v>
      </c>
      <c r="AP51" s="191">
        <v>7823.6</v>
      </c>
      <c r="AQ51" s="190">
        <v>8038.5</v>
      </c>
      <c r="AR51" s="666">
        <v>7671</v>
      </c>
      <c r="AS51" s="678">
        <v>7899.7</v>
      </c>
      <c r="AT51" s="688">
        <v>8057.6</v>
      </c>
      <c r="AU51" s="190">
        <v>8122.1</v>
      </c>
      <c r="AV51" s="486">
        <v>8114.8</v>
      </c>
      <c r="AW51" s="190">
        <v>8233.6</v>
      </c>
      <c r="AX51" s="688">
        <v>8334.1</v>
      </c>
      <c r="AY51" s="190">
        <v>8514.2000000000007</v>
      </c>
      <c r="AZ51" s="486">
        <v>8660.6</v>
      </c>
      <c r="BA51" s="486">
        <v>8909.5</v>
      </c>
      <c r="BB51" s="688">
        <v>8987.4</v>
      </c>
      <c r="BC51" s="190">
        <v>9070</v>
      </c>
      <c r="BD51" s="486">
        <v>9182.9</v>
      </c>
      <c r="BE51" s="486"/>
      <c r="BF51" s="688"/>
    </row>
    <row r="52" spans="1:60" ht="20.100000000000001" customHeight="1" thickBot="1">
      <c r="A52" s="636" t="s">
        <v>211</v>
      </c>
      <c r="B52" s="108" t="s">
        <v>212</v>
      </c>
      <c r="C52" s="210"/>
      <c r="D52" s="210"/>
      <c r="E52" s="214"/>
      <c r="F52" s="213"/>
      <c r="G52" s="214"/>
      <c r="H52" s="214"/>
      <c r="I52" s="214"/>
      <c r="J52" s="213"/>
      <c r="K52" s="214"/>
      <c r="L52" s="206"/>
      <c r="M52" s="206"/>
      <c r="N52" s="215"/>
      <c r="O52" s="206"/>
      <c r="P52" s="206"/>
      <c r="Q52" s="206"/>
      <c r="R52" s="191"/>
      <c r="S52" s="193"/>
      <c r="T52" s="193"/>
      <c r="U52" s="193"/>
      <c r="V52" s="191"/>
      <c r="W52" s="193"/>
      <c r="X52" s="193"/>
      <c r="Y52" s="193"/>
      <c r="Z52" s="191"/>
      <c r="AA52" s="193"/>
      <c r="AB52" s="193"/>
      <c r="AC52" s="190"/>
      <c r="AD52" s="191"/>
      <c r="AE52" s="193"/>
      <c r="AF52" s="193"/>
      <c r="AG52" s="190"/>
      <c r="AH52" s="191"/>
      <c r="AI52" s="193"/>
      <c r="AJ52" s="193"/>
      <c r="AK52" s="190"/>
      <c r="AL52" s="191"/>
      <c r="AM52" s="190"/>
      <c r="AN52" s="190"/>
      <c r="AO52" s="190"/>
      <c r="AP52" s="191">
        <v>-2461</v>
      </c>
      <c r="AQ52" s="190">
        <v>-2461</v>
      </c>
      <c r="AR52" s="666">
        <v>-2854.7</v>
      </c>
      <c r="AS52" s="190">
        <v>-2854.7</v>
      </c>
      <c r="AT52" s="688">
        <v>-2854.7</v>
      </c>
      <c r="AU52" s="190">
        <v>-2854.7</v>
      </c>
      <c r="AV52" s="190">
        <v>-2854.7</v>
      </c>
      <c r="AW52" s="190">
        <v>-2854.7</v>
      </c>
      <c r="AX52" s="688">
        <v>-2854.7</v>
      </c>
      <c r="AY52" s="190">
        <v>-2854.7</v>
      </c>
      <c r="AZ52" s="190">
        <v>-2854.7</v>
      </c>
      <c r="BA52" s="190">
        <v>-2854.7</v>
      </c>
      <c r="BB52" s="688">
        <v>-2854.7</v>
      </c>
      <c r="BC52" s="190">
        <v>-2854.7</v>
      </c>
      <c r="BD52" s="190">
        <v>-2854.7</v>
      </c>
      <c r="BE52" s="190"/>
      <c r="BF52" s="688"/>
    </row>
    <row r="53" spans="1:60" s="199" customFormat="1" ht="25.2" customHeight="1" thickBot="1">
      <c r="A53" s="373" t="s">
        <v>213</v>
      </c>
      <c r="B53" s="373" t="s">
        <v>214</v>
      </c>
      <c r="C53" s="374">
        <f t="shared" ref="C53:AO53" si="12">SUM(C43:C51)</f>
        <v>2090.7669999999998</v>
      </c>
      <c r="D53" s="375">
        <f t="shared" si="12"/>
        <v>2192.2690000000002</v>
      </c>
      <c r="E53" s="375">
        <f t="shared" si="12"/>
        <v>2354.915</v>
      </c>
      <c r="F53" s="376">
        <f t="shared" si="12"/>
        <v>2468.4030000000002</v>
      </c>
      <c r="G53" s="375">
        <f t="shared" si="12"/>
        <v>2562.1680000000001</v>
      </c>
      <c r="H53" s="375">
        <f t="shared" si="12"/>
        <v>2647.2950000000001</v>
      </c>
      <c r="I53" s="375">
        <f t="shared" si="12"/>
        <v>2825.576</v>
      </c>
      <c r="J53" s="376">
        <f t="shared" si="12"/>
        <v>3001.2110000000002</v>
      </c>
      <c r="K53" s="374">
        <f t="shared" si="12"/>
        <v>3108.3469999999998</v>
      </c>
      <c r="L53" s="375">
        <f t="shared" si="12"/>
        <v>9091.7000000000007</v>
      </c>
      <c r="M53" s="375">
        <f t="shared" si="12"/>
        <v>9130.7000000000007</v>
      </c>
      <c r="N53" s="376">
        <f t="shared" si="12"/>
        <v>9078.2000000000007</v>
      </c>
      <c r="O53" s="374">
        <f t="shared" si="12"/>
        <v>9311.9</v>
      </c>
      <c r="P53" s="375">
        <f t="shared" si="12"/>
        <v>9557.8000000000011</v>
      </c>
      <c r="Q53" s="375">
        <f t="shared" si="12"/>
        <v>10060</v>
      </c>
      <c r="R53" s="376">
        <f t="shared" si="12"/>
        <v>10250.1</v>
      </c>
      <c r="S53" s="374">
        <f t="shared" si="12"/>
        <v>10427.6</v>
      </c>
      <c r="T53" s="375">
        <f t="shared" si="12"/>
        <v>10667.1</v>
      </c>
      <c r="U53" s="375">
        <f t="shared" si="12"/>
        <v>10947.4</v>
      </c>
      <c r="V53" s="376">
        <f t="shared" si="12"/>
        <v>11299.6</v>
      </c>
      <c r="W53" s="374">
        <f t="shared" si="12"/>
        <v>11578.3</v>
      </c>
      <c r="X53" s="375">
        <f t="shared" si="12"/>
        <v>11664.6</v>
      </c>
      <c r="Y53" s="375">
        <f t="shared" si="12"/>
        <v>11907.400000000001</v>
      </c>
      <c r="Z53" s="376">
        <f t="shared" si="12"/>
        <v>12074.2</v>
      </c>
      <c r="AA53" s="374">
        <f t="shared" si="12"/>
        <v>12871</v>
      </c>
      <c r="AB53" s="375">
        <f t="shared" si="12"/>
        <v>12899.7</v>
      </c>
      <c r="AC53" s="375">
        <f t="shared" si="12"/>
        <v>13126</v>
      </c>
      <c r="AD53" s="376">
        <f t="shared" si="12"/>
        <v>13227</v>
      </c>
      <c r="AE53" s="374">
        <f t="shared" si="12"/>
        <v>13519</v>
      </c>
      <c r="AF53" s="375">
        <f t="shared" si="12"/>
        <v>13268</v>
      </c>
      <c r="AG53" s="375">
        <f t="shared" si="12"/>
        <v>13499.4</v>
      </c>
      <c r="AH53" s="376">
        <f t="shared" si="12"/>
        <v>13811.3</v>
      </c>
      <c r="AI53" s="374">
        <f t="shared" si="12"/>
        <v>13987.400000000001</v>
      </c>
      <c r="AJ53" s="375">
        <f t="shared" si="12"/>
        <v>14290.5</v>
      </c>
      <c r="AK53" s="375">
        <f t="shared" si="12"/>
        <v>13996.7</v>
      </c>
      <c r="AL53" s="376">
        <f t="shared" si="12"/>
        <v>14432.8</v>
      </c>
      <c r="AM53" s="375">
        <f t="shared" si="12"/>
        <v>14718.4</v>
      </c>
      <c r="AN53" s="375">
        <f t="shared" si="12"/>
        <v>14472.5</v>
      </c>
      <c r="AO53" s="375">
        <f t="shared" si="12"/>
        <v>17510.8</v>
      </c>
      <c r="AP53" s="376">
        <f t="shared" ref="AP53:BB53" si="13">SUM(AP43:AP52)</f>
        <v>15395.599999999999</v>
      </c>
      <c r="AQ53" s="375">
        <f t="shared" si="13"/>
        <v>15621.400000000001</v>
      </c>
      <c r="AR53" s="664">
        <f t="shared" si="13"/>
        <v>14884.7</v>
      </c>
      <c r="AS53" s="664">
        <f t="shared" si="13"/>
        <v>15128.3</v>
      </c>
      <c r="AT53" s="686">
        <f t="shared" si="13"/>
        <v>15270.3</v>
      </c>
      <c r="AU53" s="375">
        <f t="shared" si="13"/>
        <v>15325</v>
      </c>
      <c r="AV53" s="664">
        <f t="shared" si="13"/>
        <v>15301</v>
      </c>
      <c r="AW53" s="664">
        <f t="shared" si="13"/>
        <v>15355.2</v>
      </c>
      <c r="AX53" s="686">
        <f t="shared" si="13"/>
        <v>15431.8</v>
      </c>
      <c r="AY53" s="375">
        <f t="shared" si="13"/>
        <v>15614.7</v>
      </c>
      <c r="AZ53" s="664">
        <f t="shared" si="13"/>
        <v>15800.3</v>
      </c>
      <c r="BA53" s="664">
        <f t="shared" si="13"/>
        <v>16039.599999999999</v>
      </c>
      <c r="BB53" s="686">
        <f t="shared" si="13"/>
        <v>16123.100000000002</v>
      </c>
      <c r="BC53" s="375">
        <f t="shared" ref="BC53:BD53" si="14">SUM(BC43:BC52)</f>
        <v>16191.5</v>
      </c>
      <c r="BD53" s="664">
        <f t="shared" si="14"/>
        <v>16288.999999999996</v>
      </c>
      <c r="BE53" s="664"/>
      <c r="BF53" s="686"/>
    </row>
    <row r="54" spans="1:60" s="7" customFormat="1" ht="20.100000000000001" customHeight="1" thickBot="1">
      <c r="A54" s="27" t="s">
        <v>215</v>
      </c>
      <c r="B54" s="106" t="s">
        <v>216</v>
      </c>
      <c r="C54" s="24">
        <v>0</v>
      </c>
      <c r="D54" s="24">
        <v>0</v>
      </c>
      <c r="E54" s="24">
        <v>0</v>
      </c>
      <c r="F54" s="201">
        <v>0</v>
      </c>
      <c r="G54" s="202">
        <v>0</v>
      </c>
      <c r="H54" s="202">
        <v>0</v>
      </c>
      <c r="I54" s="357">
        <f>2/1000</f>
        <v>2E-3</v>
      </c>
      <c r="J54" s="357">
        <f>2/1000</f>
        <v>2E-3</v>
      </c>
      <c r="K54" s="358">
        <f>2/1000</f>
        <v>2E-3</v>
      </c>
      <c r="L54" s="202">
        <v>0</v>
      </c>
      <c r="M54" s="202">
        <v>0</v>
      </c>
      <c r="N54" s="201">
        <v>0</v>
      </c>
      <c r="O54" s="202">
        <v>0</v>
      </c>
      <c r="P54" s="202">
        <v>0</v>
      </c>
      <c r="Q54" s="202">
        <v>0</v>
      </c>
      <c r="R54" s="61">
        <v>0</v>
      </c>
      <c r="S54" s="192">
        <v>-22.4</v>
      </c>
      <c r="T54" s="192">
        <v>94.5</v>
      </c>
      <c r="U54" s="192">
        <v>86.1</v>
      </c>
      <c r="V54" s="61">
        <v>78</v>
      </c>
      <c r="W54" s="192">
        <v>70</v>
      </c>
      <c r="X54" s="192">
        <v>60.5</v>
      </c>
      <c r="Y54" s="192">
        <v>52.5</v>
      </c>
      <c r="Z54" s="61">
        <v>42.6</v>
      </c>
      <c r="AA54" s="192">
        <v>34</v>
      </c>
      <c r="AB54" s="192">
        <v>554.29999999999995</v>
      </c>
      <c r="AC54" s="192">
        <v>555.29999999999995</v>
      </c>
      <c r="AD54" s="61">
        <v>648.20000000000005</v>
      </c>
      <c r="AE54" s="192">
        <v>653.6</v>
      </c>
      <c r="AF54" s="192">
        <v>650.5</v>
      </c>
      <c r="AG54" s="192">
        <v>655.7</v>
      </c>
      <c r="AH54" s="61">
        <v>653.20000000000005</v>
      </c>
      <c r="AI54" s="192">
        <v>652.6</v>
      </c>
      <c r="AJ54" s="192">
        <v>647.5</v>
      </c>
      <c r="AK54" s="192">
        <v>646.6</v>
      </c>
      <c r="AL54" s="61">
        <v>-6.6</v>
      </c>
      <c r="AM54" s="192">
        <v>647.9</v>
      </c>
      <c r="AN54" s="192">
        <v>489.9</v>
      </c>
      <c r="AO54" s="192">
        <v>-6.6</v>
      </c>
      <c r="AP54" s="61">
        <v>-11</v>
      </c>
      <c r="AQ54" s="192">
        <v>-14.5</v>
      </c>
      <c r="AR54" s="192">
        <v>540.1</v>
      </c>
      <c r="AS54" s="192">
        <v>526.20000000000005</v>
      </c>
      <c r="AT54" s="687">
        <v>540.5</v>
      </c>
      <c r="AU54" s="192">
        <v>544.70000000000005</v>
      </c>
      <c r="AV54" s="192">
        <v>552.29999999999995</v>
      </c>
      <c r="AW54" s="192">
        <v>408.3</v>
      </c>
      <c r="AX54" s="687">
        <v>873.4</v>
      </c>
      <c r="AY54" s="192">
        <v>873</v>
      </c>
      <c r="AZ54" s="192">
        <v>863.4</v>
      </c>
      <c r="BA54" s="192">
        <v>862.1</v>
      </c>
      <c r="BB54" s="687">
        <v>946.2</v>
      </c>
      <c r="BC54" s="192">
        <v>948</v>
      </c>
      <c r="BD54" s="192">
        <v>945.9</v>
      </c>
      <c r="BE54" s="192"/>
      <c r="BF54" s="687"/>
    </row>
    <row r="55" spans="1:60" s="199" customFormat="1" ht="25.2" customHeight="1" thickBot="1">
      <c r="A55" s="373" t="s">
        <v>217</v>
      </c>
      <c r="B55" s="373" t="s">
        <v>218</v>
      </c>
      <c r="C55" s="374">
        <f>C53+C54</f>
        <v>2090.7669999999998</v>
      </c>
      <c r="D55" s="375">
        <f>D53+D54</f>
        <v>2192.2690000000002</v>
      </c>
      <c r="E55" s="375">
        <f>E53+E54</f>
        <v>2354.915</v>
      </c>
      <c r="F55" s="376">
        <f>F53</f>
        <v>2468.4030000000002</v>
      </c>
      <c r="G55" s="375">
        <f>G53</f>
        <v>2562.1680000000001</v>
      </c>
      <c r="H55" s="375">
        <f>H53</f>
        <v>2647.2950000000001</v>
      </c>
      <c r="I55" s="375">
        <f>SUM(I53:I54)</f>
        <v>2825.578</v>
      </c>
      <c r="J55" s="376">
        <f t="shared" ref="J55:AP55" si="15">J53+J54</f>
        <v>3001.2130000000002</v>
      </c>
      <c r="K55" s="374">
        <f t="shared" si="15"/>
        <v>3108.3489999999997</v>
      </c>
      <c r="L55" s="375">
        <f t="shared" si="15"/>
        <v>9091.7000000000007</v>
      </c>
      <c r="M55" s="375">
        <f t="shared" si="15"/>
        <v>9130.7000000000007</v>
      </c>
      <c r="N55" s="376">
        <f t="shared" si="15"/>
        <v>9078.2000000000007</v>
      </c>
      <c r="O55" s="374">
        <f t="shared" si="15"/>
        <v>9311.9</v>
      </c>
      <c r="P55" s="375">
        <f t="shared" si="15"/>
        <v>9557.8000000000011</v>
      </c>
      <c r="Q55" s="375">
        <f t="shared" si="15"/>
        <v>10060</v>
      </c>
      <c r="R55" s="376">
        <f t="shared" si="15"/>
        <v>10250.1</v>
      </c>
      <c r="S55" s="374">
        <f t="shared" si="15"/>
        <v>10405.200000000001</v>
      </c>
      <c r="T55" s="375">
        <f t="shared" si="15"/>
        <v>10761.6</v>
      </c>
      <c r="U55" s="375">
        <f t="shared" si="15"/>
        <v>11033.5</v>
      </c>
      <c r="V55" s="376">
        <f t="shared" si="15"/>
        <v>11377.6</v>
      </c>
      <c r="W55" s="374">
        <f t="shared" si="15"/>
        <v>11648.3</v>
      </c>
      <c r="X55" s="375">
        <f t="shared" si="15"/>
        <v>11725.1</v>
      </c>
      <c r="Y55" s="375">
        <f t="shared" si="15"/>
        <v>11959.900000000001</v>
      </c>
      <c r="Z55" s="376">
        <f t="shared" si="15"/>
        <v>12116.800000000001</v>
      </c>
      <c r="AA55" s="374">
        <f t="shared" si="15"/>
        <v>12905</v>
      </c>
      <c r="AB55" s="375">
        <f t="shared" si="15"/>
        <v>13454</v>
      </c>
      <c r="AC55" s="375">
        <f t="shared" si="15"/>
        <v>13681.3</v>
      </c>
      <c r="AD55" s="376">
        <f t="shared" si="15"/>
        <v>13875.2</v>
      </c>
      <c r="AE55" s="374">
        <f t="shared" si="15"/>
        <v>14172.6</v>
      </c>
      <c r="AF55" s="375">
        <f t="shared" si="15"/>
        <v>13918.5</v>
      </c>
      <c r="AG55" s="375">
        <f t="shared" si="15"/>
        <v>14155.1</v>
      </c>
      <c r="AH55" s="376">
        <f t="shared" si="15"/>
        <v>14464.5</v>
      </c>
      <c r="AI55" s="374">
        <f t="shared" si="15"/>
        <v>14640.000000000002</v>
      </c>
      <c r="AJ55" s="375">
        <f t="shared" si="15"/>
        <v>14938</v>
      </c>
      <c r="AK55" s="375">
        <f t="shared" si="15"/>
        <v>14643.300000000001</v>
      </c>
      <c r="AL55" s="376">
        <f t="shared" si="15"/>
        <v>14426.199999999999</v>
      </c>
      <c r="AM55" s="374">
        <f t="shared" si="15"/>
        <v>15366.3</v>
      </c>
      <c r="AN55" s="375">
        <f t="shared" si="15"/>
        <v>14962.4</v>
      </c>
      <c r="AO55" s="375">
        <f t="shared" si="15"/>
        <v>17504.2</v>
      </c>
      <c r="AP55" s="376">
        <f t="shared" si="15"/>
        <v>15384.599999999999</v>
      </c>
      <c r="AQ55" s="374">
        <f t="shared" ref="AQ55:AT55" si="16">AQ53+AQ54</f>
        <v>15606.900000000001</v>
      </c>
      <c r="AR55" s="664">
        <f t="shared" si="16"/>
        <v>15424.800000000001</v>
      </c>
      <c r="AS55" s="375">
        <f t="shared" si="16"/>
        <v>15654.5</v>
      </c>
      <c r="AT55" s="686">
        <f t="shared" si="16"/>
        <v>15810.8</v>
      </c>
      <c r="AU55" s="374">
        <f t="shared" ref="AU55:BB55" si="17">AU53+AU54</f>
        <v>15869.7</v>
      </c>
      <c r="AV55" s="664">
        <f t="shared" si="17"/>
        <v>15853.3</v>
      </c>
      <c r="AW55" s="375">
        <f t="shared" si="17"/>
        <v>15763.5</v>
      </c>
      <c r="AX55" s="686">
        <f t="shared" si="17"/>
        <v>16305.199999999999</v>
      </c>
      <c r="AY55" s="374">
        <f t="shared" si="17"/>
        <v>16487.7</v>
      </c>
      <c r="AZ55" s="664">
        <f t="shared" si="17"/>
        <v>16663.7</v>
      </c>
      <c r="BA55" s="664">
        <f t="shared" si="17"/>
        <v>16901.699999999997</v>
      </c>
      <c r="BB55" s="686">
        <f t="shared" si="17"/>
        <v>17069.300000000003</v>
      </c>
      <c r="BC55" s="374">
        <f t="shared" ref="BC55:BD55" si="18">BC53+BC54</f>
        <v>17139.5</v>
      </c>
      <c r="BD55" s="664">
        <f t="shared" si="18"/>
        <v>17234.899999999998</v>
      </c>
      <c r="BE55" s="664"/>
      <c r="BF55" s="686"/>
      <c r="BH55" s="730"/>
    </row>
    <row r="56" spans="1:60" s="7" customFormat="1" ht="20.100000000000001" customHeight="1">
      <c r="A56" s="27" t="s">
        <v>219</v>
      </c>
      <c r="B56" s="105" t="s">
        <v>220</v>
      </c>
      <c r="C56" s="30">
        <f>932.068</f>
        <v>932.06799999999998</v>
      </c>
      <c r="D56" s="30">
        <f>(889155)*0.001</f>
        <v>889.15499999999997</v>
      </c>
      <c r="E56" s="30">
        <f>(680371)*0.001</f>
        <v>680.37099999999998</v>
      </c>
      <c r="F56" s="216">
        <f>(592003)*0.001</f>
        <v>592.00300000000004</v>
      </c>
      <c r="G56" s="211">
        <f>(572819)*0.001</f>
        <v>572.81899999999996</v>
      </c>
      <c r="H56" s="211">
        <f>(422858)*0.001</f>
        <v>422.858</v>
      </c>
      <c r="I56" s="211">
        <f>(329798)*0.001</f>
        <v>329.798</v>
      </c>
      <c r="J56" s="211">
        <f>(239889)*0.001</f>
        <v>239.88900000000001</v>
      </c>
      <c r="K56" s="217">
        <f>(236277)*0.001</f>
        <v>236.27700000000002</v>
      </c>
      <c r="L56" s="205">
        <v>8446.1</v>
      </c>
      <c r="M56" s="205">
        <v>7976.3</v>
      </c>
      <c r="N56" s="207">
        <v>7683.5</v>
      </c>
      <c r="O56" s="206">
        <v>7357.9</v>
      </c>
      <c r="P56" s="206">
        <v>7034.6</v>
      </c>
      <c r="Q56" s="205">
        <v>5644.9</v>
      </c>
      <c r="R56" s="61">
        <v>5379.8</v>
      </c>
      <c r="S56" s="193">
        <v>9982.1</v>
      </c>
      <c r="T56" s="193">
        <v>9752</v>
      </c>
      <c r="U56" s="193">
        <v>9530.2999999999993</v>
      </c>
      <c r="V56" s="61">
        <v>9302.7000000000007</v>
      </c>
      <c r="W56" s="193">
        <v>9056</v>
      </c>
      <c r="X56" s="193">
        <v>8808.6</v>
      </c>
      <c r="Y56" s="193">
        <v>8561.9</v>
      </c>
      <c r="Z56" s="61">
        <v>9291.4</v>
      </c>
      <c r="AA56" s="193">
        <v>9474.7000000000007</v>
      </c>
      <c r="AB56" s="193">
        <v>9139.4</v>
      </c>
      <c r="AC56" s="190">
        <v>9043.7999999999993</v>
      </c>
      <c r="AD56" s="61">
        <v>8605.2999999999993</v>
      </c>
      <c r="AE56" s="193">
        <v>8339.7999999999993</v>
      </c>
      <c r="AF56" s="193">
        <v>8100.2</v>
      </c>
      <c r="AG56" s="193">
        <v>7861.1</v>
      </c>
      <c r="AH56" s="61">
        <v>8617</v>
      </c>
      <c r="AI56" s="193">
        <v>8453.4</v>
      </c>
      <c r="AJ56" s="193">
        <v>9258.2999999999993</v>
      </c>
      <c r="AK56" s="193">
        <v>9073.7000000000007</v>
      </c>
      <c r="AL56" s="61">
        <v>8887.7999999999993</v>
      </c>
      <c r="AM56" s="193">
        <v>8701.9</v>
      </c>
      <c r="AN56" s="193">
        <v>8514.2000000000007</v>
      </c>
      <c r="AO56" s="193">
        <v>8005.1</v>
      </c>
      <c r="AP56" s="61">
        <v>7671.8</v>
      </c>
      <c r="AQ56" s="193">
        <v>7346.2</v>
      </c>
      <c r="AR56" s="192">
        <v>7025.1</v>
      </c>
      <c r="AS56" s="193">
        <v>6840.6</v>
      </c>
      <c r="AT56" s="687">
        <v>6624.8</v>
      </c>
      <c r="AU56" s="193">
        <v>6469.7</v>
      </c>
      <c r="AV56" s="192">
        <v>8620.7000000000007</v>
      </c>
      <c r="AW56" s="190">
        <v>9072.7000000000007</v>
      </c>
      <c r="AX56" s="688">
        <v>9534.2999999999993</v>
      </c>
      <c r="AY56" s="193">
        <v>9429.7000000000007</v>
      </c>
      <c r="AZ56" s="192">
        <v>9328.7000000000007</v>
      </c>
      <c r="BA56" s="190">
        <v>9279.7999999999993</v>
      </c>
      <c r="BB56" s="688">
        <v>9142.7000000000007</v>
      </c>
      <c r="BC56" s="193">
        <v>8962.7000000000007</v>
      </c>
      <c r="BD56" s="192">
        <v>8831.1</v>
      </c>
      <c r="BE56" s="190"/>
      <c r="BF56" s="688"/>
      <c r="BG56" s="713"/>
    </row>
    <row r="57" spans="1:60" s="7" customFormat="1" ht="20.100000000000001" customHeight="1">
      <c r="A57" s="27" t="s">
        <v>221</v>
      </c>
      <c r="B57" s="105" t="s">
        <v>222</v>
      </c>
      <c r="C57" s="17">
        <f>1360.637</f>
        <v>1360.6369999999999</v>
      </c>
      <c r="D57" s="17">
        <f>(1369593)*0.001</f>
        <v>1369.5930000000001</v>
      </c>
      <c r="E57" s="17">
        <f>(1347224)*0.001</f>
        <v>1347.2239999999999</v>
      </c>
      <c r="F57" s="204">
        <f>(1316479)*0.001</f>
        <v>1316.479</v>
      </c>
      <c r="G57" s="205">
        <f>(1370119)*0.001</f>
        <v>1370.1190000000001</v>
      </c>
      <c r="H57" s="205">
        <f>(1395972)*0.001</f>
        <v>1395.972</v>
      </c>
      <c r="I57" s="205">
        <f>(1385314)*0.001</f>
        <v>1385.3140000000001</v>
      </c>
      <c r="J57" s="204">
        <f>(1340010)*0.001</f>
        <v>1340.01</v>
      </c>
      <c r="K57" s="205">
        <f>(1396071)*0.001</f>
        <v>1396.0710000000001</v>
      </c>
      <c r="L57" s="205">
        <v>4286.8999999999996</v>
      </c>
      <c r="M57" s="205">
        <v>4302.1000000000004</v>
      </c>
      <c r="N57" s="207">
        <v>4550.2</v>
      </c>
      <c r="O57" s="206">
        <v>4470</v>
      </c>
      <c r="P57" s="206">
        <v>4582.5</v>
      </c>
      <c r="Q57" s="205">
        <v>964.4</v>
      </c>
      <c r="R57" s="61">
        <v>975.3</v>
      </c>
      <c r="S57" s="193">
        <v>2252.6</v>
      </c>
      <c r="T57" s="193">
        <v>1795.1</v>
      </c>
      <c r="U57" s="193">
        <v>1805.1</v>
      </c>
      <c r="V57" s="61">
        <v>1835.7</v>
      </c>
      <c r="W57" s="193">
        <v>964.9</v>
      </c>
      <c r="X57" s="193">
        <v>975.3</v>
      </c>
      <c r="Y57" s="193">
        <v>965.2</v>
      </c>
      <c r="Z57" s="61">
        <v>975.7</v>
      </c>
      <c r="AA57" s="193">
        <v>965.2</v>
      </c>
      <c r="AB57" s="193">
        <v>975.5</v>
      </c>
      <c r="AC57" s="190">
        <v>965.6</v>
      </c>
      <c r="AD57" s="61">
        <v>976</v>
      </c>
      <c r="AE57" s="193">
        <v>965.5</v>
      </c>
      <c r="AF57" s="193">
        <v>968.9</v>
      </c>
      <c r="AG57" s="193">
        <v>977.7</v>
      </c>
      <c r="AH57" s="61">
        <v>969.2</v>
      </c>
      <c r="AI57" s="193">
        <v>1950.7</v>
      </c>
      <c r="AJ57" s="193">
        <v>1957.7</v>
      </c>
      <c r="AK57" s="193">
        <v>1958.8</v>
      </c>
      <c r="AL57" s="61">
        <v>1959.2</v>
      </c>
      <c r="AM57" s="193">
        <v>1959.8</v>
      </c>
      <c r="AN57" s="193">
        <v>1960.1</v>
      </c>
      <c r="AO57" s="193">
        <v>1960.6</v>
      </c>
      <c r="AP57" s="61">
        <v>1942.1</v>
      </c>
      <c r="AQ57" s="193">
        <v>1931.4</v>
      </c>
      <c r="AR57" s="192">
        <v>1905.2</v>
      </c>
      <c r="AS57" s="193">
        <v>1910.3</v>
      </c>
      <c r="AT57" s="687">
        <v>1900.4</v>
      </c>
      <c r="AU57" s="193">
        <v>2897</v>
      </c>
      <c r="AV57" s="192">
        <v>2960.9</v>
      </c>
      <c r="AW57" s="190">
        <v>3497.8</v>
      </c>
      <c r="AX57" s="688">
        <v>3955.4</v>
      </c>
      <c r="AY57" s="193">
        <v>3581.6</v>
      </c>
      <c r="AZ57" s="192">
        <v>3668</v>
      </c>
      <c r="BA57" s="190">
        <v>3583.1</v>
      </c>
      <c r="BB57" s="688">
        <v>3670.8</v>
      </c>
      <c r="BC57" s="193">
        <v>3583.8</v>
      </c>
      <c r="BD57" s="192">
        <v>3670</v>
      </c>
      <c r="BE57" s="190"/>
      <c r="BF57" s="688"/>
    </row>
    <row r="58" spans="1:60" s="7" customFormat="1" ht="20.100000000000001" customHeight="1">
      <c r="A58" s="95" t="s">
        <v>223</v>
      </c>
      <c r="B58" s="107" t="s">
        <v>224</v>
      </c>
      <c r="C58" s="30">
        <f>0.81</f>
        <v>0.81</v>
      </c>
      <c r="D58" s="30">
        <f>(741)*0.001</f>
        <v>0.74099999999999999</v>
      </c>
      <c r="E58" s="30">
        <f>(638)*0.001</f>
        <v>0.63800000000000001</v>
      </c>
      <c r="F58" s="216">
        <f>(551)*0.001</f>
        <v>0.55100000000000005</v>
      </c>
      <c r="G58" s="211">
        <f>(474)*0.001</f>
        <v>0.47400000000000003</v>
      </c>
      <c r="H58" s="211">
        <f>(424)*0.001</f>
        <v>0.42399999999999999</v>
      </c>
      <c r="I58" s="211">
        <f>(306)*0.001</f>
        <v>0.30599999999999999</v>
      </c>
      <c r="J58" s="211">
        <f>(227)*0.001</f>
        <v>0.22700000000000001</v>
      </c>
      <c r="K58" s="217">
        <f>(166)*0.001</f>
        <v>0.16600000000000001</v>
      </c>
      <c r="L58" s="208">
        <v>4.5</v>
      </c>
      <c r="M58" s="208">
        <v>7.9</v>
      </c>
      <c r="N58" s="215">
        <v>11.7</v>
      </c>
      <c r="O58" s="218">
        <v>13.4</v>
      </c>
      <c r="P58" s="218">
        <v>15.7</v>
      </c>
      <c r="Q58" s="208">
        <v>21.3</v>
      </c>
      <c r="R58" s="61">
        <v>20.9</v>
      </c>
      <c r="S58" s="190">
        <v>21.2</v>
      </c>
      <c r="T58" s="190">
        <v>23.3</v>
      </c>
      <c r="U58" s="190">
        <v>22.1</v>
      </c>
      <c r="V58" s="61">
        <v>20.9</v>
      </c>
      <c r="W58" s="190">
        <v>22.6</v>
      </c>
      <c r="X58" s="190">
        <v>21.4</v>
      </c>
      <c r="Y58" s="190">
        <v>19.399999999999999</v>
      </c>
      <c r="Z58" s="61">
        <v>18.600000000000001</v>
      </c>
      <c r="AA58" s="190">
        <v>17.3</v>
      </c>
      <c r="AB58" s="190">
        <v>14.6</v>
      </c>
      <c r="AC58" s="190">
        <v>15</v>
      </c>
      <c r="AD58" s="61">
        <v>15.8</v>
      </c>
      <c r="AE58" s="190">
        <v>1070</v>
      </c>
      <c r="AF58" s="190">
        <v>997.6</v>
      </c>
      <c r="AG58" s="193">
        <v>946.9</v>
      </c>
      <c r="AH58" s="61">
        <v>1023.8</v>
      </c>
      <c r="AI58" s="190">
        <v>986.2</v>
      </c>
      <c r="AJ58" s="190">
        <v>1021.2</v>
      </c>
      <c r="AK58" s="193">
        <v>1016.4</v>
      </c>
      <c r="AL58" s="61">
        <v>1140.5</v>
      </c>
      <c r="AM58" s="190">
        <v>537.4</v>
      </c>
      <c r="AN58" s="193">
        <v>504.2</v>
      </c>
      <c r="AO58" s="193">
        <v>495.3</v>
      </c>
      <c r="AP58" s="61">
        <v>497.5</v>
      </c>
      <c r="AQ58" s="190">
        <v>467.5</v>
      </c>
      <c r="AR58" s="192">
        <v>349.1</v>
      </c>
      <c r="AS58" s="193">
        <v>328.3</v>
      </c>
      <c r="AT58" s="687">
        <v>345.6</v>
      </c>
      <c r="AU58" s="190">
        <v>342.2</v>
      </c>
      <c r="AV58" s="192">
        <v>337.3</v>
      </c>
      <c r="AW58" s="190">
        <v>399</v>
      </c>
      <c r="AX58" s="688">
        <v>444.6</v>
      </c>
      <c r="AY58" s="190">
        <v>454.9</v>
      </c>
      <c r="AZ58" s="192">
        <v>473.5</v>
      </c>
      <c r="BA58" s="190">
        <v>460.2</v>
      </c>
      <c r="BB58" s="688">
        <v>502.8</v>
      </c>
      <c r="BC58" s="190">
        <v>508.6</v>
      </c>
      <c r="BD58" s="192">
        <v>504.1</v>
      </c>
      <c r="BE58" s="190"/>
      <c r="BF58" s="688"/>
    </row>
    <row r="59" spans="1:60" s="7" customFormat="1" ht="20.100000000000001" customHeight="1">
      <c r="A59" s="27" t="s">
        <v>225</v>
      </c>
      <c r="B59" s="105" t="s">
        <v>226</v>
      </c>
      <c r="C59" s="18" t="e">
        <f>0*($A$88)</f>
        <v>#VALUE!</v>
      </c>
      <c r="D59" s="18">
        <f>0</f>
        <v>0</v>
      </c>
      <c r="E59" s="18">
        <f>0</f>
        <v>0</v>
      </c>
      <c r="F59" s="219">
        <v>0</v>
      </c>
      <c r="G59" s="220">
        <v>0</v>
      </c>
      <c r="H59" s="220">
        <f>0</f>
        <v>0</v>
      </c>
      <c r="I59" s="220">
        <v>0</v>
      </c>
      <c r="J59" s="220">
        <v>0</v>
      </c>
      <c r="K59" s="221">
        <v>0</v>
      </c>
      <c r="L59" s="208">
        <v>835.8</v>
      </c>
      <c r="M59" s="208">
        <v>730.2</v>
      </c>
      <c r="N59" s="215">
        <v>750.3</v>
      </c>
      <c r="O59" s="218">
        <v>724.4</v>
      </c>
      <c r="P59" s="218">
        <v>747.9</v>
      </c>
      <c r="Q59" s="208">
        <v>645.1</v>
      </c>
      <c r="R59" s="61">
        <v>652.79999999999995</v>
      </c>
      <c r="S59" s="190">
        <v>658</v>
      </c>
      <c r="T59" s="190">
        <v>686.7</v>
      </c>
      <c r="U59" s="190">
        <v>555.79999999999995</v>
      </c>
      <c r="V59" s="61">
        <v>574</v>
      </c>
      <c r="W59" s="190">
        <v>551</v>
      </c>
      <c r="X59" s="190">
        <v>555.4</v>
      </c>
      <c r="Y59" s="190">
        <v>452.4</v>
      </c>
      <c r="Z59" s="61">
        <v>440.8</v>
      </c>
      <c r="AA59" s="190">
        <v>447.6</v>
      </c>
      <c r="AB59" s="190">
        <v>466.9</v>
      </c>
      <c r="AC59" s="190">
        <v>343.6</v>
      </c>
      <c r="AD59" s="61">
        <v>348.2</v>
      </c>
      <c r="AE59" s="190">
        <v>350.5</v>
      </c>
      <c r="AF59" s="190">
        <v>348.8</v>
      </c>
      <c r="AG59" s="193">
        <v>241.7</v>
      </c>
      <c r="AH59" s="61">
        <v>236.9</v>
      </c>
      <c r="AI59" s="190">
        <v>254.9</v>
      </c>
      <c r="AJ59" s="190">
        <v>251.7</v>
      </c>
      <c r="AK59" s="193">
        <v>133.30000000000001</v>
      </c>
      <c r="AL59" s="61">
        <v>136.69999999999999</v>
      </c>
      <c r="AM59" s="190">
        <v>139</v>
      </c>
      <c r="AN59" s="193">
        <v>135.69999999999999</v>
      </c>
      <c r="AO59" s="193">
        <v>0</v>
      </c>
      <c r="AP59" s="61">
        <v>0</v>
      </c>
      <c r="AQ59" s="190">
        <v>0</v>
      </c>
      <c r="AR59" s="192">
        <v>0</v>
      </c>
      <c r="AS59" s="192">
        <v>0</v>
      </c>
      <c r="AT59" s="687">
        <v>0</v>
      </c>
      <c r="AU59" s="190">
        <v>0</v>
      </c>
      <c r="AV59" s="192">
        <v>0</v>
      </c>
      <c r="AW59" s="190">
        <v>0</v>
      </c>
      <c r="AX59" s="687">
        <v>0</v>
      </c>
      <c r="AY59" s="190">
        <v>0</v>
      </c>
      <c r="AZ59" s="192">
        <v>0</v>
      </c>
      <c r="BA59" s="190">
        <v>0</v>
      </c>
      <c r="BB59" s="687">
        <v>0</v>
      </c>
      <c r="BC59" s="190">
        <v>0</v>
      </c>
      <c r="BD59" s="192">
        <v>0</v>
      </c>
      <c r="BE59" s="190"/>
      <c r="BF59" s="687"/>
    </row>
    <row r="60" spans="1:60" s="7" customFormat="1" ht="20.100000000000001" customHeight="1">
      <c r="A60" s="27" t="s">
        <v>227</v>
      </c>
      <c r="B60" s="105" t="s">
        <v>228</v>
      </c>
      <c r="C60" s="41">
        <f>87.307</f>
        <v>87.307000000000002</v>
      </c>
      <c r="D60" s="41">
        <f>(88480)*0.001</f>
        <v>88.48</v>
      </c>
      <c r="E60" s="41">
        <f>(97271)*0.001</f>
        <v>97.271000000000001</v>
      </c>
      <c r="F60" s="209">
        <f>(94258)*0.001</f>
        <v>94.257999999999996</v>
      </c>
      <c r="G60" s="210">
        <f>(93487)*0.001</f>
        <v>93.487000000000009</v>
      </c>
      <c r="H60" s="210">
        <f>(93150)*0.001</f>
        <v>93.15</v>
      </c>
      <c r="I60" s="210">
        <f>(98799)*0.001</f>
        <v>98.799000000000007</v>
      </c>
      <c r="J60" s="210">
        <f>(108066)*0.001</f>
        <v>108.066</v>
      </c>
      <c r="K60" s="222">
        <f>(95950)*0.001</f>
        <v>95.95</v>
      </c>
      <c r="L60" s="205">
        <v>1010.7</v>
      </c>
      <c r="M60" s="205">
        <v>1038.8</v>
      </c>
      <c r="N60" s="215">
        <v>908.7</v>
      </c>
      <c r="O60" s="218">
        <v>888.6</v>
      </c>
      <c r="P60" s="218">
        <v>821.1</v>
      </c>
      <c r="Q60" s="205">
        <v>770.4</v>
      </c>
      <c r="R60" s="61">
        <v>615.79999999999995</v>
      </c>
      <c r="S60" s="190">
        <v>694.4</v>
      </c>
      <c r="T60" s="190">
        <v>889.1</v>
      </c>
      <c r="U60" s="190">
        <v>923.2</v>
      </c>
      <c r="V60" s="61">
        <v>786.9</v>
      </c>
      <c r="W60" s="190">
        <v>812.3</v>
      </c>
      <c r="X60" s="190">
        <v>775.7</v>
      </c>
      <c r="Y60" s="190">
        <v>771.8</v>
      </c>
      <c r="Z60" s="61">
        <v>879.8</v>
      </c>
      <c r="AA60" s="190">
        <v>1034.8</v>
      </c>
      <c r="AB60" s="190">
        <v>1027.8</v>
      </c>
      <c r="AC60" s="190">
        <v>1006.2</v>
      </c>
      <c r="AD60" s="61">
        <v>1160.0999999999999</v>
      </c>
      <c r="AE60" s="190">
        <v>1132</v>
      </c>
      <c r="AF60" s="190">
        <v>1129.8</v>
      </c>
      <c r="AG60" s="193">
        <v>1086.0999999999999</v>
      </c>
      <c r="AH60" s="61">
        <v>1025.3</v>
      </c>
      <c r="AI60" s="190">
        <v>950.2</v>
      </c>
      <c r="AJ60" s="190">
        <v>973.2</v>
      </c>
      <c r="AK60" s="193">
        <v>984.4</v>
      </c>
      <c r="AL60" s="61">
        <v>902.1</v>
      </c>
      <c r="AM60" s="190">
        <v>857.5</v>
      </c>
      <c r="AN60" s="193">
        <v>885.5</v>
      </c>
      <c r="AO60" s="193">
        <v>853.2</v>
      </c>
      <c r="AP60" s="61">
        <v>794.9</v>
      </c>
      <c r="AQ60" s="190">
        <v>721</v>
      </c>
      <c r="AR60" s="192">
        <v>1044.2</v>
      </c>
      <c r="AS60" s="192">
        <v>1023.2</v>
      </c>
      <c r="AT60" s="687">
        <v>978.7</v>
      </c>
      <c r="AU60" s="190">
        <v>914.9</v>
      </c>
      <c r="AV60" s="192">
        <v>891.1</v>
      </c>
      <c r="AW60" s="190">
        <v>872.8</v>
      </c>
      <c r="AX60" s="688">
        <v>1035</v>
      </c>
      <c r="AY60" s="190">
        <v>1088.3</v>
      </c>
      <c r="AZ60" s="192">
        <v>1056.8</v>
      </c>
      <c r="BA60" s="190">
        <v>1102.7</v>
      </c>
      <c r="BB60" s="688">
        <v>1087.5</v>
      </c>
      <c r="BC60" s="190">
        <v>1057.0999999999999</v>
      </c>
      <c r="BD60" s="192">
        <v>1030</v>
      </c>
      <c r="BE60" s="190"/>
      <c r="BF60" s="688"/>
    </row>
    <row r="61" spans="1:60" s="7" customFormat="1" ht="20.100000000000001" customHeight="1">
      <c r="A61" s="27" t="s">
        <v>229</v>
      </c>
      <c r="B61" s="105" t="s">
        <v>230</v>
      </c>
      <c r="C61" s="24">
        <v>0</v>
      </c>
      <c r="D61" s="41">
        <f>(6285)*0.001</f>
        <v>6.2850000000000001</v>
      </c>
      <c r="E61" s="41">
        <f>(5716)*0.001</f>
        <v>5.7160000000000002</v>
      </c>
      <c r="F61" s="209">
        <f>(5181)*0.001</f>
        <v>5.181</v>
      </c>
      <c r="G61" s="210">
        <f>(4978)*0.001</f>
        <v>4.9779999999999998</v>
      </c>
      <c r="H61" s="210">
        <f>(4754)*0.001</f>
        <v>4.7540000000000004</v>
      </c>
      <c r="I61" s="210">
        <f>(4303)*0.001</f>
        <v>4.3029999999999999</v>
      </c>
      <c r="J61" s="210">
        <f>(4079)*0.001</f>
        <v>4.0789999999999997</v>
      </c>
      <c r="K61" s="222">
        <f>(3008)*0.001</f>
        <v>3.008</v>
      </c>
      <c r="L61" s="208">
        <v>2.8</v>
      </c>
      <c r="M61" s="208">
        <v>3.9</v>
      </c>
      <c r="N61" s="215">
        <v>4.7</v>
      </c>
      <c r="O61" s="218">
        <v>5.5</v>
      </c>
      <c r="P61" s="218">
        <v>5</v>
      </c>
      <c r="Q61" s="208">
        <v>4.5</v>
      </c>
      <c r="R61" s="61">
        <v>4.7</v>
      </c>
      <c r="S61" s="190">
        <v>22.1</v>
      </c>
      <c r="T61" s="190">
        <v>21</v>
      </c>
      <c r="U61" s="190">
        <v>20.100000000000001</v>
      </c>
      <c r="V61" s="61">
        <v>20.100000000000001</v>
      </c>
      <c r="W61" s="190">
        <v>4</v>
      </c>
      <c r="X61" s="190">
        <v>3.8</v>
      </c>
      <c r="Y61" s="190">
        <v>3.4</v>
      </c>
      <c r="Z61" s="61">
        <v>3.2</v>
      </c>
      <c r="AA61" s="190">
        <v>0</v>
      </c>
      <c r="AB61" s="190">
        <v>0</v>
      </c>
      <c r="AC61" s="190">
        <v>0</v>
      </c>
      <c r="AD61" s="61">
        <v>0</v>
      </c>
      <c r="AE61" s="190">
        <v>0</v>
      </c>
      <c r="AF61" s="190">
        <v>0</v>
      </c>
      <c r="AG61" s="193">
        <v>0</v>
      </c>
      <c r="AH61" s="61">
        <v>0</v>
      </c>
      <c r="AI61" s="190">
        <v>0</v>
      </c>
      <c r="AJ61" s="190">
        <v>0</v>
      </c>
      <c r="AK61" s="193">
        <v>0</v>
      </c>
      <c r="AL61" s="61">
        <v>0</v>
      </c>
      <c r="AM61" s="190">
        <v>0</v>
      </c>
      <c r="AN61" s="193">
        <v>0</v>
      </c>
      <c r="AO61" s="193">
        <v>0</v>
      </c>
      <c r="AP61" s="61">
        <v>0</v>
      </c>
      <c r="AQ61" s="190">
        <v>0</v>
      </c>
      <c r="AR61" s="192">
        <v>0</v>
      </c>
      <c r="AS61" s="192">
        <v>0</v>
      </c>
      <c r="AT61" s="687">
        <v>0</v>
      </c>
      <c r="AU61" s="190">
        <v>0</v>
      </c>
      <c r="AV61" s="192">
        <v>0</v>
      </c>
      <c r="AW61" s="190">
        <v>0</v>
      </c>
      <c r="AX61" s="687">
        <v>0</v>
      </c>
      <c r="AY61" s="190">
        <v>0</v>
      </c>
      <c r="AZ61" s="192">
        <v>0</v>
      </c>
      <c r="BA61" s="190">
        <v>0</v>
      </c>
      <c r="BB61" s="687">
        <v>0</v>
      </c>
      <c r="BC61" s="190">
        <v>0</v>
      </c>
      <c r="BD61" s="192">
        <v>0</v>
      </c>
      <c r="BE61" s="190"/>
      <c r="BF61" s="687"/>
    </row>
    <row r="62" spans="1:60" s="7" customFormat="1" ht="20.100000000000001" customHeight="1">
      <c r="A62" s="27" t="s">
        <v>231</v>
      </c>
      <c r="B62" s="105" t="s">
        <v>232</v>
      </c>
      <c r="C62" s="41">
        <f>13.779</f>
        <v>13.779</v>
      </c>
      <c r="D62" s="41">
        <f>(17835)*0.001</f>
        <v>17.835000000000001</v>
      </c>
      <c r="E62" s="41">
        <f>(19037)*0.001</f>
        <v>19.036999999999999</v>
      </c>
      <c r="F62" s="209">
        <f>(17690)*0.001</f>
        <v>17.690000000000001</v>
      </c>
      <c r="G62" s="210">
        <f>(17684)*0.001</f>
        <v>17.684000000000001</v>
      </c>
      <c r="H62" s="210">
        <f>(10154)*0.001</f>
        <v>10.154</v>
      </c>
      <c r="I62" s="210">
        <f>(8594)*0.001</f>
        <v>8.5939999999999994</v>
      </c>
      <c r="J62" s="210">
        <f>(7915)*0.001</f>
        <v>7.915</v>
      </c>
      <c r="K62" s="222">
        <f>(7828)*0.001</f>
        <v>7.8280000000000003</v>
      </c>
      <c r="L62" s="208">
        <v>158.19999999999999</v>
      </c>
      <c r="M62" s="208">
        <v>164.6</v>
      </c>
      <c r="N62" s="215">
        <v>184.2</v>
      </c>
      <c r="O62" s="218">
        <v>167.4</v>
      </c>
      <c r="P62" s="218">
        <v>132.4</v>
      </c>
      <c r="Q62" s="208">
        <v>133.1</v>
      </c>
      <c r="R62" s="61">
        <v>124.2</v>
      </c>
      <c r="S62" s="190">
        <v>157.30000000000001</v>
      </c>
      <c r="T62" s="190">
        <v>148.9</v>
      </c>
      <c r="U62" s="190">
        <v>148.19999999999999</v>
      </c>
      <c r="V62" s="61">
        <v>130.19999999999999</v>
      </c>
      <c r="W62" s="190">
        <v>128.1</v>
      </c>
      <c r="X62" s="190">
        <v>122</v>
      </c>
      <c r="Y62" s="190">
        <v>122.2</v>
      </c>
      <c r="Z62" s="61">
        <v>114.2</v>
      </c>
      <c r="AA62" s="190">
        <v>122.4</v>
      </c>
      <c r="AB62" s="190">
        <v>436.6</v>
      </c>
      <c r="AC62" s="190">
        <v>728.3</v>
      </c>
      <c r="AD62" s="61">
        <v>697.6</v>
      </c>
      <c r="AE62" s="190">
        <v>620.1</v>
      </c>
      <c r="AF62" s="190">
        <v>494</v>
      </c>
      <c r="AG62" s="193">
        <v>380.5</v>
      </c>
      <c r="AH62" s="61">
        <v>384.7</v>
      </c>
      <c r="AI62" s="190">
        <v>311.8</v>
      </c>
      <c r="AJ62" s="190">
        <v>334.5</v>
      </c>
      <c r="AK62" s="193">
        <v>346.2</v>
      </c>
      <c r="AL62" s="61">
        <v>388.1</v>
      </c>
      <c r="AM62" s="190">
        <v>104.9</v>
      </c>
      <c r="AN62" s="193">
        <v>95.4</v>
      </c>
      <c r="AO62" s="193">
        <v>345.8</v>
      </c>
      <c r="AP62" s="61">
        <v>319.8</v>
      </c>
      <c r="AQ62" s="190">
        <v>273.2</v>
      </c>
      <c r="AR62" s="192">
        <v>383.1</v>
      </c>
      <c r="AS62" s="193">
        <v>355.4</v>
      </c>
      <c r="AT62" s="687">
        <v>330.9</v>
      </c>
      <c r="AU62" s="190">
        <v>286.39999999999998</v>
      </c>
      <c r="AV62" s="192">
        <v>410.4</v>
      </c>
      <c r="AW62" s="190">
        <v>410.2</v>
      </c>
      <c r="AX62" s="688">
        <v>385.6</v>
      </c>
      <c r="AY62" s="190">
        <v>341.4</v>
      </c>
      <c r="AZ62" s="192">
        <v>297.2</v>
      </c>
      <c r="BA62" s="190">
        <v>322</v>
      </c>
      <c r="BB62" s="688">
        <v>301.60000000000002</v>
      </c>
      <c r="BC62" s="190">
        <v>377.7</v>
      </c>
      <c r="BD62" s="192">
        <v>377.4</v>
      </c>
      <c r="BE62" s="190"/>
      <c r="BF62" s="688"/>
    </row>
    <row r="63" spans="1:60" s="15" customFormat="1" ht="20.100000000000001" customHeight="1" thickBot="1">
      <c r="A63" s="29" t="s">
        <v>233</v>
      </c>
      <c r="B63" s="109" t="s">
        <v>234</v>
      </c>
      <c r="C63" s="18" t="e">
        <f>0*($A$88)</f>
        <v>#VALUE!</v>
      </c>
      <c r="D63" s="18">
        <f>0</f>
        <v>0</v>
      </c>
      <c r="E63" s="18">
        <f>0</f>
        <v>0</v>
      </c>
      <c r="F63" s="219">
        <v>0</v>
      </c>
      <c r="G63" s="220">
        <v>0</v>
      </c>
      <c r="H63" s="220">
        <f>0</f>
        <v>0</v>
      </c>
      <c r="I63" s="220">
        <v>0</v>
      </c>
      <c r="J63" s="223">
        <v>0.1</v>
      </c>
      <c r="K63" s="221">
        <v>0</v>
      </c>
      <c r="L63" s="220" t="e">
        <f>0*($A$88)</f>
        <v>#VALUE!</v>
      </c>
      <c r="M63" s="220" t="e">
        <f>0*($A$88)</f>
        <v>#VALUE!</v>
      </c>
      <c r="N63" s="223">
        <v>40.1</v>
      </c>
      <c r="O63" s="224">
        <v>22.6</v>
      </c>
      <c r="P63" s="224">
        <v>2</v>
      </c>
      <c r="Q63" s="225">
        <v>1.9</v>
      </c>
      <c r="R63" s="61">
        <v>0</v>
      </c>
      <c r="S63" s="173">
        <v>1.1000000000000001</v>
      </c>
      <c r="T63" s="173">
        <v>0.9</v>
      </c>
      <c r="U63" s="173">
        <v>0</v>
      </c>
      <c r="V63" s="61">
        <v>0</v>
      </c>
      <c r="W63" s="173">
        <v>1.5</v>
      </c>
      <c r="X63" s="173">
        <v>1.7</v>
      </c>
      <c r="Y63" s="173">
        <v>1.3</v>
      </c>
      <c r="Z63" s="61">
        <v>0</v>
      </c>
      <c r="AA63" s="173">
        <v>2.2000000000000002</v>
      </c>
      <c r="AB63" s="173">
        <v>0.5</v>
      </c>
      <c r="AC63" s="173">
        <v>205</v>
      </c>
      <c r="AD63" s="61">
        <v>165.2</v>
      </c>
      <c r="AE63" s="173">
        <v>167.2</v>
      </c>
      <c r="AF63" s="173">
        <v>5.4</v>
      </c>
      <c r="AG63" s="173">
        <v>6.7</v>
      </c>
      <c r="AH63" s="61">
        <v>3.2</v>
      </c>
      <c r="AI63" s="173">
        <v>30.2</v>
      </c>
      <c r="AJ63" s="173">
        <v>29.6</v>
      </c>
      <c r="AK63" s="173">
        <v>24.9</v>
      </c>
      <c r="AL63" s="194">
        <v>16.8</v>
      </c>
      <c r="AM63" s="173">
        <v>6.7</v>
      </c>
      <c r="AN63" s="173">
        <v>1.4</v>
      </c>
      <c r="AO63" s="173">
        <v>0</v>
      </c>
      <c r="AP63" s="194">
        <v>0</v>
      </c>
      <c r="AQ63" s="173">
        <v>0</v>
      </c>
      <c r="AR63" s="663">
        <v>0</v>
      </c>
      <c r="AS63" s="173">
        <v>0</v>
      </c>
      <c r="AT63" s="685">
        <v>4.3</v>
      </c>
      <c r="AU63" s="173">
        <v>11.9</v>
      </c>
      <c r="AV63" s="663">
        <v>154</v>
      </c>
      <c r="AW63" s="173">
        <v>20.3</v>
      </c>
      <c r="AX63" s="697">
        <v>24</v>
      </c>
      <c r="AY63" s="173">
        <v>12.1</v>
      </c>
      <c r="AZ63" s="663">
        <v>9.3000000000000007</v>
      </c>
      <c r="BA63" s="173">
        <v>36.1</v>
      </c>
      <c r="BB63" s="697">
        <v>10.8</v>
      </c>
      <c r="BC63" s="173">
        <v>12.1</v>
      </c>
      <c r="BD63" s="663">
        <v>22.9</v>
      </c>
      <c r="BE63" s="173"/>
      <c r="BF63" s="697"/>
    </row>
    <row r="64" spans="1:60" s="199" customFormat="1" ht="25.2" customHeight="1" thickBot="1">
      <c r="A64" s="373" t="s">
        <v>235</v>
      </c>
      <c r="B64" s="373" t="s">
        <v>236</v>
      </c>
      <c r="C64" s="374" t="e">
        <f t="shared" ref="C64" si="19">SUM(C56:C62)</f>
        <v>#VALUE!</v>
      </c>
      <c r="D64" s="375">
        <f t="shared" ref="D64" si="20">SUM(D56:D62)</f>
        <v>2372.0889999999999</v>
      </c>
      <c r="E64" s="375">
        <f t="shared" ref="E64" si="21">SUM(E56:E62)</f>
        <v>2150.2569999999996</v>
      </c>
      <c r="F64" s="376">
        <f t="shared" ref="F64:I64" si="22">SUM(F56:F62)</f>
        <v>2026.162</v>
      </c>
      <c r="G64" s="375">
        <f t="shared" si="22"/>
        <v>2059.5610000000001</v>
      </c>
      <c r="H64" s="375">
        <f t="shared" si="22"/>
        <v>1927.3119999999999</v>
      </c>
      <c r="I64" s="375">
        <f t="shared" si="22"/>
        <v>1827.1140000000003</v>
      </c>
      <c r="J64" s="376">
        <f t="shared" ref="J64:K64" si="23">SUM(J56:J62)</f>
        <v>1700.1859999999999</v>
      </c>
      <c r="K64" s="374">
        <f t="shared" si="23"/>
        <v>1739.3000000000002</v>
      </c>
      <c r="L64" s="375">
        <f t="shared" ref="L64:M64" si="24">SUM(L56:L62)</f>
        <v>14745</v>
      </c>
      <c r="M64" s="375">
        <f t="shared" si="24"/>
        <v>14223.800000000001</v>
      </c>
      <c r="N64" s="376">
        <f t="shared" ref="N64:S64" si="25">SUM(N56:N63)-N63</f>
        <v>14093.300000000003</v>
      </c>
      <c r="O64" s="374">
        <f t="shared" si="25"/>
        <v>13627.199999999999</v>
      </c>
      <c r="P64" s="375">
        <f t="shared" si="25"/>
        <v>13339.2</v>
      </c>
      <c r="Q64" s="375">
        <f t="shared" si="25"/>
        <v>8183.7</v>
      </c>
      <c r="R64" s="376">
        <f t="shared" si="25"/>
        <v>7773.5</v>
      </c>
      <c r="S64" s="374">
        <f t="shared" si="25"/>
        <v>13787.7</v>
      </c>
      <c r="T64" s="375">
        <f t="shared" ref="T64:U64" si="26">SUM(T56:T63)-T63</f>
        <v>13316.1</v>
      </c>
      <c r="U64" s="375">
        <f t="shared" si="26"/>
        <v>13004.800000000001</v>
      </c>
      <c r="V64" s="376">
        <f t="shared" ref="V64" si="27">SUM(V56:V63)-V63</f>
        <v>12670.500000000002</v>
      </c>
      <c r="W64" s="374">
        <f t="shared" ref="W64:Z64" si="28">SUM(W56:W63)-W63</f>
        <v>11538.9</v>
      </c>
      <c r="X64" s="375">
        <f t="shared" si="28"/>
        <v>11262.199999999999</v>
      </c>
      <c r="Y64" s="375">
        <f t="shared" si="28"/>
        <v>10896.3</v>
      </c>
      <c r="Z64" s="376">
        <f t="shared" si="28"/>
        <v>11723.7</v>
      </c>
      <c r="AA64" s="374">
        <f t="shared" ref="AA64:AE64" si="29">SUM(AA56:AA63)-AA63</f>
        <v>12062</v>
      </c>
      <c r="AB64" s="375">
        <f t="shared" si="29"/>
        <v>12060.8</v>
      </c>
      <c r="AC64" s="375">
        <f t="shared" si="29"/>
        <v>12102.5</v>
      </c>
      <c r="AD64" s="376">
        <f t="shared" si="29"/>
        <v>11803</v>
      </c>
      <c r="AE64" s="374">
        <f t="shared" si="29"/>
        <v>12477.9</v>
      </c>
      <c r="AF64" s="375">
        <f t="shared" ref="AF64:AI64" si="30">SUM(AF56:AF63)-AF63</f>
        <v>12039.3</v>
      </c>
      <c r="AG64" s="375">
        <f t="shared" si="30"/>
        <v>11494.000000000002</v>
      </c>
      <c r="AH64" s="376">
        <f t="shared" si="30"/>
        <v>12256.9</v>
      </c>
      <c r="AI64" s="374">
        <f t="shared" si="30"/>
        <v>12907.2</v>
      </c>
      <c r="AJ64" s="375">
        <f t="shared" ref="AJ64:AM64" si="31">SUM(AJ56:AJ63)-AJ63</f>
        <v>13796.600000000002</v>
      </c>
      <c r="AK64" s="375">
        <f t="shared" si="31"/>
        <v>13512.8</v>
      </c>
      <c r="AL64" s="376">
        <f t="shared" si="31"/>
        <v>13414.400000000001</v>
      </c>
      <c r="AM64" s="374">
        <f t="shared" si="31"/>
        <v>12300.499999999998</v>
      </c>
      <c r="AN64" s="375">
        <f t="shared" ref="AN64:AQ64" si="32">SUM(AN56:AN63)-AN63</f>
        <v>12095.100000000002</v>
      </c>
      <c r="AO64" s="375">
        <f t="shared" si="32"/>
        <v>11660</v>
      </c>
      <c r="AP64" s="376">
        <f t="shared" si="32"/>
        <v>11226.099999999999</v>
      </c>
      <c r="AQ64" s="374">
        <f t="shared" si="32"/>
        <v>10739.300000000001</v>
      </c>
      <c r="AR64" s="664">
        <f t="shared" ref="AR64:AU64" si="33">SUM(AR56:AR63)-AR63</f>
        <v>10706.700000000003</v>
      </c>
      <c r="AS64" s="375">
        <f t="shared" si="33"/>
        <v>10457.799999999999</v>
      </c>
      <c r="AT64" s="376">
        <f t="shared" si="33"/>
        <v>10180.400000000001</v>
      </c>
      <c r="AU64" s="374">
        <f t="shared" si="33"/>
        <v>10910.2</v>
      </c>
      <c r="AV64" s="664">
        <f t="shared" ref="AV64:BB64" si="34">SUM(AV56:AV63)-AV63</f>
        <v>13220.4</v>
      </c>
      <c r="AW64" s="664">
        <f t="shared" si="34"/>
        <v>14252.5</v>
      </c>
      <c r="AX64" s="376">
        <f t="shared" si="34"/>
        <v>15354.9</v>
      </c>
      <c r="AY64" s="374">
        <f t="shared" si="34"/>
        <v>14895.9</v>
      </c>
      <c r="AZ64" s="664">
        <f t="shared" si="34"/>
        <v>14824.2</v>
      </c>
      <c r="BA64" s="664">
        <f t="shared" si="34"/>
        <v>14747.800000000001</v>
      </c>
      <c r="BB64" s="376">
        <f t="shared" si="34"/>
        <v>14705.4</v>
      </c>
      <c r="BC64" s="374">
        <f t="shared" ref="BC64:BD64" si="35">SUM(BC56:BC63)-BC63</f>
        <v>14489.900000000001</v>
      </c>
      <c r="BD64" s="664">
        <f t="shared" si="35"/>
        <v>14412.6</v>
      </c>
      <c r="BE64" s="664"/>
      <c r="BF64" s="376"/>
    </row>
    <row r="65" spans="1:61" s="7" customFormat="1" ht="20.100000000000001" customHeight="1">
      <c r="A65" s="27" t="s">
        <v>219</v>
      </c>
      <c r="B65" s="105" t="s">
        <v>220</v>
      </c>
      <c r="C65" s="41">
        <f>250.363</f>
        <v>250.363</v>
      </c>
      <c r="D65" s="41">
        <f>(265796)*0.001</f>
        <v>265.79599999999999</v>
      </c>
      <c r="E65" s="41">
        <f>(238676)*0.001</f>
        <v>238.67600000000002</v>
      </c>
      <c r="F65" s="209">
        <f>(275608)*0.001</f>
        <v>275.608</v>
      </c>
      <c r="G65" s="210">
        <f>(250329)*0.001</f>
        <v>250.32900000000001</v>
      </c>
      <c r="H65" s="210">
        <f>(263389)*0.001</f>
        <v>263.38900000000001</v>
      </c>
      <c r="I65" s="210">
        <f>(214673)*0.001</f>
        <v>214.673</v>
      </c>
      <c r="J65" s="210">
        <f>(245994)*0.001</f>
        <v>245.994</v>
      </c>
      <c r="K65" s="222">
        <f>(240921)*0.001</f>
        <v>240.92099999999999</v>
      </c>
      <c r="L65" s="205">
        <v>1094.3</v>
      </c>
      <c r="M65" s="205">
        <v>1365.1</v>
      </c>
      <c r="N65" s="207">
        <v>1322.6</v>
      </c>
      <c r="O65" s="206">
        <v>1543.9</v>
      </c>
      <c r="P65" s="206">
        <v>1169.9000000000001</v>
      </c>
      <c r="Q65" s="205">
        <v>963.7</v>
      </c>
      <c r="R65" s="61">
        <v>1230.9000000000001</v>
      </c>
      <c r="S65" s="193">
        <v>1593</v>
      </c>
      <c r="T65" s="193">
        <v>1251.3</v>
      </c>
      <c r="U65" s="193">
        <v>1269.4000000000001</v>
      </c>
      <c r="V65" s="61">
        <v>1270</v>
      </c>
      <c r="W65" s="193">
        <v>1286.8</v>
      </c>
      <c r="X65" s="193">
        <v>1805.9</v>
      </c>
      <c r="Y65" s="193">
        <v>1824.8</v>
      </c>
      <c r="Z65" s="61">
        <v>1341.9</v>
      </c>
      <c r="AA65" s="193">
        <v>552.9</v>
      </c>
      <c r="AB65" s="193">
        <v>1074.7</v>
      </c>
      <c r="AC65" s="190">
        <v>1368.9</v>
      </c>
      <c r="AD65" s="61">
        <v>1611.3</v>
      </c>
      <c r="AE65" s="193">
        <v>1298.2</v>
      </c>
      <c r="AF65" s="193">
        <v>1279</v>
      </c>
      <c r="AG65" s="193">
        <v>1748.5</v>
      </c>
      <c r="AH65" s="61">
        <v>1892.5</v>
      </c>
      <c r="AI65" s="193">
        <v>1241.5999999999999</v>
      </c>
      <c r="AJ65" s="193">
        <v>364.6</v>
      </c>
      <c r="AK65" s="193">
        <v>557.5</v>
      </c>
      <c r="AL65" s="61">
        <v>753</v>
      </c>
      <c r="AM65" s="193">
        <v>947.4</v>
      </c>
      <c r="AN65" s="193">
        <v>1053.4000000000001</v>
      </c>
      <c r="AO65" s="193">
        <v>1924.5</v>
      </c>
      <c r="AP65" s="61">
        <v>1072.7</v>
      </c>
      <c r="AQ65" s="193">
        <v>1219.0999999999999</v>
      </c>
      <c r="AR65" s="192">
        <v>1357.2</v>
      </c>
      <c r="AS65" s="193">
        <v>1367.2</v>
      </c>
      <c r="AT65" s="61">
        <v>1512.6</v>
      </c>
      <c r="AU65" s="193">
        <v>2376.3000000000002</v>
      </c>
      <c r="AV65" s="192">
        <v>1836</v>
      </c>
      <c r="AW65" s="190">
        <v>2552.3000000000002</v>
      </c>
      <c r="AX65" s="688">
        <v>1069.7</v>
      </c>
      <c r="AY65" s="193">
        <v>1190.8</v>
      </c>
      <c r="AZ65" s="192">
        <v>1349.1</v>
      </c>
      <c r="BA65" s="190">
        <v>1292.7</v>
      </c>
      <c r="BB65" s="688">
        <v>1315.1</v>
      </c>
      <c r="BC65" s="193">
        <v>770.3</v>
      </c>
      <c r="BD65" s="192">
        <v>919.4</v>
      </c>
      <c r="BE65" s="190"/>
      <c r="BF65" s="688"/>
      <c r="BI65" s="713"/>
    </row>
    <row r="66" spans="1:61" s="7" customFormat="1" ht="20.100000000000001" customHeight="1">
      <c r="A66" s="27" t="s">
        <v>221</v>
      </c>
      <c r="B66" s="105" t="s">
        <v>222</v>
      </c>
      <c r="C66" s="41">
        <f>100.836</f>
        <v>100.836</v>
      </c>
      <c r="D66" s="41">
        <f>(101342)*0.001</f>
        <v>101.342</v>
      </c>
      <c r="E66" s="41">
        <f>(99687)*0.001</f>
        <v>99.686999999999998</v>
      </c>
      <c r="F66" s="209">
        <f>(97256)*0.001</f>
        <v>97.256</v>
      </c>
      <c r="G66" s="210">
        <f>(101219)*0.001</f>
        <v>101.21900000000001</v>
      </c>
      <c r="H66" s="210">
        <f>(102957)*0.001</f>
        <v>102.95700000000001</v>
      </c>
      <c r="I66" s="210">
        <f>(102171)*0.001</f>
        <v>102.17100000000001</v>
      </c>
      <c r="J66" s="210">
        <f>(98659)*0.001</f>
        <v>98.659000000000006</v>
      </c>
      <c r="K66" s="222">
        <f>(101071)*0.001</f>
        <v>101.071</v>
      </c>
      <c r="L66" s="208">
        <v>431.9</v>
      </c>
      <c r="M66" s="208">
        <v>439.1</v>
      </c>
      <c r="N66" s="215">
        <v>464.4</v>
      </c>
      <c r="O66" s="218">
        <v>462.5</v>
      </c>
      <c r="P66" s="218">
        <v>479.4</v>
      </c>
      <c r="Q66" s="208">
        <v>4607.5</v>
      </c>
      <c r="R66" s="61">
        <v>4776.7</v>
      </c>
      <c r="S66" s="190">
        <v>41.5</v>
      </c>
      <c r="T66" s="190">
        <v>42.3</v>
      </c>
      <c r="U66" s="190">
        <v>41.9</v>
      </c>
      <c r="V66" s="61">
        <v>42.4</v>
      </c>
      <c r="W66" s="190">
        <v>981.4</v>
      </c>
      <c r="X66" s="190">
        <v>42.5</v>
      </c>
      <c r="Y66" s="190">
        <v>42.1</v>
      </c>
      <c r="Z66" s="61">
        <v>42.5</v>
      </c>
      <c r="AA66" s="190">
        <v>41.9</v>
      </c>
      <c r="AB66" s="190">
        <v>42.4</v>
      </c>
      <c r="AC66" s="190">
        <v>41.8</v>
      </c>
      <c r="AD66" s="61">
        <v>42.3</v>
      </c>
      <c r="AE66" s="190">
        <v>41.9</v>
      </c>
      <c r="AF66" s="190">
        <v>34.799999999999997</v>
      </c>
      <c r="AG66" s="193">
        <v>35.1</v>
      </c>
      <c r="AH66" s="61">
        <v>34.799999999999997</v>
      </c>
      <c r="AI66" s="190">
        <v>63.1</v>
      </c>
      <c r="AJ66" s="190">
        <v>48.9</v>
      </c>
      <c r="AK66" s="193">
        <v>41.1</v>
      </c>
      <c r="AL66" s="61">
        <v>38.700000000000003</v>
      </c>
      <c r="AM66" s="190">
        <v>38.6</v>
      </c>
      <c r="AN66" s="193">
        <v>38.6</v>
      </c>
      <c r="AO66" s="193">
        <v>39.200000000000003</v>
      </c>
      <c r="AP66" s="61">
        <v>66.400000000000006</v>
      </c>
      <c r="AQ66" s="190">
        <v>103.8</v>
      </c>
      <c r="AR66" s="192">
        <v>149</v>
      </c>
      <c r="AS66" s="193">
        <v>159.9</v>
      </c>
      <c r="AT66" s="61">
        <v>176</v>
      </c>
      <c r="AU66" s="190">
        <v>318</v>
      </c>
      <c r="AV66" s="192">
        <v>323.39999999999998</v>
      </c>
      <c r="AW66" s="190">
        <v>366.8</v>
      </c>
      <c r="AX66" s="688">
        <v>393.7</v>
      </c>
      <c r="AY66" s="190">
        <v>358.2</v>
      </c>
      <c r="AZ66" s="192">
        <v>366.3</v>
      </c>
      <c r="BA66" s="190">
        <v>358.8</v>
      </c>
      <c r="BB66" s="688">
        <v>366.9</v>
      </c>
      <c r="BC66" s="190">
        <v>356.1</v>
      </c>
      <c r="BD66" s="192">
        <v>364</v>
      </c>
      <c r="BE66" s="190"/>
      <c r="BF66" s="688"/>
      <c r="BI66" s="713"/>
    </row>
    <row r="67" spans="1:61" s="7" customFormat="1" ht="20.100000000000001" customHeight="1">
      <c r="A67" s="27" t="s">
        <v>237</v>
      </c>
      <c r="B67" s="107" t="s">
        <v>224</v>
      </c>
      <c r="C67" s="41">
        <f>0.237</f>
        <v>0.23699999999999999</v>
      </c>
      <c r="D67" s="41">
        <f>(243)*0.001</f>
        <v>0.24299999999999999</v>
      </c>
      <c r="E67" s="41">
        <f>(234)*0.001</f>
        <v>0.23400000000000001</v>
      </c>
      <c r="F67" s="209">
        <f>(233)*0.001</f>
        <v>0.23300000000000001</v>
      </c>
      <c r="G67" s="210">
        <f>(238)*0.001</f>
        <v>0.23800000000000002</v>
      </c>
      <c r="H67" s="210">
        <f>(247)*0.001</f>
        <v>0.247</v>
      </c>
      <c r="I67" s="210">
        <f>(240)*0.001</f>
        <v>0.24</v>
      </c>
      <c r="J67" s="210">
        <f>(236)*0.001</f>
        <v>0.23600000000000002</v>
      </c>
      <c r="K67" s="222">
        <f>(237)*0.001</f>
        <v>0.23700000000000002</v>
      </c>
      <c r="L67" s="208">
        <v>5.3</v>
      </c>
      <c r="M67" s="208">
        <v>5.8</v>
      </c>
      <c r="N67" s="215">
        <v>6.8</v>
      </c>
      <c r="O67" s="218">
        <v>2.7</v>
      </c>
      <c r="P67" s="218">
        <v>3.7</v>
      </c>
      <c r="Q67" s="208">
        <v>4.3</v>
      </c>
      <c r="R67" s="61">
        <v>4.3</v>
      </c>
      <c r="S67" s="190">
        <v>4.5</v>
      </c>
      <c r="T67" s="190">
        <v>4.9000000000000004</v>
      </c>
      <c r="U67" s="190">
        <v>4.9000000000000004</v>
      </c>
      <c r="V67" s="61">
        <v>5</v>
      </c>
      <c r="W67" s="190">
        <v>5.2</v>
      </c>
      <c r="X67" s="190">
        <v>7.6</v>
      </c>
      <c r="Y67" s="190">
        <v>7</v>
      </c>
      <c r="Z67" s="61">
        <v>9.6999999999999993</v>
      </c>
      <c r="AA67" s="190">
        <v>10.4</v>
      </c>
      <c r="AB67" s="190">
        <v>9.6999999999999993</v>
      </c>
      <c r="AC67" s="190">
        <v>10.7</v>
      </c>
      <c r="AD67" s="61">
        <v>8.1999999999999993</v>
      </c>
      <c r="AE67" s="190">
        <v>411.5</v>
      </c>
      <c r="AF67" s="190">
        <v>411.1</v>
      </c>
      <c r="AG67" s="193">
        <v>411.4</v>
      </c>
      <c r="AH67" s="61">
        <v>413.5</v>
      </c>
      <c r="AI67" s="190">
        <v>430.3</v>
      </c>
      <c r="AJ67" s="190">
        <v>418.8</v>
      </c>
      <c r="AK67" s="193">
        <v>420</v>
      </c>
      <c r="AL67" s="61">
        <v>432.5</v>
      </c>
      <c r="AM67" s="190">
        <v>198.7</v>
      </c>
      <c r="AN67" s="193">
        <v>201.5</v>
      </c>
      <c r="AO67" s="193">
        <v>196.8</v>
      </c>
      <c r="AP67" s="61">
        <v>201.1</v>
      </c>
      <c r="AQ67" s="190">
        <v>197.9</v>
      </c>
      <c r="AR67" s="192">
        <v>186.7</v>
      </c>
      <c r="AS67" s="193">
        <v>190.2</v>
      </c>
      <c r="AT67" s="61">
        <v>178.6</v>
      </c>
      <c r="AU67" s="190">
        <v>180.6</v>
      </c>
      <c r="AV67" s="192">
        <v>172.7</v>
      </c>
      <c r="AW67" s="190">
        <v>165.8</v>
      </c>
      <c r="AX67" s="688">
        <v>166.2</v>
      </c>
      <c r="AY67" s="190">
        <v>184.4</v>
      </c>
      <c r="AZ67" s="192">
        <v>184.6</v>
      </c>
      <c r="BA67" s="190">
        <v>180.4</v>
      </c>
      <c r="BB67" s="688">
        <v>181.9</v>
      </c>
      <c r="BC67" s="190">
        <v>176.7</v>
      </c>
      <c r="BD67" s="192">
        <v>182.6</v>
      </c>
      <c r="BE67" s="190"/>
      <c r="BF67" s="688"/>
      <c r="BI67" s="713"/>
    </row>
    <row r="68" spans="1:61" s="7" customFormat="1" ht="20.100000000000001" customHeight="1">
      <c r="A68" s="27" t="s">
        <v>225</v>
      </c>
      <c r="B68" s="105" t="s">
        <v>226</v>
      </c>
      <c r="C68" s="19">
        <v>0</v>
      </c>
      <c r="D68" s="19">
        <v>0</v>
      </c>
      <c r="E68" s="19">
        <v>0</v>
      </c>
      <c r="F68" s="226">
        <v>0</v>
      </c>
      <c r="G68" s="227">
        <v>0</v>
      </c>
      <c r="H68" s="227">
        <v>0</v>
      </c>
      <c r="I68" s="227">
        <v>0</v>
      </c>
      <c r="J68" s="227">
        <v>0</v>
      </c>
      <c r="K68" s="228">
        <v>0</v>
      </c>
      <c r="L68" s="208">
        <v>115.8</v>
      </c>
      <c r="M68" s="208">
        <v>113.9</v>
      </c>
      <c r="N68" s="215">
        <v>117.1</v>
      </c>
      <c r="O68" s="218">
        <v>113</v>
      </c>
      <c r="P68" s="218">
        <v>116.7</v>
      </c>
      <c r="Q68" s="208">
        <v>115.6</v>
      </c>
      <c r="R68" s="61">
        <v>117</v>
      </c>
      <c r="S68" s="190">
        <v>118</v>
      </c>
      <c r="T68" s="190">
        <v>123.1</v>
      </c>
      <c r="U68" s="190">
        <v>117.7</v>
      </c>
      <c r="V68" s="61">
        <v>121.5</v>
      </c>
      <c r="W68" s="190">
        <v>116.6</v>
      </c>
      <c r="X68" s="190">
        <v>117.6</v>
      </c>
      <c r="Y68" s="190">
        <v>117.6</v>
      </c>
      <c r="Z68" s="61">
        <v>114.5</v>
      </c>
      <c r="AA68" s="190">
        <v>116.3</v>
      </c>
      <c r="AB68" s="190">
        <v>121.3</v>
      </c>
      <c r="AC68" s="190">
        <v>116.6</v>
      </c>
      <c r="AD68" s="61">
        <v>118.1</v>
      </c>
      <c r="AE68" s="190">
        <v>118.9</v>
      </c>
      <c r="AF68" s="190">
        <v>118.3</v>
      </c>
      <c r="AG68" s="193">
        <v>119.3</v>
      </c>
      <c r="AH68" s="61">
        <v>116.9</v>
      </c>
      <c r="AI68" s="190">
        <v>125.8</v>
      </c>
      <c r="AJ68" s="190">
        <v>124.2</v>
      </c>
      <c r="AK68" s="193">
        <v>123.5</v>
      </c>
      <c r="AL68" s="61">
        <v>126.7</v>
      </c>
      <c r="AM68" s="190">
        <v>128.80000000000001</v>
      </c>
      <c r="AN68" s="193">
        <v>125.8</v>
      </c>
      <c r="AO68" s="193">
        <v>140</v>
      </c>
      <c r="AP68" s="61">
        <v>139.9</v>
      </c>
      <c r="AQ68" s="190">
        <v>142.4</v>
      </c>
      <c r="AR68" s="192">
        <v>144.19999999999999</v>
      </c>
      <c r="AS68" s="193">
        <v>0</v>
      </c>
      <c r="AT68" s="61">
        <v>0</v>
      </c>
      <c r="AU68" s="190">
        <v>0</v>
      </c>
      <c r="AV68" s="192" t="s">
        <v>197</v>
      </c>
      <c r="AW68" s="190">
        <v>0</v>
      </c>
      <c r="AX68" s="61">
        <v>0</v>
      </c>
      <c r="AY68" s="190">
        <v>0</v>
      </c>
      <c r="AZ68" s="192">
        <v>0</v>
      </c>
      <c r="BA68" s="190">
        <v>0</v>
      </c>
      <c r="BB68" s="61">
        <v>0</v>
      </c>
      <c r="BC68" s="190">
        <v>0</v>
      </c>
      <c r="BD68" s="192">
        <v>0</v>
      </c>
      <c r="BE68" s="190"/>
      <c r="BF68" s="61"/>
      <c r="BI68" s="713"/>
    </row>
    <row r="69" spans="1:61" s="7" customFormat="1" ht="20.100000000000001" customHeight="1">
      <c r="A69" s="27" t="s">
        <v>238</v>
      </c>
      <c r="B69" s="105" t="s">
        <v>239</v>
      </c>
      <c r="C69" s="19"/>
      <c r="D69" s="19"/>
      <c r="E69" s="19"/>
      <c r="F69" s="226"/>
      <c r="G69" s="227"/>
      <c r="H69" s="227"/>
      <c r="I69" s="227"/>
      <c r="J69" s="227"/>
      <c r="K69" s="228"/>
      <c r="L69" s="208"/>
      <c r="M69" s="208"/>
      <c r="N69" s="215"/>
      <c r="O69" s="218"/>
      <c r="P69" s="218"/>
      <c r="Q69" s="208"/>
      <c r="R69" s="61"/>
      <c r="S69" s="190"/>
      <c r="T69" s="190"/>
      <c r="U69" s="190"/>
      <c r="V69" s="61"/>
      <c r="W69" s="190"/>
      <c r="X69" s="190"/>
      <c r="Y69" s="190"/>
      <c r="Z69" s="61"/>
      <c r="AA69" s="193">
        <v>359</v>
      </c>
      <c r="AB69" s="190">
        <v>649.1</v>
      </c>
      <c r="AC69" s="190">
        <v>643.5</v>
      </c>
      <c r="AD69" s="61">
        <v>705.2</v>
      </c>
      <c r="AE69" s="193">
        <v>722.6</v>
      </c>
      <c r="AF69" s="190">
        <v>712.2</v>
      </c>
      <c r="AG69" s="193">
        <v>729.6</v>
      </c>
      <c r="AH69" s="61">
        <v>713.1</v>
      </c>
      <c r="AI69" s="193">
        <v>725.1</v>
      </c>
      <c r="AJ69" s="190">
        <v>686.4</v>
      </c>
      <c r="AK69" s="193">
        <v>671.7</v>
      </c>
      <c r="AL69" s="61">
        <v>675.6</v>
      </c>
      <c r="AM69" s="193">
        <v>663.1</v>
      </c>
      <c r="AN69" s="193">
        <v>646.70000000000005</v>
      </c>
      <c r="AO69" s="193">
        <v>668.3</v>
      </c>
      <c r="AP69" s="61">
        <v>650.79999999999995</v>
      </c>
      <c r="AQ69" s="193">
        <v>637.5</v>
      </c>
      <c r="AR69" s="192">
        <v>631.79999999999995</v>
      </c>
      <c r="AS69" s="193">
        <v>632.70000000000005</v>
      </c>
      <c r="AT69" s="61">
        <v>606.79999999999995</v>
      </c>
      <c r="AU69" s="193">
        <v>628.9</v>
      </c>
      <c r="AV69" s="192">
        <v>629.9</v>
      </c>
      <c r="AW69" s="192">
        <v>706.9</v>
      </c>
      <c r="AX69" s="688">
        <v>682.2</v>
      </c>
      <c r="AY69" s="193">
        <v>719.9</v>
      </c>
      <c r="AZ69" s="192">
        <v>752.2</v>
      </c>
      <c r="BA69" s="192">
        <v>770.2</v>
      </c>
      <c r="BB69" s="688">
        <v>678</v>
      </c>
      <c r="BC69" s="190">
        <v>686.9</v>
      </c>
      <c r="BD69" s="192">
        <v>660.1</v>
      </c>
      <c r="BE69" s="192"/>
      <c r="BF69" s="688"/>
      <c r="BI69" s="713"/>
    </row>
    <row r="70" spans="1:61" s="7" customFormat="1" ht="20.100000000000001" customHeight="1">
      <c r="A70" s="27" t="s">
        <v>240</v>
      </c>
      <c r="B70" s="105" t="s">
        <v>241</v>
      </c>
      <c r="C70" s="41">
        <f>435.427</f>
        <v>435.42700000000002</v>
      </c>
      <c r="D70" s="41">
        <f>(436188)*0.001</f>
        <v>436.18799999999999</v>
      </c>
      <c r="E70" s="41">
        <f>(441676)*0.001</f>
        <v>441.67599999999999</v>
      </c>
      <c r="F70" s="209">
        <f>(472094)*0.001</f>
        <v>472.09399999999999</v>
      </c>
      <c r="G70" s="210">
        <f>(432897)*0.001</f>
        <v>432.89699999999999</v>
      </c>
      <c r="H70" s="210">
        <f>(428004)*0.001</f>
        <v>428.00400000000002</v>
      </c>
      <c r="I70" s="210">
        <f>(390829)*0.001</f>
        <v>390.82900000000001</v>
      </c>
      <c r="J70" s="210">
        <f>(413210)*0.001</f>
        <v>413.21000000000004</v>
      </c>
      <c r="K70" s="222">
        <f>(418100)*0.001</f>
        <v>418.1</v>
      </c>
      <c r="L70" s="205">
        <v>1618.8</v>
      </c>
      <c r="M70" s="205">
        <v>1505.3</v>
      </c>
      <c r="N70" s="207">
        <v>1523</v>
      </c>
      <c r="O70" s="206">
        <v>1333.5</v>
      </c>
      <c r="P70" s="206">
        <v>1670.4</v>
      </c>
      <c r="Q70" s="205">
        <v>1431.5</v>
      </c>
      <c r="R70" s="61">
        <v>1485.4</v>
      </c>
      <c r="S70" s="193">
        <v>1711.4</v>
      </c>
      <c r="T70" s="193">
        <v>1365.9</v>
      </c>
      <c r="U70" s="193">
        <v>1338.1</v>
      </c>
      <c r="V70" s="61">
        <v>1569.5</v>
      </c>
      <c r="W70" s="193">
        <v>1337.9</v>
      </c>
      <c r="X70" s="193">
        <v>1694.4</v>
      </c>
      <c r="Y70" s="193">
        <v>1397.9</v>
      </c>
      <c r="Z70" s="61">
        <v>1727.3</v>
      </c>
      <c r="AA70" s="190">
        <v>1430.8</v>
      </c>
      <c r="AB70" s="193">
        <v>2254.9</v>
      </c>
      <c r="AC70" s="190">
        <v>2302.6999999999998</v>
      </c>
      <c r="AD70" s="61">
        <v>2382.4</v>
      </c>
      <c r="AE70" s="190">
        <v>2029.1</v>
      </c>
      <c r="AF70" s="193">
        <v>2691.7</v>
      </c>
      <c r="AG70" s="193">
        <v>2392.3000000000002</v>
      </c>
      <c r="AH70" s="61">
        <v>2420.8000000000002</v>
      </c>
      <c r="AI70" s="190">
        <v>2190</v>
      </c>
      <c r="AJ70" s="193">
        <v>2119.1999999999998</v>
      </c>
      <c r="AK70" s="193">
        <v>2744</v>
      </c>
      <c r="AL70" s="61">
        <v>2155.3000000000002</v>
      </c>
      <c r="AM70" s="190">
        <v>1855.9</v>
      </c>
      <c r="AN70" s="193">
        <v>1742.5</v>
      </c>
      <c r="AO70" s="193">
        <v>2368.1</v>
      </c>
      <c r="AP70" s="61">
        <v>2531.1999999999998</v>
      </c>
      <c r="AQ70" s="190">
        <v>2241.3000000000002</v>
      </c>
      <c r="AR70" s="192">
        <v>2461.3000000000002</v>
      </c>
      <c r="AS70" s="192">
        <v>2455.1999999999998</v>
      </c>
      <c r="AT70" s="61">
        <v>3767.1</v>
      </c>
      <c r="AU70" s="190">
        <v>2445.5</v>
      </c>
      <c r="AV70" s="192">
        <v>2642.2</v>
      </c>
      <c r="AW70" s="192">
        <v>2904.4</v>
      </c>
      <c r="AX70" s="688">
        <v>3172.6</v>
      </c>
      <c r="AY70" s="190">
        <v>2703.7</v>
      </c>
      <c r="AZ70" s="192">
        <v>2605</v>
      </c>
      <c r="BA70" s="192">
        <v>2881.7</v>
      </c>
      <c r="BB70" s="688">
        <v>3090.9</v>
      </c>
      <c r="BC70" s="190">
        <v>2854.9</v>
      </c>
      <c r="BD70" s="192">
        <v>3079</v>
      </c>
      <c r="BE70" s="192"/>
      <c r="BF70" s="688"/>
      <c r="BG70" s="713"/>
      <c r="BI70" s="713"/>
    </row>
    <row r="71" spans="1:61" s="15" customFormat="1" ht="20.100000000000001" customHeight="1">
      <c r="A71" s="29" t="s">
        <v>233</v>
      </c>
      <c r="B71" s="109" t="s">
        <v>234</v>
      </c>
      <c r="C71" s="23">
        <v>0</v>
      </c>
      <c r="D71" s="23">
        <v>0</v>
      </c>
      <c r="E71" s="23">
        <v>0</v>
      </c>
      <c r="F71" s="188">
        <v>0</v>
      </c>
      <c r="G71" s="60">
        <v>0</v>
      </c>
      <c r="H71" s="60">
        <v>0</v>
      </c>
      <c r="I71" s="60">
        <v>0</v>
      </c>
      <c r="J71" s="223">
        <v>12</v>
      </c>
      <c r="K71" s="229">
        <v>0</v>
      </c>
      <c r="L71" s="60">
        <v>0</v>
      </c>
      <c r="M71" s="60">
        <v>0</v>
      </c>
      <c r="N71" s="223">
        <v>87</v>
      </c>
      <c r="O71" s="224">
        <v>99.7</v>
      </c>
      <c r="P71" s="224">
        <v>79</v>
      </c>
      <c r="Q71" s="230">
        <v>57.1</v>
      </c>
      <c r="R71" s="194">
        <v>72.900000000000006</v>
      </c>
      <c r="S71" s="173">
        <v>25.8</v>
      </c>
      <c r="T71" s="173">
        <v>3.5</v>
      </c>
      <c r="U71" s="173">
        <v>1.8</v>
      </c>
      <c r="V71" s="194">
        <v>0</v>
      </c>
      <c r="W71" s="173">
        <v>1.5</v>
      </c>
      <c r="X71" s="173">
        <v>0.6</v>
      </c>
      <c r="Y71" s="173">
        <v>0.5</v>
      </c>
      <c r="Z71" s="194">
        <v>3.6</v>
      </c>
      <c r="AA71" s="173">
        <v>2.8</v>
      </c>
      <c r="AB71" s="173">
        <v>4.2</v>
      </c>
      <c r="AC71" s="173">
        <v>5.5</v>
      </c>
      <c r="AD71" s="194">
        <v>8.8000000000000007</v>
      </c>
      <c r="AE71" s="173">
        <v>9.1</v>
      </c>
      <c r="AF71" s="173">
        <v>9</v>
      </c>
      <c r="AG71" s="174">
        <v>7.5</v>
      </c>
      <c r="AH71" s="194">
        <v>8.3000000000000007</v>
      </c>
      <c r="AI71" s="173">
        <v>37.799999999999997</v>
      </c>
      <c r="AJ71" s="173">
        <v>51.1</v>
      </c>
      <c r="AK71" s="174">
        <v>45.1</v>
      </c>
      <c r="AL71" s="194">
        <v>39.200000000000003</v>
      </c>
      <c r="AM71" s="173">
        <v>31.3</v>
      </c>
      <c r="AN71" s="174">
        <v>24.4</v>
      </c>
      <c r="AO71" s="174">
        <v>14.2</v>
      </c>
      <c r="AP71" s="194">
        <v>0</v>
      </c>
      <c r="AQ71" s="173">
        <v>0</v>
      </c>
      <c r="AR71" s="667">
        <v>0</v>
      </c>
      <c r="AS71" s="174">
        <v>0</v>
      </c>
      <c r="AT71" s="685">
        <v>2.1</v>
      </c>
      <c r="AU71" s="173">
        <v>0.5</v>
      </c>
      <c r="AV71" s="667">
        <v>9.6</v>
      </c>
      <c r="AW71" s="667">
        <v>28.6</v>
      </c>
      <c r="AX71" s="194">
        <v>20.2</v>
      </c>
      <c r="AY71" s="173">
        <v>13.3</v>
      </c>
      <c r="AZ71" s="667">
        <v>9.1</v>
      </c>
      <c r="BA71" s="667">
        <v>8.3000000000000007</v>
      </c>
      <c r="BB71" s="194">
        <v>8.1999999999999993</v>
      </c>
      <c r="BC71" s="173">
        <v>7.3</v>
      </c>
      <c r="BD71" s="667">
        <v>9.9</v>
      </c>
      <c r="BE71" s="667"/>
      <c r="BF71" s="194"/>
      <c r="BI71" s="713"/>
    </row>
    <row r="72" spans="1:61" s="15" customFormat="1" ht="27.6">
      <c r="A72" s="154" t="s">
        <v>242</v>
      </c>
      <c r="B72" s="171" t="s">
        <v>243</v>
      </c>
      <c r="C72" s="23"/>
      <c r="D72" s="23"/>
      <c r="E72" s="23"/>
      <c r="F72" s="188"/>
      <c r="G72" s="60"/>
      <c r="H72" s="60"/>
      <c r="I72" s="60"/>
      <c r="J72" s="224"/>
      <c r="K72" s="229"/>
      <c r="L72" s="60"/>
      <c r="M72" s="60"/>
      <c r="N72" s="223"/>
      <c r="O72" s="224"/>
      <c r="P72" s="224"/>
      <c r="Q72" s="230"/>
      <c r="R72" s="194"/>
      <c r="S72" s="173"/>
      <c r="T72" s="173"/>
      <c r="U72" s="173"/>
      <c r="V72" s="194"/>
      <c r="W72" s="173"/>
      <c r="X72" s="173"/>
      <c r="Y72" s="173"/>
      <c r="Z72" s="194"/>
      <c r="AA72" s="173"/>
      <c r="AB72" s="173"/>
      <c r="AC72" s="190"/>
      <c r="AD72" s="194"/>
      <c r="AE72" s="173"/>
      <c r="AF72" s="173"/>
      <c r="AG72" s="174"/>
      <c r="AH72" s="61"/>
      <c r="AI72" s="173"/>
      <c r="AJ72" s="173"/>
      <c r="AK72" s="174"/>
      <c r="AL72" s="61">
        <v>415.7</v>
      </c>
      <c r="AM72" s="173">
        <v>0</v>
      </c>
      <c r="AN72" s="193">
        <v>767.5</v>
      </c>
      <c r="AO72" s="193">
        <v>511.7</v>
      </c>
      <c r="AP72" s="61">
        <v>0</v>
      </c>
      <c r="AQ72" s="173">
        <v>0</v>
      </c>
      <c r="AR72" s="192">
        <v>660.8</v>
      </c>
      <c r="AS72" s="193">
        <v>660.8</v>
      </c>
      <c r="AT72" s="61">
        <v>0</v>
      </c>
      <c r="AU72" s="173">
        <v>0</v>
      </c>
      <c r="AV72" s="192">
        <v>0</v>
      </c>
      <c r="AW72" s="192">
        <v>0</v>
      </c>
      <c r="AX72" s="61">
        <v>0</v>
      </c>
      <c r="AY72" s="173">
        <v>0</v>
      </c>
      <c r="AZ72" s="192">
        <v>0</v>
      </c>
      <c r="BA72" s="192">
        <v>0</v>
      </c>
      <c r="BB72" s="61">
        <v>0</v>
      </c>
      <c r="BC72" s="173">
        <v>0</v>
      </c>
      <c r="BD72" s="192">
        <v>0</v>
      </c>
      <c r="BE72" s="192"/>
      <c r="BF72" s="61"/>
      <c r="BI72" s="713"/>
    </row>
    <row r="73" spans="1:61" s="15" customFormat="1" ht="20.100000000000001" customHeight="1">
      <c r="A73" s="27" t="s">
        <v>244</v>
      </c>
      <c r="B73" s="105" t="s">
        <v>245</v>
      </c>
      <c r="C73" s="23"/>
      <c r="D73" s="23"/>
      <c r="E73" s="23"/>
      <c r="F73" s="188"/>
      <c r="G73" s="60"/>
      <c r="H73" s="60"/>
      <c r="I73" s="60"/>
      <c r="J73" s="224"/>
      <c r="K73" s="229"/>
      <c r="L73" s="60"/>
      <c r="M73" s="60"/>
      <c r="N73" s="223"/>
      <c r="O73" s="224"/>
      <c r="P73" s="224"/>
      <c r="Q73" s="230"/>
      <c r="R73" s="194"/>
      <c r="S73" s="173"/>
      <c r="T73" s="173"/>
      <c r="U73" s="173"/>
      <c r="V73" s="194"/>
      <c r="W73" s="173"/>
      <c r="X73" s="173"/>
      <c r="Y73" s="173"/>
      <c r="Z73" s="194"/>
      <c r="AA73" s="173"/>
      <c r="AB73" s="173"/>
      <c r="AC73" s="190"/>
      <c r="AD73" s="194"/>
      <c r="AE73" s="173"/>
      <c r="AF73" s="173"/>
      <c r="AG73" s="174"/>
      <c r="AH73" s="61"/>
      <c r="AI73" s="173"/>
      <c r="AJ73" s="173"/>
      <c r="AK73" s="174"/>
      <c r="AL73" s="61">
        <v>548</v>
      </c>
      <c r="AM73" s="173">
        <v>0</v>
      </c>
      <c r="AN73" s="174">
        <v>0</v>
      </c>
      <c r="AO73" s="174">
        <v>0</v>
      </c>
      <c r="AP73" s="61">
        <v>0</v>
      </c>
      <c r="AQ73" s="173">
        <v>0</v>
      </c>
      <c r="AR73" s="667">
        <v>0</v>
      </c>
      <c r="AS73" s="667">
        <v>0</v>
      </c>
      <c r="AT73" s="61">
        <v>0</v>
      </c>
      <c r="AU73" s="173">
        <v>0</v>
      </c>
      <c r="AV73" s="667">
        <v>0</v>
      </c>
      <c r="AW73" s="667">
        <v>0</v>
      </c>
      <c r="AX73" s="61">
        <v>0</v>
      </c>
      <c r="AY73" s="173">
        <v>0</v>
      </c>
      <c r="AZ73" s="667">
        <v>0</v>
      </c>
      <c r="BA73" s="667">
        <v>0</v>
      </c>
      <c r="BB73" s="61">
        <v>0</v>
      </c>
      <c r="BC73" s="173">
        <v>0</v>
      </c>
      <c r="BD73" s="667">
        <v>0</v>
      </c>
      <c r="BE73" s="667"/>
      <c r="BF73" s="61"/>
      <c r="BI73" s="713"/>
    </row>
    <row r="74" spans="1:61" s="7" customFormat="1" ht="20.100000000000001" customHeight="1">
      <c r="A74" s="27" t="s">
        <v>246</v>
      </c>
      <c r="B74" s="105" t="s">
        <v>247</v>
      </c>
      <c r="C74" s="41">
        <f>29.589</f>
        <v>29.588999999999999</v>
      </c>
      <c r="D74" s="41">
        <f>(7799)*0.001</f>
        <v>7.7990000000000004</v>
      </c>
      <c r="E74" s="41">
        <f>(6782)*0.001</f>
        <v>6.782</v>
      </c>
      <c r="F74" s="209">
        <f>(7092)*0.001</f>
        <v>7.0920000000000005</v>
      </c>
      <c r="G74" s="210">
        <f>(1990)*0.001</f>
        <v>1.99</v>
      </c>
      <c r="H74" s="210">
        <f>(6510)*0.001</f>
        <v>6.51</v>
      </c>
      <c r="I74" s="210">
        <f>(14152)*0.001</f>
        <v>14.152000000000001</v>
      </c>
      <c r="J74" s="210">
        <f>(4520)*0.001</f>
        <v>4.5200000000000005</v>
      </c>
      <c r="K74" s="222">
        <f>(12203)*0.001</f>
        <v>12.202999999999999</v>
      </c>
      <c r="L74" s="208">
        <v>43.7</v>
      </c>
      <c r="M74" s="208">
        <v>22.1</v>
      </c>
      <c r="N74" s="215">
        <v>48.028993427171699</v>
      </c>
      <c r="O74" s="218">
        <v>22.5</v>
      </c>
      <c r="P74" s="218">
        <v>132.69999999999999</v>
      </c>
      <c r="Q74" s="208">
        <v>96.3</v>
      </c>
      <c r="R74" s="61">
        <v>176.1</v>
      </c>
      <c r="S74" s="190">
        <v>29.2</v>
      </c>
      <c r="T74" s="190">
        <v>39.1</v>
      </c>
      <c r="U74" s="190">
        <v>21.967722325707697</v>
      </c>
      <c r="V74" s="61">
        <v>24.9</v>
      </c>
      <c r="W74" s="190">
        <v>4.3</v>
      </c>
      <c r="X74" s="190">
        <v>24.9</v>
      </c>
      <c r="Y74" s="190">
        <v>17.5</v>
      </c>
      <c r="Z74" s="61">
        <v>61.3</v>
      </c>
      <c r="AA74" s="190">
        <v>60.1</v>
      </c>
      <c r="AB74" s="190">
        <v>44.9</v>
      </c>
      <c r="AC74" s="190">
        <v>62.3</v>
      </c>
      <c r="AD74" s="61">
        <v>151.1</v>
      </c>
      <c r="AE74" s="190">
        <v>191.1</v>
      </c>
      <c r="AF74" s="190">
        <v>154.30000000000001</v>
      </c>
      <c r="AG74" s="193">
        <v>192.4</v>
      </c>
      <c r="AH74" s="61">
        <v>276.60000000000002</v>
      </c>
      <c r="AI74" s="190">
        <v>335.6</v>
      </c>
      <c r="AJ74" s="190">
        <v>126.1</v>
      </c>
      <c r="AK74" s="193">
        <v>100.2</v>
      </c>
      <c r="AL74" s="61">
        <v>128.9</v>
      </c>
      <c r="AM74" s="190">
        <v>171</v>
      </c>
      <c r="AN74" s="193">
        <v>65</v>
      </c>
      <c r="AO74" s="193">
        <v>954.6</v>
      </c>
      <c r="AP74" s="61">
        <v>964.2</v>
      </c>
      <c r="AQ74" s="190">
        <v>1007</v>
      </c>
      <c r="AR74" s="192">
        <v>91.5</v>
      </c>
      <c r="AS74" s="192">
        <v>107.9</v>
      </c>
      <c r="AT74" s="687">
        <v>74.3</v>
      </c>
      <c r="AU74" s="190">
        <v>81.400000000000006</v>
      </c>
      <c r="AV74" s="192">
        <v>20.7</v>
      </c>
      <c r="AW74" s="192">
        <v>60.1</v>
      </c>
      <c r="AX74" s="687">
        <v>31.4</v>
      </c>
      <c r="AY74" s="190">
        <v>19.899999999999999</v>
      </c>
      <c r="AZ74" s="192">
        <v>32</v>
      </c>
      <c r="BA74" s="192">
        <v>45</v>
      </c>
      <c r="BB74" s="687">
        <v>60.5</v>
      </c>
      <c r="BC74" s="190">
        <v>46.5</v>
      </c>
      <c r="BD74" s="192">
        <v>93.3</v>
      </c>
      <c r="BE74" s="192"/>
      <c r="BF74" s="687"/>
      <c r="BI74" s="713"/>
    </row>
    <row r="75" spans="1:61" s="7" customFormat="1" ht="20.100000000000001" customHeight="1">
      <c r="A75" s="27" t="s">
        <v>248</v>
      </c>
      <c r="B75" s="105" t="s">
        <v>249</v>
      </c>
      <c r="C75" s="41">
        <f>12.532</f>
        <v>12.532</v>
      </c>
      <c r="D75" s="41">
        <f>(12125)*0.001</f>
        <v>12.125</v>
      </c>
      <c r="E75" s="41">
        <f>(12084)*0.001</f>
        <v>12.084</v>
      </c>
      <c r="F75" s="209">
        <f>(13259)*0.001</f>
        <v>13.259</v>
      </c>
      <c r="G75" s="210">
        <f>(13182)*0.001</f>
        <v>13.182</v>
      </c>
      <c r="H75" s="210">
        <f>(12551)*0.001</f>
        <v>12.551</v>
      </c>
      <c r="I75" s="210">
        <f>(12536)*0.001</f>
        <v>12.536</v>
      </c>
      <c r="J75" s="210">
        <f>(2727)*0.001</f>
        <v>2.7269999999999999</v>
      </c>
      <c r="K75" s="222">
        <f>(2843)*0.001</f>
        <v>2.843</v>
      </c>
      <c r="L75" s="208">
        <v>2.6</v>
      </c>
      <c r="M75" s="208">
        <v>2.7</v>
      </c>
      <c r="N75" s="215">
        <v>1.4</v>
      </c>
      <c r="O75" s="218">
        <v>1.4</v>
      </c>
      <c r="P75" s="231" t="s">
        <v>250</v>
      </c>
      <c r="Q75" s="231" t="s">
        <v>250</v>
      </c>
      <c r="R75" s="195" t="s">
        <v>250</v>
      </c>
      <c r="S75" s="196" t="s">
        <v>250</v>
      </c>
      <c r="T75" s="196" t="s">
        <v>250</v>
      </c>
      <c r="U75" s="196" t="s">
        <v>250</v>
      </c>
      <c r="V75" s="195" t="s">
        <v>250</v>
      </c>
      <c r="W75" s="196" t="s">
        <v>250</v>
      </c>
      <c r="X75" s="196" t="s">
        <v>250</v>
      </c>
      <c r="Y75" s="196" t="s">
        <v>250</v>
      </c>
      <c r="Z75" s="195" t="s">
        <v>250</v>
      </c>
      <c r="AA75" s="196" t="s">
        <v>250</v>
      </c>
      <c r="AB75" s="196" t="s">
        <v>250</v>
      </c>
      <c r="AC75" s="196" t="s">
        <v>250</v>
      </c>
      <c r="AD75" s="195" t="s">
        <v>250</v>
      </c>
      <c r="AE75" s="196" t="s">
        <v>250</v>
      </c>
      <c r="AF75" s="196" t="s">
        <v>250</v>
      </c>
      <c r="AG75" s="196" t="s">
        <v>250</v>
      </c>
      <c r="AH75" s="195" t="s">
        <v>250</v>
      </c>
      <c r="AI75" s="196" t="s">
        <v>250</v>
      </c>
      <c r="AJ75" s="196" t="s">
        <v>250</v>
      </c>
      <c r="AK75" s="196" t="s">
        <v>250</v>
      </c>
      <c r="AL75" s="195" t="s">
        <v>250</v>
      </c>
      <c r="AM75" s="196" t="s">
        <v>250</v>
      </c>
      <c r="AN75" s="196" t="s">
        <v>250</v>
      </c>
      <c r="AO75" s="196" t="s">
        <v>250</v>
      </c>
      <c r="AP75" s="195" t="s">
        <v>250</v>
      </c>
      <c r="AQ75" s="196" t="s">
        <v>250</v>
      </c>
      <c r="AR75" s="668" t="s">
        <v>250</v>
      </c>
      <c r="AS75" s="196" t="s">
        <v>250</v>
      </c>
      <c r="AT75" s="195" t="s">
        <v>250</v>
      </c>
      <c r="AU75" s="196" t="s">
        <v>250</v>
      </c>
      <c r="AV75" s="668" t="s">
        <v>250</v>
      </c>
      <c r="AW75" s="668" t="s">
        <v>250</v>
      </c>
      <c r="AX75" s="195" t="s">
        <v>250</v>
      </c>
      <c r="AY75" s="196" t="s">
        <v>250</v>
      </c>
      <c r="AZ75" s="668" t="s">
        <v>250</v>
      </c>
      <c r="BA75" s="668" t="s">
        <v>250</v>
      </c>
      <c r="BB75" s="195" t="s">
        <v>250</v>
      </c>
      <c r="BC75" s="196" t="s">
        <v>250</v>
      </c>
      <c r="BD75" s="668" t="s">
        <v>250</v>
      </c>
      <c r="BE75" s="668"/>
      <c r="BF75" s="195"/>
      <c r="BI75" s="713"/>
    </row>
    <row r="76" spans="1:61" s="7" customFormat="1" ht="20.100000000000001" customHeight="1" thickBot="1">
      <c r="A76" s="27" t="s">
        <v>229</v>
      </c>
      <c r="B76" s="105" t="s">
        <v>230</v>
      </c>
      <c r="C76" s="41">
        <f>188.402</f>
        <v>188.40199999999999</v>
      </c>
      <c r="D76" s="41">
        <f>(209950)*0.001</f>
        <v>209.95000000000002</v>
      </c>
      <c r="E76" s="41">
        <f>(210563)*0.001</f>
        <v>210.56300000000002</v>
      </c>
      <c r="F76" s="209">
        <f>(201238)*0.001</f>
        <v>201.238</v>
      </c>
      <c r="G76" s="210">
        <f>(207890)*0.001</f>
        <v>207.89000000000001</v>
      </c>
      <c r="H76" s="210">
        <f>(204442)*0.001</f>
        <v>204.44200000000001</v>
      </c>
      <c r="I76" s="210">
        <f>(210688)*0.001</f>
        <v>210.68800000000002</v>
      </c>
      <c r="J76" s="210">
        <f>(209485)*0.001</f>
        <v>209.48500000000001</v>
      </c>
      <c r="K76" s="222">
        <f>(228170)*0.001</f>
        <v>228.17000000000002</v>
      </c>
      <c r="L76" s="208">
        <v>678</v>
      </c>
      <c r="M76" s="208">
        <v>672.7</v>
      </c>
      <c r="N76" s="215">
        <v>683.9</v>
      </c>
      <c r="O76" s="218">
        <v>670.3</v>
      </c>
      <c r="P76" s="218">
        <v>672</v>
      </c>
      <c r="Q76" s="208">
        <v>680.9</v>
      </c>
      <c r="R76" s="61">
        <v>676.1</v>
      </c>
      <c r="S76" s="190">
        <v>665</v>
      </c>
      <c r="T76" s="190">
        <v>676.8</v>
      </c>
      <c r="U76" s="190">
        <v>660.84343092999995</v>
      </c>
      <c r="V76" s="61">
        <v>647.9</v>
      </c>
      <c r="W76" s="190">
        <v>633.79999999999995</v>
      </c>
      <c r="X76" s="190">
        <v>637.29999999999995</v>
      </c>
      <c r="Y76" s="190">
        <v>629.5</v>
      </c>
      <c r="Z76" s="61">
        <v>618.29999999999995</v>
      </c>
      <c r="AA76" s="190">
        <v>356</v>
      </c>
      <c r="AB76" s="190">
        <v>39.799999999999997</v>
      </c>
      <c r="AC76" s="190">
        <v>65</v>
      </c>
      <c r="AD76" s="61">
        <v>0</v>
      </c>
      <c r="AE76" s="190">
        <v>0</v>
      </c>
      <c r="AF76" s="190">
        <v>0</v>
      </c>
      <c r="AG76" s="190">
        <v>0</v>
      </c>
      <c r="AH76" s="61">
        <v>0</v>
      </c>
      <c r="AI76" s="190">
        <v>0</v>
      </c>
      <c r="AJ76" s="190">
        <v>0</v>
      </c>
      <c r="AK76" s="190">
        <v>0</v>
      </c>
      <c r="AL76" s="61">
        <v>0</v>
      </c>
      <c r="AM76" s="190">
        <v>0</v>
      </c>
      <c r="AN76" s="190">
        <v>0</v>
      </c>
      <c r="AO76" s="190">
        <v>0</v>
      </c>
      <c r="AP76" s="61">
        <v>0</v>
      </c>
      <c r="AQ76" s="190">
        <v>0</v>
      </c>
      <c r="AR76" s="666">
        <v>0</v>
      </c>
      <c r="AS76" s="190">
        <v>0</v>
      </c>
      <c r="AT76" s="61">
        <v>0</v>
      </c>
      <c r="AU76" s="190">
        <v>0</v>
      </c>
      <c r="AV76" s="666">
        <v>0</v>
      </c>
      <c r="AW76" s="666">
        <v>0</v>
      </c>
      <c r="AX76" s="61">
        <v>0</v>
      </c>
      <c r="AY76" s="190">
        <v>0</v>
      </c>
      <c r="AZ76" s="666">
        <v>0</v>
      </c>
      <c r="BA76" s="666">
        <v>0</v>
      </c>
      <c r="BB76" s="61">
        <v>0</v>
      </c>
      <c r="BC76" s="190">
        <v>0</v>
      </c>
      <c r="BD76" s="666">
        <v>0</v>
      </c>
      <c r="BE76" s="666"/>
      <c r="BF76" s="61"/>
      <c r="BG76" s="713"/>
      <c r="BH76" s="713"/>
      <c r="BI76" s="713"/>
    </row>
    <row r="77" spans="1:61" s="199" customFormat="1" ht="25.2" customHeight="1" thickBot="1">
      <c r="A77" s="373" t="s">
        <v>251</v>
      </c>
      <c r="B77" s="377" t="s">
        <v>252</v>
      </c>
      <c r="C77" s="374">
        <f t="shared" ref="C77:M77" si="36">SUM(C65:C76)</f>
        <v>1017.386</v>
      </c>
      <c r="D77" s="375">
        <f t="shared" si="36"/>
        <v>1033.443</v>
      </c>
      <c r="E77" s="375">
        <f t="shared" si="36"/>
        <v>1009.7019999999999</v>
      </c>
      <c r="F77" s="376">
        <f t="shared" si="36"/>
        <v>1066.78</v>
      </c>
      <c r="G77" s="375">
        <f t="shared" si="36"/>
        <v>1007.745</v>
      </c>
      <c r="H77" s="375">
        <f t="shared" si="36"/>
        <v>1018.1</v>
      </c>
      <c r="I77" s="375">
        <f t="shared" si="36"/>
        <v>945.28899999999999</v>
      </c>
      <c r="J77" s="376">
        <f t="shared" si="36"/>
        <v>986.83100000000002</v>
      </c>
      <c r="K77" s="374">
        <f t="shared" si="36"/>
        <v>1003.5449999999998</v>
      </c>
      <c r="L77" s="375">
        <f t="shared" si="36"/>
        <v>3990.3999999999992</v>
      </c>
      <c r="M77" s="375">
        <f t="shared" si="36"/>
        <v>4126.7</v>
      </c>
      <c r="N77" s="376">
        <f t="shared" ref="N77:U77" si="37">SUM(N65:N76)-N71</f>
        <v>4167.2289934271712</v>
      </c>
      <c r="O77" s="374">
        <f t="shared" si="37"/>
        <v>4149.8</v>
      </c>
      <c r="P77" s="375">
        <f t="shared" si="37"/>
        <v>4244.8</v>
      </c>
      <c r="Q77" s="375">
        <f t="shared" si="37"/>
        <v>7899.8</v>
      </c>
      <c r="R77" s="376">
        <f t="shared" si="37"/>
        <v>8466.5000000000018</v>
      </c>
      <c r="S77" s="374">
        <f t="shared" si="37"/>
        <v>4162.5999999999995</v>
      </c>
      <c r="T77" s="375">
        <f t="shared" si="37"/>
        <v>3503.3999999999996</v>
      </c>
      <c r="U77" s="375">
        <f t="shared" si="37"/>
        <v>3454.8111532557077</v>
      </c>
      <c r="V77" s="376">
        <f t="shared" ref="V77" si="38">SUM(V65:V76)-V71</f>
        <v>3681.2000000000003</v>
      </c>
      <c r="W77" s="374">
        <f t="shared" ref="W77:X77" si="39">SUM(W65:W76)-W71</f>
        <v>4366</v>
      </c>
      <c r="X77" s="375">
        <f t="shared" si="39"/>
        <v>4330.2</v>
      </c>
      <c r="Y77" s="375">
        <f t="shared" ref="Y77:Z77" si="40">SUM(Y65:Y76)-Y71</f>
        <v>4036.3999999999996</v>
      </c>
      <c r="Z77" s="376">
        <f t="shared" si="40"/>
        <v>3915.5000000000005</v>
      </c>
      <c r="AA77" s="374">
        <f t="shared" ref="AA77:AH77" si="41">SUM(AA65:AA76)-AA71</f>
        <v>2927.4</v>
      </c>
      <c r="AB77" s="375">
        <f t="shared" si="41"/>
        <v>4236.8</v>
      </c>
      <c r="AC77" s="375">
        <f t="shared" si="41"/>
        <v>4611.5</v>
      </c>
      <c r="AD77" s="376">
        <f t="shared" si="41"/>
        <v>5018.6000000000004</v>
      </c>
      <c r="AE77" s="374">
        <f t="shared" si="41"/>
        <v>4813.3000000000011</v>
      </c>
      <c r="AF77" s="375">
        <f t="shared" si="41"/>
        <v>5401.4000000000005</v>
      </c>
      <c r="AG77" s="375">
        <f t="shared" si="41"/>
        <v>5628.6</v>
      </c>
      <c r="AH77" s="376">
        <f t="shared" si="41"/>
        <v>5868.2000000000007</v>
      </c>
      <c r="AI77" s="374">
        <f t="shared" ref="AI77:AK77" si="42">SUM(AI65:AI76)-AI71</f>
        <v>5111.5</v>
      </c>
      <c r="AJ77" s="375">
        <f t="shared" si="42"/>
        <v>3888.2</v>
      </c>
      <c r="AK77" s="375">
        <f t="shared" si="42"/>
        <v>4658</v>
      </c>
      <c r="AL77" s="376">
        <f>SUM(AL65:AL76)-AL71</f>
        <v>5274.4</v>
      </c>
      <c r="AM77" s="374">
        <f t="shared" ref="AM77:AO77" si="43">SUM(AM65:AM76)-AM71</f>
        <v>4003.5</v>
      </c>
      <c r="AN77" s="375">
        <f t="shared" si="43"/>
        <v>4641</v>
      </c>
      <c r="AO77" s="375">
        <f t="shared" si="43"/>
        <v>6803.2</v>
      </c>
      <c r="AP77" s="376">
        <f>SUM(AP65:AP76)-AP71</f>
        <v>5626.3</v>
      </c>
      <c r="AQ77" s="374">
        <f t="shared" ref="AQ77:AS77" si="44">SUM(AQ65:AQ76)-AQ71</f>
        <v>5549</v>
      </c>
      <c r="AR77" s="664">
        <f>SUM(AR65:AR76)-AR71</f>
        <v>5682.5000000000009</v>
      </c>
      <c r="AS77" s="375">
        <f t="shared" si="44"/>
        <v>5573.9</v>
      </c>
      <c r="AT77" s="686">
        <f>SUM(AT65:AT76)-AT71</f>
        <v>6315.4000000000005</v>
      </c>
      <c r="AU77" s="374">
        <f t="shared" ref="AU77" si="45">SUM(AU65:AU76)-AU71</f>
        <v>6030.7</v>
      </c>
      <c r="AV77" s="375">
        <f>SUM(AV65:AV76)-AV71</f>
        <v>5624.9</v>
      </c>
      <c r="AW77" s="375">
        <f>SUM(AW65:AW76)-AW71</f>
        <v>6756.3000000000011</v>
      </c>
      <c r="AX77" s="686">
        <f>SUM(AX65:AX76)-AX71</f>
        <v>5515.7999999999993</v>
      </c>
      <c r="AY77" s="374">
        <f t="shared" ref="AY77:BB77" si="46">SUM(AY65:AY76)-AY71</f>
        <v>5176.8999999999996</v>
      </c>
      <c r="AZ77" s="375">
        <f t="shared" si="46"/>
        <v>5289.2</v>
      </c>
      <c r="BA77" s="375">
        <f t="shared" si="46"/>
        <v>5528.8</v>
      </c>
      <c r="BB77" s="686">
        <f t="shared" si="46"/>
        <v>5693.3</v>
      </c>
      <c r="BC77" s="374">
        <f t="shared" ref="BC77:BD77" si="47">SUM(BC65:BC76)-BC71</f>
        <v>4891.3999999999996</v>
      </c>
      <c r="BD77" s="375">
        <f t="shared" si="47"/>
        <v>5298.4000000000005</v>
      </c>
      <c r="BE77" s="375"/>
      <c r="BF77" s="686"/>
      <c r="BG77" s="773"/>
      <c r="BH77" s="730"/>
    </row>
    <row r="78" spans="1:61" s="7" customFormat="1" ht="20.100000000000001" customHeight="1">
      <c r="A78" s="198" t="s">
        <v>253</v>
      </c>
      <c r="B78" s="181" t="s">
        <v>254</v>
      </c>
      <c r="C78" s="41"/>
      <c r="D78" s="41"/>
      <c r="E78" s="41"/>
      <c r="F78" s="209"/>
      <c r="G78" s="210"/>
      <c r="H78" s="210"/>
      <c r="I78" s="210"/>
      <c r="J78" s="210"/>
      <c r="K78" s="222"/>
      <c r="L78" s="208"/>
      <c r="M78" s="208"/>
      <c r="N78" s="215"/>
      <c r="O78" s="218"/>
      <c r="P78" s="231"/>
      <c r="Q78" s="231"/>
      <c r="R78" s="195"/>
      <c r="S78" s="196"/>
      <c r="T78" s="196"/>
      <c r="U78" s="196"/>
      <c r="V78" s="195"/>
      <c r="W78" s="196"/>
      <c r="X78" s="196"/>
      <c r="Y78" s="196"/>
      <c r="Z78" s="195"/>
      <c r="AA78" s="196"/>
      <c r="AB78" s="196"/>
      <c r="AC78" s="196"/>
      <c r="AD78" s="195"/>
      <c r="AE78" s="196"/>
      <c r="AF78" s="196"/>
      <c r="AG78" s="196"/>
      <c r="AH78" s="195"/>
      <c r="AI78" s="196"/>
      <c r="AJ78" s="196"/>
      <c r="AK78" s="196"/>
      <c r="AL78" s="195"/>
      <c r="AM78" s="190">
        <v>1284.2</v>
      </c>
      <c r="AN78" s="190">
        <v>1223.8</v>
      </c>
      <c r="AO78" s="190">
        <v>0</v>
      </c>
      <c r="AP78" s="195"/>
      <c r="AQ78" s="190"/>
      <c r="AR78" s="666"/>
      <c r="AS78" s="190"/>
      <c r="AT78" s="195"/>
      <c r="AU78" s="728"/>
      <c r="AV78" s="666"/>
      <c r="AW78" s="190"/>
      <c r="AX78" s="687">
        <v>0.8</v>
      </c>
      <c r="AY78" s="728"/>
      <c r="AZ78" s="666"/>
      <c r="BA78" s="190"/>
      <c r="BB78" s="687"/>
      <c r="BC78" s="728"/>
      <c r="BD78" s="666"/>
      <c r="BE78" s="190"/>
      <c r="BF78" s="687"/>
    </row>
    <row r="79" spans="1:61" s="7" customFormat="1" ht="20.100000000000001" customHeight="1" thickBot="1">
      <c r="A79" s="368" t="s">
        <v>255</v>
      </c>
      <c r="B79" s="369" t="s">
        <v>256</v>
      </c>
      <c r="C79" s="41"/>
      <c r="D79" s="41"/>
      <c r="E79" s="41"/>
      <c r="F79" s="209"/>
      <c r="G79" s="210"/>
      <c r="H79" s="210"/>
      <c r="I79" s="210"/>
      <c r="J79" s="210"/>
      <c r="K79" s="222"/>
      <c r="L79" s="208"/>
      <c r="M79" s="208"/>
      <c r="N79" s="215"/>
      <c r="O79" s="218"/>
      <c r="P79" s="231"/>
      <c r="Q79" s="231"/>
      <c r="R79" s="195"/>
      <c r="S79" s="196"/>
      <c r="T79" s="196"/>
      <c r="U79" s="196"/>
      <c r="V79" s="195"/>
      <c r="W79" s="196"/>
      <c r="X79" s="196"/>
      <c r="Y79" s="196"/>
      <c r="Z79" s="195"/>
      <c r="AA79" s="196"/>
      <c r="AB79" s="196"/>
      <c r="AC79" s="196"/>
      <c r="AD79" s="195"/>
      <c r="AE79" s="196"/>
      <c r="AF79" s="196"/>
      <c r="AG79" s="196"/>
      <c r="AH79" s="195"/>
      <c r="AI79" s="196"/>
      <c r="AJ79" s="196"/>
      <c r="AK79" s="196"/>
      <c r="AL79" s="195"/>
      <c r="AM79" s="173">
        <v>803.1</v>
      </c>
      <c r="AN79" s="173">
        <v>769.4</v>
      </c>
      <c r="AO79" s="173">
        <v>0</v>
      </c>
      <c r="AP79" s="195"/>
      <c r="AQ79" s="173"/>
      <c r="AR79" s="663"/>
      <c r="AS79" s="173"/>
      <c r="AT79" s="195"/>
      <c r="AU79" s="729"/>
      <c r="AV79" s="663"/>
      <c r="AW79" s="173"/>
      <c r="AX79" s="195"/>
      <c r="AY79" s="729"/>
      <c r="AZ79" s="663"/>
      <c r="BA79" s="173"/>
      <c r="BB79" s="195"/>
      <c r="BC79" s="729"/>
      <c r="BD79" s="663"/>
      <c r="BE79" s="173"/>
      <c r="BF79" s="195"/>
    </row>
    <row r="80" spans="1:61" s="199" customFormat="1" ht="25.2" customHeight="1" thickBot="1">
      <c r="A80" s="373" t="s">
        <v>257</v>
      </c>
      <c r="B80" s="377" t="s">
        <v>258</v>
      </c>
      <c r="C80" s="374" t="e">
        <f>C64+C77</f>
        <v>#VALUE!</v>
      </c>
      <c r="D80" s="375">
        <f>D64+D77</f>
        <v>3405.5320000000002</v>
      </c>
      <c r="E80" s="375">
        <f>E64+E77</f>
        <v>3159.9589999999994</v>
      </c>
      <c r="F80" s="376">
        <f t="shared" ref="F80:U80" si="48">F77+F64</f>
        <v>3092.942</v>
      </c>
      <c r="G80" s="375">
        <f t="shared" si="48"/>
        <v>3067.306</v>
      </c>
      <c r="H80" s="375">
        <f t="shared" si="48"/>
        <v>2945.4119999999998</v>
      </c>
      <c r="I80" s="375">
        <f t="shared" si="48"/>
        <v>2772.4030000000002</v>
      </c>
      <c r="J80" s="376">
        <f t="shared" si="48"/>
        <v>2687.0169999999998</v>
      </c>
      <c r="K80" s="374">
        <f t="shared" si="48"/>
        <v>2742.8450000000003</v>
      </c>
      <c r="L80" s="375">
        <f t="shared" si="48"/>
        <v>18735.399999999998</v>
      </c>
      <c r="M80" s="375">
        <f t="shared" si="48"/>
        <v>18350.5</v>
      </c>
      <c r="N80" s="376">
        <f t="shared" si="48"/>
        <v>18260.528993427175</v>
      </c>
      <c r="O80" s="374">
        <f t="shared" si="48"/>
        <v>17777</v>
      </c>
      <c r="P80" s="375">
        <f t="shared" si="48"/>
        <v>17584</v>
      </c>
      <c r="Q80" s="375">
        <f t="shared" si="48"/>
        <v>16083.5</v>
      </c>
      <c r="R80" s="376">
        <f t="shared" si="48"/>
        <v>16240.000000000002</v>
      </c>
      <c r="S80" s="374">
        <f t="shared" si="48"/>
        <v>17950.3</v>
      </c>
      <c r="T80" s="375">
        <f t="shared" si="48"/>
        <v>16819.5</v>
      </c>
      <c r="U80" s="375">
        <f t="shared" si="48"/>
        <v>16459.611153255708</v>
      </c>
      <c r="V80" s="376">
        <f t="shared" ref="V80:W80" si="49">V77+V64</f>
        <v>16351.700000000003</v>
      </c>
      <c r="W80" s="374">
        <f t="shared" si="49"/>
        <v>15904.9</v>
      </c>
      <c r="X80" s="375">
        <f t="shared" ref="X80:Y80" si="50">X77+X64</f>
        <v>15592.399999999998</v>
      </c>
      <c r="Y80" s="375">
        <f t="shared" si="50"/>
        <v>14932.699999999999</v>
      </c>
      <c r="Z80" s="376">
        <f t="shared" ref="Z80" si="51">Z77+Z64</f>
        <v>15639.2</v>
      </c>
      <c r="AA80" s="374">
        <f t="shared" ref="AA80:AH80" si="52">AA77+AA64</f>
        <v>14989.4</v>
      </c>
      <c r="AB80" s="375">
        <f t="shared" si="52"/>
        <v>16297.599999999999</v>
      </c>
      <c r="AC80" s="375">
        <f t="shared" si="52"/>
        <v>16714</v>
      </c>
      <c r="AD80" s="376">
        <f t="shared" si="52"/>
        <v>16821.599999999999</v>
      </c>
      <c r="AE80" s="374">
        <f t="shared" si="52"/>
        <v>17291.2</v>
      </c>
      <c r="AF80" s="375">
        <f t="shared" si="52"/>
        <v>17440.7</v>
      </c>
      <c r="AG80" s="375">
        <f t="shared" si="52"/>
        <v>17122.600000000002</v>
      </c>
      <c r="AH80" s="376">
        <f t="shared" si="52"/>
        <v>18125.099999999999</v>
      </c>
      <c r="AI80" s="374">
        <f t="shared" ref="AI80:AL80" si="53">AI77+AI64</f>
        <v>18018.7</v>
      </c>
      <c r="AJ80" s="375">
        <f t="shared" si="53"/>
        <v>17684.800000000003</v>
      </c>
      <c r="AK80" s="375">
        <f t="shared" si="53"/>
        <v>18170.8</v>
      </c>
      <c r="AL80" s="376">
        <f t="shared" si="53"/>
        <v>18688.800000000003</v>
      </c>
      <c r="AM80" s="374">
        <f>AM77+AM64+AM78</f>
        <v>17588.199999999997</v>
      </c>
      <c r="AN80" s="375">
        <f>AN77+AN64+AN78</f>
        <v>17959.900000000001</v>
      </c>
      <c r="AO80" s="375">
        <f t="shared" ref="AO80:AP80" si="54">AO77+AO64</f>
        <v>18463.2</v>
      </c>
      <c r="AP80" s="376">
        <f t="shared" si="54"/>
        <v>16852.399999999998</v>
      </c>
      <c r="AQ80" s="374">
        <f>AQ77+AQ64+AQ78</f>
        <v>16288.300000000001</v>
      </c>
      <c r="AR80" s="664">
        <f>AR77+AR64+AR78</f>
        <v>16389.200000000004</v>
      </c>
      <c r="AS80" s="375">
        <f t="shared" ref="AS80:AT80" si="55">AS77+AS64</f>
        <v>16031.699999999999</v>
      </c>
      <c r="AT80" s="686">
        <f t="shared" si="55"/>
        <v>16495.800000000003</v>
      </c>
      <c r="AU80" s="374">
        <f>AU77+AU64+AU78</f>
        <v>16940.900000000001</v>
      </c>
      <c r="AV80" s="375">
        <f>AV77+AV64+AV78</f>
        <v>18845.3</v>
      </c>
      <c r="AW80" s="375">
        <f>AW77+AW64</f>
        <v>21008.800000000003</v>
      </c>
      <c r="AX80" s="686">
        <f t="shared" ref="AX80:BD80" si="56">AX77+AX64+AX78</f>
        <v>20871.499999999996</v>
      </c>
      <c r="AY80" s="374">
        <f t="shared" si="56"/>
        <v>20072.8</v>
      </c>
      <c r="AZ80" s="375">
        <f t="shared" si="56"/>
        <v>20113.400000000001</v>
      </c>
      <c r="BA80" s="375">
        <f t="shared" si="56"/>
        <v>20276.600000000002</v>
      </c>
      <c r="BB80" s="686">
        <f t="shared" si="56"/>
        <v>20398.7</v>
      </c>
      <c r="BC80" s="374">
        <f t="shared" si="56"/>
        <v>19381.300000000003</v>
      </c>
      <c r="BD80" s="375">
        <f t="shared" si="56"/>
        <v>19711</v>
      </c>
      <c r="BE80" s="375"/>
      <c r="BF80" s="686"/>
    </row>
    <row r="81" spans="1:58" s="200" customFormat="1" ht="25.2" customHeight="1">
      <c r="A81" s="364" t="s">
        <v>259</v>
      </c>
      <c r="B81" s="364" t="s">
        <v>192</v>
      </c>
      <c r="C81" s="365" t="e">
        <f t="shared" ref="C81:U81" si="57">C80+C55</f>
        <v>#VALUE!</v>
      </c>
      <c r="D81" s="366">
        <f t="shared" si="57"/>
        <v>5597.8010000000004</v>
      </c>
      <c r="E81" s="366">
        <f t="shared" si="57"/>
        <v>5514.8739999999998</v>
      </c>
      <c r="F81" s="367">
        <f t="shared" si="57"/>
        <v>5561.3450000000003</v>
      </c>
      <c r="G81" s="366">
        <f t="shared" si="57"/>
        <v>5629.4740000000002</v>
      </c>
      <c r="H81" s="366">
        <f t="shared" si="57"/>
        <v>5592.7070000000003</v>
      </c>
      <c r="I81" s="366">
        <f t="shared" si="57"/>
        <v>5597.9809999999998</v>
      </c>
      <c r="J81" s="367">
        <f t="shared" si="57"/>
        <v>5688.23</v>
      </c>
      <c r="K81" s="365">
        <f t="shared" si="57"/>
        <v>5851.1939999999995</v>
      </c>
      <c r="L81" s="366">
        <f t="shared" si="57"/>
        <v>27827.1</v>
      </c>
      <c r="M81" s="366">
        <f t="shared" si="57"/>
        <v>27481.200000000001</v>
      </c>
      <c r="N81" s="367">
        <f t="shared" si="57"/>
        <v>27338.728993427176</v>
      </c>
      <c r="O81" s="365">
        <f t="shared" si="57"/>
        <v>27088.9</v>
      </c>
      <c r="P81" s="366">
        <f t="shared" si="57"/>
        <v>27141.800000000003</v>
      </c>
      <c r="Q81" s="366">
        <f t="shared" si="57"/>
        <v>26143.5</v>
      </c>
      <c r="R81" s="367">
        <f t="shared" si="57"/>
        <v>26490.100000000002</v>
      </c>
      <c r="S81" s="365">
        <f t="shared" si="57"/>
        <v>28355.5</v>
      </c>
      <c r="T81" s="366">
        <f t="shared" si="57"/>
        <v>27581.1</v>
      </c>
      <c r="U81" s="366">
        <f t="shared" si="57"/>
        <v>27493.111153255708</v>
      </c>
      <c r="V81" s="367">
        <f t="shared" ref="V81:W81" si="58">V80+V55</f>
        <v>27729.300000000003</v>
      </c>
      <c r="W81" s="365">
        <f t="shared" si="58"/>
        <v>27553.199999999997</v>
      </c>
      <c r="X81" s="366">
        <f t="shared" ref="X81:Y81" si="59">X80+X55</f>
        <v>27317.5</v>
      </c>
      <c r="Y81" s="366">
        <f t="shared" si="59"/>
        <v>26892.6</v>
      </c>
      <c r="Z81" s="367">
        <f t="shared" ref="Z81" si="60">Z80+Z55</f>
        <v>27756</v>
      </c>
      <c r="AA81" s="365">
        <f t="shared" ref="AA81:AH81" si="61">AA80+AA55</f>
        <v>27894.400000000001</v>
      </c>
      <c r="AB81" s="366">
        <f t="shared" si="61"/>
        <v>29751.599999999999</v>
      </c>
      <c r="AC81" s="366">
        <f t="shared" si="61"/>
        <v>30395.3</v>
      </c>
      <c r="AD81" s="367">
        <f t="shared" si="61"/>
        <v>30696.799999999999</v>
      </c>
      <c r="AE81" s="365">
        <f t="shared" si="61"/>
        <v>31463.800000000003</v>
      </c>
      <c r="AF81" s="366">
        <f t="shared" si="61"/>
        <v>31359.200000000001</v>
      </c>
      <c r="AG81" s="366">
        <f t="shared" si="61"/>
        <v>31277.700000000004</v>
      </c>
      <c r="AH81" s="367">
        <f t="shared" si="61"/>
        <v>32589.599999999999</v>
      </c>
      <c r="AI81" s="365">
        <f t="shared" ref="AI81:AL81" si="62">AI80+AI55</f>
        <v>32658.700000000004</v>
      </c>
      <c r="AJ81" s="366">
        <f t="shared" si="62"/>
        <v>32622.800000000003</v>
      </c>
      <c r="AK81" s="366">
        <f t="shared" si="62"/>
        <v>32814.1</v>
      </c>
      <c r="AL81" s="367">
        <f t="shared" si="62"/>
        <v>33115</v>
      </c>
      <c r="AM81" s="365">
        <f t="shared" ref="AM81:AP81" si="63">AM80+AM55</f>
        <v>32954.5</v>
      </c>
      <c r="AN81" s="366">
        <f t="shared" si="63"/>
        <v>32922.300000000003</v>
      </c>
      <c r="AO81" s="366">
        <f t="shared" si="63"/>
        <v>35967.4</v>
      </c>
      <c r="AP81" s="367">
        <f t="shared" si="63"/>
        <v>32236.999999999996</v>
      </c>
      <c r="AQ81" s="365">
        <f t="shared" ref="AQ81:AS81" si="64">AQ80+AQ55</f>
        <v>31895.200000000004</v>
      </c>
      <c r="AR81" s="366">
        <f>AR80+AR55</f>
        <v>31814.000000000007</v>
      </c>
      <c r="AS81" s="366">
        <f t="shared" si="64"/>
        <v>31686.199999999997</v>
      </c>
      <c r="AT81" s="367">
        <f>AT80+AT55</f>
        <v>32306.600000000002</v>
      </c>
      <c r="AU81" s="365">
        <f t="shared" ref="AU81" si="65">AU80+AU55</f>
        <v>32810.600000000006</v>
      </c>
      <c r="AV81" s="366">
        <f>AV80+AV55</f>
        <v>34698.6</v>
      </c>
      <c r="AW81" s="366">
        <f t="shared" ref="AW81:AZ81" si="66">AW80+AW55</f>
        <v>36772.300000000003</v>
      </c>
      <c r="AX81" s="367">
        <f t="shared" si="66"/>
        <v>37176.699999999997</v>
      </c>
      <c r="AY81" s="365">
        <f t="shared" si="66"/>
        <v>36560.5</v>
      </c>
      <c r="AZ81" s="366">
        <f t="shared" si="66"/>
        <v>36777.100000000006</v>
      </c>
      <c r="BA81" s="366">
        <f t="shared" ref="BA81:BD81" si="67">BA80+BA55</f>
        <v>37178.300000000003</v>
      </c>
      <c r="BB81" s="367">
        <f t="shared" si="67"/>
        <v>37468</v>
      </c>
      <c r="BC81" s="365">
        <f t="shared" si="67"/>
        <v>36520.800000000003</v>
      </c>
      <c r="BD81" s="366">
        <f t="shared" si="67"/>
        <v>36945.899999999994</v>
      </c>
      <c r="BE81" s="366"/>
      <c r="BF81" s="367"/>
    </row>
    <row r="82" spans="1:58" s="7" customFormat="1">
      <c r="A82" s="28"/>
      <c r="B82" s="104"/>
      <c r="Z82" s="5"/>
      <c r="AA82" s="5"/>
      <c r="AB82" s="5"/>
      <c r="AC82" s="5"/>
      <c r="AD82" s="5"/>
      <c r="AE82" s="5"/>
      <c r="AF82" s="5"/>
      <c r="AG82" s="5"/>
      <c r="AH82" s="5"/>
      <c r="AI82" s="5"/>
      <c r="AJ82" s="5"/>
      <c r="AK82" s="5"/>
      <c r="AL82" s="5"/>
      <c r="AM82" s="5"/>
      <c r="AN82" s="5"/>
      <c r="AO82" s="5"/>
      <c r="AP82" s="5"/>
      <c r="AQ82" s="5"/>
      <c r="AR82" s="5"/>
      <c r="AS82" s="5"/>
      <c r="AT82" s="5"/>
      <c r="AU82" s="5"/>
      <c r="AV82" s="5"/>
      <c r="AW82" s="5"/>
      <c r="AX82" s="5"/>
    </row>
    <row r="83" spans="1:58" s="7" customFormat="1">
      <c r="A83" s="28"/>
      <c r="B83" s="104"/>
      <c r="Z83" s="5"/>
      <c r="AA83" s="5"/>
      <c r="AB83" s="5"/>
      <c r="AC83" s="5"/>
      <c r="AD83" s="5"/>
      <c r="AE83" s="5"/>
      <c r="AF83" s="5"/>
      <c r="AG83" s="5"/>
      <c r="AH83" s="5"/>
      <c r="AI83" s="5"/>
      <c r="AJ83" s="5"/>
      <c r="AK83" s="5"/>
      <c r="AL83" s="5"/>
      <c r="AM83" s="5"/>
      <c r="AN83" s="5"/>
      <c r="AO83" s="5"/>
      <c r="AP83" s="5"/>
      <c r="AQ83" s="5"/>
      <c r="AR83" s="5"/>
      <c r="AS83" s="659"/>
      <c r="AT83" s="5"/>
      <c r="AU83" s="5"/>
      <c r="AV83" s="5"/>
      <c r="AW83" s="659"/>
      <c r="AX83" s="5"/>
    </row>
    <row r="84" spans="1:58" s="157" customFormat="1" ht="30.75" customHeight="1">
      <c r="A84" s="160" t="s">
        <v>260</v>
      </c>
      <c r="B84" s="155" t="s">
        <v>261</v>
      </c>
      <c r="C84" s="156"/>
      <c r="D84" s="156"/>
      <c r="E84" s="156"/>
      <c r="F84" s="156"/>
      <c r="G84" s="156"/>
      <c r="H84" s="156"/>
      <c r="I84" s="156"/>
      <c r="J84" s="156"/>
      <c r="K84" s="156"/>
      <c r="L84" s="156"/>
      <c r="M84" s="156"/>
      <c r="N84" s="156"/>
      <c r="O84" s="156"/>
      <c r="P84" s="156"/>
      <c r="Q84" s="156"/>
      <c r="R84" s="156"/>
      <c r="Z84" s="197"/>
      <c r="AA84" s="197"/>
      <c r="AB84" s="197"/>
      <c r="AC84" s="197"/>
      <c r="AD84" s="197"/>
      <c r="AE84" s="197"/>
      <c r="AF84" s="197"/>
      <c r="AG84" s="197"/>
      <c r="AH84" s="197"/>
      <c r="AI84" s="197"/>
      <c r="AJ84" s="197"/>
      <c r="AK84" s="197"/>
      <c r="AL84" s="197"/>
      <c r="AM84" s="197"/>
      <c r="AN84" s="197"/>
      <c r="AO84" s="197"/>
      <c r="AP84" s="197"/>
      <c r="AQ84" s="197"/>
      <c r="AR84" s="197"/>
      <c r="AS84" s="197"/>
      <c r="AT84" s="682"/>
      <c r="AU84" s="197"/>
      <c r="AV84" s="197"/>
      <c r="AW84" s="197"/>
      <c r="AX84" s="682"/>
    </row>
    <row r="85" spans="1:58" s="157" customFormat="1" ht="44.25" customHeight="1">
      <c r="A85" s="160" t="s">
        <v>262</v>
      </c>
      <c r="B85" s="155" t="s">
        <v>263</v>
      </c>
      <c r="C85" s="156"/>
      <c r="D85" s="156"/>
      <c r="E85" s="156"/>
      <c r="F85" s="156"/>
      <c r="G85" s="156"/>
      <c r="H85" s="156"/>
      <c r="I85" s="156"/>
      <c r="J85" s="156"/>
      <c r="K85" s="156"/>
      <c r="L85" s="156"/>
      <c r="M85" s="156"/>
      <c r="N85" s="156"/>
      <c r="O85" s="156"/>
      <c r="P85" s="156"/>
      <c r="Q85" s="156"/>
      <c r="R85" s="156"/>
    </row>
    <row r="86" spans="1:58" s="157" customFormat="1" ht="66.75" customHeight="1">
      <c r="A86" s="160" t="s">
        <v>264</v>
      </c>
      <c r="B86" s="158" t="s">
        <v>265</v>
      </c>
      <c r="C86" s="159"/>
      <c r="D86" s="159"/>
      <c r="E86" s="159"/>
      <c r="F86" s="159"/>
      <c r="G86" s="159"/>
      <c r="H86" s="159"/>
      <c r="I86" s="159"/>
      <c r="J86" s="159"/>
      <c r="K86" s="159"/>
      <c r="L86" s="159"/>
      <c r="M86" s="159"/>
      <c r="N86" s="159"/>
      <c r="O86" s="159"/>
      <c r="P86" s="159"/>
      <c r="Q86" s="159"/>
      <c r="R86" s="159"/>
    </row>
    <row r="87" spans="1:58" s="157" customFormat="1" ht="110.25" customHeight="1">
      <c r="A87" s="162" t="s">
        <v>266</v>
      </c>
      <c r="B87" s="161" t="s">
        <v>267</v>
      </c>
    </row>
    <row r="88" spans="1:58" s="7" customFormat="1" ht="57.75" customHeight="1">
      <c r="A88" s="112" t="s">
        <v>268</v>
      </c>
      <c r="B88" s="112" t="s">
        <v>269</v>
      </c>
    </row>
    <row r="89" spans="1:58" s="7" customFormat="1" ht="71.25" customHeight="1">
      <c r="A89" s="112" t="s">
        <v>270</v>
      </c>
      <c r="B89" s="112" t="s">
        <v>271</v>
      </c>
    </row>
    <row r="90" spans="1:58" ht="42" customHeight="1">
      <c r="A90" s="112" t="s">
        <v>272</v>
      </c>
      <c r="B90" s="155" t="s">
        <v>273</v>
      </c>
    </row>
  </sheetData>
  <customSheetViews>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1"/>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3"/>
    </customSheetView>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4"/>
    </customSheetView>
  </customSheetViews>
  <mergeCells count="14">
    <mergeCell ref="BC2:BF2"/>
    <mergeCell ref="AY2:BB2"/>
    <mergeCell ref="AU2:AX2"/>
    <mergeCell ref="AQ2:AT2"/>
    <mergeCell ref="AM2:AP2"/>
    <mergeCell ref="C2:F2"/>
    <mergeCell ref="G2:J2"/>
    <mergeCell ref="K2:N2"/>
    <mergeCell ref="O2:R2"/>
    <mergeCell ref="AI2:AL2"/>
    <mergeCell ref="AE2:AH2"/>
    <mergeCell ref="AA2:AD2"/>
    <mergeCell ref="W2:Z2"/>
    <mergeCell ref="S2:V2"/>
  </mergeCells>
  <phoneticPr fontId="12" type="noConversion"/>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6 I36 D36 AD24" formula="1"/>
  </ignoredErrors>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O161"/>
  <sheetViews>
    <sheetView showGridLines="0" zoomScale="70" zoomScaleNormal="70" zoomScaleSheetLayoutView="110" workbookViewId="0">
      <pane xSplit="1" ySplit="4" topLeftCell="B31" activePane="bottomRight" state="frozen"/>
      <selection pane="topRight" activeCell="B1" sqref="B1"/>
      <selection pane="bottomLeft" activeCell="A5" sqref="A5"/>
      <selection pane="bottomRight" activeCell="A45" sqref="A45"/>
    </sheetView>
  </sheetViews>
  <sheetFormatPr defaultColWidth="9" defaultRowHeight="13.8" outlineLevelCol="1"/>
  <cols>
    <col min="1" max="1" width="45.59765625" style="112" customWidth="1"/>
    <col min="2" max="2" width="47.796875" style="112" customWidth="1"/>
    <col min="3" max="3" width="13.09765625" style="4" hidden="1" customWidth="1" outlineLevel="1"/>
    <col min="4" max="5" width="13" style="4" hidden="1" customWidth="1" outlineLevel="1"/>
    <col min="6" max="6" width="12.5" style="4" hidden="1" customWidth="1" outlineLevel="1"/>
    <col min="7" max="7" width="13" style="4" hidden="1" customWidth="1" outlineLevel="1"/>
    <col min="8" max="9" width="12.796875" style="4" hidden="1" customWidth="1" outlineLevel="1"/>
    <col min="10" max="10" width="12.5" style="4" hidden="1" customWidth="1" outlineLevel="1"/>
    <col min="11" max="12" width="13" style="4" hidden="1" customWidth="1" outlineLevel="1"/>
    <col min="13" max="13" width="12.796875" style="4" hidden="1" customWidth="1" outlineLevel="1"/>
    <col min="14" max="14" width="12.5" style="4" hidden="1" customWidth="1" outlineLevel="1"/>
    <col min="15" max="29" width="13" style="4" hidden="1" customWidth="1" outlineLevel="1"/>
    <col min="30" max="30" width="14.09765625" style="4" hidden="1" customWidth="1" outlineLevel="1"/>
    <col min="31" max="34" width="13" style="6" hidden="1" customWidth="1" outlineLevel="1"/>
    <col min="35" max="50" width="13.09765625" style="6" hidden="1" customWidth="1" outlineLevel="1"/>
    <col min="51" max="51" width="13.09765625" style="6" customWidth="1" collapsed="1"/>
    <col min="52" max="54" width="13.09765625" style="6" customWidth="1"/>
    <col min="55" max="60" width="13.09765625" style="4" customWidth="1"/>
    <col min="61" max="61" width="13.09765625" style="916" customWidth="1"/>
    <col min="62" max="62" width="13.09765625" style="4" customWidth="1"/>
    <col min="63" max="16384" width="9" style="4"/>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917"/>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10" customFormat="1" ht="42.75" customHeight="1">
      <c r="A2" s="296" t="s">
        <v>274</v>
      </c>
      <c r="B2" s="605" t="s">
        <v>275</v>
      </c>
      <c r="C2" s="977">
        <v>2012</v>
      </c>
      <c r="D2" s="977"/>
      <c r="E2" s="977"/>
      <c r="F2" s="977"/>
      <c r="G2" s="978">
        <v>2013</v>
      </c>
      <c r="H2" s="977"/>
      <c r="I2" s="977"/>
      <c r="J2" s="979"/>
      <c r="K2" s="977">
        <v>2014</v>
      </c>
      <c r="L2" s="977"/>
      <c r="M2" s="977"/>
      <c r="N2" s="977"/>
      <c r="O2" s="978">
        <v>2015</v>
      </c>
      <c r="P2" s="977"/>
      <c r="Q2" s="977"/>
      <c r="R2" s="979"/>
      <c r="S2" s="977">
        <v>2016</v>
      </c>
      <c r="T2" s="977"/>
      <c r="U2" s="977"/>
      <c r="V2" s="977"/>
      <c r="W2" s="978" t="s">
        <v>276</v>
      </c>
      <c r="X2" s="977"/>
      <c r="Y2" s="977"/>
      <c r="Z2" s="979"/>
      <c r="AA2" s="977" t="s">
        <v>277</v>
      </c>
      <c r="AB2" s="980"/>
      <c r="AC2" s="980"/>
      <c r="AD2" s="980"/>
      <c r="AE2" s="978" t="s">
        <v>278</v>
      </c>
      <c r="AF2" s="980"/>
      <c r="AG2" s="980"/>
      <c r="AH2" s="981"/>
      <c r="AI2" s="977" t="s">
        <v>279</v>
      </c>
      <c r="AJ2" s="977"/>
      <c r="AK2" s="977"/>
      <c r="AL2" s="977"/>
      <c r="AM2" s="978">
        <v>2020</v>
      </c>
      <c r="AN2" s="980"/>
      <c r="AO2" s="980"/>
      <c r="AP2" s="981"/>
      <c r="AQ2" s="977">
        <v>2021</v>
      </c>
      <c r="AR2" s="980"/>
      <c r="AS2" s="980"/>
      <c r="AT2" s="981"/>
      <c r="AU2" s="977">
        <v>2022</v>
      </c>
      <c r="AV2" s="980"/>
      <c r="AW2" s="980"/>
      <c r="AX2" s="981"/>
      <c r="AY2" s="977">
        <v>2023</v>
      </c>
      <c r="AZ2" s="980"/>
      <c r="BA2" s="980"/>
      <c r="BB2" s="981"/>
      <c r="BC2" s="977">
        <v>2024</v>
      </c>
      <c r="BD2" s="980"/>
      <c r="BE2" s="980"/>
      <c r="BF2" s="981"/>
      <c r="BG2" s="977">
        <v>2025</v>
      </c>
      <c r="BH2" s="980"/>
      <c r="BI2" s="980"/>
      <c r="BJ2" s="981"/>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row>
    <row r="3" spans="1:483" ht="40.200000000000003" customHeight="1">
      <c r="A3" s="296" t="s">
        <v>20</v>
      </c>
      <c r="B3" s="605" t="s">
        <v>20</v>
      </c>
      <c r="C3" s="440" t="s">
        <v>280</v>
      </c>
      <c r="D3" s="440" t="s">
        <v>281</v>
      </c>
      <c r="E3" s="440" t="s">
        <v>282</v>
      </c>
      <c r="F3" s="440" t="s">
        <v>283</v>
      </c>
      <c r="G3" s="584" t="s">
        <v>280</v>
      </c>
      <c r="H3" s="440" t="s">
        <v>281</v>
      </c>
      <c r="I3" s="440" t="s">
        <v>282</v>
      </c>
      <c r="J3" s="585" t="s">
        <v>283</v>
      </c>
      <c r="K3" s="440" t="s">
        <v>280</v>
      </c>
      <c r="L3" s="440" t="s">
        <v>281</v>
      </c>
      <c r="M3" s="440" t="s">
        <v>282</v>
      </c>
      <c r="N3" s="440" t="s">
        <v>283</v>
      </c>
      <c r="O3" s="584" t="s">
        <v>280</v>
      </c>
      <c r="P3" s="440" t="s">
        <v>281</v>
      </c>
      <c r="Q3" s="440" t="s">
        <v>282</v>
      </c>
      <c r="R3" s="585" t="s">
        <v>283</v>
      </c>
      <c r="S3" s="440" t="s">
        <v>280</v>
      </c>
      <c r="T3" s="440" t="s">
        <v>281</v>
      </c>
      <c r="U3" s="440" t="s">
        <v>282</v>
      </c>
      <c r="V3" s="440" t="s">
        <v>283</v>
      </c>
      <c r="W3" s="584" t="s">
        <v>280</v>
      </c>
      <c r="X3" s="440" t="s">
        <v>281</v>
      </c>
      <c r="Y3" s="440" t="s">
        <v>282</v>
      </c>
      <c r="Z3" s="585" t="s">
        <v>283</v>
      </c>
      <c r="AA3" s="440" t="s">
        <v>280</v>
      </c>
      <c r="AB3" s="440" t="s">
        <v>281</v>
      </c>
      <c r="AC3" s="440" t="s">
        <v>282</v>
      </c>
      <c r="AD3" s="440" t="s">
        <v>283</v>
      </c>
      <c r="AE3" s="584" t="s">
        <v>280</v>
      </c>
      <c r="AF3" s="440" t="s">
        <v>281</v>
      </c>
      <c r="AG3" s="440" t="s">
        <v>282</v>
      </c>
      <c r="AH3" s="585" t="s">
        <v>283</v>
      </c>
      <c r="AI3" s="440" t="s">
        <v>280</v>
      </c>
      <c r="AJ3" s="440" t="s">
        <v>281</v>
      </c>
      <c r="AK3" s="440" t="s">
        <v>282</v>
      </c>
      <c r="AL3" s="440" t="s">
        <v>283</v>
      </c>
      <c r="AM3" s="584" t="s">
        <v>280</v>
      </c>
      <c r="AN3" s="440" t="s">
        <v>281</v>
      </c>
      <c r="AO3" s="440" t="s">
        <v>282</v>
      </c>
      <c r="AP3" s="585" t="s">
        <v>283</v>
      </c>
      <c r="AQ3" s="440" t="s">
        <v>280</v>
      </c>
      <c r="AR3" s="440" t="s">
        <v>281</v>
      </c>
      <c r="AS3" s="440" t="s">
        <v>282</v>
      </c>
      <c r="AT3" s="585" t="s">
        <v>283</v>
      </c>
      <c r="AU3" s="440" t="s">
        <v>280</v>
      </c>
      <c r="AV3" s="440" t="s">
        <v>281</v>
      </c>
      <c r="AW3" s="440" t="s">
        <v>282</v>
      </c>
      <c r="AX3" s="585" t="s">
        <v>283</v>
      </c>
      <c r="AY3" s="440" t="str">
        <f>AU3</f>
        <v>3 miesiące 
do 31 marca</v>
      </c>
      <c r="AZ3" s="440" t="s">
        <v>281</v>
      </c>
      <c r="BA3" s="440" t="s">
        <v>282</v>
      </c>
      <c r="BB3" s="585" t="s">
        <v>283</v>
      </c>
      <c r="BC3" s="440" t="str">
        <f>AY3</f>
        <v>3 miesiące 
do 31 marca</v>
      </c>
      <c r="BD3" s="440" t="s">
        <v>281</v>
      </c>
      <c r="BE3" s="440" t="s">
        <v>282</v>
      </c>
      <c r="BF3" s="585" t="s">
        <v>283</v>
      </c>
      <c r="BG3" s="440" t="str">
        <f>BC3</f>
        <v>3 miesiące 
do 31 marca</v>
      </c>
      <c r="BH3" s="440" t="s">
        <v>281</v>
      </c>
      <c r="BI3" s="440" t="s">
        <v>282</v>
      </c>
      <c r="BJ3" s="585" t="s">
        <v>283</v>
      </c>
    </row>
    <row r="4" spans="1:483" s="444" customFormat="1" ht="40.200000000000003" customHeight="1" thickBot="1">
      <c r="A4" s="442"/>
      <c r="B4" s="606"/>
      <c r="C4" s="443" t="s">
        <v>284</v>
      </c>
      <c r="D4" s="443" t="s">
        <v>285</v>
      </c>
      <c r="E4" s="443" t="s">
        <v>286</v>
      </c>
      <c r="F4" s="443" t="s">
        <v>287</v>
      </c>
      <c r="G4" s="586" t="s">
        <v>284</v>
      </c>
      <c r="H4" s="443" t="s">
        <v>285</v>
      </c>
      <c r="I4" s="443" t="s">
        <v>286</v>
      </c>
      <c r="J4" s="587" t="s">
        <v>287</v>
      </c>
      <c r="K4" s="443" t="s">
        <v>284</v>
      </c>
      <c r="L4" s="443" t="s">
        <v>285</v>
      </c>
      <c r="M4" s="443" t="s">
        <v>286</v>
      </c>
      <c r="N4" s="443" t="s">
        <v>287</v>
      </c>
      <c r="O4" s="586" t="s">
        <v>284</v>
      </c>
      <c r="P4" s="443" t="s">
        <v>285</v>
      </c>
      <c r="Q4" s="443" t="s">
        <v>286</v>
      </c>
      <c r="R4" s="587" t="s">
        <v>287</v>
      </c>
      <c r="S4" s="443" t="s">
        <v>284</v>
      </c>
      <c r="T4" s="443" t="s">
        <v>285</v>
      </c>
      <c r="U4" s="443" t="s">
        <v>286</v>
      </c>
      <c r="V4" s="443" t="s">
        <v>287</v>
      </c>
      <c r="W4" s="586" t="s">
        <v>284</v>
      </c>
      <c r="X4" s="443" t="s">
        <v>285</v>
      </c>
      <c r="Y4" s="443" t="s">
        <v>286</v>
      </c>
      <c r="Z4" s="587" t="s">
        <v>287</v>
      </c>
      <c r="AA4" s="443" t="s">
        <v>284</v>
      </c>
      <c r="AB4" s="443" t="s">
        <v>285</v>
      </c>
      <c r="AC4" s="443" t="s">
        <v>286</v>
      </c>
      <c r="AD4" s="443" t="s">
        <v>287</v>
      </c>
      <c r="AE4" s="586" t="s">
        <v>284</v>
      </c>
      <c r="AF4" s="443" t="s">
        <v>285</v>
      </c>
      <c r="AG4" s="443" t="s">
        <v>286</v>
      </c>
      <c r="AH4" s="587" t="s">
        <v>287</v>
      </c>
      <c r="AI4" s="443" t="s">
        <v>284</v>
      </c>
      <c r="AJ4" s="443" t="s">
        <v>285</v>
      </c>
      <c r="AK4" s="443" t="s">
        <v>286</v>
      </c>
      <c r="AL4" s="443" t="s">
        <v>287</v>
      </c>
      <c r="AM4" s="586" t="s">
        <v>284</v>
      </c>
      <c r="AN4" s="443" t="s">
        <v>285</v>
      </c>
      <c r="AO4" s="443" t="s">
        <v>286</v>
      </c>
      <c r="AP4" s="587" t="s">
        <v>287</v>
      </c>
      <c r="AQ4" s="443" t="s">
        <v>284</v>
      </c>
      <c r="AR4" s="443" t="s">
        <v>285</v>
      </c>
      <c r="AS4" s="443" t="s">
        <v>286</v>
      </c>
      <c r="AT4" s="587" t="s">
        <v>287</v>
      </c>
      <c r="AU4" s="443" t="s">
        <v>284</v>
      </c>
      <c r="AV4" s="443" t="s">
        <v>285</v>
      </c>
      <c r="AW4" s="443" t="s">
        <v>286</v>
      </c>
      <c r="AX4" s="587" t="s">
        <v>287</v>
      </c>
      <c r="AY4" s="443" t="s">
        <v>284</v>
      </c>
      <c r="AZ4" s="443" t="s">
        <v>285</v>
      </c>
      <c r="BA4" s="443" t="s">
        <v>286</v>
      </c>
      <c r="BB4" s="587" t="s">
        <v>287</v>
      </c>
      <c r="BC4" s="443" t="s">
        <v>284</v>
      </c>
      <c r="BD4" s="443" t="s">
        <v>285</v>
      </c>
      <c r="BE4" s="443" t="s">
        <v>286</v>
      </c>
      <c r="BF4" s="587" t="s">
        <v>287</v>
      </c>
      <c r="BG4" s="443" t="s">
        <v>284</v>
      </c>
      <c r="BH4" s="443" t="s">
        <v>285</v>
      </c>
      <c r="BI4" s="443" t="s">
        <v>286</v>
      </c>
      <c r="BJ4" s="587" t="s">
        <v>287</v>
      </c>
    </row>
    <row r="5" spans="1:483" ht="20.100000000000001" customHeight="1" thickBot="1">
      <c r="A5" s="441" t="s">
        <v>288</v>
      </c>
      <c r="B5" s="607" t="s">
        <v>289</v>
      </c>
      <c r="C5" s="84">
        <v>205.10900000000001</v>
      </c>
      <c r="D5" s="84">
        <v>304.61200000000002</v>
      </c>
      <c r="E5" s="84">
        <v>476.67400000000004</v>
      </c>
      <c r="F5" s="84">
        <v>598.298</v>
      </c>
      <c r="G5" s="588">
        <v>95.105000000000004</v>
      </c>
      <c r="H5" s="84">
        <v>175.85</v>
      </c>
      <c r="I5" s="84">
        <v>352.30099999999999</v>
      </c>
      <c r="J5" s="589">
        <v>525.44500000000005</v>
      </c>
      <c r="K5" s="84">
        <v>98.171999999999997</v>
      </c>
      <c r="L5" s="84" t="e">
        <f>#REF!+#REF!</f>
        <v>#REF!</v>
      </c>
      <c r="M5" s="84">
        <v>278.5</v>
      </c>
      <c r="N5" s="84">
        <v>292.5</v>
      </c>
      <c r="O5" s="588">
        <v>170.8</v>
      </c>
      <c r="P5" s="84">
        <v>475.29999999999984</v>
      </c>
      <c r="Q5" s="84" t="e">
        <f>SUM(#REF!)</f>
        <v>#REF!</v>
      </c>
      <c r="R5" s="589" t="e">
        <f>SUM(#REF!)</f>
        <v>#REF!</v>
      </c>
      <c r="S5" s="84" t="e">
        <f>#REF!</f>
        <v>#REF!</v>
      </c>
      <c r="T5" s="84" t="e">
        <f>#REF!+#REF!</f>
        <v>#REF!</v>
      </c>
      <c r="U5" s="84" t="e">
        <f>T5+#REF!</f>
        <v>#REF!</v>
      </c>
      <c r="V5" s="84" t="e">
        <f>#REF!</f>
        <v>#REF!</v>
      </c>
      <c r="W5" s="588">
        <v>271.40000000000032</v>
      </c>
      <c r="X5" s="84">
        <v>553.10000000000025</v>
      </c>
      <c r="Y5" s="84">
        <v>788</v>
      </c>
      <c r="Z5" s="589">
        <v>945.2</v>
      </c>
      <c r="AA5" s="84">
        <v>292.2</v>
      </c>
      <c r="AB5" s="84">
        <v>523.6</v>
      </c>
      <c r="AC5" s="84">
        <v>750.7</v>
      </c>
      <c r="AD5" s="84">
        <v>816.1</v>
      </c>
      <c r="AE5" s="588">
        <v>300.8</v>
      </c>
      <c r="AF5" s="84">
        <v>570.9</v>
      </c>
      <c r="AG5" s="84">
        <v>817.9</v>
      </c>
      <c r="AH5" s="589">
        <v>1126.3</v>
      </c>
      <c r="AI5" s="84">
        <v>297.3</v>
      </c>
      <c r="AJ5" s="84">
        <v>566.20000000000005</v>
      </c>
      <c r="AK5" s="84">
        <v>802.7</v>
      </c>
      <c r="AL5" s="84">
        <v>1114.5999999999999</v>
      </c>
      <c r="AM5" s="588" t="e">
        <f>#REF!</f>
        <v>#REF!</v>
      </c>
      <c r="AN5" s="84">
        <v>474.5</v>
      </c>
      <c r="AO5" s="84">
        <v>819.5</v>
      </c>
      <c r="AP5" s="589">
        <v>1146.2</v>
      </c>
      <c r="AQ5" s="84" t="e">
        <f>#REF!</f>
        <v>#REF!</v>
      </c>
      <c r="AR5" s="84" t="e">
        <f>#REF!+AQ5</f>
        <v>#REF!</v>
      </c>
      <c r="AS5" s="84" t="e">
        <f>#REF!+AR5</f>
        <v>#REF!</v>
      </c>
      <c r="AT5" s="589" t="e">
        <f>#REF!</f>
        <v>#REF!</v>
      </c>
      <c r="AU5" s="84" t="e">
        <f>#REF!</f>
        <v>#REF!</v>
      </c>
      <c r="AV5" s="673" t="e">
        <f>SUM(#REF!)</f>
        <v>#REF!</v>
      </c>
      <c r="AW5" s="673" t="e">
        <f>SUM(#REF!)</f>
        <v>#REF!</v>
      </c>
      <c r="AX5" s="691" t="e">
        <f>#REF!</f>
        <v>#REF!</v>
      </c>
      <c r="AY5" s="84" t="e">
        <f>#REF!</f>
        <v>#REF!</v>
      </c>
      <c r="AZ5" s="673">
        <v>79.099999999999994</v>
      </c>
      <c r="BA5" s="673">
        <v>181.3</v>
      </c>
      <c r="BB5" s="691">
        <v>311.60000000000002</v>
      </c>
      <c r="BC5" s="84">
        <v>184.3</v>
      </c>
      <c r="BD5" s="673">
        <v>359.8</v>
      </c>
      <c r="BE5" s="673">
        <v>609.6</v>
      </c>
      <c r="BF5" s="691">
        <v>777.3</v>
      </c>
      <c r="BG5" s="84">
        <v>86.7</v>
      </c>
      <c r="BH5" s="673">
        <v>199.7</v>
      </c>
      <c r="BI5" s="673"/>
      <c r="BJ5" s="691"/>
    </row>
    <row r="6" spans="1:483" ht="20.100000000000001" customHeight="1" thickBot="1">
      <c r="A6" s="361" t="s">
        <v>290</v>
      </c>
      <c r="B6" s="608" t="s">
        <v>291</v>
      </c>
      <c r="C6" s="362">
        <f t="shared" ref="C6:AB6" si="0">SUM(C7:C37)</f>
        <v>27.58799999999999</v>
      </c>
      <c r="D6" s="362">
        <f t="shared" si="0"/>
        <v>110.99899999999997</v>
      </c>
      <c r="E6" s="362">
        <f t="shared" si="0"/>
        <v>152.09600000000003</v>
      </c>
      <c r="F6" s="363">
        <f t="shared" si="0"/>
        <v>244.9200000000001</v>
      </c>
      <c r="G6" s="590">
        <f t="shared" si="0"/>
        <v>70.556999999999988</v>
      </c>
      <c r="H6" s="363">
        <f t="shared" si="0"/>
        <v>176.07799999999997</v>
      </c>
      <c r="I6" s="363">
        <f t="shared" si="0"/>
        <v>195.94299999999996</v>
      </c>
      <c r="J6" s="591">
        <f t="shared" si="0"/>
        <v>334.28999999999991</v>
      </c>
      <c r="K6" s="363">
        <f t="shared" si="0"/>
        <v>86.532000000000011</v>
      </c>
      <c r="L6" s="363">
        <f t="shared" si="0"/>
        <v>505.40000000000015</v>
      </c>
      <c r="M6" s="363">
        <f t="shared" si="0"/>
        <v>1145.4000000000003</v>
      </c>
      <c r="N6" s="363">
        <f t="shared" si="0"/>
        <v>1825.2999999999997</v>
      </c>
      <c r="O6" s="590">
        <f t="shared" si="0"/>
        <v>282.2000000000001</v>
      </c>
      <c r="P6" s="363">
        <f t="shared" si="0"/>
        <v>852.69999999999982</v>
      </c>
      <c r="Q6" s="363">
        <f t="shared" si="0"/>
        <v>1195.6999999999994</v>
      </c>
      <c r="R6" s="591">
        <f t="shared" si="0"/>
        <v>1821.6999999999998</v>
      </c>
      <c r="S6" s="363">
        <f t="shared" si="0"/>
        <v>405.9</v>
      </c>
      <c r="T6" s="363">
        <f t="shared" si="0"/>
        <v>1140</v>
      </c>
      <c r="U6" s="363">
        <f t="shared" si="0"/>
        <v>1678.3000000000002</v>
      </c>
      <c r="V6" s="363">
        <f t="shared" si="0"/>
        <v>2130.5</v>
      </c>
      <c r="W6" s="590">
        <f t="shared" si="0"/>
        <v>509.29999999999995</v>
      </c>
      <c r="X6" s="363">
        <f t="shared" si="0"/>
        <v>1062.8</v>
      </c>
      <c r="Y6" s="363">
        <f t="shared" si="0"/>
        <v>1457.6999999999998</v>
      </c>
      <c r="Z6" s="591">
        <f t="shared" si="0"/>
        <v>2181.1000000000004</v>
      </c>
      <c r="AA6" s="363">
        <f t="shared" si="0"/>
        <v>340.90000000000009</v>
      </c>
      <c r="AB6" s="363">
        <f t="shared" si="0"/>
        <v>873.30000000000007</v>
      </c>
      <c r="AC6" s="363">
        <v>1470.1</v>
      </c>
      <c r="AD6" s="363">
        <f t="shared" ref="AD6:BH6" si="1">SUM(AD7:AD37)</f>
        <v>2416</v>
      </c>
      <c r="AE6" s="590">
        <f t="shared" si="1"/>
        <v>402.4</v>
      </c>
      <c r="AF6" s="363">
        <f t="shared" si="1"/>
        <v>983.40000000000032</v>
      </c>
      <c r="AG6" s="363">
        <f t="shared" si="1"/>
        <v>1588.9000000000003</v>
      </c>
      <c r="AH6" s="591">
        <f t="shared" si="1"/>
        <v>2265.5</v>
      </c>
      <c r="AI6" s="363">
        <f t="shared" si="1"/>
        <v>464.9</v>
      </c>
      <c r="AJ6" s="363">
        <f t="shared" si="1"/>
        <v>1143.1000000000001</v>
      </c>
      <c r="AK6" s="363">
        <f t="shared" si="1"/>
        <v>1857.2000000000003</v>
      </c>
      <c r="AL6" s="363">
        <f t="shared" si="1"/>
        <v>2663.2999999999997</v>
      </c>
      <c r="AM6" s="590">
        <f t="shared" si="1"/>
        <v>677.20000000000016</v>
      </c>
      <c r="AN6" s="363">
        <f t="shared" si="1"/>
        <v>1232.3000000000004</v>
      </c>
      <c r="AO6" s="363">
        <f t="shared" si="1"/>
        <v>1835.7999999999997</v>
      </c>
      <c r="AP6" s="591">
        <f t="shared" si="1"/>
        <v>2651.7</v>
      </c>
      <c r="AQ6" s="363">
        <f t="shared" si="1"/>
        <v>603.90000000000009</v>
      </c>
      <c r="AR6" s="363">
        <f t="shared" si="1"/>
        <v>953.8</v>
      </c>
      <c r="AS6" s="363">
        <f t="shared" si="1"/>
        <v>-1284.9999999999998</v>
      </c>
      <c r="AT6" s="591">
        <f t="shared" si="1"/>
        <v>-724.80000000000007</v>
      </c>
      <c r="AU6" s="363">
        <f t="shared" si="1"/>
        <v>454.00000000000011</v>
      </c>
      <c r="AV6" s="674">
        <f t="shared" si="1"/>
        <v>997.8</v>
      </c>
      <c r="AW6" s="363">
        <f t="shared" si="1"/>
        <v>1492.8</v>
      </c>
      <c r="AX6" s="691">
        <f t="shared" si="1"/>
        <v>2072.4</v>
      </c>
      <c r="AY6" s="363">
        <f t="shared" si="1"/>
        <v>284.7000000000001</v>
      </c>
      <c r="AZ6" s="674">
        <f t="shared" si="1"/>
        <v>1311.7999999999993</v>
      </c>
      <c r="BA6" s="674">
        <f t="shared" si="1"/>
        <v>1483.7999999999995</v>
      </c>
      <c r="BB6" s="691">
        <f t="shared" si="1"/>
        <v>2316.5999999999995</v>
      </c>
      <c r="BC6" s="363">
        <f t="shared" si="1"/>
        <v>616.20000000000005</v>
      </c>
      <c r="BD6" s="674">
        <f t="shared" si="1"/>
        <v>1158.8000000000002</v>
      </c>
      <c r="BE6" s="674">
        <f t="shared" si="1"/>
        <v>1991.0999999999995</v>
      </c>
      <c r="BF6" s="691">
        <f t="shared" si="1"/>
        <v>2783.2600000000007</v>
      </c>
      <c r="BG6" s="363">
        <f t="shared" si="1"/>
        <v>662.7</v>
      </c>
      <c r="BH6" s="674">
        <f t="shared" si="1"/>
        <v>1288.0999999999999</v>
      </c>
      <c r="BI6" s="674"/>
      <c r="BJ6" s="691"/>
    </row>
    <row r="7" spans="1:483" ht="20.100000000000001" customHeight="1">
      <c r="A7" s="64" t="s">
        <v>45</v>
      </c>
      <c r="B7" s="609" t="s">
        <v>46</v>
      </c>
      <c r="C7" s="62">
        <v>54.433</v>
      </c>
      <c r="D7" s="62">
        <v>111.117</v>
      </c>
      <c r="E7" s="62">
        <v>171.35499999999999</v>
      </c>
      <c r="F7" s="62">
        <v>243.066</v>
      </c>
      <c r="G7" s="592">
        <v>60.698</v>
      </c>
      <c r="H7" s="62">
        <v>122.961</v>
      </c>
      <c r="I7" s="62">
        <v>187.82599999999999</v>
      </c>
      <c r="J7" s="593">
        <v>256.416</v>
      </c>
      <c r="K7" s="62">
        <v>62.434000000000005</v>
      </c>
      <c r="L7" s="62">
        <v>373.8</v>
      </c>
      <c r="M7" s="62">
        <v>852.1</v>
      </c>
      <c r="N7" s="62">
        <v>1295.9000000000001</v>
      </c>
      <c r="O7" s="592">
        <v>467.9</v>
      </c>
      <c r="P7" s="62">
        <v>861.4</v>
      </c>
      <c r="Q7" s="62">
        <v>1262.5999999999999</v>
      </c>
      <c r="R7" s="593">
        <v>1699.3</v>
      </c>
      <c r="S7" s="62">
        <v>423.7</v>
      </c>
      <c r="T7" s="62">
        <v>951.2</v>
      </c>
      <c r="U7" s="62">
        <v>1459.1</v>
      </c>
      <c r="V7" s="62">
        <v>1971.5</v>
      </c>
      <c r="W7" s="592">
        <v>472.3</v>
      </c>
      <c r="X7" s="62">
        <v>919</v>
      </c>
      <c r="Y7" s="62">
        <v>1348.2</v>
      </c>
      <c r="Z7" s="593">
        <v>1783</v>
      </c>
      <c r="AA7" s="62">
        <v>454.5</v>
      </c>
      <c r="AB7" s="62">
        <v>925.3</v>
      </c>
      <c r="AC7" s="62">
        <v>1448.8</v>
      </c>
      <c r="AD7" s="62">
        <v>1970.7</v>
      </c>
      <c r="AE7" s="592">
        <v>440.1</v>
      </c>
      <c r="AF7" s="62">
        <v>884.7</v>
      </c>
      <c r="AG7" s="62">
        <v>1333.2</v>
      </c>
      <c r="AH7" s="593">
        <v>1786.4</v>
      </c>
      <c r="AI7" s="62">
        <v>547.1</v>
      </c>
      <c r="AJ7" s="62">
        <v>1100.7</v>
      </c>
      <c r="AK7" s="62">
        <v>1662.2</v>
      </c>
      <c r="AL7" s="62">
        <v>2229.6999999999998</v>
      </c>
      <c r="AM7" s="592">
        <v>564.5</v>
      </c>
      <c r="AN7" s="62">
        <v>1130.4000000000001</v>
      </c>
      <c r="AO7" s="62">
        <v>1703.4</v>
      </c>
      <c r="AP7" s="593">
        <v>2305.6999999999998</v>
      </c>
      <c r="AQ7" s="62">
        <v>521.20000000000005</v>
      </c>
      <c r="AR7" s="62">
        <v>978.4</v>
      </c>
      <c r="AS7" s="62">
        <v>1442</v>
      </c>
      <c r="AT7" s="593">
        <v>1903.2</v>
      </c>
      <c r="AU7" s="62">
        <v>446.3</v>
      </c>
      <c r="AV7" s="234">
        <v>913.8</v>
      </c>
      <c r="AW7" s="679">
        <v>1365.9</v>
      </c>
      <c r="AX7" s="593">
        <v>1829</v>
      </c>
      <c r="AY7" s="62">
        <v>462.5</v>
      </c>
      <c r="AZ7" s="719">
        <v>931.2</v>
      </c>
      <c r="BA7" s="719">
        <v>1415.1</v>
      </c>
      <c r="BB7" s="593">
        <v>1919.6</v>
      </c>
      <c r="BC7" s="62">
        <v>493.6</v>
      </c>
      <c r="BD7" s="719">
        <v>962.6</v>
      </c>
      <c r="BE7" s="719">
        <v>1279.5</v>
      </c>
      <c r="BF7" s="593">
        <v>1671.4</v>
      </c>
      <c r="BG7" s="62">
        <v>398.8</v>
      </c>
      <c r="BH7" s="719">
        <v>819.5</v>
      </c>
      <c r="BI7" s="719"/>
      <c r="BJ7" s="593"/>
    </row>
    <row r="8" spans="1:483" ht="20.100000000000001" customHeight="1">
      <c r="A8" s="64" t="s">
        <v>292</v>
      </c>
      <c r="B8" s="609" t="s">
        <v>293</v>
      </c>
      <c r="C8" s="62">
        <v>-29.711000000000002</v>
      </c>
      <c r="D8" s="62">
        <v>-88.683000000000007</v>
      </c>
      <c r="E8" s="62">
        <v>-140.589</v>
      </c>
      <c r="F8" s="62">
        <v>-177.86799999999999</v>
      </c>
      <c r="G8" s="592">
        <v>-44.32</v>
      </c>
      <c r="H8" s="62">
        <v>-122.45100000000001</v>
      </c>
      <c r="I8" s="62">
        <v>-189.477</v>
      </c>
      <c r="J8" s="593">
        <v>-222.45600000000002</v>
      </c>
      <c r="K8" s="62">
        <v>-109.42100000000001</v>
      </c>
      <c r="L8" s="62">
        <v>-148.9</v>
      </c>
      <c r="M8" s="62">
        <v>-224.7</v>
      </c>
      <c r="N8" s="62">
        <v>-306.8</v>
      </c>
      <c r="O8" s="592">
        <v>-41.5</v>
      </c>
      <c r="P8" s="62">
        <v>-115.2</v>
      </c>
      <c r="Q8" s="62">
        <v>-195.4</v>
      </c>
      <c r="R8" s="593">
        <v>-238.1</v>
      </c>
      <c r="S8" s="62">
        <v>-58.1</v>
      </c>
      <c r="T8" s="62">
        <v>-119</v>
      </c>
      <c r="U8" s="62">
        <v>-189.6</v>
      </c>
      <c r="V8" s="62">
        <v>-246.5</v>
      </c>
      <c r="W8" s="592">
        <v>-33.299999999999997</v>
      </c>
      <c r="X8" s="62">
        <v>-94.2</v>
      </c>
      <c r="Y8" s="62">
        <v>-246.2</v>
      </c>
      <c r="Z8" s="593">
        <v>-305.10000000000002</v>
      </c>
      <c r="AA8" s="62">
        <v>-62.4</v>
      </c>
      <c r="AB8" s="62">
        <v>-124.7</v>
      </c>
      <c r="AC8" s="62">
        <v>-411.2</v>
      </c>
      <c r="AD8" s="62">
        <v>-363.5</v>
      </c>
      <c r="AE8" s="592">
        <v>-156.30000000000001</v>
      </c>
      <c r="AF8" s="62">
        <v>-343.1</v>
      </c>
      <c r="AG8" s="62">
        <v>-534</v>
      </c>
      <c r="AH8" s="593">
        <v>-617.29999999999995</v>
      </c>
      <c r="AI8" s="62">
        <v>-156.30000000000001</v>
      </c>
      <c r="AJ8" s="62">
        <v>-343.1</v>
      </c>
      <c r="AK8" s="62">
        <v>-534</v>
      </c>
      <c r="AL8" s="62">
        <v>-617.29999999999995</v>
      </c>
      <c r="AM8" s="592">
        <v>-160.5</v>
      </c>
      <c r="AN8" s="62">
        <v>-223.3</v>
      </c>
      <c r="AO8" s="62">
        <v>-311.39999999999998</v>
      </c>
      <c r="AP8" s="593">
        <v>-511.9</v>
      </c>
      <c r="AQ8" s="62">
        <v>-175.1</v>
      </c>
      <c r="AR8" s="62">
        <v>-411.4</v>
      </c>
      <c r="AS8" s="62">
        <v>-557.1</v>
      </c>
      <c r="AT8" s="593">
        <v>-645</v>
      </c>
      <c r="AU8" s="62">
        <v>-178</v>
      </c>
      <c r="AV8" s="234">
        <v>-268.5</v>
      </c>
      <c r="AW8" s="234">
        <v>-492.8</v>
      </c>
      <c r="AX8" s="593">
        <v>-587.1</v>
      </c>
      <c r="AY8" s="62">
        <v>-187.2</v>
      </c>
      <c r="AZ8" s="62">
        <v>-341.3</v>
      </c>
      <c r="BA8" s="62">
        <v>-582.4</v>
      </c>
      <c r="BB8" s="593">
        <v>-654</v>
      </c>
      <c r="BC8" s="62">
        <v>-206.7</v>
      </c>
      <c r="BD8" s="62">
        <v>-306.7</v>
      </c>
      <c r="BE8" s="62">
        <v>-448.6</v>
      </c>
      <c r="BF8" s="593">
        <v>-571.70000000000005</v>
      </c>
      <c r="BG8" s="62">
        <v>-151.6</v>
      </c>
      <c r="BH8" s="62">
        <v>-255.9</v>
      </c>
      <c r="BI8" s="62"/>
      <c r="BJ8" s="593"/>
    </row>
    <row r="9" spans="1:483" ht="20.100000000000001" customHeight="1">
      <c r="A9" s="64" t="s">
        <v>294</v>
      </c>
      <c r="B9" s="609" t="s">
        <v>295</v>
      </c>
      <c r="C9" s="62">
        <v>46.908999999999999</v>
      </c>
      <c r="D9" s="62">
        <v>99.832000000000008</v>
      </c>
      <c r="E9" s="62">
        <v>145.40600000000001</v>
      </c>
      <c r="F9" s="62">
        <v>194.52100000000002</v>
      </c>
      <c r="G9" s="592">
        <v>46.048999999999999</v>
      </c>
      <c r="H9" s="62">
        <v>102.423</v>
      </c>
      <c r="I9" s="62">
        <v>162.63200000000001</v>
      </c>
      <c r="J9" s="593">
        <v>220.37100000000001</v>
      </c>
      <c r="K9" s="62">
        <v>40.084000000000003</v>
      </c>
      <c r="L9" s="62">
        <v>85.1</v>
      </c>
      <c r="M9" s="62">
        <v>162.19999999999999</v>
      </c>
      <c r="N9" s="62">
        <v>224.4</v>
      </c>
      <c r="O9" s="592">
        <v>43.7</v>
      </c>
      <c r="P9" s="62">
        <v>90.5</v>
      </c>
      <c r="Q9" s="62">
        <v>149.9</v>
      </c>
      <c r="R9" s="593">
        <v>212.6</v>
      </c>
      <c r="S9" s="62">
        <v>49.1</v>
      </c>
      <c r="T9" s="62">
        <v>125.3</v>
      </c>
      <c r="U9" s="62">
        <v>173.5</v>
      </c>
      <c r="V9" s="62">
        <v>230.7</v>
      </c>
      <c r="W9" s="592">
        <v>48.5</v>
      </c>
      <c r="X9" s="62">
        <v>102.7</v>
      </c>
      <c r="Y9" s="62">
        <v>166.1</v>
      </c>
      <c r="Z9" s="593">
        <v>228.6</v>
      </c>
      <c r="AA9" s="62">
        <v>45.7</v>
      </c>
      <c r="AB9" s="62">
        <v>103.8</v>
      </c>
      <c r="AC9" s="62">
        <v>100.5</v>
      </c>
      <c r="AD9" s="62">
        <v>337</v>
      </c>
      <c r="AE9" s="592">
        <v>123.3</v>
      </c>
      <c r="AF9" s="62">
        <v>262.39999999999998</v>
      </c>
      <c r="AG9" s="62">
        <v>411</v>
      </c>
      <c r="AH9" s="593">
        <v>543.6</v>
      </c>
      <c r="AI9" s="62">
        <v>123.3</v>
      </c>
      <c r="AJ9" s="62">
        <v>262.39999999999998</v>
      </c>
      <c r="AK9" s="62">
        <v>411</v>
      </c>
      <c r="AL9" s="62">
        <v>543.6</v>
      </c>
      <c r="AM9" s="592">
        <v>125.1</v>
      </c>
      <c r="AN9" s="62">
        <v>246.4</v>
      </c>
      <c r="AO9" s="62">
        <v>372.4</v>
      </c>
      <c r="AP9" s="593">
        <v>519.6</v>
      </c>
      <c r="AQ9" s="62">
        <v>136.80000000000001</v>
      </c>
      <c r="AR9" s="62">
        <v>267.39999999999998</v>
      </c>
      <c r="AS9" s="62">
        <v>394.1</v>
      </c>
      <c r="AT9" s="593">
        <v>558.79999999999995</v>
      </c>
      <c r="AU9" s="62">
        <v>149.80000000000001</v>
      </c>
      <c r="AV9" s="234">
        <v>323</v>
      </c>
      <c r="AW9" s="483">
        <v>502.9</v>
      </c>
      <c r="AX9" s="593">
        <v>668.6</v>
      </c>
      <c r="AY9" s="62">
        <v>151.30000000000001</v>
      </c>
      <c r="AZ9" s="483">
        <v>318.60000000000002</v>
      </c>
      <c r="BA9" s="483">
        <v>492.8</v>
      </c>
      <c r="BB9" s="593">
        <v>660.5</v>
      </c>
      <c r="BC9" s="62">
        <v>146.4</v>
      </c>
      <c r="BD9" s="483">
        <v>302.89999999999998</v>
      </c>
      <c r="BE9" s="483">
        <v>401.7</v>
      </c>
      <c r="BF9" s="593">
        <v>519.70000000000005</v>
      </c>
      <c r="BG9" s="62">
        <v>111.6</v>
      </c>
      <c r="BH9" s="483">
        <v>239.9</v>
      </c>
      <c r="BI9" s="483"/>
      <c r="BJ9" s="593"/>
    </row>
    <row r="10" spans="1:483" ht="27.6">
      <c r="A10" s="64" t="s">
        <v>296</v>
      </c>
      <c r="B10" s="609" t="s">
        <v>297</v>
      </c>
      <c r="C10" s="62">
        <v>-1.0999999999999999E-2</v>
      </c>
      <c r="D10" s="62">
        <v>-0.25700000000000001</v>
      </c>
      <c r="E10" s="62">
        <v>-0.48299999999999998</v>
      </c>
      <c r="F10" s="62">
        <v>-0.111</v>
      </c>
      <c r="G10" s="592">
        <v>5.8000000000000003E-2</v>
      </c>
      <c r="H10" s="62">
        <v>7.2999999999999995E-2</v>
      </c>
      <c r="I10" s="62">
        <v>-38.896000000000001</v>
      </c>
      <c r="J10" s="593">
        <v>-35.765000000000001</v>
      </c>
      <c r="K10" s="62">
        <v>-5.2999999999999999E-2</v>
      </c>
      <c r="L10" s="62">
        <v>-0.7</v>
      </c>
      <c r="M10" s="62">
        <v>-2.4</v>
      </c>
      <c r="N10" s="62">
        <v>-2.9</v>
      </c>
      <c r="O10" s="592">
        <v>-0.4</v>
      </c>
      <c r="P10" s="62">
        <v>-4.8</v>
      </c>
      <c r="Q10" s="62">
        <v>-5.7</v>
      </c>
      <c r="R10" s="593">
        <v>-6.9</v>
      </c>
      <c r="S10" s="83" t="s">
        <v>250</v>
      </c>
      <c r="T10" s="83" t="s">
        <v>250</v>
      </c>
      <c r="U10" s="83" t="s">
        <v>250</v>
      </c>
      <c r="V10" s="83" t="s">
        <v>250</v>
      </c>
      <c r="W10" s="594" t="s">
        <v>250</v>
      </c>
      <c r="X10" s="83" t="s">
        <v>250</v>
      </c>
      <c r="Y10" s="83" t="s">
        <v>250</v>
      </c>
      <c r="Z10" s="595" t="s">
        <v>250</v>
      </c>
      <c r="AA10" s="83" t="s">
        <v>250</v>
      </c>
      <c r="AB10" s="83" t="s">
        <v>250</v>
      </c>
      <c r="AC10" s="83" t="s">
        <v>250</v>
      </c>
      <c r="AD10" s="83" t="s">
        <v>250</v>
      </c>
      <c r="AE10" s="594" t="s">
        <v>250</v>
      </c>
      <c r="AF10" s="83" t="s">
        <v>250</v>
      </c>
      <c r="AG10" s="83" t="s">
        <v>250</v>
      </c>
      <c r="AH10" s="595" t="s">
        <v>250</v>
      </c>
      <c r="AI10" s="83" t="s">
        <v>250</v>
      </c>
      <c r="AJ10" s="83" t="s">
        <v>250</v>
      </c>
      <c r="AK10" s="83" t="s">
        <v>250</v>
      </c>
      <c r="AL10" s="83" t="s">
        <v>250</v>
      </c>
      <c r="AM10" s="594" t="s">
        <v>250</v>
      </c>
      <c r="AN10" s="83" t="s">
        <v>250</v>
      </c>
      <c r="AO10" s="83" t="s">
        <v>250</v>
      </c>
      <c r="AP10" s="595" t="s">
        <v>250</v>
      </c>
      <c r="AQ10" s="83" t="s">
        <v>250</v>
      </c>
      <c r="AR10" s="83" t="s">
        <v>250</v>
      </c>
      <c r="AS10" s="83" t="s">
        <v>250</v>
      </c>
      <c r="AT10" s="595" t="s">
        <v>250</v>
      </c>
      <c r="AU10" s="83" t="s">
        <v>250</v>
      </c>
      <c r="AV10" s="236" t="s">
        <v>250</v>
      </c>
      <c r="AW10" s="83" t="s">
        <v>250</v>
      </c>
      <c r="AX10" s="595" t="s">
        <v>250</v>
      </c>
      <c r="AY10" s="83" t="s">
        <v>250</v>
      </c>
      <c r="AZ10" s="236" t="s">
        <v>250</v>
      </c>
      <c r="BA10" s="236" t="s">
        <v>250</v>
      </c>
      <c r="BB10" s="595" t="s">
        <v>250</v>
      </c>
      <c r="BC10" s="83" t="s">
        <v>250</v>
      </c>
      <c r="BD10" s="83" t="s">
        <v>250</v>
      </c>
      <c r="BE10" s="83" t="s">
        <v>250</v>
      </c>
      <c r="BF10" s="595" t="s">
        <v>250</v>
      </c>
      <c r="BG10" s="83" t="s">
        <v>250</v>
      </c>
      <c r="BH10" s="83" t="s">
        <v>250</v>
      </c>
      <c r="BI10" s="83"/>
      <c r="BJ10" s="595"/>
    </row>
    <row r="11" spans="1:483" ht="20.100000000000001" customHeight="1">
      <c r="A11" s="64" t="s">
        <v>298</v>
      </c>
      <c r="B11" s="609" t="s">
        <v>299</v>
      </c>
      <c r="C11" s="62">
        <v>2.3109999999999999</v>
      </c>
      <c r="D11" s="62">
        <v>4.6020000000000003</v>
      </c>
      <c r="E11" s="62">
        <v>6.1379999999999999</v>
      </c>
      <c r="F11" s="62">
        <v>9.2439999999999998</v>
      </c>
      <c r="G11" s="592">
        <v>3.504</v>
      </c>
      <c r="H11" s="62">
        <v>5.843</v>
      </c>
      <c r="I11" s="62">
        <v>6.3049999999999997</v>
      </c>
      <c r="J11" s="593">
        <v>6.407</v>
      </c>
      <c r="K11" s="62">
        <v>4.1000000000000002E-2</v>
      </c>
      <c r="L11" s="62">
        <v>0.1</v>
      </c>
      <c r="M11" s="62">
        <v>30.4</v>
      </c>
      <c r="N11" s="62">
        <v>30.5</v>
      </c>
      <c r="O11" s="592">
        <v>0.1</v>
      </c>
      <c r="P11" s="62">
        <v>0.5</v>
      </c>
      <c r="Q11" s="62">
        <v>0.5</v>
      </c>
      <c r="R11" s="593">
        <v>1.4</v>
      </c>
      <c r="S11" s="83" t="s">
        <v>250</v>
      </c>
      <c r="T11" s="83" t="s">
        <v>250</v>
      </c>
      <c r="U11" s="83" t="s">
        <v>250</v>
      </c>
      <c r="V11" s="83" t="s">
        <v>250</v>
      </c>
      <c r="W11" s="594" t="s">
        <v>250</v>
      </c>
      <c r="X11" s="83" t="s">
        <v>250</v>
      </c>
      <c r="Y11" s="83" t="s">
        <v>250</v>
      </c>
      <c r="Z11" s="595" t="s">
        <v>250</v>
      </c>
      <c r="AA11" s="83" t="s">
        <v>250</v>
      </c>
      <c r="AB11" s="83" t="s">
        <v>250</v>
      </c>
      <c r="AC11" s="83" t="s">
        <v>250</v>
      </c>
      <c r="AD11" s="83" t="s">
        <v>250</v>
      </c>
      <c r="AE11" s="594" t="s">
        <v>250</v>
      </c>
      <c r="AF11" s="83" t="s">
        <v>250</v>
      </c>
      <c r="AG11" s="83" t="s">
        <v>250</v>
      </c>
      <c r="AH11" s="595" t="s">
        <v>250</v>
      </c>
      <c r="AI11" s="83" t="s">
        <v>250</v>
      </c>
      <c r="AJ11" s="83" t="s">
        <v>250</v>
      </c>
      <c r="AK11" s="83" t="s">
        <v>250</v>
      </c>
      <c r="AL11" s="83" t="s">
        <v>250</v>
      </c>
      <c r="AM11" s="594" t="s">
        <v>250</v>
      </c>
      <c r="AN11" s="83" t="s">
        <v>250</v>
      </c>
      <c r="AO11" s="83" t="s">
        <v>250</v>
      </c>
      <c r="AP11" s="595" t="s">
        <v>250</v>
      </c>
      <c r="AQ11" s="83" t="s">
        <v>250</v>
      </c>
      <c r="AR11" s="83" t="s">
        <v>250</v>
      </c>
      <c r="AS11" s="83" t="s">
        <v>250</v>
      </c>
      <c r="AT11" s="595" t="s">
        <v>250</v>
      </c>
      <c r="AU11" s="83" t="s">
        <v>250</v>
      </c>
      <c r="AV11" s="236" t="s">
        <v>250</v>
      </c>
      <c r="AW11" s="83" t="s">
        <v>250</v>
      </c>
      <c r="AX11" s="595" t="s">
        <v>250</v>
      </c>
      <c r="AY11" s="83" t="s">
        <v>250</v>
      </c>
      <c r="AZ11" s="236" t="s">
        <v>250</v>
      </c>
      <c r="BA11" s="236" t="s">
        <v>250</v>
      </c>
      <c r="BB11" s="595" t="s">
        <v>250</v>
      </c>
      <c r="BC11" s="83" t="s">
        <v>250</v>
      </c>
      <c r="BD11" s="83" t="s">
        <v>250</v>
      </c>
      <c r="BE11" s="83" t="s">
        <v>250</v>
      </c>
      <c r="BF11" s="595" t="s">
        <v>250</v>
      </c>
      <c r="BG11" s="83" t="s">
        <v>250</v>
      </c>
      <c r="BH11" s="83" t="s">
        <v>250</v>
      </c>
      <c r="BI11" s="83"/>
      <c r="BJ11" s="595"/>
    </row>
    <row r="12" spans="1:483" ht="20.100000000000001" customHeight="1">
      <c r="A12" s="64" t="s">
        <v>300</v>
      </c>
      <c r="B12" s="609" t="s">
        <v>301</v>
      </c>
      <c r="C12" s="62">
        <v>52.017000000000003</v>
      </c>
      <c r="D12" s="62">
        <v>105.822</v>
      </c>
      <c r="E12" s="62">
        <v>156.893</v>
      </c>
      <c r="F12" s="62">
        <v>205.185</v>
      </c>
      <c r="G12" s="592">
        <v>46.368000000000002</v>
      </c>
      <c r="H12" s="62">
        <v>93.388999999999996</v>
      </c>
      <c r="I12" s="62">
        <v>140.42699999999999</v>
      </c>
      <c r="J12" s="593">
        <v>183.81100000000001</v>
      </c>
      <c r="K12" s="62">
        <v>90.381</v>
      </c>
      <c r="L12" s="62">
        <v>248.5</v>
      </c>
      <c r="M12" s="62">
        <v>421.4</v>
      </c>
      <c r="N12" s="62">
        <v>603.70000000000005</v>
      </c>
      <c r="O12" s="592">
        <v>177.4</v>
      </c>
      <c r="P12" s="62">
        <v>348.5</v>
      </c>
      <c r="Q12" s="62">
        <v>581.29999999999995</v>
      </c>
      <c r="R12" s="593">
        <v>763.6</v>
      </c>
      <c r="S12" s="62">
        <v>144.69999999999999</v>
      </c>
      <c r="T12" s="62">
        <v>285.89999999999998</v>
      </c>
      <c r="U12" s="62">
        <v>417.4</v>
      </c>
      <c r="V12" s="62">
        <v>541.9</v>
      </c>
      <c r="W12" s="592">
        <v>114.5</v>
      </c>
      <c r="X12" s="62">
        <v>228.7</v>
      </c>
      <c r="Y12" s="62">
        <v>331.1</v>
      </c>
      <c r="Z12" s="593">
        <v>432.3</v>
      </c>
      <c r="AA12" s="62">
        <v>68.5</v>
      </c>
      <c r="AB12" s="62">
        <v>166.7</v>
      </c>
      <c r="AC12" s="62">
        <v>269</v>
      </c>
      <c r="AD12" s="62">
        <v>401.6</v>
      </c>
      <c r="AE12" s="592">
        <v>94.5</v>
      </c>
      <c r="AF12" s="62">
        <v>189.2</v>
      </c>
      <c r="AG12" s="62">
        <v>291</v>
      </c>
      <c r="AH12" s="593">
        <v>388.2</v>
      </c>
      <c r="AI12" s="62">
        <v>107.2</v>
      </c>
      <c r="AJ12" s="62">
        <v>214.3</v>
      </c>
      <c r="AK12" s="62">
        <v>327.5</v>
      </c>
      <c r="AL12" s="62">
        <v>437.8</v>
      </c>
      <c r="AM12" s="592">
        <v>111.9</v>
      </c>
      <c r="AN12" s="62">
        <v>206.1</v>
      </c>
      <c r="AO12" s="62">
        <v>285.7</v>
      </c>
      <c r="AP12" s="593">
        <v>364.8</v>
      </c>
      <c r="AQ12" s="62">
        <v>78</v>
      </c>
      <c r="AR12" s="62">
        <v>154.9</v>
      </c>
      <c r="AS12" s="62">
        <v>223</v>
      </c>
      <c r="AT12" s="593">
        <v>299.39999999999998</v>
      </c>
      <c r="AU12" s="62">
        <v>112.3</v>
      </c>
      <c r="AV12" s="234">
        <v>271.2</v>
      </c>
      <c r="AW12" s="234">
        <v>466.2</v>
      </c>
      <c r="AX12" s="593">
        <v>660.6</v>
      </c>
      <c r="AY12" s="62">
        <v>236.9</v>
      </c>
      <c r="AZ12" s="62">
        <v>514</v>
      </c>
      <c r="BA12" s="6">
        <v>787.2</v>
      </c>
      <c r="BB12" s="593">
        <v>1078.2</v>
      </c>
      <c r="BC12" s="62">
        <v>264.2</v>
      </c>
      <c r="BD12" s="62">
        <v>515.20000000000005</v>
      </c>
      <c r="BE12" s="6">
        <v>771.5</v>
      </c>
      <c r="BF12" s="593">
        <v>1031.0999999999999</v>
      </c>
      <c r="BG12" s="933">
        <v>256.60000000000002</v>
      </c>
      <c r="BH12" s="62">
        <v>505.6</v>
      </c>
      <c r="BI12" s="6"/>
      <c r="BJ12" s="593"/>
    </row>
    <row r="13" spans="1:483" ht="20.100000000000001" customHeight="1">
      <c r="A13" s="64" t="s">
        <v>302</v>
      </c>
      <c r="B13" s="609" t="s">
        <v>303</v>
      </c>
      <c r="C13" s="62">
        <v>-7.2490000000000006</v>
      </c>
      <c r="D13" s="62">
        <v>-7.3810000000000002</v>
      </c>
      <c r="E13" s="62">
        <v>1.093</v>
      </c>
      <c r="F13" s="62">
        <v>16.173000000000002</v>
      </c>
      <c r="G13" s="592">
        <v>11.273</v>
      </c>
      <c r="H13" s="62">
        <v>4.4740000000000002</v>
      </c>
      <c r="I13" s="62">
        <v>5.9119999999999999</v>
      </c>
      <c r="J13" s="593">
        <v>14.839</v>
      </c>
      <c r="K13" s="62">
        <v>-16.302</v>
      </c>
      <c r="L13" s="62">
        <v>-41.8</v>
      </c>
      <c r="M13" s="62">
        <v>-14.7</v>
      </c>
      <c r="N13" s="62">
        <v>0.5</v>
      </c>
      <c r="O13" s="592">
        <v>48.6</v>
      </c>
      <c r="P13" s="62">
        <v>45.6</v>
      </c>
      <c r="Q13" s="62">
        <v>43.3</v>
      </c>
      <c r="R13" s="593">
        <v>26.4</v>
      </c>
      <c r="S13" s="62">
        <v>21.5</v>
      </c>
      <c r="T13" s="62">
        <v>11.7</v>
      </c>
      <c r="U13" s="62">
        <v>0.7</v>
      </c>
      <c r="V13" s="62">
        <v>3</v>
      </c>
      <c r="W13" s="592">
        <v>41.5</v>
      </c>
      <c r="X13" s="62">
        <v>-0.3</v>
      </c>
      <c r="Y13" s="62">
        <v>-16.899999999999999</v>
      </c>
      <c r="Z13" s="593">
        <v>-5</v>
      </c>
      <c r="AA13" s="62">
        <v>7.7</v>
      </c>
      <c r="AB13" s="62">
        <v>-45.1</v>
      </c>
      <c r="AC13" s="62">
        <v>-70.8</v>
      </c>
      <c r="AD13" s="62">
        <v>-77.2</v>
      </c>
      <c r="AE13" s="592">
        <v>60.3</v>
      </c>
      <c r="AF13" s="62">
        <v>51.4</v>
      </c>
      <c r="AG13" s="62">
        <v>36.299999999999997</v>
      </c>
      <c r="AH13" s="593">
        <v>89.1</v>
      </c>
      <c r="AI13" s="62">
        <v>60.3</v>
      </c>
      <c r="AJ13" s="62">
        <v>51.4</v>
      </c>
      <c r="AK13" s="62">
        <v>36.299999999999997</v>
      </c>
      <c r="AL13" s="62">
        <v>89.1</v>
      </c>
      <c r="AM13" s="592">
        <v>-85.7</v>
      </c>
      <c r="AN13" s="62">
        <v>-190.2</v>
      </c>
      <c r="AO13" s="62">
        <v>-96.4</v>
      </c>
      <c r="AP13" s="593">
        <v>13.2</v>
      </c>
      <c r="AQ13" s="62">
        <v>-5.4</v>
      </c>
      <c r="AR13" s="62">
        <v>-139.6</v>
      </c>
      <c r="AS13" s="62">
        <v>-215.3</v>
      </c>
      <c r="AT13" s="593">
        <v>-295.39999999999998</v>
      </c>
      <c r="AU13" s="62">
        <v>-1.8</v>
      </c>
      <c r="AV13" s="234">
        <v>-113.6</v>
      </c>
      <c r="AW13" s="234">
        <v>-66.900000000000006</v>
      </c>
      <c r="AX13" s="593">
        <v>-82.5</v>
      </c>
      <c r="AY13" s="62">
        <v>-109.8</v>
      </c>
      <c r="AZ13" s="62">
        <v>-107.4</v>
      </c>
      <c r="BA13" s="62">
        <v>-50.3</v>
      </c>
      <c r="BB13" s="593">
        <v>150.1</v>
      </c>
      <c r="BC13" s="62">
        <v>-4.2</v>
      </c>
      <c r="BD13" s="62">
        <v>24.4</v>
      </c>
      <c r="BE13" s="62">
        <v>125.9</v>
      </c>
      <c r="BF13" s="593">
        <v>117.5</v>
      </c>
      <c r="BG13" s="933">
        <v>-10.6</v>
      </c>
      <c r="BH13" s="62">
        <v>-27.8</v>
      </c>
      <c r="BI13" s="62"/>
      <c r="BJ13" s="593"/>
    </row>
    <row r="14" spans="1:483" ht="20.100000000000001" customHeight="1">
      <c r="A14" s="64" t="s">
        <v>304</v>
      </c>
      <c r="B14" s="609" t="s">
        <v>305</v>
      </c>
      <c r="C14" s="62">
        <v>-48.496000000000002</v>
      </c>
      <c r="D14" s="62">
        <v>-85.073000000000008</v>
      </c>
      <c r="E14" s="62">
        <v>-90.59</v>
      </c>
      <c r="F14" s="62">
        <v>-106.816</v>
      </c>
      <c r="G14" s="592">
        <v>-18.654</v>
      </c>
      <c r="H14" s="62">
        <v>-16.358000000000001</v>
      </c>
      <c r="I14" s="62">
        <v>16.681000000000001</v>
      </c>
      <c r="J14" s="593">
        <v>60.908000000000001</v>
      </c>
      <c r="K14" s="62">
        <v>-5.1610000000000005</v>
      </c>
      <c r="L14" s="62">
        <v>-29.2</v>
      </c>
      <c r="M14" s="62">
        <v>-87.6</v>
      </c>
      <c r="N14" s="62">
        <v>-191.9</v>
      </c>
      <c r="O14" s="592">
        <v>-211.8</v>
      </c>
      <c r="P14" s="62">
        <v>-581.20000000000005</v>
      </c>
      <c r="Q14" s="62">
        <v>-349.3</v>
      </c>
      <c r="R14" s="593">
        <v>-478.2</v>
      </c>
      <c r="S14" s="62">
        <v>-33.9</v>
      </c>
      <c r="T14" s="62">
        <v>-105.3</v>
      </c>
      <c r="U14" s="62">
        <v>-164.6</v>
      </c>
      <c r="V14" s="62">
        <v>-329.9</v>
      </c>
      <c r="W14" s="592">
        <v>21.5</v>
      </c>
      <c r="X14" s="62">
        <v>-112.7</v>
      </c>
      <c r="Y14" s="62">
        <v>-224.5</v>
      </c>
      <c r="Z14" s="593">
        <v>-470.8</v>
      </c>
      <c r="AA14" s="62">
        <v>38.1</v>
      </c>
      <c r="AB14" s="62">
        <v>-516.5</v>
      </c>
      <c r="AC14" s="62">
        <v>-266.89999999999998</v>
      </c>
      <c r="AD14" s="62">
        <v>-289.10000000000002</v>
      </c>
      <c r="AE14" s="592">
        <v>155.9</v>
      </c>
      <c r="AF14" s="62">
        <v>8.1</v>
      </c>
      <c r="AG14" s="62">
        <v>-51.3</v>
      </c>
      <c r="AH14" s="593">
        <v>-312.5</v>
      </c>
      <c r="AI14" s="62">
        <v>158.4</v>
      </c>
      <c r="AJ14" s="62">
        <v>12.4</v>
      </c>
      <c r="AK14" s="62">
        <v>-48.3</v>
      </c>
      <c r="AL14" s="62">
        <v>-311.8</v>
      </c>
      <c r="AM14" s="592">
        <v>185.1</v>
      </c>
      <c r="AN14" s="62">
        <v>293.7</v>
      </c>
      <c r="AO14" s="62">
        <v>194.2</v>
      </c>
      <c r="AP14" s="593">
        <v>119.3</v>
      </c>
      <c r="AQ14" s="62">
        <v>-48.2</v>
      </c>
      <c r="AR14" s="62">
        <v>3.7</v>
      </c>
      <c r="AS14" s="62">
        <v>76.099999999999994</v>
      </c>
      <c r="AT14" s="593">
        <v>-25.7</v>
      </c>
      <c r="AU14" s="62">
        <v>41.7</v>
      </c>
      <c r="AV14" s="234">
        <v>-113.2</v>
      </c>
      <c r="AW14" s="234">
        <v>174.4</v>
      </c>
      <c r="AX14" s="593">
        <v>-0.9</v>
      </c>
      <c r="AY14" s="62">
        <v>132.5</v>
      </c>
      <c r="AZ14" s="62">
        <v>138.30000000000001</v>
      </c>
      <c r="BA14" s="62">
        <v>-246.2</v>
      </c>
      <c r="BB14" s="593">
        <v>-32.1</v>
      </c>
      <c r="BC14" s="62">
        <v>-71</v>
      </c>
      <c r="BD14" s="62">
        <v>-90.9</v>
      </c>
      <c r="BE14" s="62">
        <v>-14.9</v>
      </c>
      <c r="BF14" s="593">
        <v>-153.5</v>
      </c>
      <c r="BG14" s="933">
        <v>136.19999999999999</v>
      </c>
      <c r="BH14" s="62">
        <v>70.900000000000006</v>
      </c>
      <c r="BI14" s="62"/>
      <c r="BJ14" s="593"/>
    </row>
    <row r="15" spans="1:483" ht="20.100000000000001" customHeight="1">
      <c r="A15" s="172" t="s">
        <v>306</v>
      </c>
      <c r="B15" s="610" t="s">
        <v>307</v>
      </c>
      <c r="C15" s="62">
        <v>53.564</v>
      </c>
      <c r="D15" s="62">
        <v>51.881</v>
      </c>
      <c r="E15" s="62">
        <v>66.406999999999996</v>
      </c>
      <c r="F15" s="62">
        <v>67.872</v>
      </c>
      <c r="G15" s="592">
        <v>-36.840000000000003</v>
      </c>
      <c r="H15" s="62">
        <v>-56.231999999999999</v>
      </c>
      <c r="I15" s="62">
        <v>-85.896000000000001</v>
      </c>
      <c r="J15" s="593">
        <v>-104.93900000000001</v>
      </c>
      <c r="K15" s="62">
        <v>31.469000000000001</v>
      </c>
      <c r="L15" s="62">
        <v>-73.8</v>
      </c>
      <c r="M15" s="62">
        <v>-175.9</v>
      </c>
      <c r="N15" s="62">
        <v>-277.7</v>
      </c>
      <c r="O15" s="592">
        <v>-216.1</v>
      </c>
      <c r="P15" s="62">
        <v>69.3</v>
      </c>
      <c r="Q15" s="62">
        <v>-184.3</v>
      </c>
      <c r="R15" s="593">
        <v>-118</v>
      </c>
      <c r="S15" s="62">
        <v>-205.9</v>
      </c>
      <c r="T15" s="62">
        <v>-106.7</v>
      </c>
      <c r="U15" s="62">
        <v>-141.30000000000001</v>
      </c>
      <c r="V15" s="62">
        <v>-33.299999999999997</v>
      </c>
      <c r="W15" s="592">
        <v>-181.5</v>
      </c>
      <c r="X15" s="62">
        <v>-112.9</v>
      </c>
      <c r="Y15" s="62">
        <v>-90.1</v>
      </c>
      <c r="Z15" s="593">
        <v>183.1</v>
      </c>
      <c r="AA15" s="62">
        <v>-259.2</v>
      </c>
      <c r="AB15" s="62">
        <v>125.8</v>
      </c>
      <c r="AC15" s="62">
        <v>88</v>
      </c>
      <c r="AD15" s="62">
        <v>-44.2</v>
      </c>
      <c r="AE15" s="592">
        <v>-379.7</v>
      </c>
      <c r="AF15" s="62">
        <v>-183.1</v>
      </c>
      <c r="AG15" s="62">
        <v>-163.69999999999999</v>
      </c>
      <c r="AH15" s="593">
        <v>64.8</v>
      </c>
      <c r="AI15" s="62">
        <v>-439.5</v>
      </c>
      <c r="AJ15" s="62">
        <v>-264.7</v>
      </c>
      <c r="AK15" s="62">
        <v>-266.8</v>
      </c>
      <c r="AL15" s="62">
        <v>-25.7</v>
      </c>
      <c r="AM15" s="592">
        <v>-138.9</v>
      </c>
      <c r="AN15" s="62">
        <v>-265.5</v>
      </c>
      <c r="AO15" s="62">
        <v>-408.2</v>
      </c>
      <c r="AP15" s="593">
        <v>-401.3</v>
      </c>
      <c r="AQ15" s="62">
        <v>-2.1</v>
      </c>
      <c r="AR15" s="62">
        <v>-78.3</v>
      </c>
      <c r="AS15" s="62">
        <v>-92</v>
      </c>
      <c r="AT15" s="593">
        <v>-55</v>
      </c>
      <c r="AU15" s="62">
        <v>-143.80000000000001</v>
      </c>
      <c r="AV15" s="234">
        <v>-49.7</v>
      </c>
      <c r="AW15" s="234">
        <v>-391.4</v>
      </c>
      <c r="AX15" s="593">
        <v>-218.6</v>
      </c>
      <c r="AY15" s="62">
        <v>-330.2</v>
      </c>
      <c r="AZ15" s="62">
        <v>-55.2</v>
      </c>
      <c r="BA15" s="62">
        <v>-122.4</v>
      </c>
      <c r="BB15" s="593">
        <v>-268.5</v>
      </c>
      <c r="BC15" s="62">
        <v>0.6</v>
      </c>
      <c r="BD15" s="62">
        <v>-2.4</v>
      </c>
      <c r="BE15" s="62">
        <v>82.4</v>
      </c>
      <c r="BF15" s="593">
        <v>445.8</v>
      </c>
      <c r="BG15" s="933">
        <v>-135.19999999999999</v>
      </c>
      <c r="BH15" s="62">
        <v>-113.2</v>
      </c>
      <c r="BI15" s="62"/>
      <c r="BJ15" s="593"/>
    </row>
    <row r="16" spans="1:483" ht="20.100000000000001" customHeight="1">
      <c r="A16" s="64" t="s">
        <v>308</v>
      </c>
      <c r="B16" s="609" t="s">
        <v>309</v>
      </c>
      <c r="C16" s="62"/>
      <c r="D16" s="62"/>
      <c r="E16" s="62"/>
      <c r="F16" s="62"/>
      <c r="G16" s="592"/>
      <c r="H16" s="62"/>
      <c r="I16" s="62"/>
      <c r="J16" s="593"/>
      <c r="K16" s="62"/>
      <c r="L16" s="62"/>
      <c r="M16" s="62"/>
      <c r="N16" s="62"/>
      <c r="O16" s="592"/>
      <c r="P16" s="62"/>
      <c r="Q16" s="62"/>
      <c r="R16" s="593"/>
      <c r="S16" s="62"/>
      <c r="T16" s="62"/>
      <c r="U16" s="62"/>
      <c r="V16" s="62"/>
      <c r="W16" s="592"/>
      <c r="X16" s="62"/>
      <c r="Y16" s="62"/>
      <c r="Z16" s="593"/>
      <c r="AA16" s="62">
        <v>29.6</v>
      </c>
      <c r="AB16" s="62">
        <v>48.1</v>
      </c>
      <c r="AC16" s="62">
        <v>55.2</v>
      </c>
      <c r="AD16" s="62">
        <v>47.8</v>
      </c>
      <c r="AE16" s="592">
        <v>-9.1999999999999993</v>
      </c>
      <c r="AF16" s="62">
        <v>-3.3</v>
      </c>
      <c r="AG16" s="62">
        <v>9.1999999999999993</v>
      </c>
      <c r="AH16" s="593">
        <v>9.6999999999999993</v>
      </c>
      <c r="AI16" s="62">
        <v>-9.1999999999999993</v>
      </c>
      <c r="AJ16" s="62">
        <v>-3.3</v>
      </c>
      <c r="AK16" s="62">
        <v>9.1999999999999993</v>
      </c>
      <c r="AL16" s="62">
        <v>9.6999999999999993</v>
      </c>
      <c r="AM16" s="592">
        <v>10.6</v>
      </c>
      <c r="AN16" s="62">
        <v>46.2</v>
      </c>
      <c r="AO16" s="62">
        <v>71.2</v>
      </c>
      <c r="AP16" s="593">
        <v>101</v>
      </c>
      <c r="AQ16" s="62">
        <v>32.1</v>
      </c>
      <c r="AR16" s="62">
        <v>61.5</v>
      </c>
      <c r="AS16" s="62">
        <v>99</v>
      </c>
      <c r="AT16" s="593">
        <v>119.7</v>
      </c>
      <c r="AU16" s="62">
        <v>24.2</v>
      </c>
      <c r="AV16" s="62">
        <v>43.9</v>
      </c>
      <c r="AW16" s="62">
        <v>56.5</v>
      </c>
      <c r="AX16" s="593">
        <v>55.1</v>
      </c>
      <c r="AY16" s="62">
        <v>-14.6</v>
      </c>
      <c r="AZ16" s="62">
        <v>-12.4</v>
      </c>
      <c r="BA16" s="62">
        <v>10.7</v>
      </c>
      <c r="BB16" s="593">
        <v>13.9</v>
      </c>
      <c r="BC16" s="62">
        <v>8.1999999999999993</v>
      </c>
      <c r="BD16" s="62">
        <v>12.4</v>
      </c>
      <c r="BE16" s="62">
        <v>11.3</v>
      </c>
      <c r="BF16" s="593">
        <v>7</v>
      </c>
      <c r="BG16" s="933">
        <v>3.5</v>
      </c>
      <c r="BH16" s="62">
        <v>1.4</v>
      </c>
      <c r="BI16" s="62"/>
      <c r="BJ16" s="593"/>
    </row>
    <row r="17" spans="1:62" ht="20.100000000000001" customHeight="1">
      <c r="A17" s="64" t="s">
        <v>310</v>
      </c>
      <c r="B17" s="609" t="s">
        <v>311</v>
      </c>
      <c r="C17" s="62"/>
      <c r="D17" s="62"/>
      <c r="E17" s="62"/>
      <c r="F17" s="62"/>
      <c r="G17" s="592"/>
      <c r="H17" s="62"/>
      <c r="I17" s="62"/>
      <c r="J17" s="593"/>
      <c r="K17" s="62"/>
      <c r="L17" s="62"/>
      <c r="M17" s="62"/>
      <c r="N17" s="62"/>
      <c r="O17" s="592"/>
      <c r="P17" s="62"/>
      <c r="Q17" s="62"/>
      <c r="R17" s="593"/>
      <c r="S17" s="62"/>
      <c r="T17" s="62"/>
      <c r="U17" s="62"/>
      <c r="V17" s="62"/>
      <c r="W17" s="592"/>
      <c r="X17" s="62"/>
      <c r="Y17" s="62"/>
      <c r="Z17" s="593"/>
      <c r="AA17" s="62">
        <v>-9.6</v>
      </c>
      <c r="AB17" s="62">
        <v>39.5</v>
      </c>
      <c r="AC17" s="62">
        <v>43.2</v>
      </c>
      <c r="AD17" s="62">
        <v>107.6</v>
      </c>
      <c r="AE17" s="592">
        <v>17.399999999999999</v>
      </c>
      <c r="AF17" s="62">
        <v>7</v>
      </c>
      <c r="AG17" s="62">
        <v>24.4</v>
      </c>
      <c r="AH17" s="593">
        <v>7.9</v>
      </c>
      <c r="AI17" s="62">
        <v>17.399999999999999</v>
      </c>
      <c r="AJ17" s="62">
        <v>7</v>
      </c>
      <c r="AK17" s="62">
        <v>24.4</v>
      </c>
      <c r="AL17" s="62">
        <v>7.9</v>
      </c>
      <c r="AM17" s="592">
        <v>12</v>
      </c>
      <c r="AN17" s="62">
        <v>-26.7</v>
      </c>
      <c r="AO17" s="62">
        <v>-41.4</v>
      </c>
      <c r="AP17" s="593">
        <v>-37.5</v>
      </c>
      <c r="AQ17" s="62">
        <v>-12.5</v>
      </c>
      <c r="AR17" s="62">
        <v>-28.9</v>
      </c>
      <c r="AS17" s="62">
        <v>-7.3</v>
      </c>
      <c r="AT17" s="593">
        <v>-30.6</v>
      </c>
      <c r="AU17" s="62">
        <v>-13.3</v>
      </c>
      <c r="AV17" s="62">
        <v>-28.1</v>
      </c>
      <c r="AW17" s="234">
        <v>-27.1</v>
      </c>
      <c r="AX17" s="593">
        <v>-48.1</v>
      </c>
      <c r="AY17" s="62">
        <v>22.1</v>
      </c>
      <c r="AZ17" s="62">
        <v>23.1</v>
      </c>
      <c r="BA17" s="62">
        <v>1.9</v>
      </c>
      <c r="BB17" s="593">
        <v>-38</v>
      </c>
      <c r="BC17" s="62">
        <v>37.700000000000003</v>
      </c>
      <c r="BD17" s="62">
        <v>70</v>
      </c>
      <c r="BE17" s="62">
        <v>88</v>
      </c>
      <c r="BF17" s="593">
        <v>-4.2</v>
      </c>
      <c r="BG17" s="933">
        <v>8.9</v>
      </c>
      <c r="BH17" s="62">
        <v>-17.899999999999999</v>
      </c>
      <c r="BI17" s="62"/>
      <c r="BJ17" s="593"/>
    </row>
    <row r="18" spans="1:62" ht="27.6">
      <c r="A18" s="64" t="s">
        <v>312</v>
      </c>
      <c r="B18" s="609" t="s">
        <v>313</v>
      </c>
      <c r="C18" s="62">
        <v>-0.186</v>
      </c>
      <c r="D18" s="62">
        <v>4.0730000000000004</v>
      </c>
      <c r="E18" s="62">
        <v>0.502</v>
      </c>
      <c r="F18" s="62">
        <v>2.093</v>
      </c>
      <c r="G18" s="592">
        <v>-1.048</v>
      </c>
      <c r="H18" s="62">
        <v>2.4170000000000003</v>
      </c>
      <c r="I18" s="62">
        <v>-3.5390000000000001</v>
      </c>
      <c r="J18" s="593">
        <v>6.4770000000000003</v>
      </c>
      <c r="K18" s="62">
        <v>-13.309000000000001</v>
      </c>
      <c r="L18" s="62">
        <v>-1.5</v>
      </c>
      <c r="M18" s="62">
        <v>-17.399999999999999</v>
      </c>
      <c r="N18" s="62">
        <v>-4.9000000000000004</v>
      </c>
      <c r="O18" s="592">
        <v>-11.7</v>
      </c>
      <c r="P18" s="62">
        <v>-7.6</v>
      </c>
      <c r="Q18" s="62">
        <v>-17.7</v>
      </c>
      <c r="R18" s="593">
        <v>-3.9</v>
      </c>
      <c r="S18" s="62">
        <v>-11.1</v>
      </c>
      <c r="T18" s="62">
        <v>1</v>
      </c>
      <c r="U18" s="62">
        <v>-5.6</v>
      </c>
      <c r="V18" s="62">
        <v>-6.1</v>
      </c>
      <c r="W18" s="594" t="s">
        <v>250</v>
      </c>
      <c r="X18" s="62">
        <v>9.4</v>
      </c>
      <c r="Y18" s="62">
        <v>1.4</v>
      </c>
      <c r="Z18" s="593">
        <v>3.9</v>
      </c>
      <c r="AA18" s="83" t="s">
        <v>250</v>
      </c>
      <c r="AB18" s="83" t="s">
        <v>250</v>
      </c>
      <c r="AC18" s="83" t="s">
        <v>250</v>
      </c>
      <c r="AD18" s="83" t="s">
        <v>250</v>
      </c>
      <c r="AE18" s="594" t="s">
        <v>250</v>
      </c>
      <c r="AF18" s="83" t="s">
        <v>250</v>
      </c>
      <c r="AG18" s="83" t="s">
        <v>250</v>
      </c>
      <c r="AH18" s="595" t="s">
        <v>250</v>
      </c>
      <c r="AI18" s="83" t="s">
        <v>250</v>
      </c>
      <c r="AJ18" s="83" t="s">
        <v>250</v>
      </c>
      <c r="AK18" s="83" t="s">
        <v>250</v>
      </c>
      <c r="AL18" s="83" t="s">
        <v>250</v>
      </c>
      <c r="AM18" s="594" t="s">
        <v>250</v>
      </c>
      <c r="AN18" s="83" t="s">
        <v>250</v>
      </c>
      <c r="AO18" s="83" t="s">
        <v>250</v>
      </c>
      <c r="AP18" s="595" t="s">
        <v>250</v>
      </c>
      <c r="AQ18" s="83" t="s">
        <v>250</v>
      </c>
      <c r="AR18" s="83" t="s">
        <v>250</v>
      </c>
      <c r="AS18" s="83" t="s">
        <v>250</v>
      </c>
      <c r="AT18" s="595" t="s">
        <v>250</v>
      </c>
      <c r="AU18" s="83" t="s">
        <v>250</v>
      </c>
      <c r="AV18" s="83" t="s">
        <v>250</v>
      </c>
      <c r="AW18" s="83" t="s">
        <v>250</v>
      </c>
      <c r="AX18" s="595" t="s">
        <v>250</v>
      </c>
      <c r="AY18" s="83" t="s">
        <v>250</v>
      </c>
      <c r="AZ18" s="83" t="s">
        <v>250</v>
      </c>
      <c r="BA18" s="83" t="s">
        <v>250</v>
      </c>
      <c r="BB18" s="595" t="s">
        <v>250</v>
      </c>
      <c r="BC18" s="83" t="s">
        <v>250</v>
      </c>
      <c r="BD18" s="83" t="s">
        <v>250</v>
      </c>
      <c r="BE18" s="83" t="s">
        <v>250</v>
      </c>
      <c r="BF18" s="595" t="s">
        <v>250</v>
      </c>
      <c r="BG18" s="83" t="s">
        <v>250</v>
      </c>
      <c r="BH18" s="83" t="s">
        <v>250</v>
      </c>
      <c r="BI18" s="83"/>
      <c r="BJ18" s="595"/>
    </row>
    <row r="19" spans="1:62" ht="20.100000000000001" customHeight="1">
      <c r="A19" s="64" t="s">
        <v>314</v>
      </c>
      <c r="B19" s="609" t="s">
        <v>315</v>
      </c>
      <c r="C19" s="62">
        <v>-9.7880000000000003</v>
      </c>
      <c r="D19" s="62">
        <v>-10.354000000000001</v>
      </c>
      <c r="E19" s="62">
        <v>-21.978000000000002</v>
      </c>
      <c r="F19" s="62">
        <v>-31.345000000000002</v>
      </c>
      <c r="G19" s="592">
        <v>3.66</v>
      </c>
      <c r="H19" s="62">
        <v>9.0690000000000008</v>
      </c>
      <c r="I19" s="62">
        <v>11.329000000000001</v>
      </c>
      <c r="J19" s="593">
        <v>14.404</v>
      </c>
      <c r="K19" s="62">
        <v>11.066000000000001</v>
      </c>
      <c r="L19" s="62">
        <v>11.1</v>
      </c>
      <c r="M19" s="62">
        <v>-0.2</v>
      </c>
      <c r="N19" s="62">
        <v>-3.9</v>
      </c>
      <c r="O19" s="592">
        <v>-0.6</v>
      </c>
      <c r="P19" s="62">
        <v>5.3</v>
      </c>
      <c r="Q19" s="62">
        <v>4.8</v>
      </c>
      <c r="R19" s="593">
        <v>6.6</v>
      </c>
      <c r="S19" s="62">
        <v>2.5</v>
      </c>
      <c r="T19" s="62">
        <v>4.7</v>
      </c>
      <c r="U19" s="62">
        <v>7.3</v>
      </c>
      <c r="V19" s="62">
        <v>9.8000000000000007</v>
      </c>
      <c r="W19" s="594" t="s">
        <v>250</v>
      </c>
      <c r="X19" s="83" t="s">
        <v>250</v>
      </c>
      <c r="Y19" s="83" t="s">
        <v>250</v>
      </c>
      <c r="Z19" s="595" t="s">
        <v>250</v>
      </c>
      <c r="AA19" s="83" t="s">
        <v>250</v>
      </c>
      <c r="AB19" s="83" t="s">
        <v>250</v>
      </c>
      <c r="AC19" s="83" t="s">
        <v>250</v>
      </c>
      <c r="AD19" s="83" t="s">
        <v>250</v>
      </c>
      <c r="AE19" s="594" t="s">
        <v>250</v>
      </c>
      <c r="AF19" s="83" t="s">
        <v>250</v>
      </c>
      <c r="AG19" s="83" t="s">
        <v>250</v>
      </c>
      <c r="AH19" s="595" t="s">
        <v>250</v>
      </c>
      <c r="AI19" s="83" t="s">
        <v>250</v>
      </c>
      <c r="AJ19" s="83" t="s">
        <v>250</v>
      </c>
      <c r="AK19" s="83" t="s">
        <v>250</v>
      </c>
      <c r="AL19" s="83" t="s">
        <v>250</v>
      </c>
      <c r="AM19" s="594" t="s">
        <v>250</v>
      </c>
      <c r="AN19" s="83" t="s">
        <v>250</v>
      </c>
      <c r="AO19" s="83" t="s">
        <v>250</v>
      </c>
      <c r="AP19" s="595" t="s">
        <v>250</v>
      </c>
      <c r="AQ19" s="83" t="s">
        <v>250</v>
      </c>
      <c r="AR19" s="83" t="s">
        <v>250</v>
      </c>
      <c r="AS19" s="83" t="s">
        <v>250</v>
      </c>
      <c r="AT19" s="595" t="s">
        <v>250</v>
      </c>
      <c r="AU19" s="83" t="s">
        <v>250</v>
      </c>
      <c r="AV19" s="62">
        <v>31.9</v>
      </c>
      <c r="AW19" s="83" t="s">
        <v>250</v>
      </c>
      <c r="AX19" s="595" t="s">
        <v>250</v>
      </c>
      <c r="AY19" s="83" t="s">
        <v>250</v>
      </c>
      <c r="AZ19" s="62">
        <v>-17.7</v>
      </c>
      <c r="BA19" s="62">
        <v>-30.1</v>
      </c>
      <c r="BB19" s="593">
        <v>-28.8</v>
      </c>
      <c r="BC19" s="62">
        <v>0</v>
      </c>
      <c r="BD19" s="62">
        <v>5.3</v>
      </c>
      <c r="BE19" s="62">
        <v>-6.4</v>
      </c>
      <c r="BF19" s="593">
        <v>-0.24</v>
      </c>
      <c r="BG19" s="62">
        <v>0</v>
      </c>
      <c r="BH19" s="62">
        <v>-5.4</v>
      </c>
      <c r="BI19" s="62"/>
      <c r="BJ19" s="593"/>
    </row>
    <row r="20" spans="1:62" ht="27.6">
      <c r="A20" s="64" t="s">
        <v>316</v>
      </c>
      <c r="B20" s="609" t="s">
        <v>317</v>
      </c>
      <c r="C20" s="62">
        <v>-0.73</v>
      </c>
      <c r="D20" s="62">
        <v>-1.5010000000000001</v>
      </c>
      <c r="E20" s="62">
        <v>-2.044</v>
      </c>
      <c r="F20" s="62">
        <v>-2.8970000000000002</v>
      </c>
      <c r="G20" s="592">
        <v>-0.76200000000000001</v>
      </c>
      <c r="H20" s="62">
        <v>-1.58</v>
      </c>
      <c r="I20" s="62">
        <v>-2.3290000000000002</v>
      </c>
      <c r="J20" s="593">
        <v>-2.9239999999999999</v>
      </c>
      <c r="K20" s="62">
        <v>-0.63300000000000001</v>
      </c>
      <c r="L20" s="62">
        <v>-1.3</v>
      </c>
      <c r="M20" s="62">
        <v>-2</v>
      </c>
      <c r="N20" s="62">
        <v>-2.6</v>
      </c>
      <c r="O20" s="592">
        <v>-0.5</v>
      </c>
      <c r="P20" s="62">
        <v>-1.4</v>
      </c>
      <c r="Q20" s="62">
        <v>-1.9</v>
      </c>
      <c r="R20" s="593">
        <v>-2.6</v>
      </c>
      <c r="S20" s="62">
        <v>-0.8</v>
      </c>
      <c r="T20" s="62">
        <v>0</v>
      </c>
      <c r="U20" s="62">
        <v>0</v>
      </c>
      <c r="V20" s="62">
        <v>0</v>
      </c>
      <c r="W20" s="594" t="s">
        <v>250</v>
      </c>
      <c r="X20" s="83" t="s">
        <v>250</v>
      </c>
      <c r="Y20" s="83" t="s">
        <v>250</v>
      </c>
      <c r="Z20" s="595" t="s">
        <v>250</v>
      </c>
      <c r="AA20" s="83" t="s">
        <v>250</v>
      </c>
      <c r="AB20" s="83" t="s">
        <v>250</v>
      </c>
      <c r="AC20" s="83" t="s">
        <v>250</v>
      </c>
      <c r="AD20" s="83" t="s">
        <v>250</v>
      </c>
      <c r="AE20" s="594" t="s">
        <v>250</v>
      </c>
      <c r="AF20" s="83" t="s">
        <v>250</v>
      </c>
      <c r="AG20" s="83" t="s">
        <v>250</v>
      </c>
      <c r="AH20" s="595" t="s">
        <v>250</v>
      </c>
      <c r="AI20" s="83" t="s">
        <v>250</v>
      </c>
      <c r="AJ20" s="83" t="s">
        <v>250</v>
      </c>
      <c r="AK20" s="83" t="s">
        <v>250</v>
      </c>
      <c r="AL20" s="83" t="s">
        <v>250</v>
      </c>
      <c r="AM20" s="594" t="s">
        <v>250</v>
      </c>
      <c r="AN20" s="83" t="s">
        <v>250</v>
      </c>
      <c r="AO20" s="83" t="s">
        <v>250</v>
      </c>
      <c r="AP20" s="595" t="s">
        <v>250</v>
      </c>
      <c r="AQ20" s="83" t="s">
        <v>250</v>
      </c>
      <c r="AR20" s="83" t="s">
        <v>250</v>
      </c>
      <c r="AS20" s="83" t="s">
        <v>250</v>
      </c>
      <c r="AT20" s="595" t="s">
        <v>250</v>
      </c>
      <c r="AU20" s="83" t="s">
        <v>250</v>
      </c>
      <c r="AV20" s="83" t="s">
        <v>250</v>
      </c>
      <c r="AW20" s="83" t="s">
        <v>250</v>
      </c>
      <c r="AX20" s="595" t="s">
        <v>250</v>
      </c>
      <c r="AY20" s="83" t="s">
        <v>250</v>
      </c>
      <c r="AZ20" s="83" t="s">
        <v>250</v>
      </c>
      <c r="BA20" s="83" t="s">
        <v>250</v>
      </c>
      <c r="BB20" s="595" t="s">
        <v>250</v>
      </c>
      <c r="BC20" s="83" t="s">
        <v>250</v>
      </c>
      <c r="BD20" s="83" t="s">
        <v>250</v>
      </c>
      <c r="BE20" s="83"/>
      <c r="BF20" s="595" t="s">
        <v>250</v>
      </c>
      <c r="BG20" s="83" t="s">
        <v>250</v>
      </c>
      <c r="BH20" s="83" t="s">
        <v>250</v>
      </c>
      <c r="BI20" s="83"/>
      <c r="BJ20" s="595"/>
    </row>
    <row r="21" spans="1:62" ht="27.6">
      <c r="A21" s="172" t="s">
        <v>318</v>
      </c>
      <c r="B21" s="610" t="s">
        <v>319</v>
      </c>
      <c r="C21" s="62">
        <v>-0.73</v>
      </c>
      <c r="D21" s="62"/>
      <c r="E21" s="62"/>
      <c r="F21" s="62"/>
      <c r="G21" s="592"/>
      <c r="H21" s="62"/>
      <c r="I21" s="62"/>
      <c r="J21" s="593"/>
      <c r="K21" s="62"/>
      <c r="L21" s="62"/>
      <c r="M21" s="62"/>
      <c r="N21" s="62"/>
      <c r="O21" s="592"/>
      <c r="P21" s="62"/>
      <c r="Q21" s="62"/>
      <c r="R21" s="593"/>
      <c r="S21" s="62"/>
      <c r="T21" s="62"/>
      <c r="U21" s="62"/>
      <c r="V21" s="62">
        <v>0</v>
      </c>
      <c r="W21" s="594"/>
      <c r="X21" s="83"/>
      <c r="Y21" s="83"/>
      <c r="Z21" s="593">
        <v>-2.8</v>
      </c>
      <c r="AA21" s="62">
        <v>-5.2</v>
      </c>
      <c r="AB21" s="62">
        <v>-5.0999999999999996</v>
      </c>
      <c r="AC21" s="62">
        <v>-1.6</v>
      </c>
      <c r="AD21" s="62">
        <v>1.2</v>
      </c>
      <c r="AE21" s="592">
        <v>1.7</v>
      </c>
      <c r="AF21" s="62">
        <v>3.6</v>
      </c>
      <c r="AG21" s="62">
        <v>4.9000000000000004</v>
      </c>
      <c r="AH21" s="593">
        <v>6.5</v>
      </c>
      <c r="AI21" s="62">
        <v>1.7</v>
      </c>
      <c r="AJ21" s="62">
        <v>3.6</v>
      </c>
      <c r="AK21" s="62">
        <v>4.9000000000000004</v>
      </c>
      <c r="AL21" s="62">
        <v>6.5</v>
      </c>
      <c r="AM21" s="592">
        <v>-16.3</v>
      </c>
      <c r="AN21" s="62">
        <v>-34.1</v>
      </c>
      <c r="AO21" s="62">
        <v>-47.6</v>
      </c>
      <c r="AP21" s="593">
        <v>-2</v>
      </c>
      <c r="AQ21" s="62">
        <v>-16.5</v>
      </c>
      <c r="AR21" s="62">
        <v>-41.5</v>
      </c>
      <c r="AS21" s="62">
        <v>-64</v>
      </c>
      <c r="AT21" s="593">
        <v>-75.400000000000006</v>
      </c>
      <c r="AU21" s="62">
        <v>-14.7</v>
      </c>
      <c r="AV21" s="62">
        <v>-38.9</v>
      </c>
      <c r="AW21" s="62">
        <v>-62.7</v>
      </c>
      <c r="AX21" s="600">
        <v>-94.5</v>
      </c>
      <c r="AY21" s="62">
        <v>-20.3</v>
      </c>
      <c r="AZ21" s="62">
        <v>-10.4</v>
      </c>
      <c r="BA21" s="62">
        <v>-29.7</v>
      </c>
      <c r="BB21" s="593">
        <v>-29.7</v>
      </c>
      <c r="BC21" s="62">
        <v>0</v>
      </c>
      <c r="BD21" s="62">
        <v>-0.1</v>
      </c>
      <c r="BE21" s="62">
        <v>0.7</v>
      </c>
      <c r="BF21" s="593">
        <v>0.7</v>
      </c>
      <c r="BG21" s="62">
        <v>0</v>
      </c>
      <c r="BH21" s="62">
        <v>0</v>
      </c>
      <c r="BI21" s="62"/>
      <c r="BJ21" s="593"/>
    </row>
    <row r="22" spans="1:62" ht="20.100000000000001" customHeight="1">
      <c r="A22" s="64" t="s">
        <v>320</v>
      </c>
      <c r="B22" s="609" t="s">
        <v>321</v>
      </c>
      <c r="C22" s="62">
        <v>-87.786000000000001</v>
      </c>
      <c r="D22" s="62">
        <v>-51.798000000000002</v>
      </c>
      <c r="E22" s="62">
        <v>-102.06700000000001</v>
      </c>
      <c r="F22" s="62">
        <v>-111.07600000000001</v>
      </c>
      <c r="G22" s="592">
        <v>25.975999999999999</v>
      </c>
      <c r="H22" s="62">
        <v>77.412999999999997</v>
      </c>
      <c r="I22" s="62">
        <v>39.252000000000002</v>
      </c>
      <c r="J22" s="593">
        <v>16.294</v>
      </c>
      <c r="K22" s="62">
        <v>10.337</v>
      </c>
      <c r="L22" s="62">
        <v>8.8000000000000007</v>
      </c>
      <c r="M22" s="62">
        <v>164.9</v>
      </c>
      <c r="N22" s="62">
        <v>369.9</v>
      </c>
      <c r="O22" s="592">
        <v>37.1</v>
      </c>
      <c r="P22" s="62">
        <v>99.2</v>
      </c>
      <c r="Q22" s="62">
        <v>135.80000000000001</v>
      </c>
      <c r="R22" s="593">
        <v>222</v>
      </c>
      <c r="S22" s="62">
        <v>250.2</v>
      </c>
      <c r="T22" s="62">
        <v>276.10000000000002</v>
      </c>
      <c r="U22" s="62">
        <v>258.3</v>
      </c>
      <c r="V22" s="62">
        <v>270.89999999999998</v>
      </c>
      <c r="W22" s="592">
        <v>-28.4</v>
      </c>
      <c r="X22" s="62">
        <v>-27.4</v>
      </c>
      <c r="Y22" s="62">
        <v>-15.1</v>
      </c>
      <c r="Z22" s="593">
        <v>-31.1</v>
      </c>
      <c r="AA22" s="62">
        <v>4.5999999999999996</v>
      </c>
      <c r="AB22" s="62">
        <v>24.1</v>
      </c>
      <c r="AC22" s="62">
        <v>11.1</v>
      </c>
      <c r="AD22" s="62">
        <v>15.8</v>
      </c>
      <c r="AE22" s="592">
        <v>1.1000000000000001</v>
      </c>
      <c r="AF22" s="62">
        <v>-3.3</v>
      </c>
      <c r="AG22" s="62">
        <v>5.7</v>
      </c>
      <c r="AH22" s="593">
        <v>-2.2999999999999998</v>
      </c>
      <c r="AI22" s="62">
        <v>1.9</v>
      </c>
      <c r="AJ22" s="62">
        <v>-6.3</v>
      </c>
      <c r="AK22" s="62">
        <v>12.2</v>
      </c>
      <c r="AL22" s="62">
        <v>-4.8</v>
      </c>
      <c r="AM22" s="592">
        <v>41.2</v>
      </c>
      <c r="AN22" s="62">
        <v>29.4</v>
      </c>
      <c r="AO22" s="62">
        <v>35.9</v>
      </c>
      <c r="AP22" s="593">
        <v>45.8</v>
      </c>
      <c r="AQ22" s="62">
        <v>8.3000000000000007</v>
      </c>
      <c r="AR22" s="62">
        <v>-9.1</v>
      </c>
      <c r="AS22" s="62">
        <v>0.2</v>
      </c>
      <c r="AT22" s="593">
        <v>-1.9</v>
      </c>
      <c r="AU22" s="62">
        <v>2.6</v>
      </c>
      <c r="AV22" s="62">
        <v>6.9</v>
      </c>
      <c r="AW22" s="62">
        <v>18.600000000000001</v>
      </c>
      <c r="AX22" s="593">
        <v>14.6</v>
      </c>
      <c r="AY22" s="62">
        <v>0.1</v>
      </c>
      <c r="AZ22" s="62">
        <v>-19.7</v>
      </c>
      <c r="BA22" s="62">
        <v>43.3</v>
      </c>
      <c r="BB22" s="593">
        <v>-119.8</v>
      </c>
      <c r="BC22" s="62">
        <v>-20.5</v>
      </c>
      <c r="BD22" s="62">
        <v>-17.3</v>
      </c>
      <c r="BE22" s="62">
        <v>-32.799999999999997</v>
      </c>
      <c r="BF22" s="593">
        <v>-41.2</v>
      </c>
      <c r="BG22" s="62">
        <v>-51.6</v>
      </c>
      <c r="BH22" s="62">
        <v>-21.8</v>
      </c>
      <c r="BI22" s="62"/>
      <c r="BJ22" s="593"/>
    </row>
    <row r="23" spans="1:62" ht="20.100000000000001" customHeight="1">
      <c r="A23" s="64" t="s">
        <v>322</v>
      </c>
      <c r="B23" s="609" t="s">
        <v>80</v>
      </c>
      <c r="C23" s="62">
        <v>41.158999999999999</v>
      </c>
      <c r="D23" s="62">
        <v>54.56</v>
      </c>
      <c r="E23" s="62">
        <v>80.768000000000001</v>
      </c>
      <c r="F23" s="62">
        <v>97.349000000000004</v>
      </c>
      <c r="G23" s="592">
        <v>14.031000000000001</v>
      </c>
      <c r="H23" s="62">
        <v>27.457000000000001</v>
      </c>
      <c r="I23" s="62">
        <v>51.835000000000001</v>
      </c>
      <c r="J23" s="593">
        <v>67.376000000000005</v>
      </c>
      <c r="K23" s="62">
        <v>14.384</v>
      </c>
      <c r="L23" s="62">
        <v>31.1</v>
      </c>
      <c r="M23" s="62">
        <v>32.200000000000003</v>
      </c>
      <c r="N23" s="62">
        <v>21.7</v>
      </c>
      <c r="O23" s="592">
        <v>26</v>
      </c>
      <c r="P23" s="62">
        <v>71.900000000000006</v>
      </c>
      <c r="Q23" s="62">
        <v>182.7</v>
      </c>
      <c r="R23" s="593">
        <v>169</v>
      </c>
      <c r="S23" s="62">
        <v>27.2</v>
      </c>
      <c r="T23" s="62">
        <v>48.4</v>
      </c>
      <c r="U23" s="62">
        <v>113.5</v>
      </c>
      <c r="V23" s="62">
        <v>12.4</v>
      </c>
      <c r="W23" s="592">
        <v>30.8</v>
      </c>
      <c r="X23" s="62">
        <v>138.4</v>
      </c>
      <c r="Y23" s="62">
        <v>192.6</v>
      </c>
      <c r="Z23" s="593">
        <v>389.8</v>
      </c>
      <c r="AA23" s="62">
        <v>72.5</v>
      </c>
      <c r="AB23" s="62">
        <v>171.8</v>
      </c>
      <c r="AC23" s="62">
        <v>247.8</v>
      </c>
      <c r="AD23" s="62">
        <v>490</v>
      </c>
      <c r="AE23" s="592">
        <v>78</v>
      </c>
      <c r="AF23" s="62">
        <v>164.9</v>
      </c>
      <c r="AG23" s="62">
        <v>236.9</v>
      </c>
      <c r="AH23" s="593">
        <v>355.8</v>
      </c>
      <c r="AI23" s="62">
        <v>77.3</v>
      </c>
      <c r="AJ23" s="62">
        <v>163.80000000000001</v>
      </c>
      <c r="AK23" s="62">
        <v>233.3</v>
      </c>
      <c r="AL23" s="62">
        <v>353</v>
      </c>
      <c r="AM23" s="592">
        <v>66.7</v>
      </c>
      <c r="AN23" s="62">
        <v>139</v>
      </c>
      <c r="AO23" s="62">
        <v>220.6</v>
      </c>
      <c r="AP23" s="593">
        <v>295.89999999999998</v>
      </c>
      <c r="AQ23" s="62">
        <v>108.1</v>
      </c>
      <c r="AR23" s="62">
        <v>222.4</v>
      </c>
      <c r="AS23" s="62">
        <v>1156.4000000000001</v>
      </c>
      <c r="AT23" s="593">
        <v>1251.5999999999999</v>
      </c>
      <c r="AU23" s="62">
        <v>52.3</v>
      </c>
      <c r="AV23" s="62">
        <v>94.6</v>
      </c>
      <c r="AW23" s="62">
        <v>160.80000000000001</v>
      </c>
      <c r="AX23" s="593">
        <v>209.2</v>
      </c>
      <c r="AY23" s="62">
        <v>13.1</v>
      </c>
      <c r="AZ23" s="62">
        <v>45.2</v>
      </c>
      <c r="BA23" s="62">
        <v>114.1</v>
      </c>
      <c r="BB23" s="593">
        <v>110.2</v>
      </c>
      <c r="BC23" s="62">
        <v>86.3</v>
      </c>
      <c r="BD23" s="62">
        <v>124</v>
      </c>
      <c r="BE23" s="62">
        <v>246.1</v>
      </c>
      <c r="BF23" s="593">
        <v>302.2</v>
      </c>
      <c r="BG23" s="62">
        <v>35.799999999999997</v>
      </c>
      <c r="BH23" s="62">
        <v>71</v>
      </c>
      <c r="BI23" s="62"/>
      <c r="BJ23" s="593"/>
    </row>
    <row r="24" spans="1:62" ht="20.100000000000001" customHeight="1">
      <c r="A24" s="64" t="s">
        <v>323</v>
      </c>
      <c r="B24" s="610" t="s">
        <v>324</v>
      </c>
      <c r="C24" s="62">
        <v>-38.363</v>
      </c>
      <c r="D24" s="62">
        <v>-76.626000000000005</v>
      </c>
      <c r="E24" s="62">
        <v>-120.02500000000001</v>
      </c>
      <c r="F24" s="62">
        <v>-164.00800000000001</v>
      </c>
      <c r="G24" s="592">
        <v>-40.92</v>
      </c>
      <c r="H24" s="62">
        <v>-81.858999999999995</v>
      </c>
      <c r="I24" s="62">
        <v>-116.813</v>
      </c>
      <c r="J24" s="593">
        <v>-158.85900000000001</v>
      </c>
      <c r="K24" s="62">
        <v>-30.564</v>
      </c>
      <c r="L24" s="62">
        <v>-65.3</v>
      </c>
      <c r="M24" s="62">
        <v>-142.1</v>
      </c>
      <c r="N24" s="62">
        <v>-193.1</v>
      </c>
      <c r="O24" s="592">
        <v>-43.6</v>
      </c>
      <c r="P24" s="62">
        <v>-72.2</v>
      </c>
      <c r="Q24" s="62">
        <v>-96.7</v>
      </c>
      <c r="R24" s="593">
        <v>-134.69999999999999</v>
      </c>
      <c r="S24" s="62">
        <v>-31.1</v>
      </c>
      <c r="T24" s="62">
        <v>-71.2</v>
      </c>
      <c r="U24" s="62">
        <v>-111</v>
      </c>
      <c r="V24" s="62">
        <v>-153</v>
      </c>
      <c r="W24" s="592">
        <v>-33.1</v>
      </c>
      <c r="X24" s="62">
        <v>-65.599999999999994</v>
      </c>
      <c r="Y24" s="62">
        <v>-97.4</v>
      </c>
      <c r="Z24" s="593">
        <v>-137.5</v>
      </c>
      <c r="AA24" s="62">
        <v>-25.7</v>
      </c>
      <c r="AB24" s="62">
        <v>-42.9</v>
      </c>
      <c r="AC24" s="62">
        <v>-61.2</v>
      </c>
      <c r="AD24" s="62">
        <v>-83.9</v>
      </c>
      <c r="AE24" s="592">
        <v>-25.8</v>
      </c>
      <c r="AF24" s="62">
        <v>-48.8</v>
      </c>
      <c r="AG24" s="62">
        <v>-79.5</v>
      </c>
      <c r="AH24" s="593">
        <v>-122.8</v>
      </c>
      <c r="AI24" s="62">
        <v>-25.8</v>
      </c>
      <c r="AJ24" s="62">
        <v>-48.8</v>
      </c>
      <c r="AK24" s="62">
        <v>-79.5</v>
      </c>
      <c r="AL24" s="62">
        <v>-122.8</v>
      </c>
      <c r="AM24" s="592">
        <v>-33.1</v>
      </c>
      <c r="AN24" s="62">
        <v>-71</v>
      </c>
      <c r="AO24" s="62">
        <v>-112.2</v>
      </c>
      <c r="AP24" s="593">
        <v>-147.1</v>
      </c>
      <c r="AQ24" s="62">
        <v>-33.9</v>
      </c>
      <c r="AR24" s="62">
        <v>-55.5</v>
      </c>
      <c r="AS24" s="62">
        <v>-78.099999999999994</v>
      </c>
      <c r="AT24" s="593">
        <v>-110</v>
      </c>
      <c r="AU24" s="62">
        <v>-37.700000000000003</v>
      </c>
      <c r="AV24" s="62">
        <v>-66.400000000000006</v>
      </c>
      <c r="AW24" s="62">
        <v>-84.5</v>
      </c>
      <c r="AX24" s="593">
        <v>-113.1</v>
      </c>
      <c r="AY24" s="62">
        <v>-24.8</v>
      </c>
      <c r="AZ24" s="62">
        <v>-47.2</v>
      </c>
      <c r="BA24" s="62">
        <v>-89.5</v>
      </c>
      <c r="BB24" s="593">
        <v>-145.80000000000001</v>
      </c>
      <c r="BC24" s="62">
        <v>-45.8</v>
      </c>
      <c r="BD24" s="62">
        <v>-78.599999999999994</v>
      </c>
      <c r="BE24" s="62">
        <v>-109.6</v>
      </c>
      <c r="BF24" s="593">
        <v>-141.1</v>
      </c>
      <c r="BG24" s="62">
        <v>-32.9</v>
      </c>
      <c r="BH24" s="62">
        <v>-53.1</v>
      </c>
      <c r="BI24" s="62"/>
      <c r="BJ24" s="593"/>
    </row>
    <row r="25" spans="1:62" ht="41.4">
      <c r="A25" s="64" t="s">
        <v>325</v>
      </c>
      <c r="B25" s="609" t="s">
        <v>326</v>
      </c>
      <c r="C25" s="63">
        <v>0</v>
      </c>
      <c r="D25" s="63">
        <v>0</v>
      </c>
      <c r="E25" s="63">
        <v>0</v>
      </c>
      <c r="F25" s="63">
        <v>0</v>
      </c>
      <c r="G25" s="613">
        <v>0</v>
      </c>
      <c r="H25" s="63">
        <v>0</v>
      </c>
      <c r="I25" s="63">
        <v>0</v>
      </c>
      <c r="J25" s="614">
        <v>0</v>
      </c>
      <c r="K25" s="63">
        <v>0</v>
      </c>
      <c r="L25" s="62">
        <v>82.1</v>
      </c>
      <c r="M25" s="62">
        <v>82.1</v>
      </c>
      <c r="N25" s="62">
        <v>82.1</v>
      </c>
      <c r="O25" s="592">
        <v>0</v>
      </c>
      <c r="P25" s="62">
        <v>0</v>
      </c>
      <c r="Q25" s="62">
        <v>-371.4</v>
      </c>
      <c r="R25" s="593">
        <v>-371.4</v>
      </c>
      <c r="S25" s="62">
        <v>0</v>
      </c>
      <c r="T25" s="62">
        <v>0</v>
      </c>
      <c r="U25" s="62">
        <v>0</v>
      </c>
      <c r="V25" s="62">
        <v>0</v>
      </c>
      <c r="W25" s="592">
        <v>0</v>
      </c>
      <c r="X25" s="62">
        <v>0</v>
      </c>
      <c r="Y25" s="62">
        <v>0</v>
      </c>
      <c r="Z25" s="593">
        <v>0</v>
      </c>
      <c r="AA25" s="62">
        <v>0</v>
      </c>
      <c r="AB25" s="62">
        <v>0</v>
      </c>
      <c r="AC25" s="62">
        <v>0</v>
      </c>
      <c r="AD25" s="62">
        <v>0</v>
      </c>
      <c r="AE25" s="592">
        <v>0</v>
      </c>
      <c r="AF25" s="62">
        <v>0</v>
      </c>
      <c r="AG25" s="62">
        <v>0</v>
      </c>
      <c r="AH25" s="593">
        <v>0</v>
      </c>
      <c r="AI25" s="62">
        <v>0</v>
      </c>
      <c r="AJ25" s="62">
        <v>0</v>
      </c>
      <c r="AK25" s="62">
        <v>0</v>
      </c>
      <c r="AL25" s="62">
        <v>0</v>
      </c>
      <c r="AM25" s="592">
        <v>0</v>
      </c>
      <c r="AN25" s="62">
        <v>0</v>
      </c>
      <c r="AO25" s="62">
        <v>0</v>
      </c>
      <c r="AP25" s="593">
        <v>0</v>
      </c>
      <c r="AQ25" s="62">
        <v>0</v>
      </c>
      <c r="AR25" s="62">
        <v>0</v>
      </c>
      <c r="AS25" s="62">
        <v>0</v>
      </c>
      <c r="AT25" s="593">
        <v>0</v>
      </c>
      <c r="AU25" s="62">
        <v>0</v>
      </c>
      <c r="AV25" s="62">
        <v>0</v>
      </c>
      <c r="AW25" s="62">
        <v>0</v>
      </c>
      <c r="AX25" s="593">
        <v>0</v>
      </c>
      <c r="AY25" s="62">
        <v>0</v>
      </c>
      <c r="AZ25" s="62"/>
      <c r="BA25" s="62"/>
      <c r="BB25" s="593"/>
      <c r="BC25" s="62">
        <v>0</v>
      </c>
      <c r="BD25" s="62">
        <v>0</v>
      </c>
      <c r="BE25" s="62">
        <v>0</v>
      </c>
      <c r="BF25" s="593">
        <v>0</v>
      </c>
      <c r="BG25" s="62">
        <v>0</v>
      </c>
      <c r="BH25" s="62">
        <v>0</v>
      </c>
      <c r="BI25" s="62"/>
      <c r="BJ25" s="593"/>
    </row>
    <row r="26" spans="1:62" ht="27.6">
      <c r="A26" s="64" t="s">
        <v>788</v>
      </c>
      <c r="B26" s="609" t="s">
        <v>795</v>
      </c>
      <c r="C26" s="63"/>
      <c r="D26" s="63"/>
      <c r="E26" s="63"/>
      <c r="F26" s="63"/>
      <c r="G26" s="613"/>
      <c r="H26" s="63"/>
      <c r="I26" s="63"/>
      <c r="J26" s="614"/>
      <c r="K26" s="63"/>
      <c r="L26" s="62"/>
      <c r="M26" s="62"/>
      <c r="N26" s="62"/>
      <c r="O26" s="592"/>
      <c r="P26" s="62"/>
      <c r="Q26" s="62"/>
      <c r="R26" s="593"/>
      <c r="S26" s="62"/>
      <c r="T26" s="62"/>
      <c r="U26" s="62"/>
      <c r="V26" s="62"/>
      <c r="W26" s="592"/>
      <c r="X26" s="62"/>
      <c r="Y26" s="62"/>
      <c r="Z26" s="593"/>
      <c r="AA26" s="62"/>
      <c r="AB26" s="62"/>
      <c r="AC26" s="62"/>
      <c r="AD26" s="62"/>
      <c r="AE26" s="592"/>
      <c r="AF26" s="62"/>
      <c r="AG26" s="62"/>
      <c r="AH26" s="593"/>
      <c r="AI26" s="62"/>
      <c r="AJ26" s="62"/>
      <c r="AK26" s="62"/>
      <c r="AL26" s="62"/>
      <c r="AM26" s="592"/>
      <c r="AN26" s="62"/>
      <c r="AO26" s="62"/>
      <c r="AP26" s="593"/>
      <c r="AQ26" s="62"/>
      <c r="AR26" s="62"/>
      <c r="AS26" s="62"/>
      <c r="AT26" s="593"/>
      <c r="AU26" s="62"/>
      <c r="AV26" s="62"/>
      <c r="AW26" s="62"/>
      <c r="AX26" s="593"/>
      <c r="AY26" s="62"/>
      <c r="AZ26" s="62"/>
      <c r="BA26" s="62"/>
      <c r="BB26" s="593"/>
      <c r="BC26" s="62">
        <v>0</v>
      </c>
      <c r="BD26" s="62">
        <v>0</v>
      </c>
      <c r="BE26" s="62">
        <v>0</v>
      </c>
      <c r="BF26" s="593">
        <v>0</v>
      </c>
      <c r="BG26" s="62">
        <v>1.2</v>
      </c>
      <c r="BH26" s="62">
        <v>1.2</v>
      </c>
      <c r="BI26" s="62"/>
      <c r="BJ26" s="593"/>
    </row>
    <row r="27" spans="1:62" ht="20.100000000000001" customHeight="1">
      <c r="A27" s="64" t="s">
        <v>327</v>
      </c>
      <c r="B27" s="609" t="s">
        <v>328</v>
      </c>
      <c r="C27" s="63"/>
      <c r="D27" s="63"/>
      <c r="E27" s="63"/>
      <c r="F27" s="63"/>
      <c r="G27" s="613"/>
      <c r="H27" s="63"/>
      <c r="I27" s="63"/>
      <c r="J27" s="614"/>
      <c r="K27" s="63"/>
      <c r="L27" s="62"/>
      <c r="M27" s="62"/>
      <c r="N27" s="62"/>
      <c r="O27" s="592"/>
      <c r="P27" s="62"/>
      <c r="Q27" s="62"/>
      <c r="R27" s="593"/>
      <c r="S27" s="62"/>
      <c r="T27" s="62"/>
      <c r="U27" s="62"/>
      <c r="V27" s="62">
        <v>0</v>
      </c>
      <c r="W27" s="592">
        <v>58.7</v>
      </c>
      <c r="X27" s="62">
        <v>58.7</v>
      </c>
      <c r="Y27" s="62">
        <v>58.7</v>
      </c>
      <c r="Z27" s="593">
        <v>58.7</v>
      </c>
      <c r="AA27" s="62">
        <v>0</v>
      </c>
      <c r="AB27" s="62">
        <v>0</v>
      </c>
      <c r="AC27" s="233">
        <v>0</v>
      </c>
      <c r="AD27" s="62">
        <v>0</v>
      </c>
      <c r="AE27" s="592">
        <v>0</v>
      </c>
      <c r="AF27" s="62">
        <v>0</v>
      </c>
      <c r="AG27" s="233">
        <v>0</v>
      </c>
      <c r="AH27" s="593">
        <v>0</v>
      </c>
      <c r="AI27" s="62">
        <v>0</v>
      </c>
      <c r="AJ27" s="62">
        <v>0</v>
      </c>
      <c r="AK27" s="233">
        <v>0</v>
      </c>
      <c r="AL27" s="62">
        <v>0</v>
      </c>
      <c r="AM27" s="592">
        <v>0</v>
      </c>
      <c r="AN27" s="62">
        <v>0</v>
      </c>
      <c r="AO27" s="233">
        <v>0</v>
      </c>
      <c r="AP27" s="593">
        <v>0</v>
      </c>
      <c r="AQ27" s="62">
        <v>0</v>
      </c>
      <c r="AR27" s="62">
        <v>0</v>
      </c>
      <c r="AS27" s="233">
        <v>0</v>
      </c>
      <c r="AT27" s="593">
        <v>0</v>
      </c>
      <c r="AU27" s="62">
        <v>0</v>
      </c>
      <c r="AV27" s="62">
        <v>0</v>
      </c>
      <c r="AW27" s="233">
        <v>0</v>
      </c>
      <c r="AX27" s="593">
        <v>0</v>
      </c>
      <c r="AY27" s="62">
        <v>9.6999999999999993</v>
      </c>
      <c r="AZ27" s="483">
        <v>9.6999999999999993</v>
      </c>
      <c r="BA27" s="483">
        <v>10.1</v>
      </c>
      <c r="BB27" s="593">
        <v>10.1</v>
      </c>
      <c r="BC27" s="62">
        <v>0.4</v>
      </c>
      <c r="BD27" s="483">
        <v>0.4</v>
      </c>
      <c r="BE27" s="483">
        <v>0.4</v>
      </c>
      <c r="BF27" s="593">
        <v>0.4</v>
      </c>
      <c r="BG27" s="62">
        <v>0</v>
      </c>
      <c r="BH27" s="945">
        <v>0</v>
      </c>
      <c r="BI27" s="483"/>
      <c r="BJ27" s="593"/>
    </row>
    <row r="28" spans="1:62" ht="27.6">
      <c r="A28" s="64" t="s">
        <v>329</v>
      </c>
      <c r="B28" s="609" t="s">
        <v>330</v>
      </c>
      <c r="C28" s="63"/>
      <c r="D28" s="63"/>
      <c r="E28" s="63"/>
      <c r="F28" s="63"/>
      <c r="G28" s="613"/>
      <c r="H28" s="63"/>
      <c r="I28" s="63"/>
      <c r="J28" s="614"/>
      <c r="K28" s="63"/>
      <c r="L28" s="62"/>
      <c r="M28" s="62"/>
      <c r="N28" s="62"/>
      <c r="O28" s="592"/>
      <c r="P28" s="62"/>
      <c r="Q28" s="62"/>
      <c r="R28" s="593"/>
      <c r="S28" s="62"/>
      <c r="T28" s="62"/>
      <c r="U28" s="62"/>
      <c r="V28" s="62"/>
      <c r="W28" s="592"/>
      <c r="X28" s="62"/>
      <c r="Y28" s="62"/>
      <c r="Z28" s="593"/>
      <c r="AA28" s="62"/>
      <c r="AB28" s="62"/>
      <c r="AC28" s="233"/>
      <c r="AD28" s="62"/>
      <c r="AE28" s="592"/>
      <c r="AF28" s="62"/>
      <c r="AG28" s="233"/>
      <c r="AH28" s="593"/>
      <c r="AI28" s="62"/>
      <c r="AJ28" s="62"/>
      <c r="AK28" s="233"/>
      <c r="AL28" s="62"/>
      <c r="AM28" s="592"/>
      <c r="AN28" s="62"/>
      <c r="AO28" s="233"/>
      <c r="AP28" s="593"/>
      <c r="AQ28" s="62"/>
      <c r="AR28" s="62"/>
      <c r="AS28" s="233"/>
      <c r="AT28" s="593"/>
      <c r="AU28" s="62"/>
      <c r="AV28" s="62"/>
      <c r="AW28" s="233"/>
      <c r="AX28" s="593"/>
      <c r="AY28" s="62">
        <v>-19.2</v>
      </c>
      <c r="AZ28" s="62">
        <v>-19.2</v>
      </c>
      <c r="BA28" s="62">
        <v>-20.8</v>
      </c>
      <c r="BB28" s="593">
        <v>-20.8</v>
      </c>
      <c r="BC28" s="62">
        <v>-2.5</v>
      </c>
      <c r="BD28" s="62">
        <v>-2.5</v>
      </c>
      <c r="BE28" s="62">
        <v>-2.5</v>
      </c>
      <c r="BF28" s="593">
        <v>-2.5</v>
      </c>
      <c r="BG28" s="62">
        <v>0</v>
      </c>
      <c r="BH28" s="945">
        <v>0</v>
      </c>
      <c r="BI28" s="62"/>
      <c r="BJ28" s="593"/>
    </row>
    <row r="29" spans="1:62" ht="20.100000000000001" customHeight="1">
      <c r="A29" s="64" t="s">
        <v>331</v>
      </c>
      <c r="B29" s="609" t="s">
        <v>332</v>
      </c>
      <c r="C29" s="63">
        <v>0</v>
      </c>
      <c r="D29" s="63">
        <v>0</v>
      </c>
      <c r="E29" s="63">
        <v>0</v>
      </c>
      <c r="F29" s="63">
        <v>0</v>
      </c>
      <c r="G29" s="613">
        <v>0</v>
      </c>
      <c r="H29" s="63">
        <v>0</v>
      </c>
      <c r="I29" s="63">
        <v>0</v>
      </c>
      <c r="J29" s="614">
        <v>0</v>
      </c>
      <c r="K29" s="63">
        <v>0</v>
      </c>
      <c r="L29" s="62">
        <v>16.5</v>
      </c>
      <c r="M29" s="62">
        <v>55.4</v>
      </c>
      <c r="N29" s="62">
        <v>84.3</v>
      </c>
      <c r="O29" s="592">
        <v>10.6</v>
      </c>
      <c r="P29" s="62">
        <v>33.9</v>
      </c>
      <c r="Q29" s="62">
        <v>37.6</v>
      </c>
      <c r="R29" s="593">
        <v>53</v>
      </c>
      <c r="S29" s="62">
        <v>-174.6</v>
      </c>
      <c r="T29" s="62">
        <v>-160.19999999999999</v>
      </c>
      <c r="U29" s="62">
        <v>-161.9</v>
      </c>
      <c r="V29" s="62">
        <v>-164.9</v>
      </c>
      <c r="W29" s="592">
        <v>-0.1</v>
      </c>
      <c r="X29" s="62">
        <v>0.9</v>
      </c>
      <c r="Y29" s="62">
        <v>-1.3</v>
      </c>
      <c r="Z29" s="593">
        <v>-1.5</v>
      </c>
      <c r="AA29" s="83" t="s">
        <v>250</v>
      </c>
      <c r="AB29" s="83" t="s">
        <v>250</v>
      </c>
      <c r="AC29" s="83" t="s">
        <v>250</v>
      </c>
      <c r="AD29" s="83" t="s">
        <v>250</v>
      </c>
      <c r="AE29" s="594" t="s">
        <v>250</v>
      </c>
      <c r="AF29" s="83" t="s">
        <v>250</v>
      </c>
      <c r="AG29" s="83" t="s">
        <v>250</v>
      </c>
      <c r="AH29" s="595" t="s">
        <v>250</v>
      </c>
      <c r="AI29" s="83" t="s">
        <v>250</v>
      </c>
      <c r="AJ29" s="83" t="s">
        <v>250</v>
      </c>
      <c r="AK29" s="83" t="s">
        <v>250</v>
      </c>
      <c r="AL29" s="83" t="s">
        <v>250</v>
      </c>
      <c r="AM29" s="594" t="s">
        <v>250</v>
      </c>
      <c r="AN29" s="83" t="s">
        <v>250</v>
      </c>
      <c r="AO29" s="83" t="s">
        <v>250</v>
      </c>
      <c r="AP29" s="595" t="s">
        <v>250</v>
      </c>
      <c r="AQ29" s="83" t="s">
        <v>250</v>
      </c>
      <c r="AR29" s="83" t="s">
        <v>250</v>
      </c>
      <c r="AS29" s="83" t="s">
        <v>250</v>
      </c>
      <c r="AT29" s="595" t="s">
        <v>250</v>
      </c>
      <c r="AU29" s="83" t="s">
        <v>250</v>
      </c>
      <c r="AV29" s="62">
        <v>-27.5</v>
      </c>
      <c r="AW29" s="83" t="s">
        <v>250</v>
      </c>
      <c r="AX29" s="595" t="s">
        <v>250</v>
      </c>
      <c r="AY29" s="83" t="s">
        <v>250</v>
      </c>
      <c r="AZ29" s="62">
        <v>-58.2</v>
      </c>
      <c r="BA29" s="62">
        <v>-38.4</v>
      </c>
      <c r="BB29" s="593">
        <v>6.7</v>
      </c>
      <c r="BC29" s="62">
        <v>0</v>
      </c>
      <c r="BD29" s="62">
        <v>-50.2</v>
      </c>
      <c r="BE29" s="62">
        <v>-18.8</v>
      </c>
      <c r="BF29" s="593">
        <v>-67.8</v>
      </c>
      <c r="BG29" s="62">
        <v>0</v>
      </c>
      <c r="BH29" s="62">
        <v>-16.399999999999999</v>
      </c>
      <c r="BI29" s="62"/>
      <c r="BJ29" s="593"/>
    </row>
    <row r="30" spans="1:62" ht="27.6">
      <c r="A30" s="64" t="s">
        <v>333</v>
      </c>
      <c r="B30" s="609" t="s">
        <v>64</v>
      </c>
      <c r="C30" s="63"/>
      <c r="D30" s="63"/>
      <c r="E30" s="63"/>
      <c r="F30" s="63"/>
      <c r="G30" s="613"/>
      <c r="H30" s="63"/>
      <c r="I30" s="63"/>
      <c r="J30" s="614"/>
      <c r="K30" s="63"/>
      <c r="L30" s="62"/>
      <c r="M30" s="62"/>
      <c r="N30" s="62"/>
      <c r="O30" s="592"/>
      <c r="P30" s="62"/>
      <c r="Q30" s="62"/>
      <c r="R30" s="593"/>
      <c r="S30" s="62"/>
      <c r="T30" s="62"/>
      <c r="U30" s="62"/>
      <c r="V30" s="62"/>
      <c r="W30" s="592"/>
      <c r="X30" s="62"/>
      <c r="Y30" s="62"/>
      <c r="Z30" s="593"/>
      <c r="AA30" s="83"/>
      <c r="AB30" s="83"/>
      <c r="AC30" s="83"/>
      <c r="AD30" s="83"/>
      <c r="AE30" s="594"/>
      <c r="AF30" s="83"/>
      <c r="AG30" s="83"/>
      <c r="AH30" s="595"/>
      <c r="AI30" s="83"/>
      <c r="AJ30" s="83"/>
      <c r="AK30" s="83"/>
      <c r="AL30" s="83"/>
      <c r="AM30" s="594"/>
      <c r="AN30" s="83"/>
      <c r="AO30" s="83"/>
      <c r="AP30" s="595"/>
      <c r="AQ30" s="83"/>
      <c r="AR30" s="83"/>
      <c r="AS30" s="62">
        <v>-3690.8</v>
      </c>
      <c r="AT30" s="593">
        <v>-3680.6</v>
      </c>
      <c r="AU30" s="83">
        <v>0</v>
      </c>
      <c r="AV30" s="83">
        <v>0</v>
      </c>
      <c r="AW30" s="62">
        <v>-113.4</v>
      </c>
      <c r="AX30" s="593">
        <v>-153.19999999999999</v>
      </c>
      <c r="AY30" s="62">
        <v>0</v>
      </c>
      <c r="AZ30" s="83"/>
      <c r="BA30" s="62">
        <v>-220.1</v>
      </c>
      <c r="BB30" s="593">
        <v>-219.7</v>
      </c>
      <c r="BC30" s="62">
        <v>-10</v>
      </c>
      <c r="BD30" s="62">
        <v>-10</v>
      </c>
      <c r="BE30" s="62">
        <v>-10</v>
      </c>
      <c r="BF30" s="593">
        <v>-10</v>
      </c>
      <c r="BG30" s="62">
        <v>0.2</v>
      </c>
      <c r="BH30" s="62">
        <v>0.2</v>
      </c>
      <c r="BI30" s="62"/>
      <c r="BJ30" s="593"/>
    </row>
    <row r="31" spans="1:62" ht="27.6">
      <c r="A31" s="64" t="s">
        <v>334</v>
      </c>
      <c r="B31" s="609" t="s">
        <v>335</v>
      </c>
      <c r="C31" s="63"/>
      <c r="D31" s="63"/>
      <c r="E31" s="63"/>
      <c r="F31" s="63"/>
      <c r="G31" s="613"/>
      <c r="H31" s="63"/>
      <c r="I31" s="63"/>
      <c r="J31" s="614"/>
      <c r="K31" s="63"/>
      <c r="L31" s="62"/>
      <c r="M31" s="62"/>
      <c r="N31" s="62"/>
      <c r="O31" s="592"/>
      <c r="P31" s="62"/>
      <c r="Q31" s="62"/>
      <c r="R31" s="593"/>
      <c r="S31" s="62"/>
      <c r="T31" s="62"/>
      <c r="U31" s="62"/>
      <c r="V31" s="62"/>
      <c r="W31" s="592"/>
      <c r="X31" s="62"/>
      <c r="Y31" s="62"/>
      <c r="Z31" s="593"/>
      <c r="AA31" s="83"/>
      <c r="AB31" s="83"/>
      <c r="AC31" s="83"/>
      <c r="AD31" s="83"/>
      <c r="AE31" s="594"/>
      <c r="AF31" s="83"/>
      <c r="AG31" s="83"/>
      <c r="AH31" s="595"/>
      <c r="AI31" s="83"/>
      <c r="AJ31" s="83"/>
      <c r="AK31" s="83"/>
      <c r="AL31" s="83"/>
      <c r="AM31" s="594">
        <v>0</v>
      </c>
      <c r="AN31" s="62">
        <v>-44.8</v>
      </c>
      <c r="AO31" s="62">
        <v>-44.8</v>
      </c>
      <c r="AP31" s="596">
        <v>-44.8</v>
      </c>
      <c r="AQ31" s="83">
        <v>0</v>
      </c>
      <c r="AR31" s="62">
        <v>0</v>
      </c>
      <c r="AS31" s="62">
        <v>0</v>
      </c>
      <c r="AT31" s="596">
        <v>0</v>
      </c>
      <c r="AU31" s="83">
        <v>0</v>
      </c>
      <c r="AV31" s="62">
        <v>0</v>
      </c>
      <c r="AW31" s="62">
        <v>0</v>
      </c>
      <c r="AX31" s="596">
        <v>0</v>
      </c>
      <c r="AY31" s="83">
        <v>0</v>
      </c>
      <c r="AZ31" s="62"/>
      <c r="BA31" s="62"/>
      <c r="BB31" s="596"/>
      <c r="BC31" s="62">
        <v>0</v>
      </c>
      <c r="BD31" s="62">
        <v>0</v>
      </c>
      <c r="BE31" s="62">
        <v>0</v>
      </c>
      <c r="BF31" s="596">
        <v>0</v>
      </c>
      <c r="BG31" s="62">
        <v>0</v>
      </c>
      <c r="BH31" s="945">
        <v>0</v>
      </c>
      <c r="BI31" s="62"/>
      <c r="BJ31" s="596"/>
    </row>
    <row r="32" spans="1:62" ht="15">
      <c r="A32" s="64" t="s">
        <v>336</v>
      </c>
      <c r="B32" s="609" t="s">
        <v>337</v>
      </c>
      <c r="C32" s="63"/>
      <c r="D32" s="63"/>
      <c r="E32" s="63"/>
      <c r="F32" s="63"/>
      <c r="G32" s="613"/>
      <c r="H32" s="63"/>
      <c r="I32" s="63"/>
      <c r="J32" s="614"/>
      <c r="K32" s="63"/>
      <c r="L32" s="62"/>
      <c r="M32" s="62"/>
      <c r="N32" s="62"/>
      <c r="O32" s="592"/>
      <c r="P32" s="62"/>
      <c r="Q32" s="62"/>
      <c r="R32" s="593"/>
      <c r="S32" s="62"/>
      <c r="T32" s="62"/>
      <c r="U32" s="62"/>
      <c r="V32" s="62"/>
      <c r="W32" s="592"/>
      <c r="X32" s="62"/>
      <c r="Y32" s="62"/>
      <c r="Z32" s="593"/>
      <c r="AA32" s="83"/>
      <c r="AB32" s="83"/>
      <c r="AC32" s="83"/>
      <c r="AD32" s="83"/>
      <c r="AE32" s="594"/>
      <c r="AF32" s="83"/>
      <c r="AG32" s="83"/>
      <c r="AH32" s="595"/>
      <c r="AI32" s="83"/>
      <c r="AJ32" s="83"/>
      <c r="AK32" s="83"/>
      <c r="AL32" s="83"/>
      <c r="AM32" s="594"/>
      <c r="AN32" s="62"/>
      <c r="AO32" s="62"/>
      <c r="AP32" s="596"/>
      <c r="AQ32" s="83"/>
      <c r="AR32" s="62"/>
      <c r="AS32" s="62"/>
      <c r="AT32" s="596"/>
      <c r="AU32" s="83"/>
      <c r="AV32" s="62"/>
      <c r="AW32" s="62"/>
      <c r="AX32" s="596"/>
      <c r="AY32" s="83"/>
      <c r="AZ32" s="62">
        <v>20.8</v>
      </c>
      <c r="BA32" s="62">
        <v>20.8</v>
      </c>
      <c r="BB32" s="593">
        <v>20.8</v>
      </c>
      <c r="BC32" s="62">
        <v>0</v>
      </c>
      <c r="BD32" s="62">
        <v>0</v>
      </c>
      <c r="BE32" s="62">
        <v>0</v>
      </c>
      <c r="BF32" s="593">
        <v>0</v>
      </c>
      <c r="BG32" s="62">
        <v>0</v>
      </c>
      <c r="BH32" s="945">
        <v>0</v>
      </c>
      <c r="BI32" s="62"/>
      <c r="BJ32" s="593"/>
    </row>
    <row r="33" spans="1:65" ht="15">
      <c r="A33" s="64" t="s">
        <v>338</v>
      </c>
      <c r="B33" s="609" t="s">
        <v>339</v>
      </c>
      <c r="C33" s="63"/>
      <c r="D33" s="63"/>
      <c r="E33" s="63"/>
      <c r="F33" s="63"/>
      <c r="G33" s="613"/>
      <c r="H33" s="63"/>
      <c r="I33" s="63"/>
      <c r="J33" s="614"/>
      <c r="K33" s="63"/>
      <c r="L33" s="62"/>
      <c r="M33" s="62"/>
      <c r="N33" s="62"/>
      <c r="O33" s="592"/>
      <c r="P33" s="62"/>
      <c r="Q33" s="62"/>
      <c r="R33" s="593"/>
      <c r="S33" s="62"/>
      <c r="T33" s="62"/>
      <c r="U33" s="62"/>
      <c r="V33" s="62"/>
      <c r="W33" s="592"/>
      <c r="X33" s="62"/>
      <c r="Y33" s="62"/>
      <c r="Z33" s="593"/>
      <c r="AA33" s="83"/>
      <c r="AB33" s="83"/>
      <c r="AC33" s="83"/>
      <c r="AD33" s="83"/>
      <c r="AE33" s="594"/>
      <c r="AF33" s="83"/>
      <c r="AG33" s="83"/>
      <c r="AH33" s="595"/>
      <c r="AI33" s="83"/>
      <c r="AJ33" s="83"/>
      <c r="AK33" s="83"/>
      <c r="AL33" s="83"/>
      <c r="AM33" s="594"/>
      <c r="AN33" s="62"/>
      <c r="AO33" s="62"/>
      <c r="AP33" s="596"/>
      <c r="AQ33" s="83"/>
      <c r="AR33" s="62"/>
      <c r="AS33" s="62"/>
      <c r="AT33" s="596"/>
      <c r="AU33" s="83"/>
      <c r="AV33" s="62"/>
      <c r="AW33" s="62"/>
      <c r="AX33" s="596"/>
      <c r="AY33" s="83"/>
      <c r="AZ33" s="62"/>
      <c r="BA33" s="62"/>
      <c r="BB33" s="593">
        <v>-0.8</v>
      </c>
      <c r="BC33" s="62">
        <v>0</v>
      </c>
      <c r="BD33" s="62">
        <v>-30.8</v>
      </c>
      <c r="BE33" s="62">
        <v>-30.8</v>
      </c>
      <c r="BF33" s="593">
        <v>-30.8</v>
      </c>
      <c r="BG33" s="62"/>
      <c r="BH33" s="945">
        <v>0</v>
      </c>
      <c r="BI33" s="62"/>
      <c r="BJ33" s="593"/>
    </row>
    <row r="34" spans="1:65" ht="15">
      <c r="A34" s="64" t="s">
        <v>789</v>
      </c>
      <c r="B34" s="609" t="s">
        <v>794</v>
      </c>
      <c r="C34" s="63"/>
      <c r="D34" s="63"/>
      <c r="E34" s="63"/>
      <c r="F34" s="63"/>
      <c r="G34" s="613"/>
      <c r="H34" s="63"/>
      <c r="I34" s="63"/>
      <c r="J34" s="614"/>
      <c r="K34" s="63"/>
      <c r="L34" s="62"/>
      <c r="M34" s="62"/>
      <c r="N34" s="62"/>
      <c r="O34" s="592"/>
      <c r="P34" s="62"/>
      <c r="Q34" s="62"/>
      <c r="R34" s="593"/>
      <c r="S34" s="62"/>
      <c r="T34" s="62"/>
      <c r="U34" s="62"/>
      <c r="V34" s="62"/>
      <c r="W34" s="592"/>
      <c r="X34" s="62"/>
      <c r="Y34" s="62"/>
      <c r="Z34" s="593"/>
      <c r="AA34" s="83"/>
      <c r="AB34" s="83"/>
      <c r="AC34" s="83"/>
      <c r="AD34" s="83"/>
      <c r="AE34" s="594"/>
      <c r="AF34" s="83"/>
      <c r="AG34" s="83"/>
      <c r="AH34" s="595"/>
      <c r="AI34" s="83"/>
      <c r="AJ34" s="83"/>
      <c r="AK34" s="83"/>
      <c r="AL34" s="83"/>
      <c r="AM34" s="594"/>
      <c r="AN34" s="62"/>
      <c r="AO34" s="62"/>
      <c r="AP34" s="596"/>
      <c r="AQ34" s="83"/>
      <c r="AR34" s="62"/>
      <c r="AS34" s="62"/>
      <c r="AT34" s="596"/>
      <c r="AU34" s="83"/>
      <c r="AV34" s="62"/>
      <c r="AW34" s="62"/>
      <c r="AX34" s="596"/>
      <c r="AY34" s="83"/>
      <c r="AZ34" s="62"/>
      <c r="BA34" s="62"/>
      <c r="BB34" s="593"/>
      <c r="BC34" s="62"/>
      <c r="BD34" s="62"/>
      <c r="BE34" s="62"/>
      <c r="BF34" s="593"/>
      <c r="BG34" s="62">
        <v>90.6</v>
      </c>
      <c r="BH34" s="62">
        <v>90.6</v>
      </c>
      <c r="BI34" s="62"/>
      <c r="BJ34" s="593"/>
    </row>
    <row r="35" spans="1:65" ht="15">
      <c r="A35" s="64" t="s">
        <v>340</v>
      </c>
      <c r="B35" s="609" t="s">
        <v>341</v>
      </c>
      <c r="C35" s="63"/>
      <c r="D35" s="63"/>
      <c r="E35" s="63"/>
      <c r="F35" s="63"/>
      <c r="G35" s="613"/>
      <c r="H35" s="63"/>
      <c r="I35" s="63"/>
      <c r="J35" s="614"/>
      <c r="K35" s="63"/>
      <c r="L35" s="62"/>
      <c r="M35" s="62"/>
      <c r="N35" s="62"/>
      <c r="O35" s="592"/>
      <c r="P35" s="62"/>
      <c r="Q35" s="62"/>
      <c r="R35" s="593"/>
      <c r="S35" s="62"/>
      <c r="T35" s="62"/>
      <c r="U35" s="62"/>
      <c r="V35" s="62"/>
      <c r="W35" s="592"/>
      <c r="X35" s="62"/>
      <c r="Y35" s="62"/>
      <c r="Z35" s="593"/>
      <c r="AA35" s="83"/>
      <c r="AB35" s="83"/>
      <c r="AC35" s="83"/>
      <c r="AD35" s="83"/>
      <c r="AE35" s="594"/>
      <c r="AF35" s="83"/>
      <c r="AG35" s="83"/>
      <c r="AH35" s="595"/>
      <c r="AI35" s="83"/>
      <c r="AJ35" s="83"/>
      <c r="AK35" s="83"/>
      <c r="AL35" s="83"/>
      <c r="AM35" s="594"/>
      <c r="AN35" s="62"/>
      <c r="AO35" s="62"/>
      <c r="AP35" s="596"/>
      <c r="AQ35" s="83"/>
      <c r="AR35" s="62"/>
      <c r="AS35" s="62"/>
      <c r="AT35" s="596"/>
      <c r="AU35" s="83"/>
      <c r="AV35" s="62"/>
      <c r="AW35" s="62"/>
      <c r="AX35" s="596"/>
      <c r="AY35" s="83"/>
      <c r="AZ35" s="62"/>
      <c r="BA35" s="62"/>
      <c r="BB35" s="593"/>
      <c r="BC35" s="62">
        <v>0</v>
      </c>
      <c r="BD35" s="62">
        <v>-58.4</v>
      </c>
      <c r="BE35" s="62">
        <v>-116</v>
      </c>
      <c r="BF35" s="593">
        <v>-194.2</v>
      </c>
      <c r="BG35" s="62">
        <v>0</v>
      </c>
      <c r="BH35" s="945">
        <v>0</v>
      </c>
      <c r="BI35" s="62"/>
      <c r="BJ35" s="593"/>
    </row>
    <row r="36" spans="1:65" ht="15">
      <c r="A36" s="64" t="s">
        <v>342</v>
      </c>
      <c r="B36" s="609" t="s">
        <v>343</v>
      </c>
      <c r="C36" s="63"/>
      <c r="D36" s="63"/>
      <c r="E36" s="63"/>
      <c r="F36" s="63"/>
      <c r="G36" s="613"/>
      <c r="H36" s="63"/>
      <c r="I36" s="63"/>
      <c r="J36" s="614"/>
      <c r="K36" s="63"/>
      <c r="L36" s="62"/>
      <c r="M36" s="62"/>
      <c r="N36" s="62"/>
      <c r="O36" s="592"/>
      <c r="P36" s="62"/>
      <c r="Q36" s="62"/>
      <c r="R36" s="593"/>
      <c r="S36" s="62"/>
      <c r="T36" s="62"/>
      <c r="U36" s="62"/>
      <c r="V36" s="62"/>
      <c r="W36" s="592"/>
      <c r="X36" s="62"/>
      <c r="Y36" s="62"/>
      <c r="Z36" s="593"/>
      <c r="AA36" s="83"/>
      <c r="AB36" s="83"/>
      <c r="AC36" s="83"/>
      <c r="AD36" s="83"/>
      <c r="AE36" s="594"/>
      <c r="AF36" s="83"/>
      <c r="AG36" s="83"/>
      <c r="AH36" s="595"/>
      <c r="AI36" s="83"/>
      <c r="AJ36" s="83"/>
      <c r="AK36" s="83"/>
      <c r="AL36" s="83"/>
      <c r="AM36" s="594"/>
      <c r="AN36" s="62"/>
      <c r="AO36" s="62"/>
      <c r="AP36" s="596"/>
      <c r="AQ36" s="83"/>
      <c r="AR36" s="62"/>
      <c r="AS36" s="62"/>
      <c r="AT36" s="596"/>
      <c r="AU36" s="83"/>
      <c r="AV36" s="62"/>
      <c r="AW36" s="62"/>
      <c r="AX36" s="596"/>
      <c r="AY36" s="83"/>
      <c r="AZ36" s="62"/>
      <c r="BA36" s="62"/>
      <c r="BB36" s="593"/>
      <c r="BC36" s="62">
        <v>0</v>
      </c>
      <c r="BD36" s="62">
        <v>-185.1</v>
      </c>
      <c r="BE36" s="62">
        <v>-198.7</v>
      </c>
      <c r="BF36" s="593">
        <v>-198.7</v>
      </c>
      <c r="BG36" s="62">
        <v>0</v>
      </c>
      <c r="BH36" s="945">
        <v>0</v>
      </c>
      <c r="BI36" s="62"/>
      <c r="BJ36" s="593"/>
    </row>
    <row r="37" spans="1:65" ht="20.100000000000001" customHeight="1" thickBot="1">
      <c r="A37" s="64" t="s">
        <v>344</v>
      </c>
      <c r="B37" s="609" t="s">
        <v>345</v>
      </c>
      <c r="C37" s="62">
        <v>0.245</v>
      </c>
      <c r="D37" s="62">
        <v>0.78500000000000003</v>
      </c>
      <c r="E37" s="62">
        <v>1.31</v>
      </c>
      <c r="F37" s="62">
        <v>3.5380000000000003</v>
      </c>
      <c r="G37" s="592">
        <v>1.484</v>
      </c>
      <c r="H37" s="62">
        <f>4.197+4.842</f>
        <v>9.0389999999999997</v>
      </c>
      <c r="I37" s="62">
        <f>5.852+4.842</f>
        <v>10.693999999999999</v>
      </c>
      <c r="J37" s="593">
        <v>11.93</v>
      </c>
      <c r="K37" s="62">
        <v>1.7790000000000001</v>
      </c>
      <c r="L37" s="62">
        <v>10.8</v>
      </c>
      <c r="M37" s="62">
        <v>11.7</v>
      </c>
      <c r="N37" s="62">
        <v>96.1</v>
      </c>
      <c r="O37" s="592">
        <v>-3</v>
      </c>
      <c r="P37" s="62">
        <v>9</v>
      </c>
      <c r="Q37" s="62">
        <v>19.600000000000001</v>
      </c>
      <c r="R37" s="593">
        <v>21.6</v>
      </c>
      <c r="S37" s="62">
        <v>2.5</v>
      </c>
      <c r="T37" s="62">
        <v>-1.9</v>
      </c>
      <c r="U37" s="62">
        <v>22.5</v>
      </c>
      <c r="V37" s="62">
        <v>24</v>
      </c>
      <c r="W37" s="592">
        <v>-2.1</v>
      </c>
      <c r="X37" s="62">
        <v>18.100000000000001</v>
      </c>
      <c r="Y37" s="62">
        <v>51.1</v>
      </c>
      <c r="Z37" s="593">
        <v>55.5</v>
      </c>
      <c r="AA37" s="62">
        <v>-18.2</v>
      </c>
      <c r="AB37" s="62">
        <v>2.5</v>
      </c>
      <c r="AC37" s="62">
        <v>18.2</v>
      </c>
      <c r="AD37" s="62">
        <v>-97.8</v>
      </c>
      <c r="AE37" s="592">
        <v>1.1000000000000001</v>
      </c>
      <c r="AF37" s="62">
        <v>-6.3</v>
      </c>
      <c r="AG37" s="62">
        <v>64.8</v>
      </c>
      <c r="AH37" s="593">
        <v>68.400000000000006</v>
      </c>
      <c r="AI37" s="62">
        <v>1.1000000000000001</v>
      </c>
      <c r="AJ37" s="62">
        <v>-6.3</v>
      </c>
      <c r="AK37" s="62">
        <v>64.8</v>
      </c>
      <c r="AL37" s="62">
        <v>68.400000000000006</v>
      </c>
      <c r="AM37" s="592">
        <v>-5.4</v>
      </c>
      <c r="AN37" s="62">
        <v>-3.3</v>
      </c>
      <c r="AO37" s="62">
        <v>14.4</v>
      </c>
      <c r="AP37" s="593">
        <v>31</v>
      </c>
      <c r="AQ37" s="62">
        <v>13.1</v>
      </c>
      <c r="AR37" s="62">
        <v>29.8</v>
      </c>
      <c r="AS37" s="62">
        <v>28.8</v>
      </c>
      <c r="AT37" s="593">
        <v>62.1</v>
      </c>
      <c r="AU37" s="62">
        <v>14.1</v>
      </c>
      <c r="AV37" s="62">
        <v>18.399999999999999</v>
      </c>
      <c r="AW37" s="62">
        <v>-13.7</v>
      </c>
      <c r="AX37" s="600">
        <v>-66.7</v>
      </c>
      <c r="AY37" s="62">
        <v>-37.4</v>
      </c>
      <c r="AZ37" s="62">
        <v>-0.4</v>
      </c>
      <c r="BA37" s="62">
        <v>17.7</v>
      </c>
      <c r="BB37" s="593">
        <v>-95.5</v>
      </c>
      <c r="BC37" s="62">
        <v>-60.5</v>
      </c>
      <c r="BD37" s="62">
        <v>-25.4</v>
      </c>
      <c r="BE37" s="62">
        <v>-27.3</v>
      </c>
      <c r="BF37" s="593">
        <v>103.4</v>
      </c>
      <c r="BG37" s="62">
        <v>1.2</v>
      </c>
      <c r="BH37" s="62">
        <v>-0.7</v>
      </c>
      <c r="BI37" s="62"/>
      <c r="BJ37" s="593"/>
    </row>
    <row r="38" spans="1:65" ht="20.100000000000001" customHeight="1" thickBot="1">
      <c r="A38" s="361" t="s">
        <v>346</v>
      </c>
      <c r="B38" s="608" t="s">
        <v>347</v>
      </c>
      <c r="C38" s="362">
        <f t="shared" ref="C38:AB38" si="2">C5+C6</f>
        <v>232.697</v>
      </c>
      <c r="D38" s="362">
        <f t="shared" si="2"/>
        <v>415.61099999999999</v>
      </c>
      <c r="E38" s="362">
        <f t="shared" si="2"/>
        <v>628.7700000000001</v>
      </c>
      <c r="F38" s="363">
        <f t="shared" si="2"/>
        <v>843.21800000000007</v>
      </c>
      <c r="G38" s="590">
        <f t="shared" si="2"/>
        <v>165.66199999999998</v>
      </c>
      <c r="H38" s="363">
        <f t="shared" si="2"/>
        <v>351.928</v>
      </c>
      <c r="I38" s="363">
        <f t="shared" si="2"/>
        <v>548.24399999999991</v>
      </c>
      <c r="J38" s="591">
        <f t="shared" si="2"/>
        <v>859.7349999999999</v>
      </c>
      <c r="K38" s="363">
        <f t="shared" si="2"/>
        <v>184.70400000000001</v>
      </c>
      <c r="L38" s="363" t="e">
        <f t="shared" si="2"/>
        <v>#REF!</v>
      </c>
      <c r="M38" s="363">
        <f t="shared" si="2"/>
        <v>1423.9000000000003</v>
      </c>
      <c r="N38" s="363">
        <f t="shared" si="2"/>
        <v>2117.7999999999997</v>
      </c>
      <c r="O38" s="590">
        <f t="shared" si="2"/>
        <v>453.00000000000011</v>
      </c>
      <c r="P38" s="363">
        <f t="shared" si="2"/>
        <v>1327.9999999999995</v>
      </c>
      <c r="Q38" s="363" t="e">
        <f t="shared" si="2"/>
        <v>#REF!</v>
      </c>
      <c r="R38" s="591" t="e">
        <f t="shared" si="2"/>
        <v>#REF!</v>
      </c>
      <c r="S38" s="363" t="e">
        <f t="shared" si="2"/>
        <v>#REF!</v>
      </c>
      <c r="T38" s="363" t="e">
        <f t="shared" si="2"/>
        <v>#REF!</v>
      </c>
      <c r="U38" s="363" t="e">
        <f t="shared" si="2"/>
        <v>#REF!</v>
      </c>
      <c r="V38" s="363" t="e">
        <f t="shared" si="2"/>
        <v>#REF!</v>
      </c>
      <c r="W38" s="590">
        <f t="shared" si="2"/>
        <v>780.70000000000027</v>
      </c>
      <c r="X38" s="363">
        <f t="shared" si="2"/>
        <v>1615.9</v>
      </c>
      <c r="Y38" s="363">
        <f t="shared" si="2"/>
        <v>2245.6999999999998</v>
      </c>
      <c r="Z38" s="591">
        <f t="shared" si="2"/>
        <v>3126.3</v>
      </c>
      <c r="AA38" s="363">
        <f t="shared" si="2"/>
        <v>633.10000000000014</v>
      </c>
      <c r="AB38" s="363">
        <f t="shared" si="2"/>
        <v>1396.9</v>
      </c>
      <c r="AC38" s="363">
        <v>2220.8000000000002</v>
      </c>
      <c r="AD38" s="363">
        <f t="shared" ref="AD38:BH38" si="3">AD5+AD6</f>
        <v>3232.1</v>
      </c>
      <c r="AE38" s="590">
        <f t="shared" si="3"/>
        <v>703.2</v>
      </c>
      <c r="AF38" s="363">
        <f t="shared" si="3"/>
        <v>1554.3000000000002</v>
      </c>
      <c r="AG38" s="363">
        <f t="shared" si="3"/>
        <v>2406.8000000000002</v>
      </c>
      <c r="AH38" s="591">
        <f t="shared" si="3"/>
        <v>3391.8</v>
      </c>
      <c r="AI38" s="363">
        <f t="shared" si="3"/>
        <v>762.2</v>
      </c>
      <c r="AJ38" s="363">
        <f t="shared" si="3"/>
        <v>1709.3000000000002</v>
      </c>
      <c r="AK38" s="363">
        <f t="shared" si="3"/>
        <v>2659.9000000000005</v>
      </c>
      <c r="AL38" s="363">
        <f t="shared" si="3"/>
        <v>3777.8999999999996</v>
      </c>
      <c r="AM38" s="590" t="e">
        <f t="shared" si="3"/>
        <v>#REF!</v>
      </c>
      <c r="AN38" s="363">
        <f t="shared" si="3"/>
        <v>1706.8000000000004</v>
      </c>
      <c r="AO38" s="363">
        <f t="shared" si="3"/>
        <v>2655.2999999999997</v>
      </c>
      <c r="AP38" s="591">
        <f t="shared" si="3"/>
        <v>3797.8999999999996</v>
      </c>
      <c r="AQ38" s="363" t="e">
        <f t="shared" si="3"/>
        <v>#REF!</v>
      </c>
      <c r="AR38" s="363" t="e">
        <f t="shared" si="3"/>
        <v>#REF!</v>
      </c>
      <c r="AS38" s="363" t="e">
        <f t="shared" si="3"/>
        <v>#REF!</v>
      </c>
      <c r="AT38" s="591" t="e">
        <f t="shared" si="3"/>
        <v>#REF!</v>
      </c>
      <c r="AU38" s="363" t="e">
        <f t="shared" si="3"/>
        <v>#REF!</v>
      </c>
      <c r="AV38" s="661" t="e">
        <f t="shared" si="3"/>
        <v>#REF!</v>
      </c>
      <c r="AW38" s="363" t="e">
        <f t="shared" si="3"/>
        <v>#REF!</v>
      </c>
      <c r="AX38" s="691" t="e">
        <f t="shared" si="3"/>
        <v>#REF!</v>
      </c>
      <c r="AY38" s="363" t="e">
        <f t="shared" si="3"/>
        <v>#REF!</v>
      </c>
      <c r="AZ38" s="363">
        <f t="shared" si="3"/>
        <v>1390.8999999999992</v>
      </c>
      <c r="BA38" s="363">
        <f t="shared" si="3"/>
        <v>1665.0999999999995</v>
      </c>
      <c r="BB38" s="691">
        <f t="shared" si="3"/>
        <v>2628.1999999999994</v>
      </c>
      <c r="BC38" s="363">
        <f t="shared" si="3"/>
        <v>800.5</v>
      </c>
      <c r="BD38" s="363">
        <f t="shared" si="3"/>
        <v>1518.6000000000001</v>
      </c>
      <c r="BE38" s="363">
        <f t="shared" si="3"/>
        <v>2600.6999999999994</v>
      </c>
      <c r="BF38" s="691">
        <f t="shared" si="3"/>
        <v>3560.5600000000004</v>
      </c>
      <c r="BG38" s="363">
        <f t="shared" si="3"/>
        <v>749.40000000000009</v>
      </c>
      <c r="BH38" s="363">
        <f t="shared" si="3"/>
        <v>1487.8</v>
      </c>
      <c r="BI38" s="363"/>
      <c r="BJ38" s="691"/>
    </row>
    <row r="39" spans="1:65" ht="20.100000000000001" customHeight="1">
      <c r="A39" s="64" t="s">
        <v>348</v>
      </c>
      <c r="B39" s="609" t="s">
        <v>349</v>
      </c>
      <c r="C39" s="62">
        <v>-12.561</v>
      </c>
      <c r="D39" s="62">
        <v>-47.188000000000002</v>
      </c>
      <c r="E39" s="62">
        <v>-59.765999999999998</v>
      </c>
      <c r="F39" s="62">
        <v>-78.733000000000004</v>
      </c>
      <c r="G39" s="592">
        <v>-13.763</v>
      </c>
      <c r="H39" s="62">
        <v>-26.318999999999999</v>
      </c>
      <c r="I39" s="62">
        <v>-37.451999999999998</v>
      </c>
      <c r="J39" s="593">
        <v>-67.486000000000004</v>
      </c>
      <c r="K39" s="62">
        <v>-17.809000000000001</v>
      </c>
      <c r="L39" s="62">
        <v>-99.5</v>
      </c>
      <c r="M39" s="62">
        <v>-135.19999999999999</v>
      </c>
      <c r="N39" s="62">
        <v>-189.1</v>
      </c>
      <c r="O39" s="592">
        <v>-48.5</v>
      </c>
      <c r="P39" s="62">
        <v>-44.2</v>
      </c>
      <c r="Q39" s="62">
        <v>-94.2</v>
      </c>
      <c r="R39" s="593">
        <v>-136.19999999999999</v>
      </c>
      <c r="S39" s="62">
        <v>-145.69999999999999</v>
      </c>
      <c r="T39" s="62">
        <v>-186.5</v>
      </c>
      <c r="U39" s="62">
        <v>-236.1</v>
      </c>
      <c r="V39" s="62">
        <v>-292.7</v>
      </c>
      <c r="W39" s="592">
        <v>-43.5</v>
      </c>
      <c r="X39" s="62">
        <v>-112.5</v>
      </c>
      <c r="Y39" s="62">
        <v>-181.5</v>
      </c>
      <c r="Z39" s="593">
        <v>-216.2</v>
      </c>
      <c r="AA39" s="62">
        <v>-70.599999999999994</v>
      </c>
      <c r="AB39" s="62">
        <v>-191.3</v>
      </c>
      <c r="AC39" s="62">
        <v>-265.10000000000002</v>
      </c>
      <c r="AD39" s="62">
        <v>-343.2</v>
      </c>
      <c r="AE39" s="592">
        <v>-66.099999999999994</v>
      </c>
      <c r="AF39" s="62">
        <v>-163</v>
      </c>
      <c r="AG39" s="62">
        <v>-252.5</v>
      </c>
      <c r="AH39" s="593">
        <v>-328.5</v>
      </c>
      <c r="AI39" s="62">
        <v>-66.099999999999994</v>
      </c>
      <c r="AJ39" s="62">
        <v>-163</v>
      </c>
      <c r="AK39" s="62">
        <v>-252.5</v>
      </c>
      <c r="AL39" s="62">
        <v>-328.5</v>
      </c>
      <c r="AM39" s="592">
        <v>-87.1</v>
      </c>
      <c r="AN39" s="62">
        <v>-360.4</v>
      </c>
      <c r="AO39" s="62">
        <v>-438.9</v>
      </c>
      <c r="AP39" s="593">
        <v>-552.9</v>
      </c>
      <c r="AQ39" s="62">
        <v>-106</v>
      </c>
      <c r="AR39" s="62">
        <v>-269.89999999999998</v>
      </c>
      <c r="AS39" s="62">
        <v>-356.9</v>
      </c>
      <c r="AT39" s="593">
        <v>-463</v>
      </c>
      <c r="AU39" s="62">
        <v>-98.9</v>
      </c>
      <c r="AV39" s="62">
        <v>-1079.9000000000001</v>
      </c>
      <c r="AW39" s="62">
        <v>-1175.8</v>
      </c>
      <c r="AX39" s="593">
        <v>-1278.4000000000001</v>
      </c>
      <c r="AY39" s="62">
        <v>-80.5</v>
      </c>
      <c r="AZ39" s="62">
        <v>-197.3</v>
      </c>
      <c r="BA39" s="62">
        <v>-266.5</v>
      </c>
      <c r="BB39" s="593">
        <v>-342.1</v>
      </c>
      <c r="BC39" s="62">
        <v>-67.8</v>
      </c>
      <c r="BD39" s="62">
        <v>-124</v>
      </c>
      <c r="BE39" s="62">
        <v>-177.9</v>
      </c>
      <c r="BF39" s="593">
        <v>-271.8</v>
      </c>
      <c r="BG39" s="62">
        <v>-97.5</v>
      </c>
      <c r="BH39" s="62">
        <v>-87.2</v>
      </c>
      <c r="BI39" s="62"/>
      <c r="BJ39" s="593"/>
    </row>
    <row r="40" spans="1:65" ht="20.100000000000001" customHeight="1">
      <c r="A40" s="64" t="s">
        <v>350</v>
      </c>
      <c r="B40" s="609" t="s">
        <v>351</v>
      </c>
      <c r="C40" s="62">
        <v>3.843</v>
      </c>
      <c r="D40" s="62">
        <v>8.1440000000000001</v>
      </c>
      <c r="E40" s="62">
        <v>12.96</v>
      </c>
      <c r="F40" s="62">
        <v>16.882000000000001</v>
      </c>
      <c r="G40" s="592">
        <v>3.544</v>
      </c>
      <c r="H40" s="62">
        <v>6.1040000000000001</v>
      </c>
      <c r="I40" s="62">
        <v>8.5630000000000006</v>
      </c>
      <c r="J40" s="593">
        <v>10.41</v>
      </c>
      <c r="K40" s="62">
        <v>2.165</v>
      </c>
      <c r="L40" s="62">
        <v>13.4</v>
      </c>
      <c r="M40" s="62">
        <v>33.1</v>
      </c>
      <c r="N40" s="62">
        <v>45.2</v>
      </c>
      <c r="O40" s="592">
        <v>13.2</v>
      </c>
      <c r="P40" s="62">
        <v>20.5</v>
      </c>
      <c r="Q40" s="62">
        <v>30.5</v>
      </c>
      <c r="R40" s="593">
        <v>38.799999999999997</v>
      </c>
      <c r="S40" s="62">
        <v>8.1</v>
      </c>
      <c r="T40" s="62">
        <v>13.1</v>
      </c>
      <c r="U40" s="62">
        <v>19.5</v>
      </c>
      <c r="V40" s="62">
        <v>25.9</v>
      </c>
      <c r="W40" s="592">
        <v>14.5</v>
      </c>
      <c r="X40" s="62">
        <v>16</v>
      </c>
      <c r="Y40" s="62">
        <v>23.5</v>
      </c>
      <c r="Z40" s="593">
        <v>31.3</v>
      </c>
      <c r="AA40" s="62">
        <v>7.5</v>
      </c>
      <c r="AB40" s="62">
        <v>14.6</v>
      </c>
      <c r="AC40" s="62">
        <v>20.5</v>
      </c>
      <c r="AD40" s="62">
        <v>26.2</v>
      </c>
      <c r="AE40" s="592">
        <v>4.8</v>
      </c>
      <c r="AF40" s="62">
        <v>11.8</v>
      </c>
      <c r="AG40" s="62">
        <v>18.3</v>
      </c>
      <c r="AH40" s="593">
        <v>24</v>
      </c>
      <c r="AI40" s="62">
        <v>4.8</v>
      </c>
      <c r="AJ40" s="62">
        <v>11.8</v>
      </c>
      <c r="AK40" s="62">
        <v>18.3</v>
      </c>
      <c r="AL40" s="62">
        <v>24</v>
      </c>
      <c r="AM40" s="592">
        <v>4.9000000000000004</v>
      </c>
      <c r="AN40" s="62">
        <v>6.8</v>
      </c>
      <c r="AO40" s="62">
        <v>6.7</v>
      </c>
      <c r="AP40" s="593">
        <v>6.7</v>
      </c>
      <c r="AQ40" s="62">
        <v>0.7</v>
      </c>
      <c r="AR40" s="62">
        <v>2.7</v>
      </c>
      <c r="AS40" s="62">
        <v>3.8</v>
      </c>
      <c r="AT40" s="593">
        <v>7.6</v>
      </c>
      <c r="AU40" s="62">
        <v>10.9</v>
      </c>
      <c r="AV40" s="62">
        <v>32.4</v>
      </c>
      <c r="AW40" s="62">
        <v>46.6</v>
      </c>
      <c r="AX40" s="593">
        <v>66.599999999999994</v>
      </c>
      <c r="AY40" s="62">
        <v>24.4</v>
      </c>
      <c r="AZ40" s="62">
        <v>46.1</v>
      </c>
      <c r="BA40" s="62">
        <v>69.7</v>
      </c>
      <c r="BB40" s="593">
        <v>106.3</v>
      </c>
      <c r="BC40" s="62">
        <v>30.5</v>
      </c>
      <c r="BD40" s="62">
        <v>69.3</v>
      </c>
      <c r="BE40" s="62">
        <v>106.4</v>
      </c>
      <c r="BF40" s="593">
        <v>138.4</v>
      </c>
      <c r="BG40" s="62">
        <v>31.7</v>
      </c>
      <c r="BH40" s="62">
        <v>67.8</v>
      </c>
      <c r="BI40" s="62"/>
      <c r="BJ40" s="593"/>
    </row>
    <row r="41" spans="1:65" s="239" customFormat="1" ht="25.2" customHeight="1">
      <c r="A41" s="359" t="s">
        <v>352</v>
      </c>
      <c r="B41" s="611" t="s">
        <v>353</v>
      </c>
      <c r="C41" s="360">
        <f t="shared" ref="C41:R41" si="4">SUM(C38:C40)</f>
        <v>223.97899999999998</v>
      </c>
      <c r="D41" s="360">
        <f t="shared" si="4"/>
        <v>376.56700000000001</v>
      </c>
      <c r="E41" s="360">
        <f t="shared" si="4"/>
        <v>581.96400000000017</v>
      </c>
      <c r="F41" s="360">
        <f t="shared" si="4"/>
        <v>781.36700000000008</v>
      </c>
      <c r="G41" s="597">
        <f t="shared" si="4"/>
        <v>155.44299999999998</v>
      </c>
      <c r="H41" s="360">
        <f t="shared" si="4"/>
        <v>331.71299999999997</v>
      </c>
      <c r="I41" s="360">
        <f t="shared" si="4"/>
        <v>519.3549999999999</v>
      </c>
      <c r="J41" s="598">
        <f t="shared" si="4"/>
        <v>802.65899999999988</v>
      </c>
      <c r="K41" s="360">
        <f t="shared" si="4"/>
        <v>169.06</v>
      </c>
      <c r="L41" s="360" t="e">
        <f t="shared" si="4"/>
        <v>#REF!</v>
      </c>
      <c r="M41" s="360">
        <f t="shared" si="4"/>
        <v>1321.8000000000002</v>
      </c>
      <c r="N41" s="360">
        <f t="shared" si="4"/>
        <v>1973.8999999999999</v>
      </c>
      <c r="O41" s="597">
        <f t="shared" si="4"/>
        <v>417.7000000000001</v>
      </c>
      <c r="P41" s="360">
        <f t="shared" si="4"/>
        <v>1304.2999999999995</v>
      </c>
      <c r="Q41" s="360" t="e">
        <f t="shared" si="4"/>
        <v>#REF!</v>
      </c>
      <c r="R41" s="598" t="e">
        <f t="shared" si="4"/>
        <v>#REF!</v>
      </c>
      <c r="S41" s="360" t="e">
        <f t="shared" ref="S41" si="5">SUM(S38:S40)</f>
        <v>#REF!</v>
      </c>
      <c r="T41" s="360" t="e">
        <f t="shared" ref="T41:U41" si="6">SUM(T38:T40)</f>
        <v>#REF!</v>
      </c>
      <c r="U41" s="360" t="e">
        <f t="shared" si="6"/>
        <v>#REF!</v>
      </c>
      <c r="V41" s="360" t="e">
        <f t="shared" ref="V41:Z41" si="7">SUM(V38:V40)</f>
        <v>#REF!</v>
      </c>
      <c r="W41" s="597">
        <f t="shared" si="7"/>
        <v>751.70000000000027</v>
      </c>
      <c r="X41" s="360">
        <f t="shared" si="7"/>
        <v>1519.4</v>
      </c>
      <c r="Y41" s="360">
        <f t="shared" si="7"/>
        <v>2087.6999999999998</v>
      </c>
      <c r="Z41" s="598">
        <f t="shared" si="7"/>
        <v>2941.4000000000005</v>
      </c>
      <c r="AA41" s="360">
        <f t="shared" ref="AA41:AD41" si="8">SUM(AA38:AA40)</f>
        <v>570.00000000000011</v>
      </c>
      <c r="AB41" s="360">
        <f>SUM(AB38:AB40)</f>
        <v>1220.2</v>
      </c>
      <c r="AC41" s="360">
        <f>SUM(AC38:AC40)</f>
        <v>1976.2000000000003</v>
      </c>
      <c r="AD41" s="360">
        <f t="shared" si="8"/>
        <v>2915.1</v>
      </c>
      <c r="AE41" s="597">
        <f t="shared" ref="AE41:AH41" si="9">SUM(AE38:AE40)</f>
        <v>641.9</v>
      </c>
      <c r="AF41" s="360">
        <f t="shared" si="9"/>
        <v>1403.1000000000001</v>
      </c>
      <c r="AG41" s="360">
        <f t="shared" si="9"/>
        <v>2172.6000000000004</v>
      </c>
      <c r="AH41" s="598">
        <f t="shared" si="9"/>
        <v>3087.3</v>
      </c>
      <c r="AI41" s="360">
        <f t="shared" ref="AI41:AL41" si="10">SUM(AI38:AI40)</f>
        <v>700.9</v>
      </c>
      <c r="AJ41" s="360">
        <f t="shared" si="10"/>
        <v>1558.1000000000001</v>
      </c>
      <c r="AK41" s="360">
        <f t="shared" si="10"/>
        <v>2425.7000000000007</v>
      </c>
      <c r="AL41" s="360">
        <f t="shared" si="10"/>
        <v>3473.3999999999996</v>
      </c>
      <c r="AM41" s="597" t="e">
        <f t="shared" ref="AM41:AP41" si="11">SUM(AM38:AM40)</f>
        <v>#REF!</v>
      </c>
      <c r="AN41" s="360">
        <f t="shared" si="11"/>
        <v>1353.2000000000005</v>
      </c>
      <c r="AO41" s="360">
        <v>2223.1</v>
      </c>
      <c r="AP41" s="598">
        <f t="shared" si="11"/>
        <v>3251.6999999999994</v>
      </c>
      <c r="AQ41" s="360" t="e">
        <f t="shared" ref="AQ41:AS41" si="12">SUM(AQ38:AQ40)</f>
        <v>#REF!</v>
      </c>
      <c r="AR41" s="360" t="e">
        <f t="shared" si="12"/>
        <v>#REF!</v>
      </c>
      <c r="AS41" s="360" t="e">
        <f t="shared" si="12"/>
        <v>#REF!</v>
      </c>
      <c r="AT41" s="598" t="e">
        <f t="shared" ref="AT41:AW41" si="13">SUM(AT38:AT40)</f>
        <v>#REF!</v>
      </c>
      <c r="AU41" s="360" t="e">
        <f t="shared" si="13"/>
        <v>#REF!</v>
      </c>
      <c r="AV41" s="360" t="e">
        <f>SUM(AV38:AV40)</f>
        <v>#REF!</v>
      </c>
      <c r="AW41" s="360" t="e">
        <f t="shared" si="13"/>
        <v>#REF!</v>
      </c>
      <c r="AX41" s="598" t="e">
        <f t="shared" ref="AX41:AY41" si="14">SUM(AX38:AX40)</f>
        <v>#REF!</v>
      </c>
      <c r="AY41" s="360" t="e">
        <f t="shared" si="14"/>
        <v>#REF!</v>
      </c>
      <c r="AZ41" s="360">
        <f>SUM(AZ38:AZ40)</f>
        <v>1239.6999999999991</v>
      </c>
      <c r="BA41" s="360">
        <f t="shared" ref="BA41:BC41" si="15">SUM(BA38:BA40)</f>
        <v>1468.2999999999995</v>
      </c>
      <c r="BB41" s="598">
        <f t="shared" si="15"/>
        <v>2392.3999999999996</v>
      </c>
      <c r="BC41" s="360">
        <f t="shared" si="15"/>
        <v>763.2</v>
      </c>
      <c r="BD41" s="360">
        <f>SUM(BD38:BD40)</f>
        <v>1463.9</v>
      </c>
      <c r="BE41" s="360">
        <f>SUM(BE38:BE40)</f>
        <v>2529.1999999999994</v>
      </c>
      <c r="BF41" s="598">
        <f>SUM(BF38:BF40)</f>
        <v>3427.1600000000003</v>
      </c>
      <c r="BG41" s="360">
        <f t="shared" ref="BG41:BH41" si="16">SUM(BG38:BG40)</f>
        <v>683.60000000000014</v>
      </c>
      <c r="BH41" s="360">
        <f t="shared" si="16"/>
        <v>1468.3999999999999</v>
      </c>
      <c r="BI41" s="360"/>
      <c r="BJ41" s="598"/>
      <c r="BM41" s="4"/>
    </row>
    <row r="42" spans="1:65" ht="20.100000000000001" customHeight="1">
      <c r="A42" s="64" t="s">
        <v>354</v>
      </c>
      <c r="B42" s="609" t="s">
        <v>355</v>
      </c>
      <c r="C42" s="62">
        <v>-13.759</v>
      </c>
      <c r="D42" s="62">
        <v>-28.18</v>
      </c>
      <c r="E42" s="62">
        <v>-40.478000000000002</v>
      </c>
      <c r="F42" s="62">
        <v>-54.936999999999998</v>
      </c>
      <c r="G42" s="592">
        <v>-21.702999999999999</v>
      </c>
      <c r="H42" s="62">
        <v>-40.633000000000003</v>
      </c>
      <c r="I42" s="62">
        <v>-53.000999999999998</v>
      </c>
      <c r="J42" s="593">
        <v>-60.844999999999999</v>
      </c>
      <c r="K42" s="62">
        <v>-19.433</v>
      </c>
      <c r="L42" s="62">
        <v>-93</v>
      </c>
      <c r="M42" s="62">
        <v>-180</v>
      </c>
      <c r="N42" s="62">
        <v>-263.60000000000002</v>
      </c>
      <c r="O42" s="592">
        <v>-137.6</v>
      </c>
      <c r="P42" s="62">
        <v>-187</v>
      </c>
      <c r="Q42" s="62">
        <v>-323.2</v>
      </c>
      <c r="R42" s="593">
        <v>-417.8</v>
      </c>
      <c r="S42" s="62">
        <v>-98.4</v>
      </c>
      <c r="T42" s="62">
        <v>-179.5</v>
      </c>
      <c r="U42" s="62">
        <v>-301.2</v>
      </c>
      <c r="V42" s="62">
        <v>-436.2</v>
      </c>
      <c r="W42" s="592">
        <v>-138.9</v>
      </c>
      <c r="X42" s="62">
        <v>-268.8</v>
      </c>
      <c r="Y42" s="62">
        <v>-418.9</v>
      </c>
      <c r="Z42" s="593">
        <v>-524.79999999999995</v>
      </c>
      <c r="AA42" s="62">
        <v>-131.6</v>
      </c>
      <c r="AB42" s="62">
        <v>-266.7</v>
      </c>
      <c r="AC42" s="62">
        <v>-465</v>
      </c>
      <c r="AD42" s="62">
        <v>-624.29999999999995</v>
      </c>
      <c r="AE42" s="592">
        <v>-251.4</v>
      </c>
      <c r="AF42" s="62">
        <v>-433.6</v>
      </c>
      <c r="AG42" s="62">
        <v>-651.9</v>
      </c>
      <c r="AH42" s="593">
        <v>-852.6</v>
      </c>
      <c r="AI42" s="62">
        <v>-251.4</v>
      </c>
      <c r="AJ42" s="62">
        <v>-433.6</v>
      </c>
      <c r="AK42" s="62">
        <v>-651.9</v>
      </c>
      <c r="AL42" s="62">
        <v>-852.6</v>
      </c>
      <c r="AM42" s="592">
        <v>-255.9</v>
      </c>
      <c r="AN42" s="62">
        <v>-441.3</v>
      </c>
      <c r="AO42" s="62">
        <v>-648.29999999999995</v>
      </c>
      <c r="AP42" s="593">
        <v>-1006.4</v>
      </c>
      <c r="AQ42" s="62">
        <v>-270.10000000000002</v>
      </c>
      <c r="AR42" s="62">
        <v>-567.4</v>
      </c>
      <c r="AS42" s="62">
        <v>-728.5</v>
      </c>
      <c r="AT42" s="593">
        <v>-924.1</v>
      </c>
      <c r="AU42" s="62">
        <v>-222.5</v>
      </c>
      <c r="AV42" s="62">
        <v>-422.7</v>
      </c>
      <c r="AW42" s="62">
        <v>-567.9</v>
      </c>
      <c r="AX42" s="600">
        <v>-776.9</v>
      </c>
      <c r="AY42" s="62">
        <v>-215.4</v>
      </c>
      <c r="AZ42" s="62">
        <v>-344.2</v>
      </c>
      <c r="BA42" s="62">
        <v>-765</v>
      </c>
      <c r="BB42" s="600">
        <v>-1289.4000000000001</v>
      </c>
      <c r="BC42" s="62">
        <v>-233.7</v>
      </c>
      <c r="BD42" s="62">
        <v>-520.5</v>
      </c>
      <c r="BE42" s="62">
        <v>-933.8</v>
      </c>
      <c r="BF42" s="600">
        <v>-1465.9</v>
      </c>
      <c r="BG42" s="62">
        <v>-340.5</v>
      </c>
      <c r="BH42" s="62">
        <v>-652.1</v>
      </c>
      <c r="BI42" s="62"/>
      <c r="BJ42" s="600"/>
      <c r="BL42" s="208"/>
    </row>
    <row r="43" spans="1:65" ht="20.100000000000001" customHeight="1">
      <c r="A43" s="64" t="s">
        <v>356</v>
      </c>
      <c r="B43" s="609" t="s">
        <v>357</v>
      </c>
      <c r="C43" s="62">
        <v>-7.0449999999999999</v>
      </c>
      <c r="D43" s="62">
        <v>-11.33</v>
      </c>
      <c r="E43" s="62">
        <v>-23.225000000000001</v>
      </c>
      <c r="F43" s="62">
        <v>-36.24</v>
      </c>
      <c r="G43" s="592">
        <v>-13.377000000000001</v>
      </c>
      <c r="H43" s="62">
        <v>-20.378</v>
      </c>
      <c r="I43" s="62">
        <v>-45.453000000000003</v>
      </c>
      <c r="J43" s="593">
        <v>-62.041000000000004</v>
      </c>
      <c r="K43" s="62">
        <v>-19.987000000000002</v>
      </c>
      <c r="L43" s="62">
        <v>-46.6</v>
      </c>
      <c r="M43" s="62">
        <v>-57.4</v>
      </c>
      <c r="N43" s="62">
        <v>-71.8</v>
      </c>
      <c r="O43" s="592">
        <v>-19.100000000000001</v>
      </c>
      <c r="P43" s="62">
        <v>-90.7</v>
      </c>
      <c r="Q43" s="62">
        <v>-111.1</v>
      </c>
      <c r="R43" s="593">
        <v>-165.3</v>
      </c>
      <c r="S43" s="62">
        <v>-20.3</v>
      </c>
      <c r="T43" s="62">
        <v>-61.3</v>
      </c>
      <c r="U43" s="62">
        <v>-94.6</v>
      </c>
      <c r="V43" s="62">
        <v>-154.19999999999999</v>
      </c>
      <c r="W43" s="592">
        <v>-33.200000000000003</v>
      </c>
      <c r="X43" s="62">
        <v>-114.2</v>
      </c>
      <c r="Y43" s="62">
        <v>-137.30000000000001</v>
      </c>
      <c r="Z43" s="593">
        <v>-214.3</v>
      </c>
      <c r="AA43" s="62">
        <v>-42.8</v>
      </c>
      <c r="AB43" s="62">
        <v>-83.9</v>
      </c>
      <c r="AC43" s="62">
        <v>-168.4</v>
      </c>
      <c r="AD43" s="62">
        <v>-304.10000000000002</v>
      </c>
      <c r="AE43" s="592">
        <v>-108.5</v>
      </c>
      <c r="AF43" s="62">
        <v>-202.7</v>
      </c>
      <c r="AG43" s="62">
        <v>-302.7</v>
      </c>
      <c r="AH43" s="593">
        <v>-379</v>
      </c>
      <c r="AI43" s="62">
        <v>-108.5</v>
      </c>
      <c r="AJ43" s="62">
        <v>-202.7</v>
      </c>
      <c r="AK43" s="62">
        <v>-302.7</v>
      </c>
      <c r="AL43" s="62">
        <v>-379</v>
      </c>
      <c r="AM43" s="592">
        <v>-51.5</v>
      </c>
      <c r="AN43" s="62">
        <v>-90.2</v>
      </c>
      <c r="AO43" s="62">
        <v>-139.4</v>
      </c>
      <c r="AP43" s="593">
        <v>-211.5</v>
      </c>
      <c r="AQ43" s="62">
        <v>-65.400000000000006</v>
      </c>
      <c r="AR43" s="62">
        <v>-102.6</v>
      </c>
      <c r="AS43" s="62">
        <v>-173.3</v>
      </c>
      <c r="AT43" s="593">
        <v>-234.7</v>
      </c>
      <c r="AU43" s="62">
        <v>-102.4</v>
      </c>
      <c r="AV43" s="62">
        <v>-164.2</v>
      </c>
      <c r="AW43" s="62">
        <v>-244.3</v>
      </c>
      <c r="AX43" s="593">
        <v>-337.5</v>
      </c>
      <c r="AY43" s="62">
        <v>-79.8</v>
      </c>
      <c r="AZ43" s="62">
        <v>-166.8</v>
      </c>
      <c r="BA43" s="62">
        <v>-239.5</v>
      </c>
      <c r="BB43" s="600">
        <v>-312.5</v>
      </c>
      <c r="BC43" s="62">
        <v>-101.9</v>
      </c>
      <c r="BD43" s="62">
        <v>-173.2</v>
      </c>
      <c r="BE43" s="62">
        <v>-240.4</v>
      </c>
      <c r="BF43" s="600">
        <v>-318.3</v>
      </c>
      <c r="BG43" s="62">
        <v>-149.1</v>
      </c>
      <c r="BH43" s="62">
        <v>-237.5</v>
      </c>
      <c r="BI43" s="62"/>
      <c r="BJ43" s="600"/>
      <c r="BL43" s="916"/>
    </row>
    <row r="44" spans="1:65" ht="20.100000000000001" customHeight="1">
      <c r="A44" s="64" t="s">
        <v>358</v>
      </c>
      <c r="B44" s="609" t="s">
        <v>359</v>
      </c>
      <c r="C44" s="62"/>
      <c r="D44" s="62"/>
      <c r="E44" s="62"/>
      <c r="F44" s="62"/>
      <c r="G44" s="592"/>
      <c r="H44" s="62"/>
      <c r="I44" s="62"/>
      <c r="J44" s="593"/>
      <c r="K44" s="62"/>
      <c r="L44" s="62"/>
      <c r="M44" s="62"/>
      <c r="N44" s="62"/>
      <c r="O44" s="592"/>
      <c r="P44" s="62"/>
      <c r="Q44" s="62"/>
      <c r="R44" s="593"/>
      <c r="S44" s="62"/>
      <c r="T44" s="62"/>
      <c r="U44" s="62"/>
      <c r="V44" s="62">
        <v>0</v>
      </c>
      <c r="W44" s="592"/>
      <c r="X44" s="62"/>
      <c r="Y44" s="62"/>
      <c r="Z44" s="593">
        <v>-9.3000000000000007</v>
      </c>
      <c r="AA44" s="62">
        <v>0</v>
      </c>
      <c r="AB44" s="62">
        <v>0</v>
      </c>
      <c r="AC44" s="62">
        <v>0</v>
      </c>
      <c r="AD44" s="62">
        <v>-9.1999999999999993</v>
      </c>
      <c r="AE44" s="592">
        <v>0</v>
      </c>
      <c r="AF44" s="62"/>
      <c r="AG44" s="62">
        <v>0</v>
      </c>
      <c r="AH44" s="593">
        <v>0</v>
      </c>
      <c r="AI44" s="62">
        <v>0</v>
      </c>
      <c r="AJ44" s="62">
        <v>0</v>
      </c>
      <c r="AK44" s="62">
        <v>0</v>
      </c>
      <c r="AL44" s="62">
        <v>0</v>
      </c>
      <c r="AM44" s="592">
        <v>0</v>
      </c>
      <c r="AN44" s="62">
        <v>-8.3000000000000007</v>
      </c>
      <c r="AO44" s="62">
        <v>-8.3000000000000007</v>
      </c>
      <c r="AP44" s="593">
        <v>-8.3000000000000007</v>
      </c>
      <c r="AQ44" s="62">
        <v>-27.8</v>
      </c>
      <c r="AR44" s="62">
        <v>-27.8</v>
      </c>
      <c r="AS44" s="62">
        <v>-27.8</v>
      </c>
      <c r="AT44" s="593">
        <v>-27.8</v>
      </c>
      <c r="AU44" s="62">
        <v>0</v>
      </c>
      <c r="AV44" s="62">
        <v>0</v>
      </c>
      <c r="AW44" s="62">
        <v>0</v>
      </c>
      <c r="AX44" s="593"/>
      <c r="AY44" s="62">
        <v>0</v>
      </c>
      <c r="AZ44" s="62">
        <v>-20</v>
      </c>
      <c r="BA44" s="62">
        <v>-20</v>
      </c>
      <c r="BB44" s="600">
        <v>-20</v>
      </c>
      <c r="BC44" s="62">
        <v>0</v>
      </c>
      <c r="BD44" s="62">
        <v>0</v>
      </c>
      <c r="BE44" s="62">
        <v>0</v>
      </c>
      <c r="BF44" s="600">
        <v>0</v>
      </c>
      <c r="BG44" s="62">
        <v>0</v>
      </c>
      <c r="BH44" s="62">
        <v>0</v>
      </c>
      <c r="BI44" s="62"/>
      <c r="BJ44" s="600"/>
    </row>
    <row r="45" spans="1:65" ht="20.100000000000001" customHeight="1">
      <c r="A45" s="64" t="s">
        <v>360</v>
      </c>
      <c r="B45" s="609" t="s">
        <v>361</v>
      </c>
      <c r="C45" s="63">
        <v>0</v>
      </c>
      <c r="D45" s="63">
        <v>0</v>
      </c>
      <c r="E45" s="63">
        <v>0</v>
      </c>
      <c r="F45" s="63">
        <v>0</v>
      </c>
      <c r="G45" s="613">
        <v>0</v>
      </c>
      <c r="H45" s="63">
        <v>0</v>
      </c>
      <c r="I45" s="63">
        <v>0</v>
      </c>
      <c r="J45" s="614">
        <v>0</v>
      </c>
      <c r="K45" s="63">
        <v>0</v>
      </c>
      <c r="L45" s="62">
        <v>0</v>
      </c>
      <c r="M45" s="62">
        <v>-482.3</v>
      </c>
      <c r="N45" s="62">
        <v>-482.3</v>
      </c>
      <c r="O45" s="592">
        <v>0</v>
      </c>
      <c r="P45" s="62">
        <v>0</v>
      </c>
      <c r="Q45" s="62">
        <v>-118.7</v>
      </c>
      <c r="R45" s="593">
        <v>-118.7</v>
      </c>
      <c r="S45" s="62">
        <v>-147.69999999999999</v>
      </c>
      <c r="T45" s="62">
        <v>-147.69999999999999</v>
      </c>
      <c r="U45" s="62">
        <v>-268.5</v>
      </c>
      <c r="V45" s="62">
        <v>-268.5</v>
      </c>
      <c r="W45" s="592">
        <v>0</v>
      </c>
      <c r="X45" s="62">
        <v>0</v>
      </c>
      <c r="Y45" s="62">
        <v>-120.7</v>
      </c>
      <c r="Z45" s="593">
        <v>-120.7</v>
      </c>
      <c r="AA45" s="62">
        <v>0</v>
      </c>
      <c r="AB45" s="62">
        <v>0</v>
      </c>
      <c r="AC45" s="62">
        <v>-119.6</v>
      </c>
      <c r="AD45" s="62">
        <v>-119.6</v>
      </c>
      <c r="AE45" s="592">
        <v>0</v>
      </c>
      <c r="AF45" s="62"/>
      <c r="AG45" s="62">
        <v>-122.4</v>
      </c>
      <c r="AH45" s="593">
        <v>-122.4</v>
      </c>
      <c r="AI45" s="62">
        <v>0</v>
      </c>
      <c r="AJ45" s="62">
        <v>0</v>
      </c>
      <c r="AK45" s="62">
        <v>-122.4</v>
      </c>
      <c r="AL45" s="62">
        <v>-122.4</v>
      </c>
      <c r="AM45" s="592">
        <v>0</v>
      </c>
      <c r="AN45" s="62">
        <v>-4.2</v>
      </c>
      <c r="AO45" s="62">
        <v>-126.8</v>
      </c>
      <c r="AP45" s="593">
        <v>-126.8</v>
      </c>
      <c r="AQ45" s="62">
        <v>-21.6</v>
      </c>
      <c r="AR45" s="62">
        <v>-28.3</v>
      </c>
      <c r="AS45" s="62">
        <v>-159.4</v>
      </c>
      <c r="AT45" s="593">
        <v>-159.4</v>
      </c>
      <c r="AU45" s="62">
        <v>-6.4</v>
      </c>
      <c r="AV45" s="62">
        <v>-8.1</v>
      </c>
      <c r="AW45" s="62">
        <v>-162.6</v>
      </c>
      <c r="AX45" s="593">
        <v>-514</v>
      </c>
      <c r="AY45" s="62">
        <v>-852.2</v>
      </c>
      <c r="AZ45" s="62">
        <v>-853.8</v>
      </c>
      <c r="BA45" s="62">
        <v>-1159.4000000000001</v>
      </c>
      <c r="BB45" s="600">
        <v>-1345.9</v>
      </c>
      <c r="BC45" s="62">
        <v>-271.89999999999998</v>
      </c>
      <c r="BD45" s="62">
        <v>-273.5</v>
      </c>
      <c r="BE45" s="62">
        <v>-278.7</v>
      </c>
      <c r="BF45" s="600">
        <v>-564.6</v>
      </c>
      <c r="BG45" s="62">
        <v>-155.5</v>
      </c>
      <c r="BH45" s="62">
        <v>-157.4</v>
      </c>
      <c r="BI45" s="62"/>
      <c r="BJ45" s="600"/>
    </row>
    <row r="46" spans="1:65" ht="20.100000000000001" customHeight="1">
      <c r="A46" s="64" t="s">
        <v>362</v>
      </c>
      <c r="B46" s="609" t="s">
        <v>363</v>
      </c>
      <c r="C46" s="63"/>
      <c r="D46" s="63"/>
      <c r="E46" s="63"/>
      <c r="F46" s="63"/>
      <c r="G46" s="613"/>
      <c r="H46" s="63"/>
      <c r="I46" s="63"/>
      <c r="J46" s="614"/>
      <c r="K46" s="63"/>
      <c r="L46" s="63"/>
      <c r="M46" s="63"/>
      <c r="N46" s="62"/>
      <c r="O46" s="592"/>
      <c r="P46" s="63"/>
      <c r="Q46" s="63"/>
      <c r="R46" s="593"/>
      <c r="S46" s="63">
        <v>0</v>
      </c>
      <c r="T46" s="63">
        <v>0</v>
      </c>
      <c r="U46" s="63">
        <v>0</v>
      </c>
      <c r="V46" s="62">
        <v>0</v>
      </c>
      <c r="W46" s="592">
        <v>0</v>
      </c>
      <c r="X46" s="62">
        <v>0</v>
      </c>
      <c r="Y46" s="62">
        <v>0</v>
      </c>
      <c r="Z46" s="593">
        <v>-662.5</v>
      </c>
      <c r="AA46" s="62">
        <v>-11.3</v>
      </c>
      <c r="AB46" s="62">
        <v>-15.7</v>
      </c>
      <c r="AC46" s="62">
        <v>-15.7</v>
      </c>
      <c r="AD46" s="62">
        <v>-16.100000000000001</v>
      </c>
      <c r="AE46" s="592">
        <v>0</v>
      </c>
      <c r="AF46" s="62">
        <v>-14.7</v>
      </c>
      <c r="AG46" s="62">
        <v>-14.7</v>
      </c>
      <c r="AH46" s="593">
        <v>-1232.5</v>
      </c>
      <c r="AI46" s="62">
        <v>0</v>
      </c>
      <c r="AJ46" s="62">
        <v>-14.7</v>
      </c>
      <c r="AK46" s="62">
        <v>-14.7</v>
      </c>
      <c r="AL46" s="62">
        <v>-1232.5</v>
      </c>
      <c r="AM46" s="592">
        <v>-7.4</v>
      </c>
      <c r="AN46" s="62">
        <v>-7.4</v>
      </c>
      <c r="AO46" s="62">
        <v>-18.8</v>
      </c>
      <c r="AP46" s="593">
        <v>-11.4</v>
      </c>
      <c r="AQ46" s="62">
        <v>0</v>
      </c>
      <c r="AR46" s="62">
        <v>-500</v>
      </c>
      <c r="AS46" s="62">
        <v>-500</v>
      </c>
      <c r="AT46" s="593">
        <v>-500</v>
      </c>
      <c r="AU46" s="62">
        <v>0</v>
      </c>
      <c r="AV46" s="62">
        <v>-4.9000000000000004</v>
      </c>
      <c r="AW46" s="62">
        <v>-4.9000000000000004</v>
      </c>
      <c r="AX46" s="593">
        <v>-4.9000000000000004</v>
      </c>
      <c r="AY46" s="62">
        <v>0</v>
      </c>
      <c r="AZ46" s="62">
        <v>0</v>
      </c>
      <c r="BA46" s="62">
        <v>0</v>
      </c>
      <c r="BB46" s="593">
        <v>0</v>
      </c>
      <c r="BC46" s="62">
        <v>0</v>
      </c>
      <c r="BD46" s="62">
        <v>0</v>
      </c>
      <c r="BE46" s="62">
        <v>0</v>
      </c>
      <c r="BF46" s="593">
        <v>0</v>
      </c>
      <c r="BG46" s="62">
        <v>0</v>
      </c>
      <c r="BH46" s="62">
        <v>0</v>
      </c>
      <c r="BI46" s="62"/>
      <c r="BJ46" s="593"/>
    </row>
    <row r="47" spans="1:65" ht="27.6">
      <c r="A47" s="64" t="s">
        <v>364</v>
      </c>
      <c r="B47" s="609" t="s">
        <v>365</v>
      </c>
      <c r="C47" s="62">
        <v>-2.3290000000000002</v>
      </c>
      <c r="D47" s="62">
        <v>-45.099000000000004</v>
      </c>
      <c r="E47" s="62">
        <v>-45.329000000000001</v>
      </c>
      <c r="F47" s="62">
        <v>-45.710999999999999</v>
      </c>
      <c r="G47" s="592">
        <v>-0.153</v>
      </c>
      <c r="H47" s="62">
        <v>-0.26800000000000002</v>
      </c>
      <c r="I47" s="62">
        <v>-64.186999999999998</v>
      </c>
      <c r="J47" s="593">
        <v>-64.266000000000005</v>
      </c>
      <c r="K47" s="63">
        <v>0</v>
      </c>
      <c r="L47" s="62">
        <v>1800.4</v>
      </c>
      <c r="M47" s="62">
        <v>1800.4</v>
      </c>
      <c r="N47" s="62">
        <v>1800.4</v>
      </c>
      <c r="O47" s="592">
        <v>-4.2</v>
      </c>
      <c r="P47" s="62">
        <v>-29.5</v>
      </c>
      <c r="Q47" s="62">
        <v>-29.5</v>
      </c>
      <c r="R47" s="593">
        <v>-29.5</v>
      </c>
      <c r="S47" s="62">
        <v>262.2</v>
      </c>
      <c r="T47" s="62">
        <v>-145.30000000000001</v>
      </c>
      <c r="U47" s="62">
        <v>-144.4</v>
      </c>
      <c r="V47" s="62">
        <v>-144.4</v>
      </c>
      <c r="W47" s="592">
        <v>0</v>
      </c>
      <c r="X47" s="62">
        <v>0</v>
      </c>
      <c r="Y47" s="62">
        <v>1.6</v>
      </c>
      <c r="Z47" s="593">
        <v>-66.8</v>
      </c>
      <c r="AA47" s="62">
        <v>-16.7</v>
      </c>
      <c r="AB47" s="62">
        <v>-276.8</v>
      </c>
      <c r="AC47" s="62">
        <v>-453.7</v>
      </c>
      <c r="AD47" s="62">
        <v>-792.4</v>
      </c>
      <c r="AE47" s="592">
        <v>0</v>
      </c>
      <c r="AF47" s="62">
        <v>-63.8</v>
      </c>
      <c r="AG47" s="62">
        <v>-74.599999999999994</v>
      </c>
      <c r="AH47" s="593">
        <v>-108.5</v>
      </c>
      <c r="AI47" s="62">
        <v>0</v>
      </c>
      <c r="AJ47" s="62">
        <v>-63.8</v>
      </c>
      <c r="AK47" s="62">
        <v>-74.599999999999994</v>
      </c>
      <c r="AL47" s="62">
        <v>-108.5</v>
      </c>
      <c r="AM47" s="592">
        <v>-48.8</v>
      </c>
      <c r="AN47" s="62">
        <v>-48.8</v>
      </c>
      <c r="AO47" s="62">
        <v>-474.6</v>
      </c>
      <c r="AP47" s="593">
        <v>-479.2</v>
      </c>
      <c r="AQ47" s="62">
        <v>-0.7</v>
      </c>
      <c r="AR47" s="62">
        <v>-181.2</v>
      </c>
      <c r="AS47" s="62">
        <v>-938.2</v>
      </c>
      <c r="AT47" s="593">
        <v>-946.4</v>
      </c>
      <c r="AU47" s="62">
        <v>-13</v>
      </c>
      <c r="AV47" s="62">
        <v>-251.1</v>
      </c>
      <c r="AW47" s="62">
        <v>-260.3</v>
      </c>
      <c r="AX47" s="593">
        <v>-266.5</v>
      </c>
      <c r="AY47" s="62">
        <v>-0.1</v>
      </c>
      <c r="AZ47" s="62">
        <v>-0.1</v>
      </c>
      <c r="BA47" s="62">
        <v>126.9</v>
      </c>
      <c r="BB47" s="600">
        <v>-84.9</v>
      </c>
      <c r="BC47" s="62">
        <v>-6.2</v>
      </c>
      <c r="BD47" s="62">
        <v>-108.4</v>
      </c>
      <c r="BE47" s="62">
        <v>-133.19999999999999</v>
      </c>
      <c r="BF47" s="600">
        <v>-237.4</v>
      </c>
      <c r="BG47" s="62">
        <v>-51.8</v>
      </c>
      <c r="BH47" s="62">
        <v>-51.8</v>
      </c>
      <c r="BI47" s="62"/>
      <c r="BJ47" s="600"/>
    </row>
    <row r="48" spans="1:65" s="91" customFormat="1">
      <c r="A48" s="172" t="s">
        <v>366</v>
      </c>
      <c r="B48" s="610" t="s">
        <v>367</v>
      </c>
      <c r="C48" s="234"/>
      <c r="D48" s="234"/>
      <c r="E48" s="234"/>
      <c r="F48" s="234"/>
      <c r="G48" s="599"/>
      <c r="H48" s="234"/>
      <c r="I48" s="234"/>
      <c r="J48" s="600"/>
      <c r="K48" s="235"/>
      <c r="L48" s="234"/>
      <c r="M48" s="234"/>
      <c r="N48" s="234"/>
      <c r="O48" s="599"/>
      <c r="P48" s="234"/>
      <c r="Q48" s="234"/>
      <c r="R48" s="600"/>
      <c r="S48" s="234"/>
      <c r="T48" s="234"/>
      <c r="U48" s="234"/>
      <c r="V48" s="234"/>
      <c r="W48" s="599"/>
      <c r="X48" s="234"/>
      <c r="Y48" s="234"/>
      <c r="Z48" s="600"/>
      <c r="AA48" s="234"/>
      <c r="AB48" s="234"/>
      <c r="AC48" s="234"/>
      <c r="AD48" s="234"/>
      <c r="AE48" s="599"/>
      <c r="AF48" s="234">
        <v>-16.3</v>
      </c>
      <c r="AG48" s="234">
        <v>-16.3</v>
      </c>
      <c r="AH48" s="600">
        <v>-16.3</v>
      </c>
      <c r="AI48" s="234"/>
      <c r="AJ48" s="234">
        <v>-16.3</v>
      </c>
      <c r="AK48" s="234">
        <v>-16.3</v>
      </c>
      <c r="AL48" s="234">
        <v>-16.3</v>
      </c>
      <c r="AM48" s="599">
        <v>0</v>
      </c>
      <c r="AN48" s="234">
        <v>0</v>
      </c>
      <c r="AO48" s="234">
        <v>0</v>
      </c>
      <c r="AP48" s="600">
        <v>0</v>
      </c>
      <c r="AQ48" s="234">
        <v>0</v>
      </c>
      <c r="AR48" s="234">
        <v>0</v>
      </c>
      <c r="AS48" s="234">
        <v>0</v>
      </c>
      <c r="AT48" s="600">
        <v>0</v>
      </c>
      <c r="AU48" s="234">
        <v>0</v>
      </c>
      <c r="AV48" s="234">
        <v>-473.8</v>
      </c>
      <c r="AW48" s="234">
        <v>-473.8</v>
      </c>
      <c r="AX48" s="600">
        <v>-473.8</v>
      </c>
      <c r="AY48" s="234">
        <v>0</v>
      </c>
      <c r="AZ48" s="234">
        <v>0</v>
      </c>
      <c r="BA48" s="62">
        <v>0</v>
      </c>
      <c r="BB48" s="600">
        <v>0</v>
      </c>
      <c r="BC48" s="62">
        <v>0</v>
      </c>
      <c r="BD48" s="62">
        <v>0</v>
      </c>
      <c r="BE48" s="62">
        <v>0</v>
      </c>
      <c r="BF48" s="600">
        <v>0</v>
      </c>
      <c r="BG48" s="62">
        <v>0</v>
      </c>
      <c r="BH48" s="62">
        <v>0</v>
      </c>
      <c r="BI48" s="62"/>
      <c r="BJ48" s="600"/>
      <c r="BM48" s="4"/>
    </row>
    <row r="49" spans="1:65" ht="27.6">
      <c r="A49" s="64" t="s">
        <v>368</v>
      </c>
      <c r="B49" s="609" t="s">
        <v>369</v>
      </c>
      <c r="C49" s="63">
        <v>0</v>
      </c>
      <c r="D49" s="63">
        <v>0</v>
      </c>
      <c r="E49" s="63">
        <v>0</v>
      </c>
      <c r="F49" s="63">
        <v>0</v>
      </c>
      <c r="G49" s="613">
        <v>0</v>
      </c>
      <c r="H49" s="63">
        <v>0</v>
      </c>
      <c r="I49" s="62">
        <v>48.219000000000001</v>
      </c>
      <c r="J49" s="593">
        <v>48.736000000000004</v>
      </c>
      <c r="K49" s="63">
        <v>0</v>
      </c>
      <c r="L49" s="62">
        <v>0</v>
      </c>
      <c r="M49" s="62">
        <v>0</v>
      </c>
      <c r="N49" s="62">
        <v>0</v>
      </c>
      <c r="O49" s="592">
        <v>0</v>
      </c>
      <c r="P49" s="62">
        <v>0</v>
      </c>
      <c r="Q49" s="62">
        <v>0</v>
      </c>
      <c r="R49" s="593">
        <v>0</v>
      </c>
      <c r="S49" s="62">
        <v>0</v>
      </c>
      <c r="T49" s="62">
        <v>0.2</v>
      </c>
      <c r="U49" s="62">
        <v>0.2</v>
      </c>
      <c r="V49" s="62">
        <v>0</v>
      </c>
      <c r="W49" s="592">
        <v>0</v>
      </c>
      <c r="X49" s="62">
        <v>0</v>
      </c>
      <c r="Y49" s="62">
        <v>0</v>
      </c>
      <c r="Z49" s="593">
        <v>0</v>
      </c>
      <c r="AA49" s="62">
        <v>0</v>
      </c>
      <c r="AB49" s="62">
        <v>0</v>
      </c>
      <c r="AC49" s="62">
        <v>0</v>
      </c>
      <c r="AD49" s="62">
        <v>0</v>
      </c>
      <c r="AE49" s="592">
        <v>0</v>
      </c>
      <c r="AF49" s="62">
        <v>0</v>
      </c>
      <c r="AG49" s="62"/>
      <c r="AH49" s="593">
        <v>0</v>
      </c>
      <c r="AI49" s="62">
        <v>0</v>
      </c>
      <c r="AJ49" s="62">
        <v>0</v>
      </c>
      <c r="AK49" s="62">
        <v>0</v>
      </c>
      <c r="AL49" s="62">
        <v>0</v>
      </c>
      <c r="AM49" s="592">
        <v>0</v>
      </c>
      <c r="AN49" s="62">
        <v>0</v>
      </c>
      <c r="AO49" s="62">
        <v>0</v>
      </c>
      <c r="AP49" s="593">
        <v>0</v>
      </c>
      <c r="AQ49" s="62">
        <v>0</v>
      </c>
      <c r="AR49" s="62">
        <v>0</v>
      </c>
      <c r="AS49" s="62">
        <v>7111.9</v>
      </c>
      <c r="AT49" s="593">
        <v>7111.9</v>
      </c>
      <c r="AU49" s="62">
        <v>0</v>
      </c>
      <c r="AV49" s="62">
        <v>0</v>
      </c>
      <c r="AW49" s="62">
        <v>643.29999999999995</v>
      </c>
      <c r="AX49" s="593">
        <v>757.4</v>
      </c>
      <c r="AY49" s="62">
        <v>0</v>
      </c>
      <c r="AZ49" s="62"/>
      <c r="BA49" s="62">
        <v>913.8</v>
      </c>
      <c r="BB49" s="600">
        <v>913.8</v>
      </c>
      <c r="BC49" s="62">
        <v>12</v>
      </c>
      <c r="BD49" s="62">
        <v>12</v>
      </c>
      <c r="BE49" s="62">
        <v>12</v>
      </c>
      <c r="BF49" s="600">
        <v>13.3</v>
      </c>
      <c r="BG49" s="62">
        <v>0</v>
      </c>
      <c r="BH49" s="62">
        <v>0</v>
      </c>
      <c r="BI49" s="62"/>
      <c r="BJ49" s="600"/>
    </row>
    <row r="50" spans="1:65" ht="20.100000000000001" customHeight="1">
      <c r="A50" s="64" t="s">
        <v>790</v>
      </c>
      <c r="B50" s="609" t="s">
        <v>793</v>
      </c>
      <c r="C50" s="62"/>
      <c r="D50" s="62"/>
      <c r="E50" s="62"/>
      <c r="F50" s="62"/>
      <c r="G50" s="592"/>
      <c r="H50" s="62"/>
      <c r="I50" s="62"/>
      <c r="J50" s="593"/>
      <c r="K50" s="63"/>
      <c r="L50" s="62"/>
      <c r="M50" s="62"/>
      <c r="N50" s="62"/>
      <c r="O50" s="592"/>
      <c r="P50" s="62"/>
      <c r="Q50" s="62"/>
      <c r="R50" s="593"/>
      <c r="S50" s="62"/>
      <c r="T50" s="62"/>
      <c r="U50" s="62"/>
      <c r="V50" s="62"/>
      <c r="W50" s="592"/>
      <c r="X50" s="62"/>
      <c r="Y50" s="62"/>
      <c r="Z50" s="593"/>
      <c r="AA50" s="62"/>
      <c r="AB50" s="62"/>
      <c r="AC50" s="62"/>
      <c r="AD50" s="62"/>
      <c r="AE50" s="592"/>
      <c r="AF50" s="62"/>
      <c r="AG50" s="62"/>
      <c r="AH50" s="593"/>
      <c r="AI50" s="62"/>
      <c r="AJ50" s="62"/>
      <c r="AK50" s="62"/>
      <c r="AL50" s="62"/>
      <c r="AM50" s="592"/>
      <c r="AN50" s="62"/>
      <c r="AO50" s="62"/>
      <c r="AP50" s="593"/>
      <c r="AQ50" s="62"/>
      <c r="AR50" s="62"/>
      <c r="AS50" s="62"/>
      <c r="AT50" s="593"/>
      <c r="AU50" s="62"/>
      <c r="AV50" s="62"/>
      <c r="AW50" s="62"/>
      <c r="AX50" s="600"/>
      <c r="AY50" s="62"/>
      <c r="AZ50" s="62"/>
      <c r="BA50" s="62"/>
      <c r="BB50" s="600"/>
      <c r="BC50" s="62"/>
      <c r="BD50" s="62"/>
      <c r="BE50" s="62"/>
      <c r="BF50" s="600"/>
      <c r="BG50" s="62">
        <v>718</v>
      </c>
      <c r="BH50" s="62">
        <v>718</v>
      </c>
      <c r="BI50" s="62"/>
      <c r="BJ50" s="600"/>
    </row>
    <row r="51" spans="1:65" ht="20.100000000000001" customHeight="1">
      <c r="A51" s="64" t="s">
        <v>370</v>
      </c>
      <c r="B51" s="609" t="s">
        <v>371</v>
      </c>
      <c r="C51" s="62">
        <v>0.09</v>
      </c>
      <c r="D51" s="62">
        <v>0.121</v>
      </c>
      <c r="E51" s="62">
        <v>0.69000000000000006</v>
      </c>
      <c r="F51" s="62">
        <v>0.751</v>
      </c>
      <c r="G51" s="592">
        <v>0.35000000000000003</v>
      </c>
      <c r="H51" s="62">
        <v>0.41000000000000003</v>
      </c>
      <c r="I51" s="62">
        <v>1.756</v>
      </c>
      <c r="J51" s="593">
        <v>2.0640000000000001</v>
      </c>
      <c r="K51" s="63">
        <v>0.33700000000000002</v>
      </c>
      <c r="L51" s="62">
        <v>1.6</v>
      </c>
      <c r="M51" s="62">
        <v>4</v>
      </c>
      <c r="N51" s="62">
        <v>4.0999999999999996</v>
      </c>
      <c r="O51" s="592">
        <v>0.2</v>
      </c>
      <c r="P51" s="62">
        <v>13.3</v>
      </c>
      <c r="Q51" s="62">
        <v>15.1</v>
      </c>
      <c r="R51" s="593">
        <v>16.899999999999999</v>
      </c>
      <c r="S51" s="62">
        <v>3.5</v>
      </c>
      <c r="T51" s="62">
        <v>5</v>
      </c>
      <c r="U51" s="62">
        <v>6.3</v>
      </c>
      <c r="V51" s="62">
        <v>9.5</v>
      </c>
      <c r="W51" s="592">
        <v>12.8</v>
      </c>
      <c r="X51" s="62">
        <v>16</v>
      </c>
      <c r="Y51" s="62">
        <v>15.8</v>
      </c>
      <c r="Z51" s="593">
        <v>19.3</v>
      </c>
      <c r="AA51" s="62">
        <v>3.4</v>
      </c>
      <c r="AB51" s="62">
        <v>10.6</v>
      </c>
      <c r="AC51" s="62">
        <v>11.6</v>
      </c>
      <c r="AD51" s="62">
        <v>11.6</v>
      </c>
      <c r="AE51" s="592">
        <v>2.5</v>
      </c>
      <c r="AF51" s="62">
        <v>4.2</v>
      </c>
      <c r="AG51" s="62">
        <v>4.8</v>
      </c>
      <c r="AH51" s="593">
        <v>6.8</v>
      </c>
      <c r="AI51" s="62">
        <v>2.5</v>
      </c>
      <c r="AJ51" s="62">
        <v>4.2</v>
      </c>
      <c r="AK51" s="62">
        <v>4.8</v>
      </c>
      <c r="AL51" s="62">
        <v>6.8</v>
      </c>
      <c r="AM51" s="592">
        <v>1.7</v>
      </c>
      <c r="AN51" s="62">
        <v>4.4000000000000004</v>
      </c>
      <c r="AO51" s="62">
        <v>5.5</v>
      </c>
      <c r="AP51" s="593">
        <v>8.4</v>
      </c>
      <c r="AQ51" s="62">
        <v>3.4</v>
      </c>
      <c r="AR51" s="62">
        <v>4</v>
      </c>
      <c r="AS51" s="62">
        <v>4.8</v>
      </c>
      <c r="AT51" s="593">
        <v>5.7</v>
      </c>
      <c r="AU51" s="62">
        <v>0.6</v>
      </c>
      <c r="AV51" s="62">
        <v>2.2999999999999998</v>
      </c>
      <c r="AW51" s="62">
        <v>2.5</v>
      </c>
      <c r="AX51" s="600">
        <v>78.2</v>
      </c>
      <c r="AY51" s="62">
        <v>6.4</v>
      </c>
      <c r="AZ51" s="62">
        <v>8.6</v>
      </c>
      <c r="BA51" s="62">
        <v>12.9</v>
      </c>
      <c r="BB51" s="600">
        <v>26.2</v>
      </c>
      <c r="BC51" s="62">
        <v>6.5</v>
      </c>
      <c r="BD51" s="62">
        <v>214.1</v>
      </c>
      <c r="BE51" s="62">
        <v>223.5</v>
      </c>
      <c r="BF51" s="600">
        <v>258</v>
      </c>
      <c r="BG51" s="62">
        <v>4.8</v>
      </c>
      <c r="BH51" s="62">
        <v>11.4</v>
      </c>
      <c r="BI51" s="62"/>
      <c r="BJ51" s="600"/>
    </row>
    <row r="52" spans="1:65" ht="20.100000000000001" customHeight="1">
      <c r="A52" s="64" t="s">
        <v>372</v>
      </c>
      <c r="B52" s="609" t="s">
        <v>373</v>
      </c>
      <c r="C52" s="62"/>
      <c r="D52" s="62"/>
      <c r="E52" s="62"/>
      <c r="F52" s="62"/>
      <c r="G52" s="592"/>
      <c r="H52" s="62"/>
      <c r="I52" s="62"/>
      <c r="J52" s="593"/>
      <c r="K52" s="63"/>
      <c r="L52" s="62"/>
      <c r="M52" s="62"/>
      <c r="N52" s="62"/>
      <c r="O52" s="592"/>
      <c r="P52" s="62"/>
      <c r="Q52" s="62"/>
      <c r="R52" s="593"/>
      <c r="S52" s="62"/>
      <c r="T52" s="62"/>
      <c r="U52" s="62"/>
      <c r="V52" s="62"/>
      <c r="W52" s="592"/>
      <c r="X52" s="62"/>
      <c r="Y52" s="62"/>
      <c r="Z52" s="593"/>
      <c r="AA52" s="62">
        <v>-45</v>
      </c>
      <c r="AB52" s="62">
        <f>-50+50.3</f>
        <v>0.29999999999999716</v>
      </c>
      <c r="AC52" s="62">
        <f>-95+95.4</f>
        <v>0.40000000000000568</v>
      </c>
      <c r="AD52" s="62">
        <f>-130+130.5</f>
        <v>0.5</v>
      </c>
      <c r="AE52" s="592">
        <v>0.1</v>
      </c>
      <c r="AF52" s="62">
        <v>0.3</v>
      </c>
      <c r="AG52" s="62">
        <f>100.5-100</f>
        <v>0.5</v>
      </c>
      <c r="AH52" s="593">
        <v>0.69999999999998863</v>
      </c>
      <c r="AI52" s="62">
        <v>0.1</v>
      </c>
      <c r="AJ52" s="62">
        <v>0.3</v>
      </c>
      <c r="AK52" s="62">
        <v>0.5</v>
      </c>
      <c r="AL52" s="62">
        <v>0.69999999999998863</v>
      </c>
      <c r="AM52" s="592">
        <v>0</v>
      </c>
      <c r="AN52" s="62">
        <v>0</v>
      </c>
      <c r="AO52" s="62">
        <v>0</v>
      </c>
      <c r="AP52" s="593">
        <v>0</v>
      </c>
      <c r="AQ52" s="62">
        <v>0</v>
      </c>
      <c r="AR52" s="62">
        <v>0</v>
      </c>
      <c r="AS52" s="62">
        <v>0</v>
      </c>
      <c r="AT52" s="593">
        <v>0</v>
      </c>
      <c r="AU52" s="62">
        <v>0</v>
      </c>
      <c r="AV52" s="62">
        <v>0</v>
      </c>
      <c r="AW52" s="62">
        <v>0</v>
      </c>
      <c r="AX52" s="593">
        <v>0</v>
      </c>
      <c r="AY52" s="62">
        <v>0</v>
      </c>
      <c r="AZ52" s="62">
        <v>0</v>
      </c>
      <c r="BA52" s="62">
        <v>0</v>
      </c>
      <c r="BB52" s="593">
        <v>0</v>
      </c>
      <c r="BC52" s="62">
        <v>0</v>
      </c>
      <c r="BD52" s="62">
        <v>0</v>
      </c>
      <c r="BE52" s="62">
        <v>0</v>
      </c>
      <c r="BF52" s="593">
        <v>0</v>
      </c>
      <c r="BG52" s="62">
        <v>0</v>
      </c>
      <c r="BH52" s="62">
        <v>0</v>
      </c>
      <c r="BI52" s="62"/>
      <c r="BJ52" s="593"/>
    </row>
    <row r="53" spans="1:65" ht="20.100000000000001" customHeight="1">
      <c r="A53" s="64" t="s">
        <v>374</v>
      </c>
      <c r="B53" s="609" t="s">
        <v>178</v>
      </c>
      <c r="C53" s="63">
        <v>0</v>
      </c>
      <c r="D53" s="63">
        <v>0</v>
      </c>
      <c r="E53" s="63">
        <v>0</v>
      </c>
      <c r="F53" s="63">
        <v>0</v>
      </c>
      <c r="G53" s="613">
        <v>0</v>
      </c>
      <c r="H53" s="63">
        <v>0</v>
      </c>
      <c r="I53" s="63">
        <v>0</v>
      </c>
      <c r="J53" s="614">
        <v>0</v>
      </c>
      <c r="K53" s="63">
        <v>0</v>
      </c>
      <c r="L53" s="62">
        <v>-270</v>
      </c>
      <c r="M53" s="62">
        <v>-30</v>
      </c>
      <c r="N53" s="62">
        <v>0</v>
      </c>
      <c r="O53" s="592">
        <v>-42.7</v>
      </c>
      <c r="P53" s="62">
        <v>-42.7</v>
      </c>
      <c r="Q53" s="62">
        <v>0</v>
      </c>
      <c r="R53" s="593">
        <v>0</v>
      </c>
      <c r="S53" s="62">
        <v>-12.4</v>
      </c>
      <c r="T53" s="62">
        <v>0</v>
      </c>
      <c r="U53" s="62">
        <v>0</v>
      </c>
      <c r="V53" s="62">
        <v>0</v>
      </c>
      <c r="W53" s="592">
        <v>0</v>
      </c>
      <c r="X53" s="62">
        <v>0</v>
      </c>
      <c r="Y53" s="62">
        <v>0</v>
      </c>
      <c r="Z53" s="593">
        <v>0</v>
      </c>
      <c r="AA53" s="62">
        <v>0</v>
      </c>
      <c r="AB53" s="62">
        <v>0</v>
      </c>
      <c r="AC53" s="62">
        <v>0</v>
      </c>
      <c r="AD53" s="62">
        <v>0</v>
      </c>
      <c r="AE53" s="592">
        <v>0</v>
      </c>
      <c r="AF53" s="62">
        <v>0</v>
      </c>
      <c r="AG53" s="62">
        <v>0</v>
      </c>
      <c r="AH53" s="593">
        <v>0</v>
      </c>
      <c r="AI53" s="62">
        <v>0</v>
      </c>
      <c r="AJ53" s="62">
        <v>0</v>
      </c>
      <c r="AK53" s="62">
        <v>0</v>
      </c>
      <c r="AL53" s="62">
        <v>0</v>
      </c>
      <c r="AM53" s="592">
        <v>0</v>
      </c>
      <c r="AN53" s="62">
        <v>0</v>
      </c>
      <c r="AO53" s="62">
        <v>0</v>
      </c>
      <c r="AP53" s="593">
        <v>0</v>
      </c>
      <c r="AQ53" s="62">
        <v>0</v>
      </c>
      <c r="AR53" s="62">
        <v>0</v>
      </c>
      <c r="AS53" s="62">
        <v>0</v>
      </c>
      <c r="AT53" s="593">
        <v>0</v>
      </c>
      <c r="AU53" s="62">
        <v>0</v>
      </c>
      <c r="AV53" s="62">
        <v>0</v>
      </c>
      <c r="AW53" s="62">
        <v>0</v>
      </c>
      <c r="AX53" s="593">
        <v>0</v>
      </c>
      <c r="AY53" s="62">
        <v>0</v>
      </c>
      <c r="AZ53" s="62">
        <v>0</v>
      </c>
      <c r="BA53" s="62">
        <v>0</v>
      </c>
      <c r="BB53" s="593">
        <v>0</v>
      </c>
      <c r="BC53" s="62">
        <v>0</v>
      </c>
      <c r="BD53" s="62">
        <v>0</v>
      </c>
      <c r="BE53" s="62">
        <v>0</v>
      </c>
      <c r="BF53" s="593">
        <v>0</v>
      </c>
      <c r="BG53" s="62">
        <v>0</v>
      </c>
      <c r="BH53" s="62">
        <v>0</v>
      </c>
      <c r="BI53" s="62"/>
      <c r="BJ53" s="593"/>
    </row>
    <row r="54" spans="1:65" ht="20.100000000000001" customHeight="1">
      <c r="A54" s="64" t="s">
        <v>375</v>
      </c>
      <c r="B54" s="609" t="s">
        <v>376</v>
      </c>
      <c r="C54" s="62">
        <v>-1.1000000000000001</v>
      </c>
      <c r="D54" s="62">
        <v>-1.1000000000000001</v>
      </c>
      <c r="E54" s="62">
        <v>-1.1000000000000001</v>
      </c>
      <c r="F54" s="62">
        <v>-1.1000000000000001</v>
      </c>
      <c r="G54" s="613">
        <v>0</v>
      </c>
      <c r="H54" s="63">
        <v>0</v>
      </c>
      <c r="I54" s="63">
        <v>0</v>
      </c>
      <c r="J54" s="614">
        <v>0</v>
      </c>
      <c r="K54" s="63">
        <v>0</v>
      </c>
      <c r="L54" s="62">
        <v>-5.8</v>
      </c>
      <c r="M54" s="62">
        <v>-20.399999999999999</v>
      </c>
      <c r="N54" s="62">
        <v>-23.1</v>
      </c>
      <c r="O54" s="592">
        <v>-6</v>
      </c>
      <c r="P54" s="62">
        <v>-8.9</v>
      </c>
      <c r="Q54" s="62">
        <v>-12.1</v>
      </c>
      <c r="R54" s="593">
        <v>-16.100000000000001</v>
      </c>
      <c r="S54" s="62">
        <v>-6.8</v>
      </c>
      <c r="T54" s="62">
        <v>-9.5</v>
      </c>
      <c r="U54" s="62">
        <v>-10.5</v>
      </c>
      <c r="V54" s="62">
        <v>-11.6</v>
      </c>
      <c r="W54" s="592">
        <v>0</v>
      </c>
      <c r="X54" s="62">
        <v>0</v>
      </c>
      <c r="Y54" s="62">
        <v>-28.6</v>
      </c>
      <c r="Z54" s="593">
        <v>-31.1</v>
      </c>
      <c r="AA54" s="62">
        <v>-11</v>
      </c>
      <c r="AB54" s="62">
        <v>-11</v>
      </c>
      <c r="AC54" s="62">
        <v>-11</v>
      </c>
      <c r="AD54" s="62">
        <v>-12.4</v>
      </c>
      <c r="AE54" s="592">
        <v>-12.9</v>
      </c>
      <c r="AF54" s="62">
        <v>-14.6</v>
      </c>
      <c r="AG54" s="62">
        <v>-15.3</v>
      </c>
      <c r="AH54" s="593">
        <v>-21.4</v>
      </c>
      <c r="AI54" s="62">
        <v>-12.9</v>
      </c>
      <c r="AJ54" s="62">
        <v>-14.6</v>
      </c>
      <c r="AK54" s="62">
        <v>-15.3</v>
      </c>
      <c r="AL54" s="62">
        <v>-21.4</v>
      </c>
      <c r="AM54" s="592">
        <v>-5</v>
      </c>
      <c r="AN54" s="62">
        <v>-8.3000000000000007</v>
      </c>
      <c r="AO54" s="62">
        <v>-12.2</v>
      </c>
      <c r="AP54" s="593">
        <v>-13</v>
      </c>
      <c r="AQ54" s="62">
        <v>-2</v>
      </c>
      <c r="AR54" s="62">
        <v>-5.7</v>
      </c>
      <c r="AS54" s="62">
        <v>-13.8</v>
      </c>
      <c r="AT54" s="593">
        <v>-64.900000000000006</v>
      </c>
      <c r="AU54" s="62">
        <v>-192.7</v>
      </c>
      <c r="AV54" s="62">
        <v>-482.2</v>
      </c>
      <c r="AW54" s="62">
        <v>-551.4</v>
      </c>
      <c r="AX54" s="593">
        <v>-686.9</v>
      </c>
      <c r="AY54" s="62">
        <v>-144</v>
      </c>
      <c r="AZ54" s="62">
        <v>-342.5</v>
      </c>
      <c r="BA54" s="62">
        <v>-342.5</v>
      </c>
      <c r="BB54" s="600">
        <v>-343.4</v>
      </c>
      <c r="BC54" s="62">
        <v>-0.5</v>
      </c>
      <c r="BD54" s="62">
        <v>-1</v>
      </c>
      <c r="BE54" s="62">
        <v>-9.6</v>
      </c>
      <c r="BF54" s="600">
        <v>-11.3</v>
      </c>
      <c r="BG54" s="62">
        <v>-0.1</v>
      </c>
      <c r="BH54" s="62">
        <v>-0.1</v>
      </c>
      <c r="BI54" s="62"/>
      <c r="BJ54" s="600"/>
    </row>
    <row r="55" spans="1:65" ht="20.100000000000001" customHeight="1">
      <c r="A55" s="64" t="s">
        <v>377</v>
      </c>
      <c r="B55" s="609" t="s">
        <v>378</v>
      </c>
      <c r="C55" s="62">
        <v>0</v>
      </c>
      <c r="D55" s="62">
        <v>1.1000000000000001</v>
      </c>
      <c r="E55" s="62">
        <v>1.1000000000000001</v>
      </c>
      <c r="F55" s="62">
        <v>1.1000000000000001</v>
      </c>
      <c r="G55" s="613">
        <v>0</v>
      </c>
      <c r="H55" s="63">
        <v>0</v>
      </c>
      <c r="I55" s="63">
        <v>0</v>
      </c>
      <c r="J55" s="614">
        <v>0</v>
      </c>
      <c r="K55" s="63">
        <v>0</v>
      </c>
      <c r="L55" s="62">
        <v>0</v>
      </c>
      <c r="M55" s="62">
        <v>0</v>
      </c>
      <c r="N55" s="62">
        <v>0</v>
      </c>
      <c r="O55" s="592">
        <v>0</v>
      </c>
      <c r="P55" s="62">
        <v>0</v>
      </c>
      <c r="Q55" s="62">
        <v>0</v>
      </c>
      <c r="R55" s="593">
        <v>0</v>
      </c>
      <c r="S55" s="62">
        <v>0</v>
      </c>
      <c r="T55" s="62">
        <v>0</v>
      </c>
      <c r="U55" s="62">
        <v>0</v>
      </c>
      <c r="V55" s="62">
        <v>0.1</v>
      </c>
      <c r="W55" s="592">
        <v>0</v>
      </c>
      <c r="X55" s="62">
        <v>0</v>
      </c>
      <c r="Y55" s="62">
        <v>25</v>
      </c>
      <c r="Z55" s="593">
        <v>30.5</v>
      </c>
      <c r="AA55" s="62">
        <v>0</v>
      </c>
      <c r="AB55" s="62">
        <v>6.4</v>
      </c>
      <c r="AC55" s="62">
        <v>30</v>
      </c>
      <c r="AD55" s="62">
        <v>29.3</v>
      </c>
      <c r="AE55" s="592">
        <v>0</v>
      </c>
      <c r="AF55" s="62">
        <v>0</v>
      </c>
      <c r="AG55" s="62">
        <v>0</v>
      </c>
      <c r="AH55" s="593">
        <v>0.7</v>
      </c>
      <c r="AI55" s="62">
        <v>0</v>
      </c>
      <c r="AJ55" s="62">
        <v>0</v>
      </c>
      <c r="AK55" s="62">
        <v>0</v>
      </c>
      <c r="AL55" s="62">
        <v>0.7</v>
      </c>
      <c r="AM55" s="592">
        <v>0</v>
      </c>
      <c r="AN55" s="62">
        <v>0</v>
      </c>
      <c r="AO55" s="62">
        <v>0</v>
      </c>
      <c r="AP55" s="593">
        <v>0</v>
      </c>
      <c r="AQ55" s="62">
        <v>0</v>
      </c>
      <c r="AR55" s="62">
        <v>0</v>
      </c>
      <c r="AS55" s="62">
        <v>0</v>
      </c>
      <c r="AT55" s="593">
        <v>0</v>
      </c>
      <c r="AU55" s="62">
        <v>0</v>
      </c>
      <c r="AV55" s="62">
        <v>56.2</v>
      </c>
      <c r="AW55" s="62">
        <v>146.1</v>
      </c>
      <c r="AX55" s="593">
        <v>272.5</v>
      </c>
      <c r="AY55" s="62">
        <v>60.5</v>
      </c>
      <c r="AZ55" s="62">
        <v>132.80000000000001</v>
      </c>
      <c r="BA55" s="62">
        <v>132.80000000000001</v>
      </c>
      <c r="BB55" s="600">
        <v>133</v>
      </c>
      <c r="BC55" s="62">
        <v>0.5</v>
      </c>
      <c r="BD55" s="62">
        <v>95.9</v>
      </c>
      <c r="BE55" s="62">
        <v>95.9</v>
      </c>
      <c r="BF55" s="600">
        <v>96</v>
      </c>
      <c r="BG55" s="62">
        <v>0.3</v>
      </c>
      <c r="BH55" s="62">
        <v>0.3</v>
      </c>
      <c r="BI55" s="62"/>
      <c r="BJ55" s="600"/>
    </row>
    <row r="56" spans="1:65" ht="20.100000000000001" customHeight="1">
      <c r="A56" s="64" t="s">
        <v>379</v>
      </c>
      <c r="B56" s="609" t="s">
        <v>380</v>
      </c>
      <c r="C56" s="63">
        <v>0</v>
      </c>
      <c r="D56" s="63">
        <v>0</v>
      </c>
      <c r="E56" s="63">
        <v>0</v>
      </c>
      <c r="F56" s="63">
        <v>0</v>
      </c>
      <c r="G56" s="613">
        <v>0</v>
      </c>
      <c r="H56" s="63">
        <v>0</v>
      </c>
      <c r="I56" s="63">
        <v>0</v>
      </c>
      <c r="J56" s="614">
        <v>0</v>
      </c>
      <c r="K56" s="63">
        <v>0</v>
      </c>
      <c r="L56" s="62">
        <v>5</v>
      </c>
      <c r="M56" s="62">
        <v>5.5</v>
      </c>
      <c r="N56" s="62">
        <v>6.6</v>
      </c>
      <c r="O56" s="592">
        <v>1.2</v>
      </c>
      <c r="P56" s="62">
        <v>-2.1</v>
      </c>
      <c r="Q56" s="62">
        <v>3.2</v>
      </c>
      <c r="R56" s="593">
        <v>3.9</v>
      </c>
      <c r="S56" s="62">
        <v>-5</v>
      </c>
      <c r="T56" s="62">
        <v>-4</v>
      </c>
      <c r="U56" s="62">
        <v>-3.5</v>
      </c>
      <c r="V56" s="62">
        <v>-1.6</v>
      </c>
      <c r="W56" s="592">
        <v>-1.1000000000000001</v>
      </c>
      <c r="X56" s="62">
        <v>0</v>
      </c>
      <c r="Y56" s="83" t="s">
        <v>381</v>
      </c>
      <c r="Z56" s="595" t="s">
        <v>381</v>
      </c>
      <c r="AA56" s="62">
        <v>-1.5</v>
      </c>
      <c r="AB56" s="62">
        <v>0</v>
      </c>
      <c r="AC56" s="62">
        <v>0</v>
      </c>
      <c r="AD56" s="83">
        <v>0</v>
      </c>
      <c r="AE56" s="592">
        <v>0</v>
      </c>
      <c r="AF56" s="62">
        <v>0</v>
      </c>
      <c r="AG56" s="62">
        <v>0</v>
      </c>
      <c r="AH56" s="595">
        <v>0</v>
      </c>
      <c r="AI56" s="62">
        <v>0</v>
      </c>
      <c r="AJ56" s="62">
        <v>0</v>
      </c>
      <c r="AK56" s="62">
        <v>0</v>
      </c>
      <c r="AL56" s="83">
        <v>0</v>
      </c>
      <c r="AM56" s="592">
        <v>0</v>
      </c>
      <c r="AN56" s="62">
        <v>0</v>
      </c>
      <c r="AO56" s="62">
        <v>0</v>
      </c>
      <c r="AP56" s="595">
        <v>0</v>
      </c>
      <c r="AQ56" s="62">
        <v>0</v>
      </c>
      <c r="AR56" s="62">
        <v>0</v>
      </c>
      <c r="AS56" s="62">
        <v>0</v>
      </c>
      <c r="AT56" s="595">
        <v>0</v>
      </c>
      <c r="AU56" s="62">
        <v>0</v>
      </c>
      <c r="AV56" s="62">
        <v>0</v>
      </c>
      <c r="AW56" s="62">
        <v>0</v>
      </c>
      <c r="AX56" s="595">
        <v>0</v>
      </c>
      <c r="AY56" s="62">
        <v>0</v>
      </c>
      <c r="AZ56" s="62">
        <v>0</v>
      </c>
      <c r="BA56" s="62">
        <v>0</v>
      </c>
      <c r="BB56" s="600">
        <v>0</v>
      </c>
      <c r="BC56" s="62">
        <v>0</v>
      </c>
      <c r="BD56" s="62">
        <v>0</v>
      </c>
      <c r="BE56" s="62">
        <v>0</v>
      </c>
      <c r="BF56" s="600">
        <v>0</v>
      </c>
      <c r="BG56" s="62">
        <v>0</v>
      </c>
      <c r="BH56" s="62">
        <v>0</v>
      </c>
      <c r="BI56" s="62"/>
      <c r="BJ56" s="600"/>
    </row>
    <row r="57" spans="1:65" ht="20.100000000000001" customHeight="1">
      <c r="A57" s="64" t="s">
        <v>382</v>
      </c>
      <c r="B57" s="609" t="s">
        <v>383</v>
      </c>
      <c r="C57" s="63">
        <v>0</v>
      </c>
      <c r="D57" s="62">
        <v>1.258</v>
      </c>
      <c r="E57" s="62">
        <v>1.258</v>
      </c>
      <c r="F57" s="62">
        <v>2.706</v>
      </c>
      <c r="G57" s="592">
        <v>0</v>
      </c>
      <c r="H57" s="62">
        <v>2.5150000000000001</v>
      </c>
      <c r="I57" s="62">
        <v>2.5150000000000001</v>
      </c>
      <c r="J57" s="593">
        <v>2.5150000000000001</v>
      </c>
      <c r="K57" s="62">
        <v>2.5300000000000002</v>
      </c>
      <c r="L57" s="62">
        <v>2.5</v>
      </c>
      <c r="M57" s="62">
        <v>2.5</v>
      </c>
      <c r="N57" s="62">
        <v>2.5</v>
      </c>
      <c r="O57" s="592">
        <v>0</v>
      </c>
      <c r="P57" s="62">
        <v>0</v>
      </c>
      <c r="Q57" s="62">
        <v>0</v>
      </c>
      <c r="R57" s="593">
        <v>0</v>
      </c>
      <c r="S57" s="62">
        <v>0</v>
      </c>
      <c r="T57" s="62">
        <v>0</v>
      </c>
      <c r="U57" s="62">
        <v>0</v>
      </c>
      <c r="V57" s="62">
        <v>0</v>
      </c>
      <c r="W57" s="592">
        <v>0</v>
      </c>
      <c r="X57" s="62">
        <v>0</v>
      </c>
      <c r="Y57" s="62">
        <v>0</v>
      </c>
      <c r="Z57" s="593">
        <v>0</v>
      </c>
      <c r="AA57" s="62">
        <v>0</v>
      </c>
      <c r="AB57" s="62">
        <v>0</v>
      </c>
      <c r="AC57" s="62">
        <v>0</v>
      </c>
      <c r="AD57" s="62">
        <v>0</v>
      </c>
      <c r="AE57" s="592">
        <v>0</v>
      </c>
      <c r="AF57" s="62">
        <v>0</v>
      </c>
      <c r="AG57" s="62">
        <v>0</v>
      </c>
      <c r="AH57" s="593">
        <v>0</v>
      </c>
      <c r="AI57" s="62">
        <v>0</v>
      </c>
      <c r="AJ57" s="62">
        <v>0</v>
      </c>
      <c r="AK57" s="62">
        <v>0</v>
      </c>
      <c r="AL57" s="62">
        <v>0</v>
      </c>
      <c r="AM57" s="592">
        <v>0</v>
      </c>
      <c r="AN57" s="62">
        <v>56.8</v>
      </c>
      <c r="AO57" s="62">
        <v>57.2</v>
      </c>
      <c r="AP57" s="593">
        <v>57.2</v>
      </c>
      <c r="AQ57" s="62">
        <v>0</v>
      </c>
      <c r="AR57" s="601">
        <v>59.2</v>
      </c>
      <c r="AS57" s="62">
        <v>59.2</v>
      </c>
      <c r="AT57" s="593">
        <v>59.2</v>
      </c>
      <c r="AU57" s="62">
        <v>0</v>
      </c>
      <c r="AV57" s="62">
        <v>64</v>
      </c>
      <c r="AW57" s="62">
        <v>64</v>
      </c>
      <c r="AX57" s="593">
        <v>64</v>
      </c>
      <c r="AY57" s="62">
        <v>7.1</v>
      </c>
      <c r="AZ57" s="683">
        <v>73.8</v>
      </c>
      <c r="BA57" s="62">
        <v>73.8</v>
      </c>
      <c r="BB57" s="600">
        <v>73.8</v>
      </c>
      <c r="BC57" s="62">
        <v>0</v>
      </c>
      <c r="BD57" s="683">
        <v>30.8</v>
      </c>
      <c r="BE57" s="62">
        <v>30.8</v>
      </c>
      <c r="BF57" s="600">
        <v>30.8</v>
      </c>
      <c r="BG57" s="62">
        <v>0</v>
      </c>
      <c r="BH57" s="62">
        <v>0</v>
      </c>
      <c r="BI57" s="62"/>
      <c r="BJ57" s="600"/>
    </row>
    <row r="58" spans="1:65" s="91" customFormat="1" ht="20.100000000000001" customHeight="1">
      <c r="A58" s="172" t="s">
        <v>384</v>
      </c>
      <c r="B58" s="610" t="s">
        <v>385</v>
      </c>
      <c r="C58" s="235"/>
      <c r="D58" s="234"/>
      <c r="E58" s="234"/>
      <c r="F58" s="234"/>
      <c r="G58" s="599"/>
      <c r="H58" s="234"/>
      <c r="I58" s="234"/>
      <c r="J58" s="600"/>
      <c r="K58" s="234"/>
      <c r="L58" s="234"/>
      <c r="M58" s="234"/>
      <c r="N58" s="234"/>
      <c r="O58" s="599"/>
      <c r="P58" s="234"/>
      <c r="Q58" s="234"/>
      <c r="R58" s="600"/>
      <c r="S58" s="234"/>
      <c r="T58" s="234"/>
      <c r="U58" s="234"/>
      <c r="V58" s="234"/>
      <c r="W58" s="599"/>
      <c r="X58" s="234"/>
      <c r="Y58" s="234"/>
      <c r="Z58" s="600"/>
      <c r="AA58" s="234"/>
      <c r="AB58" s="234"/>
      <c r="AC58" s="234"/>
      <c r="AD58" s="234"/>
      <c r="AE58" s="599"/>
      <c r="AF58" s="234">
        <v>8.6999999999999993</v>
      </c>
      <c r="AG58" s="234">
        <v>8.6999999999999993</v>
      </c>
      <c r="AH58" s="600">
        <v>8.6999999999999993</v>
      </c>
      <c r="AI58" s="234"/>
      <c r="AJ58" s="234">
        <v>8.6999999999999993</v>
      </c>
      <c r="AK58" s="234">
        <v>8.6999999999999993</v>
      </c>
      <c r="AL58" s="234">
        <v>8.6999999999999993</v>
      </c>
      <c r="AM58" s="599">
        <v>0</v>
      </c>
      <c r="AN58" s="234">
        <v>1.4</v>
      </c>
      <c r="AO58" s="234">
        <v>1.4</v>
      </c>
      <c r="AP58" s="600">
        <v>1.4</v>
      </c>
      <c r="AQ58" s="234">
        <v>8.6</v>
      </c>
      <c r="AR58" s="601">
        <v>8.6</v>
      </c>
      <c r="AS58" s="234">
        <v>8.6</v>
      </c>
      <c r="AT58" s="600">
        <v>8.6</v>
      </c>
      <c r="AU58" s="234">
        <v>0</v>
      </c>
      <c r="AV58" s="62">
        <v>0</v>
      </c>
      <c r="AW58" s="62">
        <v>0</v>
      </c>
      <c r="AX58" s="600">
        <v>0</v>
      </c>
      <c r="AY58" s="234">
        <v>0</v>
      </c>
      <c r="AZ58" s="62">
        <v>22</v>
      </c>
      <c r="BA58" s="62">
        <v>22</v>
      </c>
      <c r="BB58" s="600">
        <v>22</v>
      </c>
      <c r="BC58" s="62">
        <v>0</v>
      </c>
      <c r="BD58" s="62">
        <v>0</v>
      </c>
      <c r="BE58" s="62">
        <v>21.9</v>
      </c>
      <c r="BF58" s="600">
        <v>21.9</v>
      </c>
      <c r="BG58" s="62">
        <v>0</v>
      </c>
      <c r="BH58" s="62">
        <v>0</v>
      </c>
      <c r="BI58" s="62"/>
      <c r="BJ58" s="600"/>
      <c r="BM58" s="4"/>
    </row>
    <row r="59" spans="1:65" ht="20.100000000000001" customHeight="1">
      <c r="A59" s="64" t="s">
        <v>386</v>
      </c>
      <c r="B59" s="609" t="s">
        <v>387</v>
      </c>
      <c r="C59" s="63">
        <v>0</v>
      </c>
      <c r="D59" s="63">
        <v>0</v>
      </c>
      <c r="E59" s="63">
        <v>0</v>
      </c>
      <c r="F59" s="63">
        <v>0</v>
      </c>
      <c r="G59" s="613">
        <v>0</v>
      </c>
      <c r="H59" s="63">
        <v>0</v>
      </c>
      <c r="I59" s="63">
        <v>0</v>
      </c>
      <c r="J59" s="614">
        <v>0</v>
      </c>
      <c r="K59" s="63">
        <v>0</v>
      </c>
      <c r="L59" s="62">
        <v>0</v>
      </c>
      <c r="M59" s="62">
        <v>0</v>
      </c>
      <c r="N59" s="62">
        <v>0</v>
      </c>
      <c r="O59" s="592">
        <v>0</v>
      </c>
      <c r="P59" s="62">
        <v>0</v>
      </c>
      <c r="Q59" s="62">
        <v>0</v>
      </c>
      <c r="R59" s="593">
        <v>0</v>
      </c>
      <c r="S59" s="62">
        <v>0</v>
      </c>
      <c r="T59" s="62">
        <v>1</v>
      </c>
      <c r="U59" s="62">
        <v>1</v>
      </c>
      <c r="V59" s="62">
        <v>3.5</v>
      </c>
      <c r="W59" s="592">
        <v>1.2</v>
      </c>
      <c r="X59" s="62">
        <v>-0.5</v>
      </c>
      <c r="Y59" s="62">
        <v>5.9</v>
      </c>
      <c r="Z59" s="593">
        <v>6.4</v>
      </c>
      <c r="AA59" s="62">
        <v>1.1000000000000001</v>
      </c>
      <c r="AB59" s="62">
        <v>-0.9</v>
      </c>
      <c r="AC59" s="62">
        <v>-5.9</v>
      </c>
      <c r="AD59" s="62">
        <v>1.2</v>
      </c>
      <c r="AE59" s="592">
        <v>3</v>
      </c>
      <c r="AF59" s="62">
        <v>0.5</v>
      </c>
      <c r="AG59" s="62">
        <v>2.4</v>
      </c>
      <c r="AH59" s="593">
        <v>0.7</v>
      </c>
      <c r="AI59" s="62">
        <v>3</v>
      </c>
      <c r="AJ59" s="62">
        <v>0.5</v>
      </c>
      <c r="AK59" s="62">
        <v>2.4</v>
      </c>
      <c r="AL59" s="62">
        <v>0.7</v>
      </c>
      <c r="AM59" s="592">
        <v>2.9</v>
      </c>
      <c r="AN59" s="62">
        <v>1.8</v>
      </c>
      <c r="AO59" s="62">
        <v>3.3</v>
      </c>
      <c r="AP59" s="593">
        <v>3.3</v>
      </c>
      <c r="AQ59" s="62">
        <v>1.4</v>
      </c>
      <c r="AR59" s="602">
        <v>2</v>
      </c>
      <c r="AS59" s="62">
        <v>2.5</v>
      </c>
      <c r="AT59" s="593">
        <v>-0.2</v>
      </c>
      <c r="AU59" s="62">
        <v>1.6</v>
      </c>
      <c r="AV59" s="683">
        <v>1.9</v>
      </c>
      <c r="AW59" s="683">
        <v>6.8</v>
      </c>
      <c r="AX59" s="593">
        <v>11.8</v>
      </c>
      <c r="AY59" s="62">
        <v>6.4</v>
      </c>
      <c r="AZ59" s="6">
        <v>8.3000000000000007</v>
      </c>
      <c r="BA59" s="62">
        <v>9.5</v>
      </c>
      <c r="BB59" s="600">
        <v>11.6</v>
      </c>
      <c r="BC59" s="62">
        <v>-2</v>
      </c>
      <c r="BD59" s="6">
        <v>3.7</v>
      </c>
      <c r="BE59" s="62">
        <v>3.1</v>
      </c>
      <c r="BF59" s="600">
        <v>3.5</v>
      </c>
      <c r="BG59" s="62">
        <v>1.3</v>
      </c>
      <c r="BH59" s="6">
        <v>2.4</v>
      </c>
      <c r="BI59" s="62"/>
      <c r="BJ59" s="600"/>
    </row>
    <row r="60" spans="1:65" s="239" customFormat="1" ht="25.2" customHeight="1">
      <c r="A60" s="359" t="s">
        <v>388</v>
      </c>
      <c r="B60" s="611" t="s">
        <v>389</v>
      </c>
      <c r="C60" s="360">
        <f t="shared" ref="C60:AN60" si="17">SUM(C42:C59)</f>
        <v>-24.143000000000004</v>
      </c>
      <c r="D60" s="360">
        <f t="shared" si="17"/>
        <v>-83.230000000000018</v>
      </c>
      <c r="E60" s="360">
        <f t="shared" si="17"/>
        <v>-107.08400000000002</v>
      </c>
      <c r="F60" s="360">
        <f t="shared" si="17"/>
        <v>-133.43099999999998</v>
      </c>
      <c r="G60" s="597">
        <f t="shared" si="17"/>
        <v>-34.882999999999996</v>
      </c>
      <c r="H60" s="360">
        <f t="shared" si="17"/>
        <v>-58.354000000000006</v>
      </c>
      <c r="I60" s="360">
        <f t="shared" si="17"/>
        <v>-110.15100000000002</v>
      </c>
      <c r="J60" s="598">
        <f t="shared" si="17"/>
        <v>-133.83700000000002</v>
      </c>
      <c r="K60" s="360">
        <f t="shared" si="17"/>
        <v>-36.552999999999997</v>
      </c>
      <c r="L60" s="360">
        <f t="shared" si="17"/>
        <v>1394.1000000000001</v>
      </c>
      <c r="M60" s="360">
        <f t="shared" si="17"/>
        <v>1042.3</v>
      </c>
      <c r="N60" s="360">
        <f t="shared" si="17"/>
        <v>972.80000000000007</v>
      </c>
      <c r="O60" s="597">
        <f t="shared" si="17"/>
        <v>-208.2</v>
      </c>
      <c r="P60" s="360">
        <f t="shared" si="17"/>
        <v>-347.59999999999997</v>
      </c>
      <c r="Q60" s="360">
        <f t="shared" si="17"/>
        <v>-576.29999999999995</v>
      </c>
      <c r="R60" s="598">
        <f t="shared" si="17"/>
        <v>-726.60000000000014</v>
      </c>
      <c r="S60" s="360">
        <f t="shared" si="17"/>
        <v>-24.899999999999988</v>
      </c>
      <c r="T60" s="360">
        <f t="shared" si="17"/>
        <v>-541.09999999999991</v>
      </c>
      <c r="U60" s="360">
        <f t="shared" si="17"/>
        <v>-815.19999999999993</v>
      </c>
      <c r="V60" s="360">
        <f t="shared" si="17"/>
        <v>-1003.4</v>
      </c>
      <c r="W60" s="597">
        <f t="shared" si="17"/>
        <v>-159.20000000000002</v>
      </c>
      <c r="X60" s="360">
        <f t="shared" si="17"/>
        <v>-367.5</v>
      </c>
      <c r="Y60" s="360">
        <f t="shared" si="17"/>
        <v>-657.20000000000016</v>
      </c>
      <c r="Z60" s="598">
        <f t="shared" si="17"/>
        <v>-1573.2999999999997</v>
      </c>
      <c r="AA60" s="360">
        <f t="shared" si="17"/>
        <v>-255.4</v>
      </c>
      <c r="AB60" s="360">
        <f t="shared" si="17"/>
        <v>-637.70000000000005</v>
      </c>
      <c r="AC60" s="360">
        <f t="shared" si="17"/>
        <v>-1197.3000000000002</v>
      </c>
      <c r="AD60" s="360">
        <f t="shared" si="17"/>
        <v>-1835.5</v>
      </c>
      <c r="AE60" s="597">
        <f t="shared" si="17"/>
        <v>-367.19999999999993</v>
      </c>
      <c r="AF60" s="360">
        <f t="shared" si="17"/>
        <v>-731.99999999999989</v>
      </c>
      <c r="AG60" s="360">
        <f t="shared" si="17"/>
        <v>-1181.4999999999998</v>
      </c>
      <c r="AH60" s="598">
        <f t="shared" si="17"/>
        <v>-2715.1000000000008</v>
      </c>
      <c r="AI60" s="360">
        <f t="shared" si="17"/>
        <v>-367.19999999999993</v>
      </c>
      <c r="AJ60" s="360">
        <f t="shared" si="17"/>
        <v>-731.99999999999989</v>
      </c>
      <c r="AK60" s="360">
        <f t="shared" si="17"/>
        <v>-1181.4999999999998</v>
      </c>
      <c r="AL60" s="360">
        <f t="shared" si="17"/>
        <v>-2715.1000000000008</v>
      </c>
      <c r="AM60" s="597">
        <f t="shared" si="17"/>
        <v>-364</v>
      </c>
      <c r="AN60" s="360">
        <f t="shared" si="17"/>
        <v>-544.1</v>
      </c>
      <c r="AO60" s="360">
        <v>-1361</v>
      </c>
      <c r="AP60" s="598">
        <f t="shared" ref="AP60:AX60" si="18">SUM(AP42:AP59)</f>
        <v>-1786.3</v>
      </c>
      <c r="AQ60" s="360">
        <f t="shared" si="18"/>
        <v>-374.20000000000005</v>
      </c>
      <c r="AR60" s="360">
        <f t="shared" si="18"/>
        <v>-1339.2</v>
      </c>
      <c r="AS60" s="360">
        <f t="shared" si="18"/>
        <v>4646</v>
      </c>
      <c r="AT60" s="598">
        <f t="shared" si="18"/>
        <v>4327.9000000000005</v>
      </c>
      <c r="AU60" s="360">
        <f t="shared" si="18"/>
        <v>-534.79999999999984</v>
      </c>
      <c r="AV60" s="360">
        <f t="shared" si="18"/>
        <v>-1682.6</v>
      </c>
      <c r="AW60" s="360">
        <f t="shared" si="18"/>
        <v>-1402.5000000000002</v>
      </c>
      <c r="AX60" s="598">
        <f t="shared" si="18"/>
        <v>-1876.6000000000001</v>
      </c>
      <c r="AY60" s="360">
        <f>SUM(AY42:AY59)</f>
        <v>-1211.0999999999999</v>
      </c>
      <c r="AZ60" s="360">
        <f>SUM(AZ42:AZ59)</f>
        <v>-1481.9</v>
      </c>
      <c r="BA60" s="360">
        <f t="shared" ref="BA60:BB60" si="19">SUM(BA42:BA59)</f>
        <v>-1234.7</v>
      </c>
      <c r="BB60" s="360">
        <f t="shared" si="19"/>
        <v>-2215.7000000000007</v>
      </c>
      <c r="BC60" s="360">
        <f t="shared" ref="BC60:BH60" si="20">SUM(BC42:BC59)</f>
        <v>-597.20000000000005</v>
      </c>
      <c r="BD60" s="360">
        <f t="shared" si="20"/>
        <v>-720.10000000000014</v>
      </c>
      <c r="BE60" s="360">
        <f t="shared" si="20"/>
        <v>-1208.5</v>
      </c>
      <c r="BF60" s="360">
        <f t="shared" si="20"/>
        <v>-2174</v>
      </c>
      <c r="BG60" s="360">
        <f t="shared" si="20"/>
        <v>27.400000000000023</v>
      </c>
      <c r="BH60" s="360">
        <f t="shared" si="20"/>
        <v>-366.8</v>
      </c>
      <c r="BI60" s="360"/>
      <c r="BJ60" s="360"/>
      <c r="BM60" s="4"/>
    </row>
    <row r="61" spans="1:65" ht="20.100000000000001" customHeight="1">
      <c r="A61" s="64" t="s">
        <v>390</v>
      </c>
      <c r="B61" s="609" t="s">
        <v>391</v>
      </c>
      <c r="C61" s="62">
        <v>-26.754999999999999</v>
      </c>
      <c r="D61" s="62">
        <v>-155.76300000000001</v>
      </c>
      <c r="E61" s="62">
        <v>-397.57499999999999</v>
      </c>
      <c r="F61" s="62">
        <v>-453.32400000000001</v>
      </c>
      <c r="G61" s="592">
        <v>-49.813000000000002</v>
      </c>
      <c r="H61" s="62">
        <v>-192.59</v>
      </c>
      <c r="I61" s="62">
        <v>-366.16200000000003</v>
      </c>
      <c r="J61" s="593">
        <v>-431.11700000000002</v>
      </c>
      <c r="K61" s="62">
        <v>-37.393999999999998</v>
      </c>
      <c r="L61" s="62">
        <v>-547.1</v>
      </c>
      <c r="M61" s="62">
        <v>-747.1</v>
      </c>
      <c r="N61" s="62">
        <v>-1087.0999999999999</v>
      </c>
      <c r="O61" s="592">
        <v>-157</v>
      </c>
      <c r="P61" s="62">
        <v>-954.2</v>
      </c>
      <c r="Q61" s="62">
        <v>-9222.2000000000007</v>
      </c>
      <c r="R61" s="593">
        <v>-9222.2000000000007</v>
      </c>
      <c r="S61" s="62">
        <v>-916.1</v>
      </c>
      <c r="T61" s="62">
        <v>-1498.9</v>
      </c>
      <c r="U61" s="62">
        <v>-1706.9</v>
      </c>
      <c r="V61" s="62">
        <v>-1940.9</v>
      </c>
      <c r="W61" s="592">
        <v>-234</v>
      </c>
      <c r="X61" s="62">
        <v>-568</v>
      </c>
      <c r="Y61" s="62">
        <v>-802</v>
      </c>
      <c r="Z61" s="593">
        <v>-1162.5</v>
      </c>
      <c r="AA61" s="62">
        <v>-550</v>
      </c>
      <c r="AB61" s="62">
        <v>-652</v>
      </c>
      <c r="AC61" s="62">
        <v>-1077.8</v>
      </c>
      <c r="AD61" s="62">
        <v>-1282.2</v>
      </c>
      <c r="AE61" s="592">
        <v>-584.4</v>
      </c>
      <c r="AF61" s="62">
        <v>-851.6</v>
      </c>
      <c r="AG61" s="62">
        <v>-1406</v>
      </c>
      <c r="AH61" s="593">
        <v>-1742.5</v>
      </c>
      <c r="AI61" s="62">
        <v>-584.4</v>
      </c>
      <c r="AJ61" s="62">
        <v>-851.6</v>
      </c>
      <c r="AK61" s="62">
        <v>-1406</v>
      </c>
      <c r="AL61" s="62">
        <v>-1742.5</v>
      </c>
      <c r="AM61" s="592">
        <v>-857.2</v>
      </c>
      <c r="AN61" s="62">
        <v>-857.9</v>
      </c>
      <c r="AO61" s="62">
        <v>-857.9</v>
      </c>
      <c r="AP61" s="593">
        <v>-857.9</v>
      </c>
      <c r="AQ61" s="62">
        <v>0</v>
      </c>
      <c r="AR61" s="62">
        <v>-200</v>
      </c>
      <c r="AS61" s="62">
        <v>-1472.4</v>
      </c>
      <c r="AT61" s="593">
        <v>-2682.8</v>
      </c>
      <c r="AU61" s="62">
        <v>-200</v>
      </c>
      <c r="AV61" s="62">
        <v>-645.1</v>
      </c>
      <c r="AW61" s="234">
        <v>-845.1</v>
      </c>
      <c r="AX61" s="593">
        <v>-1045.0999999999999</v>
      </c>
      <c r="AY61" s="62">
        <v>-200</v>
      </c>
      <c r="AZ61" s="234">
        <v>-752.5</v>
      </c>
      <c r="BA61" s="234">
        <v>-760.1</v>
      </c>
      <c r="BB61" s="600">
        <v>-2327</v>
      </c>
      <c r="BC61" s="62">
        <v>-22.1</v>
      </c>
      <c r="BD61" s="234">
        <v>-161.5</v>
      </c>
      <c r="BE61" s="234">
        <v>-332.2</v>
      </c>
      <c r="BF61" s="600">
        <v>-730.5</v>
      </c>
      <c r="BG61" s="62">
        <v>-695.7</v>
      </c>
      <c r="BH61" s="234">
        <v>-712.2</v>
      </c>
      <c r="BI61" s="234"/>
      <c r="BJ61" s="600"/>
    </row>
    <row r="62" spans="1:65" ht="20.100000000000001" customHeight="1">
      <c r="A62" s="64" t="s">
        <v>392</v>
      </c>
      <c r="B62" s="609" t="s">
        <v>393</v>
      </c>
      <c r="C62" s="63">
        <v>0</v>
      </c>
      <c r="D62" s="63">
        <v>0</v>
      </c>
      <c r="E62" s="63">
        <v>0</v>
      </c>
      <c r="F62" s="63">
        <v>0</v>
      </c>
      <c r="G62" s="613">
        <v>0</v>
      </c>
      <c r="H62" s="63">
        <v>0</v>
      </c>
      <c r="I62" s="63">
        <v>0</v>
      </c>
      <c r="J62" s="614">
        <v>0</v>
      </c>
      <c r="K62" s="63">
        <v>0</v>
      </c>
      <c r="L62" s="62">
        <v>2800</v>
      </c>
      <c r="M62" s="62">
        <v>2800</v>
      </c>
      <c r="N62" s="62">
        <v>2800</v>
      </c>
      <c r="O62" s="592">
        <v>50</v>
      </c>
      <c r="P62" s="62">
        <v>120</v>
      </c>
      <c r="Q62" s="62">
        <v>6820</v>
      </c>
      <c r="R62" s="593">
        <v>6820</v>
      </c>
      <c r="S62" s="62">
        <v>5500</v>
      </c>
      <c r="T62" s="62">
        <v>5500</v>
      </c>
      <c r="U62" s="62">
        <v>5500</v>
      </c>
      <c r="V62" s="62">
        <v>5500</v>
      </c>
      <c r="W62" s="592">
        <v>0</v>
      </c>
      <c r="X62" s="62">
        <v>600</v>
      </c>
      <c r="Y62" s="62">
        <v>600</v>
      </c>
      <c r="Z62" s="593">
        <v>1200</v>
      </c>
      <c r="AA62" s="62">
        <v>0</v>
      </c>
      <c r="AB62" s="62">
        <v>18.100000000000001</v>
      </c>
      <c r="AC62" s="62">
        <v>635.29999999999995</v>
      </c>
      <c r="AD62" s="62">
        <v>635.29999999999995</v>
      </c>
      <c r="AE62" s="592">
        <v>0</v>
      </c>
      <c r="AF62" s="62">
        <v>0</v>
      </c>
      <c r="AG62" s="62">
        <v>780</v>
      </c>
      <c r="AH62" s="593">
        <v>2010</v>
      </c>
      <c r="AI62" s="62">
        <v>0</v>
      </c>
      <c r="AJ62" s="62">
        <v>0</v>
      </c>
      <c r="AK62" s="62">
        <v>780</v>
      </c>
      <c r="AL62" s="62">
        <v>2010</v>
      </c>
      <c r="AM62" s="592">
        <v>35</v>
      </c>
      <c r="AN62" s="62">
        <v>35</v>
      </c>
      <c r="AO62" s="62">
        <v>35</v>
      </c>
      <c r="AP62" s="593">
        <v>35</v>
      </c>
      <c r="AQ62" s="62">
        <v>0</v>
      </c>
      <c r="AR62" s="62">
        <v>110</v>
      </c>
      <c r="AS62" s="62">
        <v>1665</v>
      </c>
      <c r="AT62" s="593">
        <v>1665</v>
      </c>
      <c r="AU62" s="62">
        <v>0</v>
      </c>
      <c r="AV62" s="62">
        <v>7.1</v>
      </c>
      <c r="AW62" s="62">
        <v>7.1</v>
      </c>
      <c r="AX62" s="593">
        <v>141.19999999999999</v>
      </c>
      <c r="AY62" s="62">
        <v>865.9</v>
      </c>
      <c r="AZ62" s="62">
        <v>3147.7</v>
      </c>
      <c r="BA62" s="234">
        <v>3162.9</v>
      </c>
      <c r="BB62" s="600">
        <v>3885.1</v>
      </c>
      <c r="BC62" s="62">
        <v>39.4</v>
      </c>
      <c r="BD62" s="62">
        <v>222.9</v>
      </c>
      <c r="BE62" s="234">
        <v>295.39999999999998</v>
      </c>
      <c r="BF62" s="600">
        <v>565.79999999999995</v>
      </c>
      <c r="BG62" s="62">
        <v>0</v>
      </c>
      <c r="BH62" s="62">
        <v>0</v>
      </c>
      <c r="BI62" s="234"/>
      <c r="BJ62" s="600"/>
    </row>
    <row r="63" spans="1:65" s="91" customFormat="1" ht="20.100000000000001" customHeight="1">
      <c r="A63" s="172" t="s">
        <v>394</v>
      </c>
      <c r="B63" s="610" t="s">
        <v>395</v>
      </c>
      <c r="C63" s="235">
        <v>0</v>
      </c>
      <c r="D63" s="235">
        <v>0</v>
      </c>
      <c r="E63" s="235">
        <v>0</v>
      </c>
      <c r="F63" s="235">
        <v>0</v>
      </c>
      <c r="G63" s="615">
        <v>0</v>
      </c>
      <c r="H63" s="235">
        <v>0</v>
      </c>
      <c r="I63" s="235">
        <v>0</v>
      </c>
      <c r="J63" s="616">
        <v>0</v>
      </c>
      <c r="K63" s="235">
        <v>0</v>
      </c>
      <c r="L63" s="234">
        <v>-2275.9</v>
      </c>
      <c r="M63" s="234">
        <v>-2275.9</v>
      </c>
      <c r="N63" s="234">
        <v>-2275.9</v>
      </c>
      <c r="O63" s="599">
        <v>0</v>
      </c>
      <c r="P63" s="234">
        <v>0</v>
      </c>
      <c r="Q63" s="234">
        <v>1000</v>
      </c>
      <c r="R63" s="600">
        <v>1000</v>
      </c>
      <c r="S63" s="234">
        <v>-4483.8</v>
      </c>
      <c r="T63" s="234">
        <v>-4483.8</v>
      </c>
      <c r="U63" s="234">
        <v>-4483.8</v>
      </c>
      <c r="V63" s="234">
        <v>-4484</v>
      </c>
      <c r="W63" s="599">
        <v>0</v>
      </c>
      <c r="X63" s="234">
        <v>-886.7</v>
      </c>
      <c r="Y63" s="234">
        <v>-886.7</v>
      </c>
      <c r="Z63" s="600">
        <v>-886.7</v>
      </c>
      <c r="AA63" s="234">
        <v>0</v>
      </c>
      <c r="AB63" s="234">
        <v>0</v>
      </c>
      <c r="AC63" s="234">
        <v>0</v>
      </c>
      <c r="AD63" s="234">
        <v>0</v>
      </c>
      <c r="AE63" s="599">
        <v>0</v>
      </c>
      <c r="AF63" s="236" t="s">
        <v>125</v>
      </c>
      <c r="AG63" s="236" t="s">
        <v>125</v>
      </c>
      <c r="AH63" s="595" t="s">
        <v>125</v>
      </c>
      <c r="AI63" s="234">
        <v>0</v>
      </c>
      <c r="AJ63" s="236" t="s">
        <v>125</v>
      </c>
      <c r="AK63" s="236" t="s">
        <v>125</v>
      </c>
      <c r="AL63" s="83" t="s">
        <v>125</v>
      </c>
      <c r="AM63" s="599">
        <v>1000</v>
      </c>
      <c r="AN63" s="234">
        <v>1000</v>
      </c>
      <c r="AO63" s="234">
        <v>1000</v>
      </c>
      <c r="AP63" s="593">
        <v>1000</v>
      </c>
      <c r="AQ63" s="234">
        <v>0</v>
      </c>
      <c r="AR63" s="234">
        <v>0</v>
      </c>
      <c r="AS63" s="234">
        <v>0</v>
      </c>
      <c r="AT63" s="593">
        <v>0</v>
      </c>
      <c r="AU63" s="234">
        <v>0</v>
      </c>
      <c r="AV63" s="234">
        <v>0</v>
      </c>
      <c r="AW63" s="234">
        <v>0</v>
      </c>
      <c r="AX63" s="593">
        <v>0</v>
      </c>
      <c r="AY63" s="234">
        <v>1142.0999999999999</v>
      </c>
      <c r="AZ63" s="234">
        <v>1088</v>
      </c>
      <c r="BA63" s="234">
        <v>1745.3</v>
      </c>
      <c r="BB63" s="600">
        <v>2145.3000000000002</v>
      </c>
      <c r="BC63" s="62">
        <v>-311.89999999999998</v>
      </c>
      <c r="BD63" s="234">
        <v>-311.89999999999998</v>
      </c>
      <c r="BE63" s="234">
        <v>-311.89999999999998</v>
      </c>
      <c r="BF63" s="600">
        <v>-311.89999999999998</v>
      </c>
      <c r="BG63" s="62">
        <v>0</v>
      </c>
      <c r="BH63" s="62">
        <v>0</v>
      </c>
      <c r="BI63" s="234"/>
      <c r="BJ63" s="600"/>
    </row>
    <row r="64" spans="1:65" ht="20.100000000000001" customHeight="1">
      <c r="A64" s="64" t="s">
        <v>396</v>
      </c>
      <c r="B64" s="609" t="s">
        <v>397</v>
      </c>
      <c r="C64" s="63"/>
      <c r="D64" s="63"/>
      <c r="E64" s="63"/>
      <c r="F64" s="63"/>
      <c r="G64" s="613"/>
      <c r="H64" s="63"/>
      <c r="I64" s="63"/>
      <c r="J64" s="614"/>
      <c r="K64" s="63"/>
      <c r="L64" s="62"/>
      <c r="M64" s="62"/>
      <c r="N64" s="62"/>
      <c r="O64" s="592"/>
      <c r="P64" s="62"/>
      <c r="Q64" s="62"/>
      <c r="R64" s="593"/>
      <c r="S64" s="62">
        <v>-262.10000000000002</v>
      </c>
      <c r="T64" s="62">
        <v>-262.10000000000002</v>
      </c>
      <c r="U64" s="62">
        <v>-262.10000000000002</v>
      </c>
      <c r="V64" s="62">
        <v>-262.10000000000002</v>
      </c>
      <c r="W64" s="592">
        <v>0</v>
      </c>
      <c r="X64" s="62">
        <v>-58.7</v>
      </c>
      <c r="Y64" s="62">
        <v>-58.7</v>
      </c>
      <c r="Z64" s="593">
        <v>-58.7</v>
      </c>
      <c r="AA64" s="62">
        <v>0</v>
      </c>
      <c r="AB64" s="62">
        <v>0</v>
      </c>
      <c r="AC64" s="62">
        <v>0</v>
      </c>
      <c r="AD64" s="62">
        <v>0</v>
      </c>
      <c r="AE64" s="592">
        <v>0</v>
      </c>
      <c r="AF64" s="62">
        <v>0</v>
      </c>
      <c r="AG64" s="62">
        <v>0</v>
      </c>
      <c r="AH64" s="593">
        <v>0</v>
      </c>
      <c r="AI64" s="62">
        <v>0</v>
      </c>
      <c r="AJ64" s="62">
        <v>0</v>
      </c>
      <c r="AK64" s="62">
        <v>0</v>
      </c>
      <c r="AL64" s="62">
        <v>0</v>
      </c>
      <c r="AM64" s="592">
        <v>0</v>
      </c>
      <c r="AN64" s="62">
        <v>0</v>
      </c>
      <c r="AO64" s="62">
        <v>0</v>
      </c>
      <c r="AP64" s="593">
        <v>0</v>
      </c>
      <c r="AQ64" s="62">
        <v>0</v>
      </c>
      <c r="AR64" s="62">
        <v>0</v>
      </c>
      <c r="AS64" s="62">
        <v>0</v>
      </c>
      <c r="AT64" s="593">
        <v>0</v>
      </c>
      <c r="AU64" s="62">
        <v>0</v>
      </c>
      <c r="AV64" s="62">
        <v>0</v>
      </c>
      <c r="AW64" s="62">
        <v>0</v>
      </c>
      <c r="AX64" s="593">
        <v>0</v>
      </c>
      <c r="AY64" s="62">
        <v>0</v>
      </c>
      <c r="AZ64" s="62">
        <v>0</v>
      </c>
      <c r="BA64" s="62">
        <v>0</v>
      </c>
      <c r="BB64" s="593">
        <v>0</v>
      </c>
      <c r="BC64" s="62">
        <v>0</v>
      </c>
      <c r="BD64" s="62">
        <v>0</v>
      </c>
      <c r="BE64" s="62">
        <v>0</v>
      </c>
      <c r="BF64" s="593">
        <v>0</v>
      </c>
      <c r="BG64" s="62">
        <v>0</v>
      </c>
      <c r="BH64" s="62">
        <v>0</v>
      </c>
      <c r="BI64" s="62"/>
      <c r="BJ64" s="593"/>
    </row>
    <row r="65" spans="1:64" ht="25.5" customHeight="1">
      <c r="A65" s="64" t="s">
        <v>398</v>
      </c>
      <c r="B65" s="609" t="s">
        <v>399</v>
      </c>
      <c r="C65" s="63"/>
      <c r="D65" s="63"/>
      <c r="E65" s="63"/>
      <c r="F65" s="63"/>
      <c r="G65" s="613"/>
      <c r="H65" s="63"/>
      <c r="I65" s="63"/>
      <c r="J65" s="614"/>
      <c r="K65" s="63"/>
      <c r="L65" s="62"/>
      <c r="M65" s="62"/>
      <c r="N65" s="62"/>
      <c r="O65" s="592"/>
      <c r="P65" s="62"/>
      <c r="Q65" s="62"/>
      <c r="R65" s="593"/>
      <c r="S65" s="62">
        <v>175.4</v>
      </c>
      <c r="T65" s="62">
        <v>175.4</v>
      </c>
      <c r="U65" s="62">
        <v>175.4</v>
      </c>
      <c r="V65" s="62">
        <v>175.4</v>
      </c>
      <c r="W65" s="592">
        <v>0</v>
      </c>
      <c r="X65" s="62">
        <v>0</v>
      </c>
      <c r="Y65" s="62">
        <v>0</v>
      </c>
      <c r="Z65" s="593">
        <v>0</v>
      </c>
      <c r="AA65" s="62">
        <v>0</v>
      </c>
      <c r="AB65" s="62">
        <v>0</v>
      </c>
      <c r="AC65" s="62">
        <v>0</v>
      </c>
      <c r="AD65" s="62">
        <v>0</v>
      </c>
      <c r="AE65" s="592">
        <v>0</v>
      </c>
      <c r="AF65" s="62">
        <v>0</v>
      </c>
      <c r="AG65" s="62">
        <v>0</v>
      </c>
      <c r="AH65" s="593">
        <v>0</v>
      </c>
      <c r="AI65" s="62">
        <v>0</v>
      </c>
      <c r="AJ65" s="62">
        <v>0</v>
      </c>
      <c r="AK65" s="62">
        <v>0</v>
      </c>
      <c r="AL65" s="62">
        <v>0</v>
      </c>
      <c r="AM65" s="592">
        <v>0</v>
      </c>
      <c r="AN65" s="62">
        <v>0</v>
      </c>
      <c r="AO65" s="62">
        <v>0</v>
      </c>
      <c r="AP65" s="593">
        <v>0</v>
      </c>
      <c r="AQ65" s="62">
        <v>0</v>
      </c>
      <c r="AR65" s="62">
        <v>0</v>
      </c>
      <c r="AS65" s="62">
        <v>0</v>
      </c>
      <c r="AT65" s="593">
        <v>0</v>
      </c>
      <c r="AU65" s="62">
        <v>0</v>
      </c>
      <c r="AV65" s="62">
        <v>0</v>
      </c>
      <c r="AW65" s="62">
        <v>0</v>
      </c>
      <c r="AX65" s="593">
        <v>0</v>
      </c>
      <c r="AY65" s="62">
        <v>0</v>
      </c>
      <c r="AZ65" s="62">
        <v>0</v>
      </c>
      <c r="BA65" s="62">
        <v>0</v>
      </c>
      <c r="BB65" s="593">
        <v>0</v>
      </c>
      <c r="BC65" s="62">
        <v>0</v>
      </c>
      <c r="BD65" s="62">
        <v>0</v>
      </c>
      <c r="BE65" s="62">
        <v>0</v>
      </c>
      <c r="BF65" s="593">
        <v>0</v>
      </c>
      <c r="BG65" s="62">
        <v>0</v>
      </c>
      <c r="BH65" s="62">
        <v>0</v>
      </c>
      <c r="BI65" s="62"/>
      <c r="BJ65" s="593"/>
    </row>
    <row r="66" spans="1:64" s="91" customFormat="1" ht="28.8">
      <c r="A66" s="172" t="s">
        <v>400</v>
      </c>
      <c r="B66" s="610" t="s">
        <v>401</v>
      </c>
      <c r="C66" s="234">
        <v>-26.132999999999999</v>
      </c>
      <c r="D66" s="234">
        <f>(-103258-821)*0.001</f>
        <v>-104.07900000000001</v>
      </c>
      <c r="E66" s="234">
        <f>(-125824-2250)*0.001</f>
        <v>-128.07400000000001</v>
      </c>
      <c r="F66" s="234">
        <f>(-195934-3683)*0.001</f>
        <v>-199.61699999999999</v>
      </c>
      <c r="G66" s="599">
        <f>(-15811-1035)*0.001</f>
        <v>-16.846</v>
      </c>
      <c r="H66" s="234">
        <f>(-84439-1241)*0.001</f>
        <v>-85.68</v>
      </c>
      <c r="I66" s="234">
        <f>(-96215-1689)*0.001</f>
        <v>-97.903999999999996</v>
      </c>
      <c r="J66" s="600">
        <v>-165.017</v>
      </c>
      <c r="K66" s="234">
        <v>-9.0950000000000006</v>
      </c>
      <c r="L66" s="234">
        <v>-348.3</v>
      </c>
      <c r="M66" s="234">
        <v>-733.5</v>
      </c>
      <c r="N66" s="234">
        <v>-872.2</v>
      </c>
      <c r="O66" s="599">
        <v>-357.9</v>
      </c>
      <c r="P66" s="234">
        <v>-472.3</v>
      </c>
      <c r="Q66" s="234">
        <v>-804.1</v>
      </c>
      <c r="R66" s="600">
        <v>-978.9</v>
      </c>
      <c r="S66" s="234">
        <v>-383.2</v>
      </c>
      <c r="T66" s="234">
        <v>-507.9</v>
      </c>
      <c r="U66" s="234">
        <v>-631.70000000000005</v>
      </c>
      <c r="V66" s="234">
        <v>-729.6</v>
      </c>
      <c r="W66" s="599">
        <v>-112.5</v>
      </c>
      <c r="X66" s="234">
        <v>-206</v>
      </c>
      <c r="Y66" s="234">
        <v>-319.60000000000002</v>
      </c>
      <c r="Z66" s="600">
        <v>-409.9</v>
      </c>
      <c r="AA66" s="234">
        <v>-138</v>
      </c>
      <c r="AB66" s="234">
        <v>-230.9</v>
      </c>
      <c r="AC66" s="234">
        <v>-342.8</v>
      </c>
      <c r="AD66" s="234">
        <v>-419</v>
      </c>
      <c r="AE66" s="599">
        <v>-107.1</v>
      </c>
      <c r="AF66" s="234">
        <v>-205.5</v>
      </c>
      <c r="AG66" s="234">
        <v>-362</v>
      </c>
      <c r="AH66" s="600">
        <v>-465.4</v>
      </c>
      <c r="AI66" s="234">
        <v>-107.1</v>
      </c>
      <c r="AJ66" s="234">
        <v>-205.5</v>
      </c>
      <c r="AK66" s="234">
        <v>-362</v>
      </c>
      <c r="AL66" s="234">
        <v>-465.4</v>
      </c>
      <c r="AM66" s="599">
        <v>-84.6</v>
      </c>
      <c r="AN66" s="234">
        <f>-193.4</f>
        <v>-193.4</v>
      </c>
      <c r="AO66" s="234">
        <v>-256.2</v>
      </c>
      <c r="AP66" s="600">
        <v>-315.3</v>
      </c>
      <c r="AQ66" s="234">
        <v>-54.8</v>
      </c>
      <c r="AR66" s="234">
        <v>-111.3</v>
      </c>
      <c r="AS66" s="234">
        <v>-163.9</v>
      </c>
      <c r="AT66" s="600">
        <v>-213.3</v>
      </c>
      <c r="AU66" s="234">
        <v>-79.8</v>
      </c>
      <c r="AV66" s="234">
        <v>-217.6</v>
      </c>
      <c r="AW66" s="234">
        <v>-390.9</v>
      </c>
      <c r="AX66" s="600">
        <v>-616.9</v>
      </c>
      <c r="AY66" s="234">
        <v>-219.4</v>
      </c>
      <c r="AZ66" s="234">
        <v>-501.3</v>
      </c>
      <c r="BA66" s="234">
        <v>-942.3</v>
      </c>
      <c r="BB66" s="600">
        <v>-1203.3</v>
      </c>
      <c r="BC66" s="234">
        <v>-398.7</v>
      </c>
      <c r="BD66" s="234">
        <v>-607.29999999999995</v>
      </c>
      <c r="BE66" s="234">
        <v>-1000.9</v>
      </c>
      <c r="BF66" s="600">
        <v>-1200.4000000000001</v>
      </c>
      <c r="BG66" s="234">
        <v>-375.2</v>
      </c>
      <c r="BH66" s="234">
        <v>-559.6</v>
      </c>
      <c r="BI66" s="234"/>
      <c r="BJ66" s="600"/>
      <c r="BL66" s="936"/>
    </row>
    <row r="67" spans="1:64" ht="20.100000000000001" customHeight="1">
      <c r="A67" s="64" t="s">
        <v>402</v>
      </c>
      <c r="B67" s="609" t="s">
        <v>403</v>
      </c>
      <c r="C67" s="62"/>
      <c r="D67" s="62"/>
      <c r="E67" s="62"/>
      <c r="F67" s="62"/>
      <c r="G67" s="592"/>
      <c r="H67" s="62"/>
      <c r="I67" s="62"/>
      <c r="J67" s="593"/>
      <c r="K67" s="62"/>
      <c r="L67" s="62"/>
      <c r="M67" s="62"/>
      <c r="N67" s="62"/>
      <c r="O67" s="592"/>
      <c r="P67" s="62"/>
      <c r="Q67" s="62"/>
      <c r="R67" s="593"/>
      <c r="S67" s="62"/>
      <c r="T67" s="62"/>
      <c r="U67" s="62"/>
      <c r="V67" s="62"/>
      <c r="W67" s="592"/>
      <c r="X67" s="62"/>
      <c r="Y67" s="62"/>
      <c r="Z67" s="593"/>
      <c r="AA67" s="62"/>
      <c r="AB67" s="62"/>
      <c r="AC67" s="62"/>
      <c r="AD67" s="62"/>
      <c r="AE67" s="592">
        <v>-0.2</v>
      </c>
      <c r="AF67" s="62">
        <v>-0.4</v>
      </c>
      <c r="AG67" s="62">
        <v>-0.6</v>
      </c>
      <c r="AH67" s="593">
        <v>-0.8</v>
      </c>
      <c r="AI67" s="62">
        <v>-7.8</v>
      </c>
      <c r="AJ67" s="62">
        <v>-18.8</v>
      </c>
      <c r="AK67" s="62">
        <v>-28.6</v>
      </c>
      <c r="AL67" s="62">
        <v>-47.6</v>
      </c>
      <c r="AM67" s="592">
        <v>-12.4</v>
      </c>
      <c r="AN67" s="62">
        <v>-21.1</v>
      </c>
      <c r="AO67" s="62">
        <v>-35.1</v>
      </c>
      <c r="AP67" s="593">
        <v>-46</v>
      </c>
      <c r="AQ67" s="62">
        <v>-11.4</v>
      </c>
      <c r="AR67" s="62">
        <v>-21</v>
      </c>
      <c r="AS67" s="62">
        <v>-27.6</v>
      </c>
      <c r="AT67" s="593">
        <v>-32.4</v>
      </c>
      <c r="AU67" s="62">
        <v>-5.4</v>
      </c>
      <c r="AV67" s="62">
        <v>-10.3</v>
      </c>
      <c r="AW67" s="62">
        <v>-15.1</v>
      </c>
      <c r="AX67" s="593">
        <v>-20.2</v>
      </c>
      <c r="AY67" s="62">
        <v>-6.3</v>
      </c>
      <c r="AZ67" s="62">
        <v>-12.9</v>
      </c>
      <c r="BA67" s="234">
        <v>-19.600000000000001</v>
      </c>
      <c r="BB67" s="600">
        <v>-27.4</v>
      </c>
      <c r="BC67" s="62">
        <v>-8.6999999999999993</v>
      </c>
      <c r="BD67" s="62">
        <v>-18.100000000000001</v>
      </c>
      <c r="BE67" s="234">
        <v>-26.6</v>
      </c>
      <c r="BF67" s="600">
        <v>-36</v>
      </c>
      <c r="BG67" s="62">
        <v>-10.3</v>
      </c>
      <c r="BH67" s="62">
        <v>-19.600000000000001</v>
      </c>
      <c r="BI67" s="234"/>
      <c r="BJ67" s="600"/>
    </row>
    <row r="68" spans="1:64" ht="20.100000000000001" customHeight="1">
      <c r="A68" s="64" t="s">
        <v>404</v>
      </c>
      <c r="B68" s="609" t="s">
        <v>405</v>
      </c>
      <c r="C68" s="62"/>
      <c r="D68" s="62"/>
      <c r="E68" s="62"/>
      <c r="F68" s="62"/>
      <c r="G68" s="592"/>
      <c r="H68" s="62"/>
      <c r="I68" s="62"/>
      <c r="J68" s="593"/>
      <c r="K68" s="62"/>
      <c r="L68" s="62"/>
      <c r="M68" s="62"/>
      <c r="N68" s="62"/>
      <c r="O68" s="592"/>
      <c r="P68" s="62"/>
      <c r="Q68" s="62"/>
      <c r="R68" s="593"/>
      <c r="S68" s="62"/>
      <c r="T68" s="62"/>
      <c r="U68" s="62"/>
      <c r="V68" s="62"/>
      <c r="W68" s="592"/>
      <c r="X68" s="62"/>
      <c r="Y68" s="62"/>
      <c r="Z68" s="593"/>
      <c r="AA68" s="62"/>
      <c r="AB68" s="62"/>
      <c r="AC68" s="62"/>
      <c r="AD68" s="62"/>
      <c r="AE68" s="592">
        <v>-3.1</v>
      </c>
      <c r="AF68" s="62">
        <v>-6.1</v>
      </c>
      <c r="AG68" s="62">
        <v>-8.9</v>
      </c>
      <c r="AH68" s="593">
        <v>-4.4000000000000004</v>
      </c>
      <c r="AI68" s="62">
        <v>-54.5</v>
      </c>
      <c r="AJ68" s="62">
        <v>-142.69999999999999</v>
      </c>
      <c r="AK68" s="62">
        <v>-234</v>
      </c>
      <c r="AL68" s="62">
        <v>-343.7</v>
      </c>
      <c r="AM68" s="592">
        <v>-106.3</v>
      </c>
      <c r="AN68" s="62">
        <v>-185.7</v>
      </c>
      <c r="AO68" s="62">
        <v>-304.39999999999998</v>
      </c>
      <c r="AP68" s="593">
        <v>-399.2</v>
      </c>
      <c r="AQ68" s="62">
        <v>-119</v>
      </c>
      <c r="AR68" s="62">
        <v>-222</v>
      </c>
      <c r="AS68" s="62">
        <v>-280.89999999999998</v>
      </c>
      <c r="AT68" s="593">
        <v>-335.4</v>
      </c>
      <c r="AU68" s="62">
        <v>-52.9</v>
      </c>
      <c r="AV68" s="62">
        <v>-100.7</v>
      </c>
      <c r="AW68" s="62">
        <v>-151</v>
      </c>
      <c r="AX68" s="593">
        <v>-196.4</v>
      </c>
      <c r="AY68" s="62">
        <v>-57.6</v>
      </c>
      <c r="AZ68" s="62">
        <v>-104.7</v>
      </c>
      <c r="BA68" s="234">
        <v>-150.19999999999999</v>
      </c>
      <c r="BB68" s="600">
        <v>-195.5</v>
      </c>
      <c r="BC68" s="62">
        <v>-61.8</v>
      </c>
      <c r="BD68" s="62">
        <v>-112.8</v>
      </c>
      <c r="BE68" s="234">
        <v>-156.5</v>
      </c>
      <c r="BF68" s="600">
        <v>-210.3</v>
      </c>
      <c r="BG68" s="62">
        <v>-52.7</v>
      </c>
      <c r="BH68" s="62">
        <v>-101.6</v>
      </c>
      <c r="BI68" s="234"/>
      <c r="BJ68" s="600"/>
    </row>
    <row r="69" spans="1:64" ht="20.100000000000001" customHeight="1">
      <c r="A69" s="64" t="s">
        <v>406</v>
      </c>
      <c r="B69" s="609" t="s">
        <v>407</v>
      </c>
      <c r="C69" s="63">
        <v>0</v>
      </c>
      <c r="D69" s="63">
        <v>0</v>
      </c>
      <c r="E69" s="63">
        <v>0</v>
      </c>
      <c r="F69" s="63">
        <v>0</v>
      </c>
      <c r="G69" s="613">
        <v>0</v>
      </c>
      <c r="H69" s="63">
        <v>0</v>
      </c>
      <c r="I69" s="63">
        <v>0</v>
      </c>
      <c r="J69" s="614">
        <v>0</v>
      </c>
      <c r="K69" s="63">
        <v>0</v>
      </c>
      <c r="L69" s="62">
        <v>-102.9</v>
      </c>
      <c r="M69" s="62">
        <v>-102.9</v>
      </c>
      <c r="N69" s="62">
        <v>-102.9</v>
      </c>
      <c r="O69" s="592">
        <v>0</v>
      </c>
      <c r="P69" s="62">
        <v>0</v>
      </c>
      <c r="Q69" s="62">
        <v>0</v>
      </c>
      <c r="R69" s="593">
        <v>0</v>
      </c>
      <c r="S69" s="62">
        <v>0</v>
      </c>
      <c r="T69" s="62">
        <v>0</v>
      </c>
      <c r="U69" s="62">
        <v>0</v>
      </c>
      <c r="V69" s="62">
        <v>0</v>
      </c>
      <c r="W69" s="592">
        <v>0</v>
      </c>
      <c r="X69" s="62">
        <v>0</v>
      </c>
      <c r="Y69" s="62">
        <v>-204.7</v>
      </c>
      <c r="Z69" s="593">
        <v>-204.7</v>
      </c>
      <c r="AA69" s="62">
        <v>0</v>
      </c>
      <c r="AB69" s="62">
        <v>0</v>
      </c>
      <c r="AC69" s="62">
        <v>0</v>
      </c>
      <c r="AD69" s="62">
        <v>0</v>
      </c>
      <c r="AE69" s="592">
        <v>0</v>
      </c>
      <c r="AF69" s="62">
        <v>0</v>
      </c>
      <c r="AG69" s="62">
        <v>-287.8</v>
      </c>
      <c r="AH69" s="593">
        <v>-594.79999999999995</v>
      </c>
      <c r="AI69" s="62">
        <v>0</v>
      </c>
      <c r="AJ69" s="62">
        <v>0</v>
      </c>
      <c r="AK69" s="62">
        <v>-287.8</v>
      </c>
      <c r="AL69" s="62">
        <v>-594.79999999999995</v>
      </c>
      <c r="AM69" s="592">
        <v>0</v>
      </c>
      <c r="AN69" s="62">
        <v>-7.4</v>
      </c>
      <c r="AO69" s="62">
        <v>-7.4</v>
      </c>
      <c r="AP69" s="593">
        <v>-232.5</v>
      </c>
      <c r="AQ69" s="62">
        <v>-415.7</v>
      </c>
      <c r="AR69" s="62">
        <v>-415.7</v>
      </c>
      <c r="AS69" s="62">
        <v>-674.5</v>
      </c>
      <c r="AT69" s="593">
        <v>-1186.2</v>
      </c>
      <c r="AU69" s="62">
        <v>0</v>
      </c>
      <c r="AV69" s="62">
        <v>0</v>
      </c>
      <c r="AW69" s="62">
        <v>0</v>
      </c>
      <c r="AX69" s="593">
        <v>-660.8</v>
      </c>
      <c r="AY69" s="62">
        <v>0</v>
      </c>
      <c r="AZ69" s="62">
        <v>0</v>
      </c>
      <c r="BA69" s="62">
        <v>0</v>
      </c>
      <c r="BB69" s="593">
        <v>0</v>
      </c>
      <c r="BC69" s="62">
        <v>0</v>
      </c>
      <c r="BD69" s="62">
        <v>0</v>
      </c>
      <c r="BE69" s="62">
        <v>0</v>
      </c>
      <c r="BF69" s="593">
        <v>0</v>
      </c>
      <c r="BG69" s="62">
        <v>0</v>
      </c>
      <c r="BH69" s="62">
        <v>0</v>
      </c>
      <c r="BI69" s="62"/>
      <c r="BJ69" s="593"/>
    </row>
    <row r="70" spans="1:64" ht="20.100000000000001" customHeight="1">
      <c r="A70" s="64" t="s">
        <v>408</v>
      </c>
      <c r="B70" s="609" t="s">
        <v>409</v>
      </c>
      <c r="C70" s="63"/>
      <c r="D70" s="63"/>
      <c r="E70" s="63"/>
      <c r="F70" s="63"/>
      <c r="G70" s="613"/>
      <c r="H70" s="63"/>
      <c r="I70" s="63"/>
      <c r="J70" s="614"/>
      <c r="K70" s="63"/>
      <c r="L70" s="62"/>
      <c r="M70" s="62"/>
      <c r="N70" s="62"/>
      <c r="O70" s="592"/>
      <c r="P70" s="62"/>
      <c r="Q70" s="62"/>
      <c r="R70" s="593"/>
      <c r="S70" s="62"/>
      <c r="T70" s="62"/>
      <c r="U70" s="62"/>
      <c r="V70" s="62"/>
      <c r="W70" s="592"/>
      <c r="X70" s="62"/>
      <c r="Y70" s="62"/>
      <c r="Z70" s="593"/>
      <c r="AA70" s="62"/>
      <c r="AB70" s="62"/>
      <c r="AC70" s="62"/>
      <c r="AD70" s="62"/>
      <c r="AE70" s="592"/>
      <c r="AF70" s="62"/>
      <c r="AG70" s="62"/>
      <c r="AH70" s="593"/>
      <c r="AI70" s="62"/>
      <c r="AJ70" s="62"/>
      <c r="AK70" s="62"/>
      <c r="AL70" s="62"/>
      <c r="AM70" s="592"/>
      <c r="AN70" s="62"/>
      <c r="AO70" s="62"/>
      <c r="AP70" s="593"/>
      <c r="AQ70" s="62"/>
      <c r="AR70" s="62"/>
      <c r="AS70" s="62"/>
      <c r="AT70" s="593">
        <v>-2464</v>
      </c>
      <c r="AU70" s="62">
        <v>0</v>
      </c>
      <c r="AV70" s="62">
        <v>-393.9</v>
      </c>
      <c r="AW70" s="62">
        <v>-393.9</v>
      </c>
      <c r="AX70" s="593">
        <v>-393.9</v>
      </c>
      <c r="AY70" s="62">
        <v>0</v>
      </c>
      <c r="AZ70" s="62">
        <v>0</v>
      </c>
      <c r="BA70" s="62">
        <v>0</v>
      </c>
      <c r="BB70" s="593">
        <v>0</v>
      </c>
      <c r="BC70" s="62">
        <v>0</v>
      </c>
      <c r="BD70" s="62">
        <v>0</v>
      </c>
      <c r="BE70" s="62">
        <v>0</v>
      </c>
      <c r="BF70" s="593">
        <v>0</v>
      </c>
      <c r="BG70" s="62">
        <v>0</v>
      </c>
      <c r="BH70" s="62">
        <v>0</v>
      </c>
      <c r="BI70" s="62"/>
      <c r="BJ70" s="593"/>
    </row>
    <row r="71" spans="1:64" ht="20.100000000000001" customHeight="1">
      <c r="A71" s="64" t="s">
        <v>410</v>
      </c>
      <c r="B71" s="609" t="s">
        <v>411</v>
      </c>
      <c r="C71" s="63"/>
      <c r="D71" s="63"/>
      <c r="E71" s="63"/>
      <c r="F71" s="63"/>
      <c r="G71" s="613"/>
      <c r="H71" s="63"/>
      <c r="I71" s="63"/>
      <c r="J71" s="614"/>
      <c r="K71" s="63"/>
      <c r="L71" s="62"/>
      <c r="M71" s="62"/>
      <c r="N71" s="62"/>
      <c r="O71" s="592"/>
      <c r="P71" s="62"/>
      <c r="Q71" s="62"/>
      <c r="R71" s="593"/>
      <c r="S71" s="62"/>
      <c r="T71" s="62">
        <v>-323.60000000000002</v>
      </c>
      <c r="U71" s="62">
        <v>-323.60000000000002</v>
      </c>
      <c r="V71" s="62">
        <v>-323.60000000000002</v>
      </c>
      <c r="W71" s="592">
        <v>0</v>
      </c>
      <c r="X71" s="62">
        <v>0</v>
      </c>
      <c r="Y71" s="62">
        <v>0</v>
      </c>
      <c r="Z71" s="593">
        <v>0</v>
      </c>
      <c r="AA71" s="62">
        <v>0</v>
      </c>
      <c r="AB71" s="62">
        <v>0</v>
      </c>
      <c r="AC71" s="62">
        <v>0</v>
      </c>
      <c r="AD71" s="62">
        <v>0</v>
      </c>
      <c r="AE71" s="592">
        <v>0</v>
      </c>
      <c r="AF71" s="62">
        <v>0</v>
      </c>
      <c r="AG71" s="62">
        <v>0</v>
      </c>
      <c r="AH71" s="593">
        <v>0</v>
      </c>
      <c r="AI71" s="62">
        <v>0</v>
      </c>
      <c r="AJ71" s="62">
        <v>0</v>
      </c>
      <c r="AK71" s="62">
        <v>0</v>
      </c>
      <c r="AL71" s="62">
        <v>0</v>
      </c>
      <c r="AM71" s="592">
        <v>0</v>
      </c>
      <c r="AN71" s="62">
        <v>0</v>
      </c>
      <c r="AO71" s="62">
        <v>0</v>
      </c>
      <c r="AP71" s="593">
        <v>0</v>
      </c>
      <c r="AQ71" s="62">
        <v>0</v>
      </c>
      <c r="AR71" s="62">
        <v>0</v>
      </c>
      <c r="AS71" s="62">
        <v>0</v>
      </c>
      <c r="AT71" s="593">
        <v>0</v>
      </c>
      <c r="AU71" s="62">
        <v>0</v>
      </c>
      <c r="AV71" s="62">
        <v>0</v>
      </c>
      <c r="AW71" s="62">
        <v>0</v>
      </c>
      <c r="AX71" s="593">
        <v>0</v>
      </c>
      <c r="AY71" s="62">
        <v>0</v>
      </c>
      <c r="AZ71" s="62">
        <v>0</v>
      </c>
      <c r="BA71" s="62">
        <v>0</v>
      </c>
      <c r="BB71" s="593">
        <v>0</v>
      </c>
      <c r="BC71" s="62">
        <v>0</v>
      </c>
      <c r="BD71" s="62">
        <v>0</v>
      </c>
      <c r="BE71" s="62">
        <v>0</v>
      </c>
      <c r="BF71" s="593">
        <v>0</v>
      </c>
      <c r="BG71" s="62">
        <v>0</v>
      </c>
      <c r="BH71" s="62">
        <v>0</v>
      </c>
      <c r="BI71" s="62"/>
      <c r="BJ71" s="593"/>
    </row>
    <row r="72" spans="1:64" ht="20.100000000000001" customHeight="1">
      <c r="A72" s="64" t="s">
        <v>781</v>
      </c>
      <c r="B72" s="609" t="s">
        <v>412</v>
      </c>
      <c r="C72" s="62">
        <v>-8.4000000000000005E-2</v>
      </c>
      <c r="D72" s="62">
        <v>-0.23899999999999999</v>
      </c>
      <c r="E72" s="62">
        <v>-0.315</v>
      </c>
      <c r="F72" s="62">
        <v>-0.40600000000000003</v>
      </c>
      <c r="G72" s="592">
        <v>-7.8E-2</v>
      </c>
      <c r="H72" s="62">
        <v>-0.16800000000000001</v>
      </c>
      <c r="I72" s="62">
        <v>-0.25600000000000001</v>
      </c>
      <c r="J72" s="593">
        <v>-0.33</v>
      </c>
      <c r="K72" s="62">
        <v>-6.2E-2</v>
      </c>
      <c r="L72" s="62">
        <v>-0.3</v>
      </c>
      <c r="M72" s="62">
        <v>-0.7</v>
      </c>
      <c r="N72" s="62">
        <v>-0.9</v>
      </c>
      <c r="O72" s="592">
        <v>-2.5</v>
      </c>
      <c r="P72" s="62">
        <v>-3.5</v>
      </c>
      <c r="Q72" s="62">
        <v>-4.5</v>
      </c>
      <c r="R72" s="593">
        <v>-5.6</v>
      </c>
      <c r="S72" s="62">
        <v>-2.1</v>
      </c>
      <c r="T72" s="62">
        <v>-2.7</v>
      </c>
      <c r="U72" s="62">
        <v>-4.4000000000000004</v>
      </c>
      <c r="V72" s="62">
        <v>-6</v>
      </c>
      <c r="W72" s="592">
        <f>-0.3-1.4</f>
        <v>-1.7</v>
      </c>
      <c r="X72" s="62">
        <v>-2.9</v>
      </c>
      <c r="Y72" s="62">
        <v>-4.3</v>
      </c>
      <c r="Z72" s="593">
        <v>-5.2</v>
      </c>
      <c r="AA72" s="62">
        <v>-1.6</v>
      </c>
      <c r="AB72" s="62">
        <v>-3.4</v>
      </c>
      <c r="AC72" s="62">
        <v>-4.8</v>
      </c>
      <c r="AD72" s="62">
        <v>-8.4</v>
      </c>
      <c r="AE72" s="592">
        <v>-0.6</v>
      </c>
      <c r="AF72" s="62">
        <v>-0.4</v>
      </c>
      <c r="AG72" s="62">
        <v>-0.6</v>
      </c>
      <c r="AH72" s="593">
        <v>-0.7</v>
      </c>
      <c r="AI72" s="62">
        <v>-0.6</v>
      </c>
      <c r="AJ72" s="62">
        <v>-0.4</v>
      </c>
      <c r="AK72" s="62">
        <v>-0.6</v>
      </c>
      <c r="AL72" s="62">
        <v>-0.7</v>
      </c>
      <c r="AM72" s="592">
        <v>-4.5</v>
      </c>
      <c r="AN72" s="62">
        <v>-12.7</v>
      </c>
      <c r="AO72" s="62">
        <v>-27.3</v>
      </c>
      <c r="AP72" s="593">
        <v>-40.1</v>
      </c>
      <c r="AQ72" s="62">
        <v>-11.1</v>
      </c>
      <c r="AR72" s="62">
        <v>-19.3</v>
      </c>
      <c r="AS72" s="62">
        <v>-27.2</v>
      </c>
      <c r="AT72" s="593">
        <v>-33.799999999999997</v>
      </c>
      <c r="AU72" s="62">
        <v>-1.5</v>
      </c>
      <c r="AV72" s="62">
        <v>-12.2</v>
      </c>
      <c r="AW72" s="62">
        <v>-16.5</v>
      </c>
      <c r="AX72" s="593">
        <v>-23</v>
      </c>
      <c r="AY72" s="62">
        <v>9.8000000000000007</v>
      </c>
      <c r="AZ72" s="62">
        <v>2.8</v>
      </c>
      <c r="BA72" s="234">
        <v>-1.5</v>
      </c>
      <c r="BB72" s="600">
        <v>-1.8</v>
      </c>
      <c r="BC72" s="62">
        <v>-3.6</v>
      </c>
      <c r="BD72" s="62">
        <v>-6.8</v>
      </c>
      <c r="BE72" s="234">
        <v>-19.600000000000001</v>
      </c>
      <c r="BF72" s="600">
        <v>16.100000000000001</v>
      </c>
      <c r="BG72" s="62">
        <v>-3.7</v>
      </c>
      <c r="BH72" s="62">
        <v>-3.9</v>
      </c>
      <c r="BI72" s="234"/>
      <c r="BJ72" s="600"/>
    </row>
    <row r="73" spans="1:64" ht="28.8">
      <c r="A73" s="64" t="s">
        <v>413</v>
      </c>
      <c r="B73" s="609" t="s">
        <v>414</v>
      </c>
      <c r="C73" s="62"/>
      <c r="D73" s="62"/>
      <c r="E73" s="62"/>
      <c r="F73" s="62"/>
      <c r="G73" s="592"/>
      <c r="H73" s="62"/>
      <c r="I73" s="62"/>
      <c r="J73" s="593"/>
      <c r="K73" s="62"/>
      <c r="L73" s="62"/>
      <c r="M73" s="62"/>
      <c r="N73" s="62"/>
      <c r="O73" s="592"/>
      <c r="P73" s="62"/>
      <c r="Q73" s="62"/>
      <c r="R73" s="593"/>
      <c r="S73" s="62"/>
      <c r="T73" s="62"/>
      <c r="U73" s="62"/>
      <c r="V73" s="62"/>
      <c r="W73" s="592"/>
      <c r="X73" s="62"/>
      <c r="Y73" s="62"/>
      <c r="Z73" s="593"/>
      <c r="AA73" s="62"/>
      <c r="AB73" s="62"/>
      <c r="AC73" s="62"/>
      <c r="AD73" s="62"/>
      <c r="AE73" s="592"/>
      <c r="AF73" s="62"/>
      <c r="AG73" s="62"/>
      <c r="AH73" s="593"/>
      <c r="AI73" s="62"/>
      <c r="AJ73" s="62"/>
      <c r="AK73" s="62"/>
      <c r="AL73" s="62"/>
      <c r="AM73" s="592"/>
      <c r="AN73" s="62"/>
      <c r="AO73" s="62"/>
      <c r="AP73" s="593"/>
      <c r="AQ73" s="62"/>
      <c r="AR73" s="62"/>
      <c r="AS73" s="62"/>
      <c r="AT73" s="593"/>
      <c r="AU73" s="62">
        <v>7.4</v>
      </c>
      <c r="AV73" s="62">
        <v>31.9</v>
      </c>
      <c r="AW73" s="62">
        <v>75.7</v>
      </c>
      <c r="AX73" s="593">
        <v>109.4</v>
      </c>
      <c r="AY73" s="62">
        <v>32.799999999999997</v>
      </c>
      <c r="AZ73" s="62">
        <v>48.4</v>
      </c>
      <c r="BA73" s="234">
        <v>56.5</v>
      </c>
      <c r="BB73" s="600">
        <v>60.8</v>
      </c>
      <c r="BC73" s="62">
        <v>4.5999999999999996</v>
      </c>
      <c r="BD73" s="62">
        <v>8.1999999999999993</v>
      </c>
      <c r="BE73" s="234">
        <v>16</v>
      </c>
      <c r="BF73" s="600">
        <v>24.7</v>
      </c>
      <c r="BG73" s="62">
        <v>5.0999999999999996</v>
      </c>
      <c r="BH73" s="62">
        <v>14.9</v>
      </c>
      <c r="BI73" s="234"/>
      <c r="BJ73" s="600"/>
    </row>
    <row r="74" spans="1:64" ht="20.100000000000001" customHeight="1">
      <c r="A74" s="64" t="s">
        <v>415</v>
      </c>
      <c r="B74" s="609" t="s">
        <v>416</v>
      </c>
      <c r="C74" s="613">
        <v>0</v>
      </c>
      <c r="D74" s="63">
        <v>0</v>
      </c>
      <c r="E74" s="63">
        <v>0</v>
      </c>
      <c r="F74" s="614">
        <v>0</v>
      </c>
      <c r="G74" s="613">
        <v>0</v>
      </c>
      <c r="H74" s="63">
        <v>0</v>
      </c>
      <c r="I74" s="63">
        <v>0</v>
      </c>
      <c r="J74" s="614">
        <v>0</v>
      </c>
      <c r="K74" s="63">
        <v>0</v>
      </c>
      <c r="L74" s="62">
        <v>-3.8</v>
      </c>
      <c r="M74" s="62">
        <v>-3.9</v>
      </c>
      <c r="N74" s="62">
        <v>-3.9</v>
      </c>
      <c r="O74" s="592">
        <v>0</v>
      </c>
      <c r="P74" s="62">
        <v>0</v>
      </c>
      <c r="Q74" s="62">
        <v>0</v>
      </c>
      <c r="R74" s="593">
        <v>0</v>
      </c>
      <c r="S74" s="62">
        <v>0</v>
      </c>
      <c r="T74" s="62">
        <v>0</v>
      </c>
      <c r="U74" s="62">
        <v>0</v>
      </c>
      <c r="V74" s="62">
        <v>0</v>
      </c>
      <c r="W74" s="592">
        <v>0</v>
      </c>
      <c r="X74" s="62">
        <v>0</v>
      </c>
      <c r="Y74" s="62">
        <v>0</v>
      </c>
      <c r="Z74" s="593">
        <v>0</v>
      </c>
      <c r="AA74" s="62">
        <v>0</v>
      </c>
      <c r="AB74" s="62"/>
      <c r="AC74" s="62">
        <v>0</v>
      </c>
      <c r="AD74" s="62">
        <v>0</v>
      </c>
      <c r="AE74" s="592">
        <v>0</v>
      </c>
      <c r="AF74" s="62">
        <v>0</v>
      </c>
      <c r="AG74" s="62">
        <v>0</v>
      </c>
      <c r="AH74" s="593">
        <v>0</v>
      </c>
      <c r="AI74" s="62">
        <v>0</v>
      </c>
      <c r="AJ74" s="62">
        <v>0</v>
      </c>
      <c r="AK74" s="62">
        <v>0</v>
      </c>
      <c r="AL74" s="62">
        <v>0</v>
      </c>
      <c r="AM74" s="592">
        <v>0</v>
      </c>
      <c r="AN74" s="62">
        <v>0</v>
      </c>
      <c r="AO74" s="62">
        <v>0</v>
      </c>
      <c r="AP74" s="593">
        <v>0</v>
      </c>
      <c r="AQ74" s="62">
        <v>0</v>
      </c>
      <c r="AR74" s="62">
        <v>0</v>
      </c>
      <c r="AS74" s="62">
        <v>0</v>
      </c>
      <c r="AT74" s="593"/>
      <c r="AU74" s="62">
        <v>0</v>
      </c>
      <c r="AV74" s="62">
        <v>0</v>
      </c>
      <c r="AW74" s="62">
        <v>0</v>
      </c>
      <c r="AX74" s="593">
        <v>0</v>
      </c>
      <c r="AY74" s="62">
        <v>0</v>
      </c>
      <c r="AZ74" s="62">
        <v>0</v>
      </c>
      <c r="BA74" s="62">
        <v>0</v>
      </c>
      <c r="BB74" s="593">
        <v>0</v>
      </c>
      <c r="BC74" s="62">
        <v>0</v>
      </c>
      <c r="BD74" s="62">
        <v>0</v>
      </c>
      <c r="BE74" s="62">
        <v>0</v>
      </c>
      <c r="BF74" s="593">
        <v>0</v>
      </c>
      <c r="BG74" s="62">
        <v>0</v>
      </c>
      <c r="BH74" s="62">
        <v>0</v>
      </c>
      <c r="BI74" s="62"/>
      <c r="BJ74" s="593"/>
    </row>
    <row r="75" spans="1:64" s="239" customFormat="1" ht="25.2" customHeight="1" thickBot="1">
      <c r="A75" s="359" t="s">
        <v>417</v>
      </c>
      <c r="B75" s="611" t="s">
        <v>418</v>
      </c>
      <c r="C75" s="597">
        <f t="shared" ref="C75:X75" si="21">SUM(C61:C74)</f>
        <v>-52.972000000000001</v>
      </c>
      <c r="D75" s="360">
        <f t="shared" si="21"/>
        <v>-260.08099999999996</v>
      </c>
      <c r="E75" s="360">
        <f t="shared" si="21"/>
        <v>-525.96400000000006</v>
      </c>
      <c r="F75" s="598">
        <f t="shared" si="21"/>
        <v>-653.34699999999998</v>
      </c>
      <c r="G75" s="597">
        <f t="shared" si="21"/>
        <v>-66.737000000000009</v>
      </c>
      <c r="H75" s="360">
        <f t="shared" si="21"/>
        <v>-278.43799999999999</v>
      </c>
      <c r="I75" s="360">
        <f t="shared" si="21"/>
        <v>-464.322</v>
      </c>
      <c r="J75" s="598">
        <f t="shared" si="21"/>
        <v>-596.46400000000006</v>
      </c>
      <c r="K75" s="360">
        <f t="shared" si="21"/>
        <v>-46.550999999999995</v>
      </c>
      <c r="L75" s="360">
        <f t="shared" si="21"/>
        <v>-478.30000000000007</v>
      </c>
      <c r="M75" s="360">
        <f t="shared" si="21"/>
        <v>-1064.0000000000002</v>
      </c>
      <c r="N75" s="360">
        <f t="shared" si="21"/>
        <v>-1542.9000000000003</v>
      </c>
      <c r="O75" s="597">
        <f t="shared" si="21"/>
        <v>-467.4</v>
      </c>
      <c r="P75" s="360">
        <f t="shared" si="21"/>
        <v>-1310</v>
      </c>
      <c r="Q75" s="360">
        <f t="shared" si="21"/>
        <v>-2210.8000000000006</v>
      </c>
      <c r="R75" s="598">
        <f t="shared" si="21"/>
        <v>-2386.7000000000007</v>
      </c>
      <c r="S75" s="360">
        <f t="shared" si="21"/>
        <v>-371.90000000000055</v>
      </c>
      <c r="T75" s="360">
        <f t="shared" si="21"/>
        <v>-1403.6000000000001</v>
      </c>
      <c r="U75" s="360">
        <f t="shared" si="21"/>
        <v>-1737.1000000000004</v>
      </c>
      <c r="V75" s="360">
        <f t="shared" si="21"/>
        <v>-2070.8000000000002</v>
      </c>
      <c r="W75" s="597">
        <f t="shared" si="21"/>
        <v>-348.2</v>
      </c>
      <c r="X75" s="360">
        <f t="shared" si="21"/>
        <v>-1122.3000000000002</v>
      </c>
      <c r="Y75" s="360">
        <f>SUM(Y61:Y74)</f>
        <v>-1676</v>
      </c>
      <c r="Z75" s="598">
        <f>SUM(Z61:Z74)</f>
        <v>-1527.7000000000003</v>
      </c>
      <c r="AA75" s="360">
        <f t="shared" ref="AA75:AD75" si="22">SUM(AA61:AA74)</f>
        <v>-689.6</v>
      </c>
      <c r="AB75" s="360">
        <f t="shared" si="22"/>
        <v>-868.19999999999993</v>
      </c>
      <c r="AC75" s="360">
        <f t="shared" ref="AC75" si="23">SUM(AC61:AC74)</f>
        <v>-790.09999999999991</v>
      </c>
      <c r="AD75" s="360">
        <f t="shared" si="22"/>
        <v>-1074.3000000000002</v>
      </c>
      <c r="AE75" s="597">
        <f t="shared" ref="AE75:AH75" si="24">SUM(AE61:AE74)</f>
        <v>-695.40000000000009</v>
      </c>
      <c r="AF75" s="360">
        <f t="shared" si="24"/>
        <v>-1064</v>
      </c>
      <c r="AG75" s="360">
        <f>SUM(AG61:AG74)</f>
        <v>-1285.8999999999999</v>
      </c>
      <c r="AH75" s="598">
        <f t="shared" si="24"/>
        <v>-798.6</v>
      </c>
      <c r="AI75" s="360">
        <f t="shared" ref="AI75:AJ75" si="25">SUM(AI61:AI74)</f>
        <v>-754.4</v>
      </c>
      <c r="AJ75" s="360">
        <f t="shared" si="25"/>
        <v>-1219</v>
      </c>
      <c r="AK75" s="360">
        <f>SUM(AK61:AK74)</f>
        <v>-1538.9999999999998</v>
      </c>
      <c r="AL75" s="360">
        <f t="shared" ref="AL75" si="26">SUM(AL61:AL74)</f>
        <v>-1184.7</v>
      </c>
      <c r="AM75" s="597">
        <f t="shared" ref="AM75:AN75" si="27">SUM(AM61:AM74)</f>
        <v>-30.000000000000043</v>
      </c>
      <c r="AN75" s="360">
        <f t="shared" si="27"/>
        <v>-243.19999999999996</v>
      </c>
      <c r="AO75" s="360">
        <v>-453.3</v>
      </c>
      <c r="AP75" s="598">
        <f t="shared" ref="AP75:AR75" si="28">SUM(AP61:AP74)</f>
        <v>-856</v>
      </c>
      <c r="AQ75" s="360">
        <f t="shared" si="28"/>
        <v>-612</v>
      </c>
      <c r="AR75" s="360">
        <f t="shared" si="28"/>
        <v>-879.3</v>
      </c>
      <c r="AS75" s="360">
        <f t="shared" ref="AS75" si="29">SUM(AS61:AS74)</f>
        <v>-981.50000000000011</v>
      </c>
      <c r="AT75" s="598">
        <f t="shared" ref="AT75:AW75" si="30">SUM(AT61:AT74)</f>
        <v>-5282.9000000000005</v>
      </c>
      <c r="AU75" s="360">
        <f t="shared" si="30"/>
        <v>-332.2</v>
      </c>
      <c r="AV75" s="360">
        <f t="shared" si="30"/>
        <v>-1340.8</v>
      </c>
      <c r="AW75" s="360">
        <f t="shared" si="30"/>
        <v>-1729.7</v>
      </c>
      <c r="AX75" s="598">
        <f t="shared" ref="AX75:BH75" si="31">SUM(AX61:AX74)</f>
        <v>-2705.7</v>
      </c>
      <c r="AY75" s="360">
        <f t="shared" si="31"/>
        <v>1567.3</v>
      </c>
      <c r="AZ75" s="360">
        <f t="shared" si="31"/>
        <v>2915.5</v>
      </c>
      <c r="BA75" s="360">
        <f t="shared" si="31"/>
        <v>3091.0000000000005</v>
      </c>
      <c r="BB75" s="598">
        <f t="shared" ref="BB75" si="32">SUM(BB61:BB74)</f>
        <v>2336.2000000000003</v>
      </c>
      <c r="BC75" s="360">
        <f t="shared" si="31"/>
        <v>-762.8</v>
      </c>
      <c r="BD75" s="360">
        <f t="shared" si="31"/>
        <v>-987.29999999999984</v>
      </c>
      <c r="BE75" s="360">
        <f t="shared" si="31"/>
        <v>-1536.2999999999997</v>
      </c>
      <c r="BF75" s="598">
        <f t="shared" si="31"/>
        <v>-1882.5</v>
      </c>
      <c r="BG75" s="360">
        <f t="shared" si="31"/>
        <v>-1132.5000000000002</v>
      </c>
      <c r="BH75" s="360">
        <f t="shared" si="31"/>
        <v>-1382</v>
      </c>
      <c r="BI75" s="360"/>
      <c r="BJ75" s="598"/>
    </row>
    <row r="76" spans="1:64" ht="20.100000000000001" customHeight="1" thickBot="1">
      <c r="A76" s="361" t="s">
        <v>419</v>
      </c>
      <c r="B76" s="608" t="s">
        <v>420</v>
      </c>
      <c r="C76" s="362">
        <f>C41+C60+C75</f>
        <v>146.86399999999998</v>
      </c>
      <c r="D76" s="362">
        <f t="shared" ref="D76:AN76" si="33">D75+D60+D41</f>
        <v>33.256000000000029</v>
      </c>
      <c r="E76" s="362">
        <f t="shared" si="33"/>
        <v>-51.083999999999946</v>
      </c>
      <c r="F76" s="363">
        <f t="shared" si="33"/>
        <v>-5.4109999999999445</v>
      </c>
      <c r="G76" s="590">
        <f t="shared" si="33"/>
        <v>53.822999999999979</v>
      </c>
      <c r="H76" s="363">
        <f t="shared" si="33"/>
        <v>-5.0790000000000077</v>
      </c>
      <c r="I76" s="363">
        <f t="shared" si="33"/>
        <v>-55.118000000000166</v>
      </c>
      <c r="J76" s="591">
        <f t="shared" si="33"/>
        <v>72.357999999999834</v>
      </c>
      <c r="K76" s="363">
        <f t="shared" si="33"/>
        <v>85.956000000000017</v>
      </c>
      <c r="L76" s="363" t="e">
        <f t="shared" si="33"/>
        <v>#REF!</v>
      </c>
      <c r="M76" s="363">
        <f t="shared" si="33"/>
        <v>1300.0999999999999</v>
      </c>
      <c r="N76" s="363">
        <f t="shared" si="33"/>
        <v>1403.7999999999997</v>
      </c>
      <c r="O76" s="590">
        <f t="shared" si="33"/>
        <v>-257.89999999999981</v>
      </c>
      <c r="P76" s="363">
        <f t="shared" si="33"/>
        <v>-353.30000000000041</v>
      </c>
      <c r="Q76" s="363" t="e">
        <f t="shared" si="33"/>
        <v>#REF!</v>
      </c>
      <c r="R76" s="591" t="e">
        <f t="shared" si="33"/>
        <v>#REF!</v>
      </c>
      <c r="S76" s="363" t="e">
        <f t="shared" si="33"/>
        <v>#REF!</v>
      </c>
      <c r="T76" s="363" t="e">
        <f t="shared" si="33"/>
        <v>#REF!</v>
      </c>
      <c r="U76" s="363" t="e">
        <f t="shared" si="33"/>
        <v>#REF!</v>
      </c>
      <c r="V76" s="363" t="e">
        <f t="shared" si="33"/>
        <v>#REF!</v>
      </c>
      <c r="W76" s="590">
        <f t="shared" si="33"/>
        <v>244.3000000000003</v>
      </c>
      <c r="X76" s="363">
        <f t="shared" si="33"/>
        <v>29.599999999999909</v>
      </c>
      <c r="Y76" s="363">
        <f t="shared" si="33"/>
        <v>-245.50000000000045</v>
      </c>
      <c r="Z76" s="591">
        <f t="shared" si="33"/>
        <v>-159.59999999999945</v>
      </c>
      <c r="AA76" s="363">
        <f t="shared" si="33"/>
        <v>-374.99999999999989</v>
      </c>
      <c r="AB76" s="363">
        <f t="shared" si="33"/>
        <v>-285.70000000000005</v>
      </c>
      <c r="AC76" s="363">
        <f t="shared" si="33"/>
        <v>-11.199999999999818</v>
      </c>
      <c r="AD76" s="363">
        <f t="shared" si="33"/>
        <v>5.2999999999997272</v>
      </c>
      <c r="AE76" s="590">
        <f t="shared" si="33"/>
        <v>-420.69999999999993</v>
      </c>
      <c r="AF76" s="363">
        <f t="shared" si="33"/>
        <v>-392.89999999999986</v>
      </c>
      <c r="AG76" s="363">
        <f t="shared" si="33"/>
        <v>-294.79999999999927</v>
      </c>
      <c r="AH76" s="591">
        <f t="shared" si="33"/>
        <v>-426.40000000000055</v>
      </c>
      <c r="AI76" s="363">
        <f t="shared" si="33"/>
        <v>-420.69999999999993</v>
      </c>
      <c r="AJ76" s="363">
        <f t="shared" si="33"/>
        <v>-392.89999999999986</v>
      </c>
      <c r="AK76" s="363">
        <f t="shared" si="33"/>
        <v>-294.79999999999882</v>
      </c>
      <c r="AL76" s="363">
        <f t="shared" si="33"/>
        <v>-426.40000000000146</v>
      </c>
      <c r="AM76" s="590" t="e">
        <f t="shared" si="33"/>
        <v>#REF!</v>
      </c>
      <c r="AN76" s="363">
        <f t="shared" si="33"/>
        <v>565.90000000000055</v>
      </c>
      <c r="AO76" s="363">
        <v>408.8</v>
      </c>
      <c r="AP76" s="591">
        <f t="shared" ref="AP76:AX76" si="34">AP75+AP60+AP41</f>
        <v>609.39999999999918</v>
      </c>
      <c r="AQ76" s="363" t="e">
        <f t="shared" si="34"/>
        <v>#REF!</v>
      </c>
      <c r="AR76" s="363" t="e">
        <f t="shared" si="34"/>
        <v>#REF!</v>
      </c>
      <c r="AS76" s="363" t="e">
        <f t="shared" si="34"/>
        <v>#REF!</v>
      </c>
      <c r="AT76" s="591" t="e">
        <f t="shared" si="34"/>
        <v>#REF!</v>
      </c>
      <c r="AU76" s="363" t="e">
        <f>AU75+AU60+AU41</f>
        <v>#REF!</v>
      </c>
      <c r="AV76" s="363" t="e">
        <f t="shared" si="34"/>
        <v>#REF!</v>
      </c>
      <c r="AW76" s="363" t="e">
        <f t="shared" si="34"/>
        <v>#REF!</v>
      </c>
      <c r="AX76" s="591" t="e">
        <f t="shared" si="34"/>
        <v>#REF!</v>
      </c>
      <c r="AY76" s="363" t="e">
        <f>AY75+AY60+AY41</f>
        <v>#REF!</v>
      </c>
      <c r="AZ76" s="363">
        <f t="shared" ref="AZ76:BF76" si="35">AZ75+AZ60+AZ41</f>
        <v>2673.2999999999993</v>
      </c>
      <c r="BA76" s="363">
        <f t="shared" si="35"/>
        <v>3324.6</v>
      </c>
      <c r="BB76" s="591">
        <f t="shared" si="35"/>
        <v>2512.8999999999992</v>
      </c>
      <c r="BC76" s="363">
        <f>BC75+BC60+BC41</f>
        <v>-596.79999999999995</v>
      </c>
      <c r="BD76" s="363">
        <f t="shared" si="35"/>
        <v>-243.5</v>
      </c>
      <c r="BE76" s="363">
        <f t="shared" si="35"/>
        <v>-215.60000000000036</v>
      </c>
      <c r="BF76" s="591">
        <f t="shared" si="35"/>
        <v>-629.33999999999969</v>
      </c>
      <c r="BG76" s="363">
        <f>BG75+BG60+BG41</f>
        <v>-421.5</v>
      </c>
      <c r="BH76" s="363">
        <f>BH75+BH60+BH41</f>
        <v>-280.40000000000009</v>
      </c>
      <c r="BI76" s="363"/>
      <c r="BJ76" s="591"/>
    </row>
    <row r="77" spans="1:64" ht="20.100000000000001" customHeight="1">
      <c r="A77" s="237" t="s">
        <v>421</v>
      </c>
      <c r="B77" s="612" t="s">
        <v>422</v>
      </c>
      <c r="C77" s="238">
        <v>277.53399999999999</v>
      </c>
      <c r="D77" s="238">
        <v>277.53399999999999</v>
      </c>
      <c r="E77" s="238">
        <v>277.53399999999999</v>
      </c>
      <c r="F77" s="238">
        <v>277.53399999999999</v>
      </c>
      <c r="G77" s="603">
        <v>270.35399999999998</v>
      </c>
      <c r="H77" s="238">
        <v>270.35399999999998</v>
      </c>
      <c r="I77" s="238">
        <v>270.35399999999998</v>
      </c>
      <c r="J77" s="604">
        <v>270.35399999999998</v>
      </c>
      <c r="K77" s="238">
        <v>342.25100000000003</v>
      </c>
      <c r="L77" s="238">
        <v>342.2</v>
      </c>
      <c r="M77" s="238">
        <v>342.2</v>
      </c>
      <c r="N77" s="238">
        <v>342.2</v>
      </c>
      <c r="O77" s="603">
        <v>1747.9</v>
      </c>
      <c r="P77" s="238">
        <v>1747.9</v>
      </c>
      <c r="Q77" s="238">
        <v>1747.9</v>
      </c>
      <c r="R77" s="604">
        <v>1747.9</v>
      </c>
      <c r="S77" s="238" t="e">
        <f>$R$80</f>
        <v>#REF!</v>
      </c>
      <c r="T77" s="238" t="e">
        <f t="shared" ref="T77:V77" si="36">$R$80</f>
        <v>#REF!</v>
      </c>
      <c r="U77" s="238" t="e">
        <f t="shared" si="36"/>
        <v>#REF!</v>
      </c>
      <c r="V77" s="238" t="e">
        <f t="shared" si="36"/>
        <v>#REF!</v>
      </c>
      <c r="W77" s="603" t="e">
        <f>V80</f>
        <v>#REF!</v>
      </c>
      <c r="X77" s="238" t="e">
        <f>V80</f>
        <v>#REF!</v>
      </c>
      <c r="Y77" s="238" t="e">
        <f>V80</f>
        <v>#REF!</v>
      </c>
      <c r="Z77" s="604" t="e">
        <f>Y77</f>
        <v>#REF!</v>
      </c>
      <c r="AA77" s="238" t="e">
        <f>Z80</f>
        <v>#REF!</v>
      </c>
      <c r="AB77" s="238" t="e">
        <f>Z80</f>
        <v>#REF!</v>
      </c>
      <c r="AC77" s="238" t="e">
        <f>Z80</f>
        <v>#REF!</v>
      </c>
      <c r="AD77" s="238" t="e">
        <f>AC77</f>
        <v>#REF!</v>
      </c>
      <c r="AE77" s="603">
        <v>1178.7</v>
      </c>
      <c r="AF77" s="238" t="e">
        <f>AD80</f>
        <v>#REF!</v>
      </c>
      <c r="AG77" s="238" t="e">
        <f>AD80</f>
        <v>#REF!</v>
      </c>
      <c r="AH77" s="604" t="e">
        <f>AD80</f>
        <v>#REF!</v>
      </c>
      <c r="AI77" s="238">
        <v>1178.7</v>
      </c>
      <c r="AJ77" s="238" t="e">
        <f>AD80</f>
        <v>#REF!</v>
      </c>
      <c r="AK77" s="238" t="e">
        <f>AD80</f>
        <v>#REF!</v>
      </c>
      <c r="AL77" s="238" t="e">
        <f>AD80</f>
        <v>#REF!</v>
      </c>
      <c r="AM77" s="603" t="e">
        <f>AL80</f>
        <v>#REF!</v>
      </c>
      <c r="AN77" s="238">
        <v>753.1</v>
      </c>
      <c r="AO77" s="238">
        <v>753.1</v>
      </c>
      <c r="AP77" s="604">
        <v>753.1</v>
      </c>
      <c r="AQ77" s="238">
        <f>$AP$80</f>
        <v>1365.799999999999</v>
      </c>
      <c r="AR77" s="238">
        <f t="shared" ref="AR77:AT77" si="37">$AP$80</f>
        <v>1365.799999999999</v>
      </c>
      <c r="AS77" s="238">
        <f t="shared" si="37"/>
        <v>1365.799999999999</v>
      </c>
      <c r="AT77" s="604">
        <f t="shared" si="37"/>
        <v>1365.799999999999</v>
      </c>
      <c r="AU77" s="238" t="e">
        <f>$AT$80</f>
        <v>#REF!</v>
      </c>
      <c r="AV77" s="238" t="e">
        <f>$AT$80</f>
        <v>#REF!</v>
      </c>
      <c r="AW77" s="238" t="e">
        <f>$AT$80</f>
        <v>#REF!</v>
      </c>
      <c r="AX77" s="660" t="e">
        <f>$AT$80</f>
        <v>#REF!</v>
      </c>
      <c r="AY77" s="238" t="e">
        <f>$AX$80</f>
        <v>#REF!</v>
      </c>
      <c r="AZ77" s="238" t="e">
        <f>$AX$80</f>
        <v>#REF!</v>
      </c>
      <c r="BA77" s="238" t="e">
        <f>$AX$80</f>
        <v>#REF!</v>
      </c>
      <c r="BB77" s="660">
        <v>817.8</v>
      </c>
      <c r="BC77" s="238">
        <f>$BB$80</f>
        <v>3325.6999999999989</v>
      </c>
      <c r="BD77" s="238">
        <f>$BB$80</f>
        <v>3325.6999999999989</v>
      </c>
      <c r="BE77" s="238">
        <f t="shared" ref="BE77:BF77" si="38">$BB$80</f>
        <v>3325.6999999999989</v>
      </c>
      <c r="BF77" s="660">
        <f t="shared" si="38"/>
        <v>3325.6999999999989</v>
      </c>
      <c r="BG77" s="238">
        <f>$BF$80</f>
        <v>2687.1038520594993</v>
      </c>
      <c r="BH77" s="238">
        <f>$BF$80</f>
        <v>2687.1038520594993</v>
      </c>
      <c r="BI77" s="238"/>
      <c r="BJ77" s="660"/>
    </row>
    <row r="78" spans="1:64">
      <c r="A78" s="64" t="s">
        <v>423</v>
      </c>
      <c r="B78" s="609" t="s">
        <v>424</v>
      </c>
      <c r="C78" s="62">
        <v>-2.5009999999999999</v>
      </c>
      <c r="D78" s="62">
        <v>-1.2710000000000001</v>
      </c>
      <c r="E78" s="62">
        <v>-1.339</v>
      </c>
      <c r="F78" s="62">
        <v>-1.7690000000000001</v>
      </c>
      <c r="G78" s="592">
        <v>0.161</v>
      </c>
      <c r="H78" s="62">
        <v>0.52800000000000002</v>
      </c>
      <c r="I78" s="62">
        <v>0.16</v>
      </c>
      <c r="J78" s="593">
        <v>-0.46100000000000002</v>
      </c>
      <c r="K78" s="62">
        <v>-1.7000000000000001E-2</v>
      </c>
      <c r="L78" s="62">
        <v>-0.7</v>
      </c>
      <c r="M78" s="62">
        <v>0.9</v>
      </c>
      <c r="N78" s="62">
        <v>1.9</v>
      </c>
      <c r="O78" s="592">
        <v>1.6</v>
      </c>
      <c r="P78" s="62">
        <v>2</v>
      </c>
      <c r="Q78" s="62">
        <v>1.4</v>
      </c>
      <c r="R78" s="593">
        <v>1.4</v>
      </c>
      <c r="S78" s="62">
        <v>-3.7</v>
      </c>
      <c r="T78" s="62">
        <v>0.4</v>
      </c>
      <c r="U78" s="62">
        <v>-2.1</v>
      </c>
      <c r="V78" s="62">
        <v>2.5</v>
      </c>
      <c r="W78" s="592">
        <v>-3.7</v>
      </c>
      <c r="X78" s="62">
        <v>-3.7</v>
      </c>
      <c r="Y78" s="62">
        <v>-2.8</v>
      </c>
      <c r="Z78" s="593">
        <v>-5.0999999999999996</v>
      </c>
      <c r="AA78" s="62">
        <v>0.5</v>
      </c>
      <c r="AB78" s="62">
        <v>1.5</v>
      </c>
      <c r="AC78" s="62">
        <v>2.2999999999999998</v>
      </c>
      <c r="AD78" s="62">
        <v>1.4</v>
      </c>
      <c r="AE78" s="592">
        <v>-1</v>
      </c>
      <c r="AF78" s="62">
        <v>-2</v>
      </c>
      <c r="AG78" s="62">
        <v>2.2999999999999998</v>
      </c>
      <c r="AH78" s="593">
        <v>0.8</v>
      </c>
      <c r="AI78" s="62">
        <v>-1</v>
      </c>
      <c r="AJ78" s="62">
        <v>-2</v>
      </c>
      <c r="AK78" s="62">
        <v>2.2999999999999998</v>
      </c>
      <c r="AL78" s="62">
        <v>0.8</v>
      </c>
      <c r="AM78" s="592">
        <v>2.9</v>
      </c>
      <c r="AN78" s="62">
        <v>1.5</v>
      </c>
      <c r="AO78" s="62">
        <v>2.2999999999999998</v>
      </c>
      <c r="AP78" s="593">
        <v>3.3</v>
      </c>
      <c r="AQ78" s="62">
        <v>-1.3</v>
      </c>
      <c r="AR78" s="62">
        <v>-2</v>
      </c>
      <c r="AS78" s="62">
        <v>-0.7</v>
      </c>
      <c r="AT78" s="593">
        <v>-0.8</v>
      </c>
      <c r="AU78" s="62">
        <v>-2.4</v>
      </c>
      <c r="AV78" s="62">
        <v>-4.7</v>
      </c>
      <c r="AW78" s="62">
        <v>-6.2</v>
      </c>
      <c r="AX78" s="593">
        <v>-5.9</v>
      </c>
      <c r="AY78" s="62">
        <v>-0.2</v>
      </c>
      <c r="AZ78" s="62">
        <v>-12.6</v>
      </c>
      <c r="BA78" s="62">
        <v>39.299999999999997</v>
      </c>
      <c r="BB78" s="593">
        <v>-3.8</v>
      </c>
      <c r="BC78" s="62">
        <v>-9.6999999999999993</v>
      </c>
      <c r="BD78" s="62">
        <v>-5.4</v>
      </c>
      <c r="BE78" s="62">
        <v>-12.5</v>
      </c>
      <c r="BF78" s="593">
        <v>-9.2561479405000018</v>
      </c>
      <c r="BG78" s="62">
        <v>-10.7</v>
      </c>
      <c r="BH78" s="62">
        <v>0.3</v>
      </c>
      <c r="BI78" s="62"/>
      <c r="BJ78" s="593"/>
    </row>
    <row r="79" spans="1:64" ht="20.100000000000001" customHeight="1">
      <c r="A79" s="64" t="s">
        <v>425</v>
      </c>
      <c r="B79" s="609" t="s">
        <v>426</v>
      </c>
      <c r="C79" s="62"/>
      <c r="D79" s="62"/>
      <c r="E79" s="62"/>
      <c r="F79" s="62"/>
      <c r="G79" s="592"/>
      <c r="H79" s="62"/>
      <c r="I79" s="62"/>
      <c r="J79" s="593"/>
      <c r="K79" s="62"/>
      <c r="L79" s="62"/>
      <c r="M79" s="62"/>
      <c r="N79" s="62"/>
      <c r="O79" s="592"/>
      <c r="P79" s="62"/>
      <c r="Q79" s="62"/>
      <c r="R79" s="593"/>
      <c r="S79" s="62"/>
      <c r="T79" s="62"/>
      <c r="U79" s="62"/>
      <c r="V79" s="62"/>
      <c r="W79" s="592"/>
      <c r="X79" s="62"/>
      <c r="Y79" s="62"/>
      <c r="Z79" s="593"/>
      <c r="AA79" s="62"/>
      <c r="AB79" s="62"/>
      <c r="AC79" s="62"/>
      <c r="AD79" s="62"/>
      <c r="AE79" s="592"/>
      <c r="AF79" s="62"/>
      <c r="AG79" s="62"/>
      <c r="AH79" s="593"/>
      <c r="AI79" s="62"/>
      <c r="AJ79" s="62"/>
      <c r="AK79" s="62"/>
      <c r="AL79" s="62"/>
      <c r="AM79" s="592"/>
      <c r="AN79" s="62"/>
      <c r="AO79" s="62"/>
      <c r="AP79" s="593"/>
      <c r="AQ79" s="62">
        <v>-108.5</v>
      </c>
      <c r="AR79" s="62">
        <v>-95.5</v>
      </c>
      <c r="AS79" s="62">
        <v>0</v>
      </c>
      <c r="AT79" s="593">
        <v>0</v>
      </c>
      <c r="AU79" s="62">
        <v>0</v>
      </c>
      <c r="AV79" s="62">
        <v>0</v>
      </c>
      <c r="AW79" s="62">
        <v>0</v>
      </c>
      <c r="AX79" s="593">
        <v>0</v>
      </c>
      <c r="AY79" s="62">
        <v>0</v>
      </c>
      <c r="AZ79" s="62">
        <v>0</v>
      </c>
      <c r="BA79" s="62">
        <v>0</v>
      </c>
      <c r="BB79" s="593">
        <v>-1.2</v>
      </c>
      <c r="BC79" s="62">
        <v>0</v>
      </c>
      <c r="BD79" s="62"/>
      <c r="BE79" s="62"/>
      <c r="BF79" s="593"/>
      <c r="BG79" s="62"/>
      <c r="BH79" s="62"/>
      <c r="BI79" s="62"/>
      <c r="BJ79" s="593"/>
    </row>
    <row r="80" spans="1:64" s="239" customFormat="1" ht="25.2" customHeight="1">
      <c r="A80" s="359" t="s">
        <v>427</v>
      </c>
      <c r="B80" s="611" t="s">
        <v>428</v>
      </c>
      <c r="C80" s="360">
        <f>C76+C77+C78</f>
        <v>421.89699999999999</v>
      </c>
      <c r="D80" s="360">
        <f t="shared" ref="D80:R80" si="39">D77+D76+D78</f>
        <v>309.51900000000001</v>
      </c>
      <c r="E80" s="360">
        <f t="shared" si="39"/>
        <v>225.11100000000005</v>
      </c>
      <c r="F80" s="360">
        <f t="shared" si="39"/>
        <v>270.35400000000004</v>
      </c>
      <c r="G80" s="597">
        <f t="shared" si="39"/>
        <v>324.33799999999997</v>
      </c>
      <c r="H80" s="360">
        <f t="shared" si="39"/>
        <v>265.803</v>
      </c>
      <c r="I80" s="360">
        <f t="shared" si="39"/>
        <v>215.39599999999982</v>
      </c>
      <c r="J80" s="598">
        <f t="shared" si="39"/>
        <v>342.25099999999981</v>
      </c>
      <c r="K80" s="360">
        <f t="shared" si="39"/>
        <v>428.19000000000005</v>
      </c>
      <c r="L80" s="360" t="e">
        <f t="shared" si="39"/>
        <v>#REF!</v>
      </c>
      <c r="M80" s="360">
        <f t="shared" si="39"/>
        <v>1643.2</v>
      </c>
      <c r="N80" s="360">
        <f t="shared" si="39"/>
        <v>1747.8999999999999</v>
      </c>
      <c r="O80" s="597">
        <f t="shared" si="39"/>
        <v>1491.6000000000001</v>
      </c>
      <c r="P80" s="360">
        <f t="shared" si="39"/>
        <v>1396.5999999999997</v>
      </c>
      <c r="Q80" s="360" t="e">
        <f t="shared" si="39"/>
        <v>#REF!</v>
      </c>
      <c r="R80" s="598" t="e">
        <f t="shared" si="39"/>
        <v>#REF!</v>
      </c>
      <c r="S80" s="360" t="e">
        <f t="shared" ref="S80:Z80" si="40">S77+S76+S78</f>
        <v>#REF!</v>
      </c>
      <c r="T80" s="360" t="e">
        <f t="shared" si="40"/>
        <v>#REF!</v>
      </c>
      <c r="U80" s="360" t="e">
        <f t="shared" si="40"/>
        <v>#REF!</v>
      </c>
      <c r="V80" s="360" t="e">
        <f t="shared" si="40"/>
        <v>#REF!</v>
      </c>
      <c r="W80" s="597" t="e">
        <f t="shared" si="40"/>
        <v>#REF!</v>
      </c>
      <c r="X80" s="360" t="e">
        <f t="shared" si="40"/>
        <v>#REF!</v>
      </c>
      <c r="Y80" s="360" t="e">
        <f t="shared" si="40"/>
        <v>#REF!</v>
      </c>
      <c r="Z80" s="598" t="e">
        <f t="shared" si="40"/>
        <v>#REF!</v>
      </c>
      <c r="AA80" s="360" t="e">
        <f t="shared" ref="AA80:AD80" si="41">AA77+AA76+AA78</f>
        <v>#REF!</v>
      </c>
      <c r="AB80" s="360" t="e">
        <f t="shared" si="41"/>
        <v>#REF!</v>
      </c>
      <c r="AC80" s="360" t="e">
        <f t="shared" si="41"/>
        <v>#REF!</v>
      </c>
      <c r="AD80" s="360" t="e">
        <f t="shared" si="41"/>
        <v>#REF!</v>
      </c>
      <c r="AE80" s="597">
        <f t="shared" ref="AE80:AH80" si="42">AE77+AE76+AE78</f>
        <v>757.00000000000011</v>
      </c>
      <c r="AF80" s="360" t="e">
        <f>AF77+AF76+AF78</f>
        <v>#REF!</v>
      </c>
      <c r="AG80" s="360" t="e">
        <f t="shared" si="42"/>
        <v>#REF!</v>
      </c>
      <c r="AH80" s="598" t="e">
        <f t="shared" si="42"/>
        <v>#REF!</v>
      </c>
      <c r="AI80" s="360">
        <f t="shared" ref="AI80" si="43">AI77+AI76+AI78</f>
        <v>757.00000000000011</v>
      </c>
      <c r="AJ80" s="360" t="e">
        <f>AJ77+AJ76+AJ78</f>
        <v>#REF!</v>
      </c>
      <c r="AK80" s="360" t="e">
        <f t="shared" ref="AK80:AL80" si="44">AK77+AK76+AK78</f>
        <v>#REF!</v>
      </c>
      <c r="AL80" s="360" t="e">
        <f t="shared" si="44"/>
        <v>#REF!</v>
      </c>
      <c r="AM80" s="597" t="e">
        <f t="shared" ref="AM80" si="45">AM77+AM76+AM78</f>
        <v>#REF!</v>
      </c>
      <c r="AN80" s="360">
        <f>AN77+AN76+AN78</f>
        <v>1320.5000000000005</v>
      </c>
      <c r="AO80" s="360">
        <f t="shared" ref="AO80:AP80" si="46">AO77+AO76+AO78</f>
        <v>1164.2</v>
      </c>
      <c r="AP80" s="598">
        <f t="shared" si="46"/>
        <v>1365.799999999999</v>
      </c>
      <c r="AQ80" s="360" t="e">
        <f>AQ77+AQ76+AQ78+AQ79</f>
        <v>#REF!</v>
      </c>
      <c r="AR80" s="360" t="e">
        <f>AR77+AR76+AR78+AR79</f>
        <v>#REF!</v>
      </c>
      <c r="AS80" s="360" t="e">
        <f t="shared" ref="AS80:AT80" si="47">AS77+AS76+AS78</f>
        <v>#REF!</v>
      </c>
      <c r="AT80" s="598" t="e">
        <f t="shared" si="47"/>
        <v>#REF!</v>
      </c>
      <c r="AU80" s="360" t="e">
        <f>AU77+AU76+AU78+AU79</f>
        <v>#REF!</v>
      </c>
      <c r="AV80" s="360" t="e">
        <f>AV77+AV76+AV78+AV79</f>
        <v>#REF!</v>
      </c>
      <c r="AW80" s="360" t="e">
        <f t="shared" ref="AW80:AX80" si="48">AW77+AW76+AW78</f>
        <v>#REF!</v>
      </c>
      <c r="AX80" s="598" t="e">
        <f t="shared" si="48"/>
        <v>#REF!</v>
      </c>
      <c r="AY80" s="360" t="e">
        <f>AY77+AY76+AY78+AY79</f>
        <v>#REF!</v>
      </c>
      <c r="AZ80" s="360" t="e">
        <f>AZ77+AZ76+AZ78+AZ79</f>
        <v>#REF!</v>
      </c>
      <c r="BA80" s="360" t="e">
        <f t="shared" ref="BA80" si="49">BA77+BA76+BA78</f>
        <v>#REF!</v>
      </c>
      <c r="BB80" s="598">
        <f>BB77+BB76+BB78+BB79</f>
        <v>3325.6999999999989</v>
      </c>
      <c r="BC80" s="360">
        <f>BC77+BC76+BC78+BC79</f>
        <v>2719.1999999999989</v>
      </c>
      <c r="BD80" s="360">
        <f>BD77+BD76+BD78+BD79</f>
        <v>3076.7999999999988</v>
      </c>
      <c r="BE80" s="360">
        <f>BE77+BE76+BE78+BE79</f>
        <v>3097.5999999999985</v>
      </c>
      <c r="BF80" s="598">
        <f>BF77+BF76+BF78+BF79</f>
        <v>2687.1038520594993</v>
      </c>
      <c r="BG80" s="360">
        <f t="shared" ref="BG80:BH80" si="50">BG77+BG76+BG78+BG79</f>
        <v>2254.9038520594995</v>
      </c>
      <c r="BH80" s="360">
        <f t="shared" si="50"/>
        <v>2407.0038520594994</v>
      </c>
      <c r="BI80" s="360"/>
      <c r="BJ80" s="598"/>
    </row>
    <row r="81" spans="1:61">
      <c r="N81" s="208"/>
      <c r="AE81" s="4"/>
      <c r="AF81" s="4"/>
      <c r="AG81" s="4"/>
      <c r="AH81" s="4"/>
      <c r="AI81" s="4"/>
      <c r="AJ81" s="4"/>
      <c r="AK81" s="4"/>
      <c r="AL81" s="4"/>
      <c r="AM81" s="4"/>
      <c r="AN81" s="4"/>
      <c r="AO81" s="4"/>
      <c r="AP81" s="4"/>
      <c r="AQ81" s="4"/>
      <c r="AR81" s="4"/>
      <c r="AS81" s="4"/>
      <c r="AT81" s="4"/>
      <c r="AU81" s="4"/>
      <c r="AV81" s="4"/>
      <c r="AW81" s="4"/>
      <c r="AX81" s="4"/>
      <c r="AY81" s="4"/>
      <c r="AZ81" s="4"/>
      <c r="BA81" s="4"/>
      <c r="BB81" s="4"/>
    </row>
    <row r="82" spans="1:61" s="6" customFormat="1" ht="55.2">
      <c r="A82" s="97" t="s">
        <v>429</v>
      </c>
      <c r="B82" s="97" t="s">
        <v>430</v>
      </c>
      <c r="N82" s="16"/>
      <c r="AB82" s="65"/>
      <c r="BD82" s="4"/>
      <c r="BE82" s="4"/>
      <c r="BF82" s="4"/>
      <c r="BG82" s="4"/>
      <c r="BH82" s="4"/>
      <c r="BI82" s="916"/>
    </row>
    <row r="83" spans="1:61" s="6" customFormat="1" ht="19.5" customHeight="1">
      <c r="A83" s="97" t="s">
        <v>431</v>
      </c>
      <c r="B83" s="97" t="s">
        <v>432</v>
      </c>
      <c r="N83" s="16"/>
      <c r="AB83" s="65"/>
      <c r="BD83" s="770"/>
      <c r="BE83" s="4"/>
      <c r="BF83" s="4"/>
      <c r="BG83" s="4"/>
      <c r="BH83" s="4"/>
      <c r="BI83" s="916"/>
    </row>
    <row r="84" spans="1:61" s="6" customFormat="1" ht="44.25" customHeight="1">
      <c r="A84" s="97" t="s">
        <v>433</v>
      </c>
      <c r="B84" s="97" t="s">
        <v>434</v>
      </c>
      <c r="N84" s="16"/>
      <c r="AB84" s="81"/>
      <c r="BD84" s="4"/>
      <c r="BE84" s="4"/>
      <c r="BF84" s="4"/>
      <c r="BG84" s="4"/>
      <c r="BH84" s="4"/>
      <c r="BI84" s="916"/>
    </row>
    <row r="85" spans="1:61" s="6" customFormat="1" ht="29.25" customHeight="1">
      <c r="A85" s="97" t="s">
        <v>435</v>
      </c>
      <c r="B85" s="97" t="s">
        <v>436</v>
      </c>
      <c r="N85" s="16"/>
      <c r="AB85" s="81"/>
      <c r="BD85" s="4"/>
      <c r="BE85" s="4"/>
      <c r="BF85" s="4"/>
      <c r="BG85" s="4"/>
      <c r="BH85" s="4"/>
      <c r="BI85" s="916"/>
    </row>
    <row r="86" spans="1:61" s="6" customFormat="1" ht="51" customHeight="1">
      <c r="A86" s="97" t="s">
        <v>437</v>
      </c>
      <c r="B86" s="97" t="s">
        <v>438</v>
      </c>
      <c r="N86" s="16"/>
      <c r="AB86" s="81"/>
      <c r="BD86" s="4"/>
      <c r="BE86" s="4"/>
      <c r="BF86" s="4"/>
      <c r="BG86" s="4"/>
      <c r="BH86" s="4"/>
      <c r="BI86" s="916"/>
    </row>
    <row r="87" spans="1:61" s="6" customFormat="1" ht="24" customHeight="1">
      <c r="A87" s="97" t="s">
        <v>439</v>
      </c>
      <c r="B87" s="97" t="s">
        <v>440</v>
      </c>
      <c r="N87" s="16"/>
      <c r="AB87" s="82"/>
      <c r="BD87" s="4"/>
      <c r="BE87" s="4"/>
      <c r="BF87" s="4"/>
      <c r="BG87" s="4"/>
      <c r="BH87" s="4"/>
      <c r="BI87" s="916"/>
    </row>
    <row r="88" spans="1:61" s="6" customFormat="1" ht="68.25" customHeight="1">
      <c r="A88" s="97" t="s">
        <v>441</v>
      </c>
      <c r="B88" s="97" t="s">
        <v>442</v>
      </c>
      <c r="N88" s="16"/>
      <c r="AB88" s="82"/>
      <c r="AD88" s="6" t="s">
        <v>443</v>
      </c>
      <c r="BD88" s="4"/>
      <c r="BE88" s="4"/>
      <c r="BF88" s="4"/>
      <c r="BG88" s="4"/>
      <c r="BH88" s="4"/>
      <c r="BI88" s="916"/>
    </row>
    <row r="89" spans="1:61" s="6" customFormat="1" ht="21.75" customHeight="1">
      <c r="A89" s="97" t="s">
        <v>444</v>
      </c>
      <c r="B89" s="97" t="s">
        <v>445</v>
      </c>
      <c r="N89" s="16"/>
      <c r="AB89" s="81"/>
      <c r="BD89" s="4"/>
      <c r="BE89" s="4"/>
      <c r="BF89" s="4"/>
      <c r="BG89" s="4"/>
      <c r="BH89" s="4"/>
      <c r="BI89" s="916"/>
    </row>
    <row r="90" spans="1:61" s="6" customFormat="1">
      <c r="A90" s="97"/>
      <c r="B90" s="97"/>
      <c r="N90" s="16"/>
      <c r="AB90" s="81"/>
      <c r="BD90" s="4"/>
      <c r="BE90" s="4"/>
      <c r="BF90" s="4"/>
      <c r="BG90" s="4"/>
      <c r="BH90" s="4"/>
      <c r="BI90" s="916"/>
    </row>
    <row r="91" spans="1:61" s="6" customFormat="1">
      <c r="A91" s="97"/>
      <c r="B91" s="97"/>
      <c r="N91" s="16"/>
      <c r="AB91" s="81"/>
      <c r="BD91" s="4"/>
      <c r="BE91" s="4"/>
      <c r="BF91" s="4"/>
      <c r="BG91" s="4"/>
      <c r="BH91" s="4"/>
      <c r="BI91" s="916"/>
    </row>
    <row r="92" spans="1:61" s="6" customFormat="1">
      <c r="A92" s="97"/>
      <c r="B92" s="97"/>
      <c r="N92" s="16"/>
      <c r="AB92" s="81"/>
      <c r="BI92" s="68"/>
    </row>
    <row r="93" spans="1:61" s="6" customFormat="1">
      <c r="A93" s="97"/>
      <c r="B93" s="97"/>
      <c r="N93" s="16"/>
      <c r="AB93" s="81"/>
      <c r="BI93" s="68"/>
    </row>
    <row r="94" spans="1:61" s="6" customFormat="1">
      <c r="A94" s="97"/>
      <c r="B94" s="97"/>
      <c r="N94" s="16"/>
      <c r="AB94" s="81"/>
      <c r="BI94" s="68"/>
    </row>
    <row r="95" spans="1:61" s="6" customFormat="1">
      <c r="A95" s="97"/>
      <c r="B95" s="97"/>
      <c r="N95" s="16"/>
      <c r="AB95" s="81"/>
      <c r="BI95" s="68"/>
    </row>
    <row r="96" spans="1:61" s="6" customFormat="1" ht="15">
      <c r="A96" s="97"/>
      <c r="B96" s="97"/>
      <c r="N96" s="16"/>
      <c r="AB96" s="82"/>
      <c r="BI96" s="68"/>
    </row>
    <row r="97" spans="1:61" s="6" customFormat="1" ht="15">
      <c r="A97" s="97"/>
      <c r="B97" s="97"/>
      <c r="N97" s="16"/>
      <c r="AB97" s="83"/>
      <c r="BI97" s="68"/>
    </row>
    <row r="98" spans="1:61" s="6" customFormat="1">
      <c r="A98" s="97"/>
      <c r="B98" s="97"/>
      <c r="N98" s="16"/>
      <c r="AB98" s="81"/>
      <c r="BI98" s="68"/>
    </row>
    <row r="99" spans="1:61" s="6" customFormat="1">
      <c r="A99" s="97"/>
      <c r="B99" s="97"/>
      <c r="N99" s="16"/>
      <c r="AB99" s="81"/>
      <c r="BI99" s="68"/>
    </row>
    <row r="100" spans="1:61" s="6" customFormat="1">
      <c r="A100" s="97"/>
      <c r="B100" s="97"/>
      <c r="N100" s="16"/>
      <c r="AB100" s="81"/>
      <c r="BI100" s="68"/>
    </row>
    <row r="101" spans="1:61" s="6" customFormat="1">
      <c r="A101" s="97"/>
      <c r="B101" s="97"/>
      <c r="N101" s="16"/>
      <c r="AB101" s="81"/>
      <c r="BI101" s="68"/>
    </row>
    <row r="102" spans="1:61" s="6" customFormat="1">
      <c r="A102" s="97"/>
      <c r="B102" s="97"/>
      <c r="N102" s="16"/>
      <c r="AB102" s="81"/>
      <c r="BI102" s="68"/>
    </row>
    <row r="103" spans="1:61" s="6" customFormat="1">
      <c r="A103" s="97"/>
      <c r="B103" s="97"/>
      <c r="N103" s="16"/>
      <c r="AB103" s="81"/>
      <c r="BI103" s="68"/>
    </row>
    <row r="104" spans="1:61" s="6" customFormat="1">
      <c r="A104" s="97"/>
      <c r="B104" s="97"/>
      <c r="N104" s="16"/>
      <c r="AB104" s="81"/>
      <c r="BI104" s="68"/>
    </row>
    <row r="105" spans="1:61" s="6" customFormat="1">
      <c r="A105" s="97"/>
      <c r="B105" s="97"/>
      <c r="N105" s="16"/>
      <c r="AB105" s="62"/>
      <c r="BI105" s="68"/>
    </row>
    <row r="106" spans="1:61" s="6" customFormat="1">
      <c r="A106" s="97"/>
      <c r="B106" s="97"/>
      <c r="N106" s="16"/>
      <c r="AB106" s="84"/>
      <c r="BI106" s="68"/>
    </row>
    <row r="107" spans="1:61" s="6" customFormat="1">
      <c r="A107" s="97"/>
      <c r="B107" s="97"/>
      <c r="N107" s="16"/>
      <c r="AB107" s="62"/>
      <c r="BI107" s="68"/>
    </row>
    <row r="108" spans="1:61" s="6" customFormat="1">
      <c r="A108" s="97"/>
      <c r="B108" s="97"/>
      <c r="N108" s="16"/>
      <c r="AB108" s="62"/>
      <c r="BI108" s="68"/>
    </row>
    <row r="109" spans="1:61" s="6" customFormat="1">
      <c r="A109" s="97"/>
      <c r="B109" s="97"/>
      <c r="N109" s="16"/>
      <c r="AB109" s="84"/>
      <c r="BI109" s="68"/>
    </row>
    <row r="110" spans="1:61" s="6" customFormat="1">
      <c r="A110" s="97"/>
      <c r="B110" s="97"/>
      <c r="N110" s="16"/>
      <c r="AB110" s="62"/>
      <c r="BI110" s="68"/>
    </row>
    <row r="111" spans="1:61" s="6" customFormat="1">
      <c r="A111" s="97"/>
      <c r="B111" s="97"/>
      <c r="N111" s="16"/>
      <c r="AB111" s="62"/>
      <c r="BI111" s="68"/>
    </row>
    <row r="112" spans="1:61" s="6" customFormat="1">
      <c r="A112" s="97"/>
      <c r="B112" s="97"/>
      <c r="N112" s="16"/>
      <c r="AB112" s="62"/>
      <c r="BI112" s="68"/>
    </row>
    <row r="113" spans="1:61" s="6" customFormat="1">
      <c r="A113" s="97"/>
      <c r="B113" s="97"/>
      <c r="N113" s="16"/>
      <c r="AB113" s="62"/>
      <c r="BI113" s="68"/>
    </row>
    <row r="114" spans="1:61" s="6" customFormat="1">
      <c r="A114" s="97"/>
      <c r="B114" s="97"/>
      <c r="N114" s="16"/>
      <c r="AB114" s="62"/>
      <c r="BI114" s="68"/>
    </row>
    <row r="115" spans="1:61" s="6" customFormat="1">
      <c r="A115" s="97"/>
      <c r="B115" s="97"/>
      <c r="N115" s="16"/>
      <c r="AB115" s="62"/>
      <c r="BI115" s="68"/>
    </row>
    <row r="116" spans="1:61" s="6" customFormat="1">
      <c r="A116" s="97"/>
      <c r="B116" s="97"/>
      <c r="N116" s="16"/>
      <c r="AB116" s="62"/>
      <c r="BI116" s="68"/>
    </row>
    <row r="117" spans="1:61" s="6" customFormat="1">
      <c r="A117" s="97"/>
      <c r="B117" s="97"/>
      <c r="N117" s="16"/>
      <c r="AB117" s="62"/>
      <c r="BI117" s="68"/>
    </row>
    <row r="118" spans="1:61" s="6" customFormat="1">
      <c r="A118" s="97"/>
      <c r="B118" s="97"/>
      <c r="N118" s="16"/>
      <c r="AB118" s="62"/>
      <c r="BI118" s="68"/>
    </row>
    <row r="119" spans="1:61" s="6" customFormat="1">
      <c r="A119" s="97"/>
      <c r="B119" s="97"/>
      <c r="N119" s="16"/>
      <c r="AB119" s="62"/>
      <c r="BI119" s="68"/>
    </row>
    <row r="120" spans="1:61" s="6" customFormat="1">
      <c r="A120" s="97"/>
      <c r="B120" s="97"/>
      <c r="AB120" s="62"/>
      <c r="BI120" s="68"/>
    </row>
    <row r="121" spans="1:61" s="6" customFormat="1">
      <c r="A121" s="97"/>
      <c r="B121" s="97"/>
      <c r="AB121" s="62"/>
      <c r="BI121" s="68"/>
    </row>
    <row r="122" spans="1:61" s="6" customFormat="1" ht="15">
      <c r="A122" s="97"/>
      <c r="B122" s="97"/>
      <c r="AB122" s="83"/>
      <c r="BI122" s="68"/>
    </row>
    <row r="123" spans="1:61" s="6" customFormat="1">
      <c r="A123" s="97"/>
      <c r="B123" s="97"/>
      <c r="AB123" s="62"/>
      <c r="BI123" s="68"/>
    </row>
    <row r="124" spans="1:61" s="6" customFormat="1">
      <c r="A124" s="97"/>
      <c r="B124" s="97"/>
      <c r="AB124" s="62"/>
      <c r="BI124" s="68"/>
    </row>
    <row r="125" spans="1:61" s="6" customFormat="1">
      <c r="A125" s="97"/>
      <c r="B125" s="97"/>
      <c r="AB125" s="84"/>
      <c r="BI125" s="68"/>
    </row>
    <row r="126" spans="1:61" s="6" customFormat="1">
      <c r="A126" s="97"/>
      <c r="B126" s="97"/>
      <c r="AB126" s="62"/>
      <c r="BI126" s="68"/>
    </row>
    <row r="127" spans="1:61" s="6" customFormat="1">
      <c r="A127" s="97"/>
      <c r="B127" s="97"/>
      <c r="AB127" s="62"/>
      <c r="BI127" s="68"/>
    </row>
    <row r="128" spans="1:61" s="6" customFormat="1">
      <c r="A128" s="97"/>
      <c r="B128" s="97"/>
      <c r="AB128" s="62"/>
      <c r="BI128" s="68"/>
    </row>
    <row r="129" spans="1:61" s="6" customFormat="1">
      <c r="A129" s="97"/>
      <c r="B129" s="97"/>
      <c r="AB129" s="62"/>
      <c r="BI129" s="68"/>
    </row>
    <row r="130" spans="1:61" s="6" customFormat="1">
      <c r="A130" s="97"/>
      <c r="B130" s="97"/>
      <c r="AB130" s="62"/>
      <c r="BI130" s="68"/>
    </row>
    <row r="131" spans="1:61" s="6" customFormat="1">
      <c r="A131" s="97"/>
      <c r="B131" s="97"/>
      <c r="AB131" s="62"/>
      <c r="BI131" s="68"/>
    </row>
    <row r="132" spans="1:61" s="6" customFormat="1">
      <c r="A132" s="97"/>
      <c r="B132" s="97"/>
      <c r="AB132" s="62"/>
      <c r="BI132" s="68"/>
    </row>
    <row r="133" spans="1:61" s="6" customFormat="1">
      <c r="A133" s="97"/>
      <c r="B133" s="97"/>
      <c r="AB133" s="62"/>
      <c r="BI133" s="68"/>
    </row>
    <row r="134" spans="1:61" s="6" customFormat="1">
      <c r="A134" s="97"/>
      <c r="B134" s="97"/>
      <c r="AB134" s="62"/>
      <c r="BI134" s="68"/>
    </row>
    <row r="135" spans="1:61" s="6" customFormat="1">
      <c r="A135" s="97"/>
      <c r="B135" s="97"/>
      <c r="AB135" s="62"/>
      <c r="BI135" s="68"/>
    </row>
    <row r="136" spans="1:61" s="6" customFormat="1">
      <c r="A136" s="97"/>
      <c r="B136" s="97"/>
      <c r="AB136" s="84"/>
      <c r="BI136" s="68"/>
    </row>
    <row r="137" spans="1:61" s="6" customFormat="1">
      <c r="A137" s="97"/>
      <c r="B137" s="97"/>
      <c r="AB137" s="84"/>
      <c r="BI137" s="68"/>
    </row>
    <row r="138" spans="1:61" s="6" customFormat="1">
      <c r="A138" s="97"/>
      <c r="B138" s="97"/>
      <c r="AB138" s="84"/>
      <c r="BI138" s="68"/>
    </row>
    <row r="139" spans="1:61" s="6" customFormat="1">
      <c r="A139" s="97"/>
      <c r="B139" s="97"/>
      <c r="AB139" s="62"/>
      <c r="BI139" s="68"/>
    </row>
    <row r="140" spans="1:61" s="6" customFormat="1">
      <c r="A140" s="97"/>
      <c r="B140" s="97"/>
      <c r="AB140" s="84"/>
      <c r="BI140" s="68"/>
    </row>
    <row r="141" spans="1:61" s="6" customFormat="1">
      <c r="A141" s="97"/>
      <c r="B141" s="97"/>
      <c r="AB141" s="4"/>
      <c r="BI141" s="68"/>
    </row>
    <row r="142" spans="1:61" s="6" customFormat="1">
      <c r="A142" s="97"/>
      <c r="B142" s="97"/>
      <c r="AB142" s="4"/>
      <c r="BI142" s="68"/>
    </row>
    <row r="143" spans="1:61" s="6" customFormat="1">
      <c r="A143" s="97"/>
      <c r="B143" s="97"/>
      <c r="AB143" s="4"/>
      <c r="BI143" s="68"/>
    </row>
    <row r="144" spans="1:61" s="6" customFormat="1">
      <c r="A144" s="97"/>
      <c r="B144" s="97"/>
      <c r="AB144" s="4"/>
      <c r="BI144" s="68"/>
    </row>
    <row r="145" spans="1:61" s="6" customFormat="1">
      <c r="A145" s="97"/>
      <c r="B145" s="97"/>
      <c r="AB145" s="4"/>
      <c r="BI145" s="68"/>
    </row>
    <row r="146" spans="1:61" s="6" customFormat="1">
      <c r="A146" s="97"/>
      <c r="B146" s="97"/>
      <c r="AB146" s="4"/>
      <c r="BI146" s="68"/>
    </row>
    <row r="147" spans="1:61" s="6" customFormat="1">
      <c r="A147" s="97"/>
      <c r="B147" s="97"/>
      <c r="AB147" s="4"/>
      <c r="BI147" s="68"/>
    </row>
    <row r="148" spans="1:61" s="6" customFormat="1">
      <c r="A148" s="97"/>
      <c r="B148" s="97"/>
      <c r="AB148" s="4"/>
      <c r="BI148" s="68"/>
    </row>
    <row r="149" spans="1:61" s="6" customFormat="1">
      <c r="A149" s="97"/>
      <c r="B149" s="97"/>
      <c r="AB149" s="4"/>
      <c r="BI149" s="68"/>
    </row>
    <row r="150" spans="1:61" s="6" customFormat="1">
      <c r="A150" s="97"/>
      <c r="B150" s="97"/>
      <c r="AB150" s="4"/>
      <c r="BI150" s="68"/>
    </row>
    <row r="151" spans="1:61" s="6" customFormat="1">
      <c r="A151" s="97"/>
      <c r="B151" s="97"/>
      <c r="AB151" s="4"/>
      <c r="BI151" s="68"/>
    </row>
    <row r="152" spans="1:61" s="6" customFormat="1">
      <c r="A152" s="97"/>
      <c r="B152" s="97"/>
      <c r="AB152" s="4"/>
      <c r="BI152" s="68"/>
    </row>
    <row r="153" spans="1:61" s="6" customFormat="1">
      <c r="A153" s="97"/>
      <c r="B153" s="97"/>
      <c r="AB153" s="4"/>
      <c r="BI153" s="68"/>
    </row>
    <row r="154" spans="1:61" s="6" customFormat="1">
      <c r="A154" s="97"/>
      <c r="B154" s="97"/>
      <c r="AB154" s="4"/>
      <c r="BI154" s="68"/>
    </row>
    <row r="155" spans="1:61" s="6" customFormat="1">
      <c r="A155" s="97"/>
      <c r="B155" s="97"/>
      <c r="AB155" s="4"/>
      <c r="BI155" s="68"/>
    </row>
    <row r="156" spans="1:61" s="6" customFormat="1">
      <c r="A156" s="97"/>
      <c r="B156" s="97"/>
      <c r="AB156" s="4"/>
      <c r="BI156" s="68"/>
    </row>
    <row r="157" spans="1:61" s="6" customFormat="1">
      <c r="A157" s="97"/>
      <c r="B157" s="97"/>
      <c r="AB157" s="4"/>
      <c r="BI157" s="68"/>
    </row>
    <row r="158" spans="1:61" s="6" customFormat="1">
      <c r="A158" s="97"/>
      <c r="B158" s="97"/>
      <c r="AB158" s="4"/>
      <c r="BI158" s="68"/>
    </row>
    <row r="159" spans="1:61">
      <c r="A159" s="97"/>
      <c r="B159" s="97"/>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C159" s="6"/>
      <c r="AD159" s="6"/>
      <c r="BD159" s="6"/>
    </row>
    <row r="160" spans="1:61">
      <c r="BD160" s="6"/>
    </row>
    <row r="161" spans="56:56">
      <c r="BD161" s="6"/>
    </row>
  </sheetData>
  <customSheetViews>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1"/>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3"/>
    </customSheetView>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4"/>
    </customSheetView>
  </customSheetViews>
  <mergeCells count="15">
    <mergeCell ref="AY2:BB2"/>
    <mergeCell ref="AU2:AX2"/>
    <mergeCell ref="BC2:BF2"/>
    <mergeCell ref="BG2:BJ2"/>
    <mergeCell ref="W2:Z2"/>
    <mergeCell ref="AQ2:AT2"/>
    <mergeCell ref="AM2:AP2"/>
    <mergeCell ref="AI2:AL2"/>
    <mergeCell ref="AE2:AH2"/>
    <mergeCell ref="AA2:AD2"/>
    <mergeCell ref="C2:F2"/>
    <mergeCell ref="G2:J2"/>
    <mergeCell ref="K2:N2"/>
    <mergeCell ref="O2:R2"/>
    <mergeCell ref="S2:V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41" formulaRange="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X755"/>
  <sheetViews>
    <sheetView showGridLines="0" tabSelected="1" topLeftCell="A7" zoomScale="70" zoomScaleNormal="70" zoomScaleSheetLayoutView="100" workbookViewId="0">
      <pane xSplit="38" topLeftCell="AQ1" activePane="topRight" state="frozen"/>
      <selection pane="topRight" activeCell="CJ12" sqref="CJ12"/>
    </sheetView>
  </sheetViews>
  <sheetFormatPr defaultColWidth="9" defaultRowHeight="14.4" outlineLevelCol="1"/>
  <cols>
    <col min="1" max="1" width="43.19921875" style="144" customWidth="1"/>
    <col min="2" max="2" width="42.296875" style="144" customWidth="1"/>
    <col min="3" max="38" width="3.5" style="144" hidden="1" customWidth="1"/>
    <col min="39" max="53" width="9" style="143" hidden="1" customWidth="1" outlineLevel="1"/>
    <col min="54" max="54" width="9.19921875" style="143" hidden="1" customWidth="1" outlineLevel="1"/>
    <col min="55" max="58" width="9" style="143" hidden="1" customWidth="1" outlineLevel="1"/>
    <col min="59" max="59" width="9.19921875" style="143" hidden="1" customWidth="1" outlineLevel="1"/>
    <col min="60" max="63" width="9" style="143" hidden="1" customWidth="1" outlineLevel="1"/>
    <col min="64" max="64" width="9.19921875" style="143" hidden="1" customWidth="1" outlineLevel="1"/>
    <col min="65" max="68" width="9" style="143" hidden="1" customWidth="1" outlineLevel="1"/>
    <col min="69" max="69" width="9.19921875" style="143" bestFit="1" customWidth="1" collapsed="1"/>
    <col min="70" max="73" width="9" style="143"/>
    <col min="74" max="74" width="9.19921875" style="143" bestFit="1" customWidth="1"/>
    <col min="75" max="79" width="9" style="143"/>
    <col min="80" max="80" width="9.69921875" style="143" bestFit="1" customWidth="1"/>
    <col min="81" max="492" width="9" style="143"/>
    <col min="493" max="16384" width="9" style="144"/>
  </cols>
  <sheetData>
    <row r="1" spans="1:492"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779"/>
      <c r="AN1" s="779"/>
      <c r="AO1" s="779"/>
      <c r="AP1" s="779"/>
      <c r="AQ1" s="779"/>
      <c r="AR1" s="779"/>
      <c r="AS1" s="779"/>
      <c r="AT1" s="779"/>
      <c r="AU1" s="779"/>
      <c r="AV1" s="779"/>
      <c r="AW1" s="779"/>
      <c r="AX1" s="779"/>
      <c r="AY1" s="779"/>
      <c r="AZ1" s="779"/>
      <c r="BA1" s="779"/>
      <c r="BB1" s="779"/>
      <c r="BC1" s="779"/>
      <c r="BD1" s="779"/>
      <c r="BE1" s="779"/>
      <c r="BF1" s="779"/>
      <c r="BG1" s="779"/>
      <c r="BH1" s="779"/>
      <c r="BI1" s="779"/>
      <c r="BJ1" s="779"/>
      <c r="BK1" s="779"/>
      <c r="BL1" s="779"/>
      <c r="BM1" s="779"/>
      <c r="BN1" s="779"/>
      <c r="BO1" s="779"/>
      <c r="BP1" s="779"/>
      <c r="BQ1" s="779"/>
      <c r="BR1" s="779"/>
      <c r="BS1" s="779"/>
      <c r="BT1" s="779"/>
      <c r="BU1" s="779"/>
      <c r="BV1" s="779"/>
      <c r="BW1" s="779"/>
      <c r="BX1" s="779"/>
      <c r="BY1" s="779"/>
      <c r="BZ1" s="779"/>
      <c r="CA1" s="779"/>
      <c r="CB1" s="779"/>
      <c r="CC1" s="779"/>
      <c r="CD1" s="779"/>
      <c r="CE1" s="779"/>
      <c r="CF1" s="779"/>
      <c r="CG1" s="779"/>
      <c r="CH1" s="779"/>
      <c r="CI1" s="779"/>
      <c r="CJ1" s="779"/>
      <c r="CK1" s="779"/>
      <c r="CL1" s="779"/>
      <c r="CM1" s="779"/>
      <c r="CN1" s="779"/>
      <c r="CO1" s="779"/>
      <c r="CP1" s="779"/>
      <c r="CQ1" s="779"/>
      <c r="CR1" s="779"/>
      <c r="CS1" s="779"/>
      <c r="CT1" s="779"/>
      <c r="CU1" s="779"/>
      <c r="CV1" s="779"/>
      <c r="CW1" s="779"/>
      <c r="CX1" s="779"/>
      <c r="CY1" s="779"/>
      <c r="CZ1" s="779"/>
      <c r="DA1" s="779"/>
      <c r="DB1" s="779"/>
      <c r="DC1" s="779"/>
      <c r="DD1" s="779"/>
      <c r="DE1" s="779"/>
      <c r="DF1" s="779"/>
      <c r="DG1" s="779"/>
      <c r="DH1" s="779"/>
      <c r="DI1" s="779"/>
      <c r="DJ1" s="779"/>
      <c r="DK1" s="779"/>
      <c r="DL1" s="779"/>
      <c r="DM1" s="779"/>
      <c r="DN1" s="779"/>
      <c r="DO1" s="779"/>
      <c r="DP1" s="779"/>
      <c r="DQ1" s="779"/>
      <c r="DR1" s="779"/>
      <c r="DS1" s="779"/>
      <c r="DT1" s="779"/>
      <c r="DU1" s="779"/>
      <c r="DV1" s="779"/>
      <c r="DW1" s="779"/>
      <c r="DX1" s="779"/>
      <c r="DY1" s="779"/>
      <c r="DZ1" s="779"/>
      <c r="EA1" s="779"/>
      <c r="EB1" s="779"/>
      <c r="EC1" s="779"/>
      <c r="ED1" s="779"/>
      <c r="EE1" s="779"/>
      <c r="EF1" s="779"/>
      <c r="EG1" s="779"/>
      <c r="EH1" s="779"/>
      <c r="EI1" s="779"/>
      <c r="EJ1" s="779"/>
      <c r="EK1" s="779"/>
      <c r="EL1" s="779"/>
      <c r="EM1" s="779"/>
      <c r="EN1" s="779"/>
      <c r="EO1" s="779"/>
      <c r="EP1" s="779"/>
      <c r="EQ1" s="779"/>
      <c r="ER1" s="779"/>
      <c r="ES1" s="779"/>
      <c r="ET1" s="779"/>
      <c r="EU1" s="779"/>
      <c r="EV1" s="779"/>
      <c r="EW1" s="779"/>
      <c r="EX1" s="779"/>
      <c r="EY1" s="779"/>
      <c r="EZ1" s="779"/>
      <c r="FA1" s="779"/>
      <c r="FB1" s="779"/>
      <c r="FC1" s="779"/>
      <c r="FD1" s="779"/>
      <c r="FE1" s="779"/>
      <c r="FF1" s="779"/>
      <c r="FG1" s="779"/>
      <c r="FH1" s="779"/>
      <c r="FI1" s="779"/>
      <c r="FJ1" s="779"/>
      <c r="FK1" s="779"/>
      <c r="FL1" s="779"/>
      <c r="FM1" s="779"/>
      <c r="FN1" s="779"/>
      <c r="FO1" s="779"/>
      <c r="FP1" s="779"/>
      <c r="FQ1" s="779"/>
      <c r="FR1" s="779"/>
      <c r="FS1" s="779"/>
      <c r="FT1" s="779"/>
      <c r="FU1" s="779"/>
      <c r="FV1" s="779"/>
      <c r="FW1" s="779"/>
      <c r="FX1" s="779"/>
      <c r="FY1" s="779"/>
      <c r="FZ1" s="779"/>
      <c r="GA1" s="779"/>
      <c r="GB1" s="779"/>
      <c r="GC1" s="779"/>
      <c r="GD1" s="779"/>
      <c r="GE1" s="779"/>
      <c r="GF1" s="779"/>
      <c r="GG1" s="779"/>
      <c r="GH1" s="779"/>
      <c r="GI1" s="779"/>
      <c r="GJ1" s="779"/>
      <c r="GK1" s="779"/>
      <c r="GL1" s="779"/>
      <c r="GM1" s="779"/>
      <c r="GN1" s="779"/>
      <c r="GO1" s="779"/>
      <c r="GP1" s="779"/>
      <c r="GQ1" s="779"/>
      <c r="GR1" s="779"/>
      <c r="GS1" s="779"/>
      <c r="GT1" s="779"/>
      <c r="GU1" s="779"/>
      <c r="GV1" s="779"/>
      <c r="GW1" s="779"/>
      <c r="GX1" s="779"/>
      <c r="GY1" s="779"/>
      <c r="GZ1" s="779"/>
      <c r="HA1" s="779"/>
      <c r="HB1" s="779"/>
      <c r="HC1" s="779"/>
      <c r="HD1" s="779"/>
      <c r="HE1" s="779"/>
      <c r="HF1" s="779"/>
      <c r="HG1" s="779"/>
      <c r="HH1" s="779"/>
      <c r="HI1" s="779"/>
      <c r="HJ1" s="779"/>
      <c r="HK1" s="779"/>
      <c r="HL1" s="779"/>
      <c r="HM1" s="779"/>
      <c r="HN1" s="779"/>
      <c r="HO1" s="779"/>
      <c r="HP1" s="779"/>
      <c r="HQ1" s="779"/>
      <c r="HR1" s="779"/>
      <c r="HS1" s="779"/>
      <c r="HT1" s="779"/>
      <c r="HU1" s="779"/>
      <c r="HV1" s="779"/>
      <c r="HW1" s="779"/>
      <c r="HX1" s="779"/>
      <c r="HY1" s="779"/>
      <c r="HZ1" s="779"/>
      <c r="IA1" s="779"/>
      <c r="IB1" s="779"/>
      <c r="IC1" s="779"/>
      <c r="ID1" s="779"/>
      <c r="IE1" s="779"/>
      <c r="IF1" s="779"/>
      <c r="IG1" s="779"/>
      <c r="IH1" s="779"/>
      <c r="II1" s="779"/>
      <c r="IJ1" s="779"/>
      <c r="IK1" s="779"/>
      <c r="IL1" s="779"/>
      <c r="IM1" s="779"/>
      <c r="IN1" s="779"/>
      <c r="IO1" s="779"/>
      <c r="IP1" s="779"/>
      <c r="IQ1" s="779"/>
      <c r="IR1" s="779"/>
      <c r="IS1" s="779"/>
      <c r="IT1" s="779"/>
      <c r="IU1" s="779"/>
      <c r="IV1" s="779"/>
      <c r="IW1" s="779"/>
      <c r="IX1" s="779"/>
      <c r="IY1" s="779"/>
      <c r="IZ1" s="779"/>
      <c r="JA1" s="779"/>
      <c r="JB1" s="779"/>
      <c r="JC1" s="779"/>
      <c r="JD1" s="779"/>
      <c r="JE1" s="779"/>
      <c r="JF1" s="779"/>
      <c r="JG1" s="779"/>
      <c r="JH1" s="779"/>
      <c r="JI1" s="779"/>
      <c r="JJ1" s="779"/>
      <c r="JK1" s="779"/>
      <c r="JL1" s="779"/>
      <c r="JM1" s="779"/>
      <c r="JN1" s="779"/>
      <c r="JO1" s="779"/>
      <c r="JP1" s="779"/>
      <c r="JQ1" s="779"/>
      <c r="JR1" s="779"/>
      <c r="JS1" s="779"/>
      <c r="JT1" s="779"/>
      <c r="JU1" s="779"/>
      <c r="JV1" s="779"/>
      <c r="JW1" s="779"/>
      <c r="JX1" s="779"/>
      <c r="JY1" s="779"/>
      <c r="JZ1" s="779"/>
      <c r="KA1" s="779"/>
      <c r="KB1" s="779"/>
      <c r="KC1" s="779"/>
      <c r="KD1" s="779"/>
      <c r="KE1" s="779"/>
      <c r="KF1" s="779"/>
      <c r="KG1" s="779"/>
      <c r="KH1" s="779"/>
      <c r="KI1" s="779"/>
      <c r="KJ1" s="779"/>
      <c r="KK1" s="779"/>
      <c r="KL1" s="779"/>
      <c r="KM1" s="779"/>
      <c r="KN1" s="779"/>
      <c r="KO1" s="779"/>
      <c r="KP1" s="779"/>
      <c r="KQ1" s="779"/>
      <c r="KR1" s="779"/>
      <c r="KS1" s="779"/>
      <c r="KT1" s="779"/>
      <c r="KU1" s="779"/>
      <c r="KV1" s="779"/>
      <c r="KW1" s="779"/>
      <c r="KX1" s="779"/>
      <c r="KY1" s="779"/>
      <c r="KZ1" s="779"/>
      <c r="LA1" s="779"/>
      <c r="LB1" s="779"/>
      <c r="LC1" s="779"/>
      <c r="LD1" s="779"/>
      <c r="LE1" s="779"/>
      <c r="LF1" s="779"/>
      <c r="LG1" s="779"/>
      <c r="LH1" s="779"/>
      <c r="LI1" s="779"/>
      <c r="LJ1" s="779"/>
      <c r="LK1" s="779"/>
      <c r="LL1" s="779"/>
      <c r="LM1" s="779"/>
      <c r="LN1" s="779"/>
      <c r="LO1" s="779"/>
      <c r="LP1" s="779"/>
      <c r="LQ1" s="779"/>
      <c r="LR1" s="779"/>
      <c r="LS1" s="779"/>
      <c r="LT1" s="779"/>
      <c r="LU1" s="779"/>
      <c r="LV1" s="779"/>
      <c r="LW1" s="779"/>
      <c r="LX1" s="779"/>
      <c r="LY1" s="779"/>
      <c r="LZ1" s="779"/>
      <c r="MA1" s="779"/>
      <c r="MB1" s="779"/>
      <c r="MC1" s="779"/>
      <c r="MD1" s="779"/>
      <c r="ME1" s="779"/>
      <c r="MF1" s="779"/>
      <c r="MG1" s="779"/>
      <c r="MH1" s="779"/>
      <c r="MI1" s="779"/>
      <c r="MJ1" s="779"/>
      <c r="MK1" s="779"/>
      <c r="ML1" s="779"/>
      <c r="MM1" s="779"/>
      <c r="MN1" s="779"/>
      <c r="MO1" s="779"/>
      <c r="MP1" s="779"/>
      <c r="MQ1" s="779"/>
      <c r="MR1" s="779"/>
      <c r="MS1" s="779"/>
      <c r="MT1" s="779"/>
      <c r="MU1" s="779"/>
      <c r="MV1" s="779"/>
      <c r="MW1" s="779"/>
      <c r="MX1" s="779"/>
      <c r="MY1" s="779"/>
      <c r="MZ1" s="779"/>
      <c r="NA1" s="779"/>
      <c r="NB1" s="779"/>
      <c r="NC1" s="779"/>
      <c r="ND1" s="779"/>
      <c r="NE1" s="779"/>
      <c r="NF1" s="779"/>
      <c r="NG1" s="779"/>
      <c r="NH1" s="779"/>
      <c r="NI1" s="779"/>
      <c r="NJ1" s="779"/>
      <c r="NK1" s="779"/>
      <c r="NL1" s="779"/>
      <c r="NM1" s="779"/>
      <c r="NN1" s="779"/>
      <c r="NO1" s="779"/>
      <c r="NP1" s="779"/>
      <c r="NQ1" s="779"/>
      <c r="NR1" s="779"/>
      <c r="NS1" s="779"/>
      <c r="NT1" s="779"/>
      <c r="NU1" s="779"/>
      <c r="NV1" s="779"/>
      <c r="NW1" s="779"/>
      <c r="NX1" s="779"/>
      <c r="NY1" s="779"/>
      <c r="NZ1" s="779"/>
      <c r="OA1" s="779"/>
      <c r="OB1" s="779"/>
      <c r="OC1" s="779"/>
      <c r="OD1" s="779"/>
      <c r="OE1" s="779"/>
      <c r="OF1" s="779"/>
      <c r="OG1" s="779"/>
      <c r="OH1" s="779"/>
      <c r="OI1" s="779"/>
      <c r="OJ1" s="779"/>
      <c r="OK1" s="779"/>
      <c r="OL1" s="779"/>
      <c r="OM1" s="779"/>
      <c r="ON1" s="779"/>
      <c r="OO1" s="779"/>
      <c r="OP1" s="779"/>
      <c r="OQ1" s="779"/>
      <c r="OR1" s="779"/>
      <c r="OS1" s="779"/>
      <c r="OT1" s="779"/>
      <c r="OU1" s="779"/>
      <c r="OV1" s="779"/>
      <c r="OW1" s="779"/>
      <c r="OX1" s="779"/>
      <c r="OY1" s="779"/>
      <c r="OZ1" s="779"/>
      <c r="PA1" s="779"/>
      <c r="PB1" s="779"/>
      <c r="PC1" s="779"/>
      <c r="PD1" s="779"/>
      <c r="PE1" s="779"/>
      <c r="PF1" s="779"/>
      <c r="PG1" s="779"/>
      <c r="PH1" s="779"/>
      <c r="PI1" s="779"/>
      <c r="PJ1" s="779"/>
      <c r="PK1" s="779"/>
      <c r="PL1" s="779"/>
      <c r="PM1" s="779"/>
      <c r="PN1" s="779"/>
      <c r="PO1" s="779"/>
      <c r="PP1" s="779"/>
      <c r="PQ1" s="779"/>
      <c r="PR1" s="779"/>
      <c r="PS1" s="779"/>
      <c r="PT1" s="779"/>
      <c r="PU1" s="779"/>
      <c r="PV1" s="779"/>
      <c r="PW1" s="779"/>
      <c r="PX1" s="779"/>
      <c r="PY1" s="779"/>
      <c r="PZ1" s="779"/>
      <c r="QA1" s="779"/>
      <c r="QB1" s="779"/>
      <c r="QC1" s="779"/>
      <c r="QD1" s="779"/>
      <c r="QE1" s="779"/>
      <c r="QF1" s="779"/>
      <c r="QG1" s="779"/>
      <c r="QH1" s="779"/>
      <c r="QI1" s="779"/>
      <c r="QJ1" s="779"/>
      <c r="QK1" s="779"/>
      <c r="QL1" s="779"/>
      <c r="QM1" s="779"/>
      <c r="QN1" s="779"/>
      <c r="QO1" s="779"/>
      <c r="QP1" s="779"/>
      <c r="QQ1" s="779"/>
      <c r="QR1" s="779"/>
      <c r="QS1" s="779"/>
      <c r="QT1" s="779"/>
      <c r="QU1" s="779"/>
      <c r="QV1" s="779"/>
      <c r="QW1" s="779"/>
      <c r="QX1" s="779"/>
      <c r="QY1" s="779"/>
      <c r="QZ1" s="779"/>
      <c r="RA1" s="779"/>
      <c r="RB1" s="779"/>
      <c r="RC1" s="779"/>
      <c r="RD1" s="779"/>
      <c r="RE1" s="779"/>
      <c r="RF1" s="779"/>
      <c r="RG1" s="779"/>
      <c r="RH1" s="779"/>
      <c r="RI1" s="779"/>
      <c r="RJ1" s="779"/>
      <c r="RK1" s="779"/>
      <c r="RL1" s="779"/>
      <c r="RM1" s="779"/>
      <c r="RN1" s="779"/>
      <c r="RO1" s="779"/>
      <c r="RP1" s="779"/>
      <c r="RQ1" s="779"/>
      <c r="RR1" s="779"/>
      <c r="RS1" s="779"/>
      <c r="RT1" s="779"/>
      <c r="RU1" s="779"/>
      <c r="RV1" s="779"/>
      <c r="RW1" s="779"/>
      <c r="RX1" s="779"/>
    </row>
    <row r="2" spans="1:492" s="5" customFormat="1" ht="32.1" customHeight="1">
      <c r="A2" s="380"/>
      <c r="B2" s="380"/>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1"/>
      <c r="AC2" s="381"/>
      <c r="AD2" s="381"/>
      <c r="AE2" s="381"/>
      <c r="AF2" s="381"/>
      <c r="AG2" s="381"/>
      <c r="AH2" s="381"/>
      <c r="AI2" s="381"/>
      <c r="AJ2" s="381"/>
      <c r="AK2" s="381"/>
      <c r="AL2" s="381"/>
      <c r="AM2" s="982" t="s">
        <v>446</v>
      </c>
      <c r="AN2" s="982"/>
      <c r="AO2" s="982"/>
      <c r="AP2" s="982"/>
      <c r="AQ2" s="982"/>
      <c r="AR2" s="982"/>
      <c r="AS2" s="982"/>
      <c r="AT2" s="982"/>
      <c r="AU2" s="982"/>
      <c r="AV2" s="982"/>
      <c r="AW2" s="982" t="s">
        <v>447</v>
      </c>
      <c r="AX2" s="982"/>
      <c r="AY2" s="982"/>
      <c r="AZ2" s="982"/>
      <c r="BA2" s="982"/>
      <c r="BB2" s="982" t="s">
        <v>6</v>
      </c>
      <c r="BC2" s="982"/>
      <c r="BD2" s="982"/>
      <c r="BE2" s="982"/>
      <c r="BF2" s="982"/>
      <c r="BG2" s="982" t="s">
        <v>7</v>
      </c>
      <c r="BH2" s="982"/>
      <c r="BI2" s="982"/>
      <c r="BJ2" s="982"/>
      <c r="BK2" s="982"/>
      <c r="BL2" s="982" t="s">
        <v>8</v>
      </c>
      <c r="BM2" s="982"/>
      <c r="BN2" s="982"/>
      <c r="BO2" s="982"/>
      <c r="BP2" s="982"/>
      <c r="BQ2" s="982" t="s">
        <v>9</v>
      </c>
      <c r="BR2" s="982"/>
      <c r="BS2" s="982"/>
      <c r="BT2" s="982"/>
      <c r="BU2" s="982"/>
      <c r="BV2" s="982" t="s">
        <v>10</v>
      </c>
      <c r="BW2" s="982"/>
      <c r="BX2" s="982"/>
      <c r="BY2" s="982"/>
      <c r="BZ2" s="982"/>
      <c r="CA2" s="982" t="s">
        <v>786</v>
      </c>
      <c r="CB2" s="982"/>
      <c r="CC2" s="982"/>
      <c r="CD2" s="982"/>
      <c r="CE2" s="982"/>
    </row>
    <row r="3" spans="1:492" s="5" customFormat="1" ht="32.1" customHeight="1">
      <c r="A3" s="382"/>
      <c r="B3" s="382"/>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968" t="s">
        <v>448</v>
      </c>
      <c r="AN3" s="968"/>
      <c r="AO3" s="968"/>
      <c r="AP3" s="968"/>
      <c r="AQ3" s="968"/>
      <c r="AR3" s="968"/>
      <c r="AS3" s="968"/>
      <c r="AT3" s="968"/>
      <c r="AU3" s="968"/>
      <c r="AV3" s="968"/>
      <c r="AW3" s="968" t="s">
        <v>449</v>
      </c>
      <c r="AX3" s="968"/>
      <c r="AY3" s="968"/>
      <c r="AZ3" s="968"/>
      <c r="BA3" s="968"/>
      <c r="BB3" s="968" t="s">
        <v>15</v>
      </c>
      <c r="BC3" s="968"/>
      <c r="BD3" s="968"/>
      <c r="BE3" s="968"/>
      <c r="BF3" s="968"/>
      <c r="BG3" s="968" t="s">
        <v>16</v>
      </c>
      <c r="BH3" s="968"/>
      <c r="BI3" s="968"/>
      <c r="BJ3" s="968"/>
      <c r="BK3" s="968"/>
      <c r="BL3" s="968" t="s">
        <v>17</v>
      </c>
      <c r="BM3" s="968"/>
      <c r="BN3" s="968"/>
      <c r="BO3" s="968"/>
      <c r="BP3" s="968"/>
      <c r="BQ3" s="968" t="s">
        <v>18</v>
      </c>
      <c r="BR3" s="968"/>
      <c r="BS3" s="968"/>
      <c r="BT3" s="968"/>
      <c r="BU3" s="968"/>
      <c r="BV3" s="968" t="s">
        <v>19</v>
      </c>
      <c r="BW3" s="968"/>
      <c r="BX3" s="968"/>
      <c r="BY3" s="968"/>
      <c r="BZ3" s="968"/>
      <c r="CA3" s="968" t="s">
        <v>787</v>
      </c>
      <c r="CB3" s="968"/>
      <c r="CC3" s="968"/>
      <c r="CD3" s="968"/>
      <c r="CE3" s="968"/>
    </row>
    <row r="4" spans="1:492" s="5" customFormat="1" ht="16.5" customHeight="1">
      <c r="A4" s="487" t="s">
        <v>20</v>
      </c>
      <c r="B4" s="384" t="s">
        <v>20</v>
      </c>
      <c r="C4" s="385"/>
      <c r="D4" s="385"/>
      <c r="E4" s="385"/>
      <c r="F4" s="385"/>
      <c r="G4" s="385"/>
      <c r="H4" s="385"/>
      <c r="I4" s="385"/>
      <c r="J4" s="385"/>
      <c r="K4" s="385"/>
      <c r="L4" s="385"/>
      <c r="M4" s="385"/>
      <c r="N4" s="385"/>
      <c r="O4" s="385"/>
      <c r="P4" s="385"/>
      <c r="Q4" s="385"/>
      <c r="R4" s="385"/>
      <c r="S4" s="385"/>
      <c r="T4" s="385"/>
      <c r="U4" s="385"/>
      <c r="V4" s="385"/>
      <c r="W4" s="385"/>
      <c r="X4" s="385"/>
      <c r="Y4" s="385"/>
      <c r="Z4" s="385"/>
      <c r="AA4" s="385"/>
      <c r="AB4" s="385"/>
      <c r="AC4" s="385"/>
      <c r="AD4" s="385"/>
      <c r="AE4" s="385"/>
      <c r="AF4" s="385"/>
      <c r="AG4" s="385"/>
      <c r="AH4" s="385"/>
      <c r="AI4" s="385"/>
      <c r="AJ4" s="385"/>
      <c r="AK4" s="385"/>
      <c r="AL4" s="385"/>
      <c r="AM4" s="496" t="s">
        <v>21</v>
      </c>
      <c r="AN4" s="386" t="s">
        <v>22</v>
      </c>
      <c r="AO4" s="387" t="s">
        <v>23</v>
      </c>
      <c r="AP4" s="386" t="s">
        <v>24</v>
      </c>
      <c r="AQ4" s="514" t="s">
        <v>450</v>
      </c>
      <c r="AR4" s="386"/>
      <c r="AS4" s="386"/>
      <c r="AT4" s="387"/>
      <c r="AU4" s="386"/>
      <c r="AV4" s="388"/>
      <c r="AW4" s="389" t="s">
        <v>21</v>
      </c>
      <c r="AX4" s="389" t="s">
        <v>22</v>
      </c>
      <c r="AY4" s="390" t="s">
        <v>23</v>
      </c>
      <c r="AZ4" s="389" t="s">
        <v>24</v>
      </c>
      <c r="BA4" s="386" t="s">
        <v>451</v>
      </c>
      <c r="BB4" s="389" t="s">
        <v>21</v>
      </c>
      <c r="BC4" s="389" t="s">
        <v>22</v>
      </c>
      <c r="BD4" s="390" t="s">
        <v>23</v>
      </c>
      <c r="BE4" s="389" t="s">
        <v>24</v>
      </c>
      <c r="BF4" s="386" t="s">
        <v>452</v>
      </c>
      <c r="BG4" s="389" t="s">
        <v>21</v>
      </c>
      <c r="BH4" s="389" t="s">
        <v>22</v>
      </c>
      <c r="BI4" s="390" t="s">
        <v>23</v>
      </c>
      <c r="BJ4" s="389" t="s">
        <v>24</v>
      </c>
      <c r="BK4" s="386" t="s">
        <v>453</v>
      </c>
      <c r="BL4" s="389" t="s">
        <v>21</v>
      </c>
      <c r="BM4" s="389" t="s">
        <v>22</v>
      </c>
      <c r="BN4" s="390" t="s">
        <v>23</v>
      </c>
      <c r="BO4" s="389" t="s">
        <v>24</v>
      </c>
      <c r="BP4" s="386" t="s">
        <v>30</v>
      </c>
      <c r="BQ4" s="389" t="s">
        <v>21</v>
      </c>
      <c r="BR4" s="389" t="s">
        <v>22</v>
      </c>
      <c r="BS4" s="390" t="s">
        <v>23</v>
      </c>
      <c r="BT4" s="389" t="s">
        <v>24</v>
      </c>
      <c r="BU4" s="389">
        <v>2023</v>
      </c>
      <c r="BV4" s="389" t="s">
        <v>21</v>
      </c>
      <c r="BW4" s="389" t="s">
        <v>22</v>
      </c>
      <c r="BX4" s="390" t="s">
        <v>23</v>
      </c>
      <c r="BY4" s="389" t="s">
        <v>24</v>
      </c>
      <c r="BZ4" s="389">
        <v>2024</v>
      </c>
      <c r="CA4" s="389" t="s">
        <v>21</v>
      </c>
      <c r="CB4" s="389" t="s">
        <v>22</v>
      </c>
      <c r="CC4" s="390" t="s">
        <v>23</v>
      </c>
      <c r="CD4" s="389" t="s">
        <v>24</v>
      </c>
      <c r="CE4" s="389">
        <v>2025</v>
      </c>
    </row>
    <row r="5" spans="1:492" s="59" customFormat="1" ht="20.25" customHeight="1" thickBot="1">
      <c r="A5" s="488" t="s">
        <v>454</v>
      </c>
      <c r="B5" s="509" t="s">
        <v>455</v>
      </c>
      <c r="C5" s="394"/>
      <c r="D5" s="394"/>
      <c r="E5" s="394"/>
      <c r="F5" s="394"/>
      <c r="G5" s="394"/>
      <c r="H5" s="394"/>
      <c r="I5" s="394"/>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c r="AI5" s="394"/>
      <c r="AJ5" s="394"/>
      <c r="AK5" s="394"/>
      <c r="AL5" s="394"/>
      <c r="AM5" s="497">
        <f>SUM(AM6:AM10)</f>
        <v>2345.9</v>
      </c>
      <c r="AN5" s="395">
        <f>SUM(AN6:AN10)</f>
        <v>2603.1999999999994</v>
      </c>
      <c r="AO5" s="395">
        <f>SUM(AO6:AO10)</f>
        <v>2735</v>
      </c>
      <c r="AP5" s="395">
        <f>SUM(AP6:AP10)</f>
        <v>3002.0000000000014</v>
      </c>
      <c r="AQ5" s="498">
        <f>SUM(AQ6:AQ10)</f>
        <v>10686.1</v>
      </c>
      <c r="AR5" s="395"/>
      <c r="AS5" s="395"/>
      <c r="AT5" s="395"/>
      <c r="AU5" s="395"/>
      <c r="AV5" s="396"/>
      <c r="AW5" s="395">
        <f t="shared" ref="AW5:AZ5" si="0">SUM(AW6:AW10)</f>
        <v>2791.6</v>
      </c>
      <c r="AX5" s="395">
        <f t="shared" si="0"/>
        <v>2923</v>
      </c>
      <c r="AY5" s="395">
        <f t="shared" si="0"/>
        <v>2892.4</v>
      </c>
      <c r="AZ5" s="395">
        <f t="shared" si="0"/>
        <v>3069.0999999999995</v>
      </c>
      <c r="BA5" s="493">
        <f>SUM(BA6:BA10)</f>
        <v>11676.099999999999</v>
      </c>
      <c r="BB5" s="497">
        <f t="shared" ref="BB5:BI5" si="1">SUM(BB6:BB10)</f>
        <v>2848.5</v>
      </c>
      <c r="BC5" s="395">
        <f t="shared" si="1"/>
        <v>2862.6999999999994</v>
      </c>
      <c r="BD5" s="395">
        <f t="shared" si="1"/>
        <v>3003.5000000000005</v>
      </c>
      <c r="BE5" s="395">
        <f t="shared" si="1"/>
        <v>3248.2000000000003</v>
      </c>
      <c r="BF5" s="498">
        <f>SUM(BF6:BF10)</f>
        <v>11962.9</v>
      </c>
      <c r="BG5" s="395">
        <f t="shared" si="1"/>
        <v>2987.3999999999996</v>
      </c>
      <c r="BH5" s="395">
        <f t="shared" si="1"/>
        <v>3159.7</v>
      </c>
      <c r="BI5" s="395">
        <f t="shared" si="1"/>
        <v>3031.9</v>
      </c>
      <c r="BJ5" s="395">
        <f>SUM(BJ6:BJ10)</f>
        <v>3265.0000000000005</v>
      </c>
      <c r="BK5" s="498">
        <f>SUM(BK6:BK10)</f>
        <v>12444.000000000002</v>
      </c>
      <c r="BL5" s="395">
        <f>SUM(BL6:BL10)</f>
        <v>2986.7000000000003</v>
      </c>
      <c r="BM5" s="395">
        <f>SUM(BM6:BM10)</f>
        <v>3228.1000000000004</v>
      </c>
      <c r="BN5" s="395">
        <f t="shared" ref="BN5" si="2">SUM(BN6:BN10)</f>
        <v>3270.9000000000005</v>
      </c>
      <c r="BO5" s="395">
        <f>SUM(BO6:BO10)</f>
        <v>3429.6</v>
      </c>
      <c r="BP5" s="498">
        <f>SUM(BP6:BP10)</f>
        <v>12915.3</v>
      </c>
      <c r="BQ5" s="395">
        <f>SUM(BQ6:BQ10)</f>
        <v>3199.3</v>
      </c>
      <c r="BR5" s="395">
        <f>SUM(BR6:BR10)</f>
        <v>3289.8</v>
      </c>
      <c r="BS5" s="395">
        <f t="shared" ref="BS5" si="3">SUM(BS6:BS10)</f>
        <v>3455.7</v>
      </c>
      <c r="BT5" s="395">
        <f>SUM(BT6:BT10)</f>
        <v>3681.5000000000005</v>
      </c>
      <c r="BU5" s="818">
        <f>SUM(BU6:BU10)</f>
        <v>13626.300000000001</v>
      </c>
      <c r="BV5" s="395">
        <f>SUM(BV6:BV10)</f>
        <v>3405</v>
      </c>
      <c r="BW5" s="395">
        <f>SUM(BW6:BW10)</f>
        <v>3454.2999999999997</v>
      </c>
      <c r="BX5" s="395">
        <f t="shared" ref="BX5" si="4">SUM(BX6:BX10)</f>
        <v>3579.5</v>
      </c>
      <c r="BY5" s="395">
        <f>SUM(BY6:BY10)</f>
        <v>3827.1000000000013</v>
      </c>
      <c r="BZ5" s="818">
        <f>SUM(BZ6:BZ10)</f>
        <v>14265.900000000001</v>
      </c>
      <c r="CA5" s="395">
        <f>SUM(CA6:CA10)</f>
        <v>3530.2000000000003</v>
      </c>
      <c r="CB5" s="395">
        <f>SUM(CB6:CB10)</f>
        <v>3590.4</v>
      </c>
      <c r="CC5" s="395"/>
      <c r="CD5" s="395"/>
      <c r="CE5" s="818">
        <f>SUM(CE6:CE10)</f>
        <v>7120.5999999999995</v>
      </c>
      <c r="CF5" s="11"/>
      <c r="CG5" s="475"/>
      <c r="CH5" s="966"/>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row>
    <row r="6" spans="1:492" s="480" customFormat="1" ht="20.100000000000001" customHeight="1">
      <c r="A6" s="489" t="s">
        <v>456</v>
      </c>
      <c r="B6" s="510" t="s">
        <v>457</v>
      </c>
      <c r="C6" s="474"/>
      <c r="D6" s="474"/>
      <c r="E6" s="474"/>
      <c r="F6" s="474"/>
      <c r="G6" s="474"/>
      <c r="H6" s="474"/>
      <c r="I6" s="474"/>
      <c r="J6" s="474"/>
      <c r="K6" s="474"/>
      <c r="L6" s="474"/>
      <c r="M6" s="474"/>
      <c r="N6" s="474"/>
      <c r="O6" s="474"/>
      <c r="P6" s="474"/>
      <c r="Q6" s="474"/>
      <c r="R6" s="474"/>
      <c r="S6" s="474"/>
      <c r="T6" s="474"/>
      <c r="U6" s="474"/>
      <c r="V6" s="474"/>
      <c r="W6" s="474"/>
      <c r="X6" s="474"/>
      <c r="Y6" s="474"/>
      <c r="Z6" s="474"/>
      <c r="AA6" s="474"/>
      <c r="AB6" s="474"/>
      <c r="AC6" s="474"/>
      <c r="AD6" s="474"/>
      <c r="AE6" s="474"/>
      <c r="AF6" s="474"/>
      <c r="AG6" s="474"/>
      <c r="AH6" s="474"/>
      <c r="AI6" s="474"/>
      <c r="AJ6" s="474"/>
      <c r="AK6" s="474"/>
      <c r="AL6" s="474"/>
      <c r="AM6" s="499">
        <v>2049.4</v>
      </c>
      <c r="AN6" s="475">
        <v>2247.4999999999995</v>
      </c>
      <c r="AO6" s="475">
        <v>2429.5</v>
      </c>
      <c r="AP6" s="475">
        <v>2504.3000000000011</v>
      </c>
      <c r="AQ6" s="500">
        <f>SUM(AM6:AP6)</f>
        <v>9230.7000000000007</v>
      </c>
      <c r="AR6" s="475"/>
      <c r="AS6" s="475"/>
      <c r="AT6" s="475"/>
      <c r="AU6" s="475"/>
      <c r="AV6" s="470"/>
      <c r="AW6" s="475">
        <v>2398.1999999999998</v>
      </c>
      <c r="AX6" s="475">
        <v>2468.8000000000002</v>
      </c>
      <c r="AY6" s="475">
        <v>2515.3000000000002</v>
      </c>
      <c r="AZ6" s="475">
        <v>2553.0999999999995</v>
      </c>
      <c r="BA6" s="478">
        <f>SUM(AW6:AZ6)</f>
        <v>9935.4</v>
      </c>
      <c r="BB6" s="499">
        <v>2453.4</v>
      </c>
      <c r="BC6" s="475">
        <v>2518.4999999999995</v>
      </c>
      <c r="BD6" s="475">
        <v>2590.3000000000002</v>
      </c>
      <c r="BE6" s="469">
        <v>2668.6</v>
      </c>
      <c r="BF6" s="500">
        <f>SUM(BB6:BE6)</f>
        <v>10230.799999999999</v>
      </c>
      <c r="BG6" s="475">
        <v>2551</v>
      </c>
      <c r="BH6" s="475">
        <v>2660.7</v>
      </c>
      <c r="BI6" s="475">
        <v>2592.3000000000002</v>
      </c>
      <c r="BJ6" s="469">
        <f>10454.7-SUM(BG6:BI6)</f>
        <v>2650.7000000000007</v>
      </c>
      <c r="BK6" s="500">
        <f>SUM(BG6:BJ6)</f>
        <v>10454.700000000001</v>
      </c>
      <c r="BL6" s="475">
        <v>2525.9</v>
      </c>
      <c r="BM6" s="469">
        <f>5196.8-BL6</f>
        <v>2670.9</v>
      </c>
      <c r="BN6" s="475">
        <f>7940.5-BM6-BL6</f>
        <v>2743.7000000000003</v>
      </c>
      <c r="BO6" s="469">
        <f>10681.6-BN6-BM6-BL6</f>
        <v>2741.1</v>
      </c>
      <c r="BP6" s="500">
        <f>SUM(BL6:BO6)</f>
        <v>10681.6</v>
      </c>
      <c r="BQ6" s="475">
        <v>2674.5</v>
      </c>
      <c r="BR6" s="469">
        <f>5374-BQ6</f>
        <v>2699.5</v>
      </c>
      <c r="BS6" s="475">
        <v>2644.6</v>
      </c>
      <c r="BT6" s="469">
        <v>2693.6000000000004</v>
      </c>
      <c r="BU6" s="819">
        <f>SUM(BQ6:BT6)</f>
        <v>10712.2</v>
      </c>
      <c r="BV6" s="475">
        <v>2575.5</v>
      </c>
      <c r="BW6" s="469">
        <v>2609.1999999999998</v>
      </c>
      <c r="BX6" s="475">
        <f>40.6+2641.2</f>
        <v>2681.7999999999997</v>
      </c>
      <c r="BY6" s="469">
        <v>2710.2000000000007</v>
      </c>
      <c r="BZ6" s="819">
        <f>SUM(BV6:BY6)</f>
        <v>10576.7</v>
      </c>
      <c r="CA6" s="475">
        <v>2613.5</v>
      </c>
      <c r="CB6" s="469">
        <v>2614.8999999999996</v>
      </c>
      <c r="CC6" s="475"/>
      <c r="CD6" s="469"/>
      <c r="CE6" s="819">
        <f>SUM(CA6:CD6)</f>
        <v>5228.3999999999996</v>
      </c>
      <c r="CF6" s="479"/>
      <c r="CG6" s="475"/>
      <c r="CH6" s="966"/>
      <c r="CI6" s="479"/>
      <c r="CJ6" s="479"/>
      <c r="CK6" s="479"/>
      <c r="CL6" s="479"/>
      <c r="CM6" s="479"/>
      <c r="CN6" s="479"/>
      <c r="CO6" s="479"/>
      <c r="CP6" s="479"/>
      <c r="CQ6" s="479"/>
      <c r="CR6" s="479"/>
      <c r="CS6" s="479"/>
      <c r="CT6" s="479"/>
      <c r="CU6" s="479"/>
      <c r="CV6" s="479"/>
      <c r="CW6" s="479"/>
      <c r="CX6" s="479"/>
      <c r="CY6" s="479"/>
      <c r="CZ6" s="479"/>
      <c r="DA6" s="479"/>
      <c r="DB6" s="479"/>
      <c r="DC6" s="479"/>
      <c r="DD6" s="479"/>
      <c r="DE6" s="479"/>
      <c r="DF6" s="479"/>
      <c r="DG6" s="479"/>
      <c r="DH6" s="479"/>
      <c r="DI6" s="479"/>
      <c r="DJ6" s="479"/>
      <c r="DK6" s="479"/>
      <c r="DL6" s="479"/>
      <c r="DM6" s="479"/>
      <c r="DN6" s="479"/>
      <c r="DO6" s="479"/>
      <c r="DP6" s="479"/>
      <c r="DQ6" s="479"/>
      <c r="DR6" s="479"/>
      <c r="DS6" s="479"/>
      <c r="DT6" s="479"/>
      <c r="DU6" s="479"/>
      <c r="DV6" s="479"/>
      <c r="DW6" s="479"/>
      <c r="DX6" s="479"/>
      <c r="DY6" s="479"/>
      <c r="DZ6" s="479"/>
      <c r="EA6" s="479"/>
      <c r="EB6" s="479"/>
      <c r="EC6" s="479"/>
      <c r="ED6" s="479"/>
      <c r="EE6" s="479"/>
      <c r="EF6" s="479"/>
      <c r="EG6" s="479"/>
      <c r="EH6" s="479"/>
      <c r="EI6" s="479"/>
      <c r="EJ6" s="479"/>
      <c r="EK6" s="479"/>
      <c r="EL6" s="479"/>
      <c r="EM6" s="479"/>
      <c r="EN6" s="479"/>
      <c r="EO6" s="479"/>
      <c r="EP6" s="479"/>
      <c r="EQ6" s="479"/>
      <c r="ER6" s="479"/>
      <c r="ES6" s="479"/>
      <c r="ET6" s="479"/>
      <c r="EU6" s="479"/>
      <c r="EV6" s="479"/>
      <c r="EW6" s="479"/>
      <c r="EX6" s="479"/>
      <c r="EY6" s="479"/>
      <c r="EZ6" s="479"/>
      <c r="FA6" s="479"/>
      <c r="FB6" s="479"/>
      <c r="FC6" s="479"/>
      <c r="FD6" s="479"/>
      <c r="FE6" s="479"/>
      <c r="FF6" s="479"/>
      <c r="FG6" s="479"/>
      <c r="FH6" s="479"/>
      <c r="FI6" s="479"/>
      <c r="FJ6" s="479"/>
      <c r="FK6" s="479"/>
      <c r="FL6" s="479"/>
      <c r="FM6" s="479"/>
      <c r="FN6" s="479"/>
      <c r="FO6" s="479"/>
      <c r="FP6" s="479"/>
      <c r="FQ6" s="479"/>
      <c r="FR6" s="479"/>
      <c r="FS6" s="479"/>
      <c r="FT6" s="479"/>
      <c r="FU6" s="479"/>
      <c r="FV6" s="479"/>
      <c r="FW6" s="479"/>
      <c r="FX6" s="479"/>
      <c r="FY6" s="479"/>
      <c r="FZ6" s="479"/>
      <c r="GA6" s="479"/>
      <c r="GB6" s="479"/>
      <c r="GC6" s="479"/>
      <c r="GD6" s="479"/>
      <c r="GE6" s="479"/>
      <c r="GF6" s="479"/>
      <c r="GG6" s="479"/>
      <c r="GH6" s="479"/>
      <c r="GI6" s="479"/>
      <c r="GJ6" s="479"/>
      <c r="GK6" s="479"/>
      <c r="GL6" s="479"/>
      <c r="GM6" s="479"/>
      <c r="GN6" s="479"/>
      <c r="GO6" s="479"/>
      <c r="GP6" s="479"/>
      <c r="GQ6" s="479"/>
      <c r="GR6" s="479"/>
      <c r="GS6" s="479"/>
      <c r="GT6" s="479"/>
      <c r="GU6" s="479"/>
      <c r="GV6" s="479"/>
      <c r="GW6" s="479"/>
      <c r="GX6" s="479"/>
      <c r="GY6" s="479"/>
      <c r="GZ6" s="479"/>
      <c r="HA6" s="479"/>
      <c r="HB6" s="479"/>
      <c r="HC6" s="479"/>
      <c r="HD6" s="479"/>
      <c r="HE6" s="479"/>
      <c r="HF6" s="479"/>
      <c r="HG6" s="479"/>
      <c r="HH6" s="479"/>
      <c r="HI6" s="479"/>
      <c r="HJ6" s="479"/>
      <c r="HK6" s="479"/>
      <c r="HL6" s="479"/>
      <c r="HM6" s="479"/>
      <c r="HN6" s="479"/>
      <c r="HO6" s="479"/>
      <c r="HP6" s="479"/>
      <c r="HQ6" s="479"/>
      <c r="HR6" s="479"/>
      <c r="HS6" s="479"/>
      <c r="HT6" s="479"/>
      <c r="HU6" s="479"/>
      <c r="HV6" s="479"/>
      <c r="HW6" s="479"/>
      <c r="HX6" s="479"/>
      <c r="HY6" s="479"/>
      <c r="HZ6" s="479"/>
      <c r="IA6" s="479"/>
      <c r="IB6" s="479"/>
      <c r="IC6" s="479"/>
      <c r="ID6" s="479"/>
      <c r="IE6" s="479"/>
      <c r="IF6" s="479"/>
      <c r="IG6" s="479"/>
      <c r="IH6" s="479"/>
      <c r="II6" s="479"/>
      <c r="IJ6" s="479"/>
      <c r="IK6" s="479"/>
      <c r="IL6" s="479"/>
      <c r="IM6" s="479"/>
      <c r="IN6" s="479"/>
      <c r="IO6" s="479"/>
      <c r="IP6" s="479"/>
      <c r="IQ6" s="479"/>
      <c r="IR6" s="479"/>
      <c r="IS6" s="479"/>
      <c r="IT6" s="479"/>
      <c r="IU6" s="479"/>
      <c r="IV6" s="479"/>
      <c r="IW6" s="479"/>
      <c r="IX6" s="479"/>
      <c r="IY6" s="479"/>
      <c r="IZ6" s="479"/>
      <c r="JA6" s="479"/>
      <c r="JB6" s="479"/>
      <c r="JC6" s="479"/>
      <c r="JD6" s="479"/>
      <c r="JE6" s="479"/>
      <c r="JF6" s="479"/>
      <c r="JG6" s="479"/>
      <c r="JH6" s="479"/>
      <c r="JI6" s="479"/>
      <c r="JJ6" s="479"/>
      <c r="JK6" s="479"/>
      <c r="JL6" s="479"/>
      <c r="JM6" s="479"/>
      <c r="JN6" s="479"/>
      <c r="JO6" s="479"/>
      <c r="JP6" s="479"/>
      <c r="JQ6" s="479"/>
      <c r="JR6" s="479"/>
      <c r="JS6" s="479"/>
      <c r="JT6" s="479"/>
      <c r="JU6" s="479"/>
      <c r="JV6" s="479"/>
      <c r="JW6" s="479"/>
      <c r="JX6" s="479"/>
      <c r="JY6" s="479"/>
      <c r="JZ6" s="479"/>
      <c r="KA6" s="479"/>
      <c r="KB6" s="479"/>
      <c r="KC6" s="479"/>
      <c r="KD6" s="479"/>
      <c r="KE6" s="479"/>
      <c r="KF6" s="479"/>
      <c r="KG6" s="479"/>
      <c r="KH6" s="479"/>
      <c r="KI6" s="479"/>
      <c r="KJ6" s="479"/>
      <c r="KK6" s="479"/>
      <c r="KL6" s="479"/>
      <c r="KM6" s="479"/>
      <c r="KN6" s="479"/>
      <c r="KO6" s="479"/>
      <c r="KP6" s="479"/>
      <c r="KQ6" s="479"/>
      <c r="KR6" s="479"/>
      <c r="KS6" s="479"/>
      <c r="KT6" s="479"/>
      <c r="KU6" s="479"/>
      <c r="KV6" s="479"/>
      <c r="KW6" s="479"/>
      <c r="KX6" s="479"/>
      <c r="KY6" s="479"/>
      <c r="KZ6" s="479"/>
      <c r="LA6" s="479"/>
      <c r="LB6" s="479"/>
      <c r="LC6" s="479"/>
      <c r="LD6" s="479"/>
      <c r="LE6" s="479"/>
      <c r="LF6" s="479"/>
      <c r="LG6" s="479"/>
      <c r="LH6" s="479"/>
      <c r="LI6" s="479"/>
      <c r="LJ6" s="479"/>
      <c r="LK6" s="479"/>
      <c r="LL6" s="479"/>
      <c r="LM6" s="479"/>
      <c r="LN6" s="479"/>
      <c r="LO6" s="479"/>
      <c r="LP6" s="479"/>
      <c r="LQ6" s="479"/>
      <c r="LR6" s="479"/>
      <c r="LS6" s="479"/>
      <c r="LT6" s="479"/>
      <c r="LU6" s="479"/>
      <c r="LV6" s="479"/>
      <c r="LW6" s="479"/>
      <c r="LX6" s="479"/>
      <c r="LY6" s="479"/>
      <c r="LZ6" s="479"/>
      <c r="MA6" s="479"/>
      <c r="MB6" s="479"/>
      <c r="MC6" s="479"/>
      <c r="MD6" s="479"/>
      <c r="ME6" s="479"/>
      <c r="MF6" s="479"/>
      <c r="MG6" s="479"/>
      <c r="MH6" s="479"/>
      <c r="MI6" s="479"/>
      <c r="MJ6" s="479"/>
      <c r="MK6" s="479"/>
      <c r="ML6" s="479"/>
      <c r="MM6" s="479"/>
      <c r="MN6" s="479"/>
      <c r="MO6" s="479"/>
      <c r="MP6" s="479"/>
      <c r="MQ6" s="479"/>
      <c r="MR6" s="479"/>
      <c r="MS6" s="479"/>
      <c r="MT6" s="479"/>
      <c r="MU6" s="479"/>
      <c r="MV6" s="479"/>
      <c r="MW6" s="479"/>
      <c r="MX6" s="479"/>
      <c r="MY6" s="479"/>
      <c r="MZ6" s="479"/>
      <c r="NA6" s="479"/>
      <c r="NB6" s="479"/>
      <c r="NC6" s="479"/>
      <c r="ND6" s="479"/>
      <c r="NE6" s="479"/>
      <c r="NF6" s="479"/>
      <c r="NG6" s="479"/>
      <c r="NH6" s="479"/>
      <c r="NI6" s="479"/>
      <c r="NJ6" s="479"/>
      <c r="NK6" s="479"/>
      <c r="NL6" s="479"/>
      <c r="NM6" s="479"/>
      <c r="NN6" s="479"/>
      <c r="NO6" s="479"/>
      <c r="NP6" s="479"/>
      <c r="NQ6" s="479"/>
      <c r="NR6" s="479"/>
      <c r="NS6" s="479"/>
      <c r="NT6" s="479"/>
      <c r="NU6" s="479"/>
      <c r="NV6" s="479"/>
      <c r="NW6" s="479"/>
      <c r="NX6" s="479"/>
      <c r="NY6" s="479"/>
      <c r="NZ6" s="479"/>
      <c r="OA6" s="479"/>
      <c r="OB6" s="479"/>
      <c r="OC6" s="479"/>
      <c r="OD6" s="479"/>
      <c r="OE6" s="479"/>
      <c r="OF6" s="479"/>
      <c r="OG6" s="479"/>
      <c r="OH6" s="479"/>
      <c r="OI6" s="479"/>
      <c r="OJ6" s="479"/>
      <c r="OK6" s="479"/>
      <c r="OL6" s="479"/>
      <c r="OM6" s="479"/>
      <c r="ON6" s="479"/>
      <c r="OO6" s="479"/>
      <c r="OP6" s="479"/>
      <c r="OQ6" s="479"/>
      <c r="OR6" s="479"/>
      <c r="OS6" s="479"/>
      <c r="OT6" s="479"/>
      <c r="OU6" s="479"/>
      <c r="OV6" s="479"/>
      <c r="OW6" s="479"/>
      <c r="OX6" s="479"/>
      <c r="OY6" s="479"/>
      <c r="OZ6" s="479"/>
      <c r="PA6" s="479"/>
      <c r="PB6" s="479"/>
      <c r="PC6" s="479"/>
      <c r="PD6" s="479"/>
      <c r="PE6" s="479"/>
      <c r="PF6" s="479"/>
      <c r="PG6" s="479"/>
      <c r="PH6" s="479"/>
      <c r="PI6" s="479"/>
      <c r="PJ6" s="479"/>
      <c r="PK6" s="479"/>
      <c r="PL6" s="479"/>
      <c r="PM6" s="479"/>
      <c r="PN6" s="479"/>
      <c r="PO6" s="479"/>
      <c r="PP6" s="479"/>
      <c r="PQ6" s="479"/>
      <c r="PR6" s="479"/>
      <c r="PS6" s="479"/>
      <c r="PT6" s="479"/>
      <c r="PU6" s="479"/>
      <c r="PV6" s="479"/>
      <c r="PW6" s="479"/>
      <c r="PX6" s="479"/>
      <c r="PY6" s="479"/>
      <c r="PZ6" s="479"/>
      <c r="QA6" s="479"/>
      <c r="QB6" s="479"/>
      <c r="QC6" s="479"/>
      <c r="QD6" s="479"/>
      <c r="QE6" s="479"/>
      <c r="QF6" s="479"/>
      <c r="QG6" s="479"/>
      <c r="QH6" s="479"/>
      <c r="QI6" s="479"/>
      <c r="QJ6" s="479"/>
      <c r="QK6" s="479"/>
      <c r="QL6" s="479"/>
      <c r="QM6" s="479"/>
      <c r="QN6" s="479"/>
      <c r="QO6" s="479"/>
      <c r="QP6" s="479"/>
      <c r="QQ6" s="479"/>
      <c r="QR6" s="479"/>
      <c r="QS6" s="479"/>
      <c r="QT6" s="479"/>
      <c r="QU6" s="479"/>
      <c r="QV6" s="479"/>
      <c r="QW6" s="479"/>
      <c r="QX6" s="479"/>
      <c r="QY6" s="479"/>
      <c r="QZ6" s="479"/>
      <c r="RA6" s="479"/>
      <c r="RB6" s="479"/>
      <c r="RC6" s="479"/>
      <c r="RD6" s="479"/>
      <c r="RE6" s="479"/>
      <c r="RF6" s="479"/>
      <c r="RG6" s="479"/>
      <c r="RH6" s="479"/>
      <c r="RI6" s="479"/>
      <c r="RJ6" s="479"/>
      <c r="RK6" s="479"/>
      <c r="RL6" s="479"/>
      <c r="RM6" s="479"/>
      <c r="RN6" s="479"/>
      <c r="RO6" s="479"/>
      <c r="RP6" s="479"/>
      <c r="RQ6" s="479"/>
      <c r="RR6" s="479"/>
      <c r="RS6" s="479"/>
      <c r="RT6" s="479"/>
      <c r="RU6" s="479"/>
      <c r="RV6" s="479"/>
      <c r="RW6" s="479"/>
      <c r="RX6" s="479"/>
    </row>
    <row r="7" spans="1:492" s="480" customFormat="1" ht="20.100000000000001" customHeight="1">
      <c r="A7" s="489" t="s">
        <v>458</v>
      </c>
      <c r="B7" s="510" t="s">
        <v>459</v>
      </c>
      <c r="C7" s="474"/>
      <c r="D7" s="474"/>
      <c r="E7" s="474"/>
      <c r="F7" s="474"/>
      <c r="G7" s="474"/>
      <c r="H7" s="474"/>
      <c r="I7" s="474"/>
      <c r="J7" s="474"/>
      <c r="K7" s="474"/>
      <c r="L7" s="474"/>
      <c r="M7" s="474"/>
      <c r="N7" s="474"/>
      <c r="O7" s="474"/>
      <c r="P7" s="474"/>
      <c r="Q7" s="474"/>
      <c r="R7" s="474"/>
      <c r="S7" s="474"/>
      <c r="T7" s="474"/>
      <c r="U7" s="474"/>
      <c r="V7" s="474"/>
      <c r="W7" s="474"/>
      <c r="X7" s="474"/>
      <c r="Y7" s="474"/>
      <c r="Z7" s="474"/>
      <c r="AA7" s="474"/>
      <c r="AB7" s="474"/>
      <c r="AC7" s="474"/>
      <c r="AD7" s="474"/>
      <c r="AE7" s="474"/>
      <c r="AF7" s="474"/>
      <c r="AG7" s="474"/>
      <c r="AH7" s="474"/>
      <c r="AI7" s="474"/>
      <c r="AJ7" s="474"/>
      <c r="AK7" s="474"/>
      <c r="AL7" s="474"/>
      <c r="AM7" s="499">
        <v>349.6</v>
      </c>
      <c r="AN7" s="475">
        <v>412.69999999999993</v>
      </c>
      <c r="AO7" s="475">
        <v>375.20000000000005</v>
      </c>
      <c r="AP7" s="475">
        <v>558.40000000000009</v>
      </c>
      <c r="AQ7" s="500">
        <f t="shared" ref="AQ7:AQ10" si="5">SUM(AM7:AP7)</f>
        <v>1695.9</v>
      </c>
      <c r="AR7" s="475"/>
      <c r="AS7" s="475"/>
      <c r="AT7" s="475"/>
      <c r="AU7" s="475"/>
      <c r="AV7" s="470"/>
      <c r="AW7" s="475">
        <v>454.6</v>
      </c>
      <c r="AX7" s="475">
        <v>520.19999999999993</v>
      </c>
      <c r="AY7" s="475">
        <v>440.70000000000005</v>
      </c>
      <c r="AZ7" s="475">
        <v>582.40000000000009</v>
      </c>
      <c r="BA7" s="478">
        <f t="shared" ref="BA7:BA10" si="6">SUM(AW7:AZ7)</f>
        <v>1997.9</v>
      </c>
      <c r="BB7" s="499">
        <v>460.6</v>
      </c>
      <c r="BC7" s="475">
        <v>412.19999999999993</v>
      </c>
      <c r="BD7" s="475">
        <v>481.90000000000009</v>
      </c>
      <c r="BE7" s="469">
        <v>652.20000000000005</v>
      </c>
      <c r="BF7" s="500">
        <f t="shared" ref="BF7:BF10" si="7">SUM(BB7:BE7)</f>
        <v>2006.9</v>
      </c>
      <c r="BG7" s="475">
        <v>507.2</v>
      </c>
      <c r="BH7" s="475">
        <v>570</v>
      </c>
      <c r="BI7" s="475">
        <v>499.50000000000006</v>
      </c>
      <c r="BJ7" s="469">
        <f>2264.1-SUM(BG7:BI7)</f>
        <v>687.39999999999986</v>
      </c>
      <c r="BK7" s="500">
        <f t="shared" ref="BK7:BK10" si="8">SUM(BG7:BJ7)</f>
        <v>2264.1</v>
      </c>
      <c r="BL7" s="475">
        <v>533.5</v>
      </c>
      <c r="BM7" s="469">
        <f>1140-BL7</f>
        <v>606.5</v>
      </c>
      <c r="BN7" s="475">
        <f>1693.5-BM7-BL7</f>
        <v>553.5</v>
      </c>
      <c r="BO7" s="469">
        <f>2424.2-BN7-BM7-BL7</f>
        <v>730.69999999999982</v>
      </c>
      <c r="BP7" s="500">
        <f t="shared" ref="BP7:BP10" si="9">SUM(BL7:BO7)</f>
        <v>2424.1999999999998</v>
      </c>
      <c r="BQ7" s="475">
        <v>567.9</v>
      </c>
      <c r="BR7" s="469">
        <f>1206.7-BQ7</f>
        <v>638.80000000000007</v>
      </c>
      <c r="BS7" s="475">
        <v>559.69999999999993</v>
      </c>
      <c r="BT7" s="469">
        <v>703.59999999999991</v>
      </c>
      <c r="BU7" s="819">
        <f t="shared" ref="BU7:BU10" si="10">SUM(BQ7:BT7)</f>
        <v>2470</v>
      </c>
      <c r="BV7" s="475">
        <v>585.29999999999995</v>
      </c>
      <c r="BW7" s="469">
        <v>663</v>
      </c>
      <c r="BX7" s="475">
        <f>224.7+320.8</f>
        <v>545.5</v>
      </c>
      <c r="BY7" s="469">
        <v>697.8</v>
      </c>
      <c r="BZ7" s="819">
        <f t="shared" ref="BZ7:BZ10" si="11">SUM(BV7:BY7)</f>
        <v>2491.6</v>
      </c>
      <c r="CA7" s="475">
        <v>578.4</v>
      </c>
      <c r="CB7" s="469">
        <v>658.00000000000011</v>
      </c>
      <c r="CC7" s="475"/>
      <c r="CD7" s="469"/>
      <c r="CE7" s="819">
        <f t="shared" ref="CE7:CE10" si="12">SUM(CA7:CD7)</f>
        <v>1236.4000000000001</v>
      </c>
      <c r="CF7" s="479"/>
      <c r="CG7" s="475"/>
      <c r="CH7" s="966"/>
      <c r="CI7" s="479"/>
      <c r="CJ7" s="479"/>
      <c r="CK7" s="479"/>
      <c r="CL7" s="479"/>
      <c r="CM7" s="479"/>
      <c r="CN7" s="479"/>
      <c r="CO7" s="479"/>
      <c r="CP7" s="479"/>
      <c r="CQ7" s="479"/>
      <c r="CR7" s="479"/>
      <c r="CS7" s="479"/>
      <c r="CT7" s="479"/>
      <c r="CU7" s="479"/>
      <c r="CV7" s="479"/>
      <c r="CW7" s="479"/>
      <c r="CX7" s="479"/>
      <c r="CY7" s="479"/>
      <c r="CZ7" s="479"/>
      <c r="DA7" s="479"/>
      <c r="DB7" s="479"/>
      <c r="DC7" s="479"/>
      <c r="DD7" s="479"/>
      <c r="DE7" s="479"/>
      <c r="DF7" s="479"/>
      <c r="DG7" s="479"/>
      <c r="DH7" s="479"/>
      <c r="DI7" s="479"/>
      <c r="DJ7" s="479"/>
      <c r="DK7" s="479"/>
      <c r="DL7" s="479"/>
      <c r="DM7" s="479"/>
      <c r="DN7" s="479"/>
      <c r="DO7" s="479"/>
      <c r="DP7" s="479"/>
      <c r="DQ7" s="479"/>
      <c r="DR7" s="479"/>
      <c r="DS7" s="479"/>
      <c r="DT7" s="479"/>
      <c r="DU7" s="479"/>
      <c r="DV7" s="479"/>
      <c r="DW7" s="479"/>
      <c r="DX7" s="479"/>
      <c r="DY7" s="479"/>
      <c r="DZ7" s="479"/>
      <c r="EA7" s="479"/>
      <c r="EB7" s="479"/>
      <c r="EC7" s="479"/>
      <c r="ED7" s="479"/>
      <c r="EE7" s="479"/>
      <c r="EF7" s="479"/>
      <c r="EG7" s="479"/>
      <c r="EH7" s="479"/>
      <c r="EI7" s="479"/>
      <c r="EJ7" s="479"/>
      <c r="EK7" s="479"/>
      <c r="EL7" s="479"/>
      <c r="EM7" s="479"/>
      <c r="EN7" s="479"/>
      <c r="EO7" s="479"/>
      <c r="EP7" s="479"/>
      <c r="EQ7" s="479"/>
      <c r="ER7" s="479"/>
      <c r="ES7" s="479"/>
      <c r="ET7" s="479"/>
      <c r="EU7" s="479"/>
      <c r="EV7" s="479"/>
      <c r="EW7" s="479"/>
      <c r="EX7" s="479"/>
      <c r="EY7" s="479"/>
      <c r="EZ7" s="479"/>
      <c r="FA7" s="479"/>
      <c r="FB7" s="479"/>
      <c r="FC7" s="479"/>
      <c r="FD7" s="479"/>
      <c r="FE7" s="479"/>
      <c r="FF7" s="479"/>
      <c r="FG7" s="479"/>
      <c r="FH7" s="479"/>
      <c r="FI7" s="479"/>
      <c r="FJ7" s="479"/>
      <c r="FK7" s="479"/>
      <c r="FL7" s="479"/>
      <c r="FM7" s="479"/>
      <c r="FN7" s="479"/>
      <c r="FO7" s="479"/>
      <c r="FP7" s="479"/>
      <c r="FQ7" s="479"/>
      <c r="FR7" s="479"/>
      <c r="FS7" s="479"/>
      <c r="FT7" s="479"/>
      <c r="FU7" s="479"/>
      <c r="FV7" s="479"/>
      <c r="FW7" s="479"/>
      <c r="FX7" s="479"/>
      <c r="FY7" s="479"/>
      <c r="FZ7" s="479"/>
      <c r="GA7" s="479"/>
      <c r="GB7" s="479"/>
      <c r="GC7" s="479"/>
      <c r="GD7" s="479"/>
      <c r="GE7" s="479"/>
      <c r="GF7" s="479"/>
      <c r="GG7" s="479"/>
      <c r="GH7" s="479"/>
      <c r="GI7" s="479"/>
      <c r="GJ7" s="479"/>
      <c r="GK7" s="479"/>
      <c r="GL7" s="479"/>
      <c r="GM7" s="479"/>
      <c r="GN7" s="479"/>
      <c r="GO7" s="479"/>
      <c r="GP7" s="479"/>
      <c r="GQ7" s="479"/>
      <c r="GR7" s="479"/>
      <c r="GS7" s="479"/>
      <c r="GT7" s="479"/>
      <c r="GU7" s="479"/>
      <c r="GV7" s="479"/>
      <c r="GW7" s="479"/>
      <c r="GX7" s="479"/>
      <c r="GY7" s="479"/>
      <c r="GZ7" s="479"/>
      <c r="HA7" s="479"/>
      <c r="HB7" s="479"/>
      <c r="HC7" s="479"/>
      <c r="HD7" s="479"/>
      <c r="HE7" s="479"/>
      <c r="HF7" s="479"/>
      <c r="HG7" s="479"/>
      <c r="HH7" s="479"/>
      <c r="HI7" s="479"/>
      <c r="HJ7" s="479"/>
      <c r="HK7" s="479"/>
      <c r="HL7" s="479"/>
      <c r="HM7" s="479"/>
      <c r="HN7" s="479"/>
      <c r="HO7" s="479"/>
      <c r="HP7" s="479"/>
      <c r="HQ7" s="479"/>
      <c r="HR7" s="479"/>
      <c r="HS7" s="479"/>
      <c r="HT7" s="479"/>
      <c r="HU7" s="479"/>
      <c r="HV7" s="479"/>
      <c r="HW7" s="479"/>
      <c r="HX7" s="479"/>
      <c r="HY7" s="479"/>
      <c r="HZ7" s="479"/>
      <c r="IA7" s="479"/>
      <c r="IB7" s="479"/>
      <c r="IC7" s="479"/>
      <c r="ID7" s="479"/>
      <c r="IE7" s="479"/>
      <c r="IF7" s="479"/>
      <c r="IG7" s="479"/>
      <c r="IH7" s="479"/>
      <c r="II7" s="479"/>
      <c r="IJ7" s="479"/>
      <c r="IK7" s="479"/>
      <c r="IL7" s="479"/>
      <c r="IM7" s="479"/>
      <c r="IN7" s="479"/>
      <c r="IO7" s="479"/>
      <c r="IP7" s="479"/>
      <c r="IQ7" s="479"/>
      <c r="IR7" s="479"/>
      <c r="IS7" s="479"/>
      <c r="IT7" s="479"/>
      <c r="IU7" s="479"/>
      <c r="IV7" s="479"/>
      <c r="IW7" s="479"/>
      <c r="IX7" s="479"/>
      <c r="IY7" s="479"/>
      <c r="IZ7" s="479"/>
      <c r="JA7" s="479"/>
      <c r="JB7" s="479"/>
      <c r="JC7" s="479"/>
      <c r="JD7" s="479"/>
      <c r="JE7" s="479"/>
      <c r="JF7" s="479"/>
      <c r="JG7" s="479"/>
      <c r="JH7" s="479"/>
      <c r="JI7" s="479"/>
      <c r="JJ7" s="479"/>
      <c r="JK7" s="479"/>
      <c r="JL7" s="479"/>
      <c r="JM7" s="479"/>
      <c r="JN7" s="479"/>
      <c r="JO7" s="479"/>
      <c r="JP7" s="479"/>
      <c r="JQ7" s="479"/>
      <c r="JR7" s="479"/>
      <c r="JS7" s="479"/>
      <c r="JT7" s="479"/>
      <c r="JU7" s="479"/>
      <c r="JV7" s="479"/>
      <c r="JW7" s="479"/>
      <c r="JX7" s="479"/>
      <c r="JY7" s="479"/>
      <c r="JZ7" s="479"/>
      <c r="KA7" s="479"/>
      <c r="KB7" s="479"/>
      <c r="KC7" s="479"/>
      <c r="KD7" s="479"/>
      <c r="KE7" s="479"/>
      <c r="KF7" s="479"/>
      <c r="KG7" s="479"/>
      <c r="KH7" s="479"/>
      <c r="KI7" s="479"/>
      <c r="KJ7" s="479"/>
      <c r="KK7" s="479"/>
      <c r="KL7" s="479"/>
      <c r="KM7" s="479"/>
      <c r="KN7" s="479"/>
      <c r="KO7" s="479"/>
      <c r="KP7" s="479"/>
      <c r="KQ7" s="479"/>
      <c r="KR7" s="479"/>
      <c r="KS7" s="479"/>
      <c r="KT7" s="479"/>
      <c r="KU7" s="479"/>
      <c r="KV7" s="479"/>
      <c r="KW7" s="479"/>
      <c r="KX7" s="479"/>
      <c r="KY7" s="479"/>
      <c r="KZ7" s="479"/>
      <c r="LA7" s="479"/>
      <c r="LB7" s="479"/>
      <c r="LC7" s="479"/>
      <c r="LD7" s="479"/>
      <c r="LE7" s="479"/>
      <c r="LF7" s="479"/>
      <c r="LG7" s="479"/>
      <c r="LH7" s="479"/>
      <c r="LI7" s="479"/>
      <c r="LJ7" s="479"/>
      <c r="LK7" s="479"/>
      <c r="LL7" s="479"/>
      <c r="LM7" s="479"/>
      <c r="LN7" s="479"/>
      <c r="LO7" s="479"/>
      <c r="LP7" s="479"/>
      <c r="LQ7" s="479"/>
      <c r="LR7" s="479"/>
      <c r="LS7" s="479"/>
      <c r="LT7" s="479"/>
      <c r="LU7" s="479"/>
      <c r="LV7" s="479"/>
      <c r="LW7" s="479"/>
      <c r="LX7" s="479"/>
      <c r="LY7" s="479"/>
      <c r="LZ7" s="479"/>
      <c r="MA7" s="479"/>
      <c r="MB7" s="479"/>
      <c r="MC7" s="479"/>
      <c r="MD7" s="479"/>
      <c r="ME7" s="479"/>
      <c r="MF7" s="479"/>
      <c r="MG7" s="479"/>
      <c r="MH7" s="479"/>
      <c r="MI7" s="479"/>
      <c r="MJ7" s="479"/>
      <c r="MK7" s="479"/>
      <c r="ML7" s="479"/>
      <c r="MM7" s="479"/>
      <c r="MN7" s="479"/>
      <c r="MO7" s="479"/>
      <c r="MP7" s="479"/>
      <c r="MQ7" s="479"/>
      <c r="MR7" s="479"/>
      <c r="MS7" s="479"/>
      <c r="MT7" s="479"/>
      <c r="MU7" s="479"/>
      <c r="MV7" s="479"/>
      <c r="MW7" s="479"/>
      <c r="MX7" s="479"/>
      <c r="MY7" s="479"/>
      <c r="MZ7" s="479"/>
      <c r="NA7" s="479"/>
      <c r="NB7" s="479"/>
      <c r="NC7" s="479"/>
      <c r="ND7" s="479"/>
      <c r="NE7" s="479"/>
      <c r="NF7" s="479"/>
      <c r="NG7" s="479"/>
      <c r="NH7" s="479"/>
      <c r="NI7" s="479"/>
      <c r="NJ7" s="479"/>
      <c r="NK7" s="479"/>
      <c r="NL7" s="479"/>
      <c r="NM7" s="479"/>
      <c r="NN7" s="479"/>
      <c r="NO7" s="479"/>
      <c r="NP7" s="479"/>
      <c r="NQ7" s="479"/>
      <c r="NR7" s="479"/>
      <c r="NS7" s="479"/>
      <c r="NT7" s="479"/>
      <c r="NU7" s="479"/>
      <c r="NV7" s="479"/>
      <c r="NW7" s="479"/>
      <c r="NX7" s="479"/>
      <c r="NY7" s="479"/>
      <c r="NZ7" s="479"/>
      <c r="OA7" s="479"/>
      <c r="OB7" s="479"/>
      <c r="OC7" s="479"/>
      <c r="OD7" s="479"/>
      <c r="OE7" s="479"/>
      <c r="OF7" s="479"/>
      <c r="OG7" s="479"/>
      <c r="OH7" s="479"/>
      <c r="OI7" s="479"/>
      <c r="OJ7" s="479"/>
      <c r="OK7" s="479"/>
      <c r="OL7" s="479"/>
      <c r="OM7" s="479"/>
      <c r="ON7" s="479"/>
      <c r="OO7" s="479"/>
      <c r="OP7" s="479"/>
      <c r="OQ7" s="479"/>
      <c r="OR7" s="479"/>
      <c r="OS7" s="479"/>
      <c r="OT7" s="479"/>
      <c r="OU7" s="479"/>
      <c r="OV7" s="479"/>
      <c r="OW7" s="479"/>
      <c r="OX7" s="479"/>
      <c r="OY7" s="479"/>
      <c r="OZ7" s="479"/>
      <c r="PA7" s="479"/>
      <c r="PB7" s="479"/>
      <c r="PC7" s="479"/>
      <c r="PD7" s="479"/>
      <c r="PE7" s="479"/>
      <c r="PF7" s="479"/>
      <c r="PG7" s="479"/>
      <c r="PH7" s="479"/>
      <c r="PI7" s="479"/>
      <c r="PJ7" s="479"/>
      <c r="PK7" s="479"/>
      <c r="PL7" s="479"/>
      <c r="PM7" s="479"/>
      <c r="PN7" s="479"/>
      <c r="PO7" s="479"/>
      <c r="PP7" s="479"/>
      <c r="PQ7" s="479"/>
      <c r="PR7" s="479"/>
      <c r="PS7" s="479"/>
      <c r="PT7" s="479"/>
      <c r="PU7" s="479"/>
      <c r="PV7" s="479"/>
      <c r="PW7" s="479"/>
      <c r="PX7" s="479"/>
      <c r="PY7" s="479"/>
      <c r="PZ7" s="479"/>
      <c r="QA7" s="479"/>
      <c r="QB7" s="479"/>
      <c r="QC7" s="479"/>
      <c r="QD7" s="479"/>
      <c r="QE7" s="479"/>
      <c r="QF7" s="479"/>
      <c r="QG7" s="479"/>
      <c r="QH7" s="479"/>
      <c r="QI7" s="479"/>
      <c r="QJ7" s="479"/>
      <c r="QK7" s="479"/>
      <c r="QL7" s="479"/>
      <c r="QM7" s="479"/>
      <c r="QN7" s="479"/>
      <c r="QO7" s="479"/>
      <c r="QP7" s="479"/>
      <c r="QQ7" s="479"/>
      <c r="QR7" s="479"/>
      <c r="QS7" s="479"/>
      <c r="QT7" s="479"/>
      <c r="QU7" s="479"/>
      <c r="QV7" s="479"/>
      <c r="QW7" s="479"/>
      <c r="QX7" s="479"/>
      <c r="QY7" s="479"/>
      <c r="QZ7" s="479"/>
      <c r="RA7" s="479"/>
      <c r="RB7" s="479"/>
      <c r="RC7" s="479"/>
      <c r="RD7" s="479"/>
      <c r="RE7" s="479"/>
      <c r="RF7" s="479"/>
      <c r="RG7" s="479"/>
      <c r="RH7" s="479"/>
      <c r="RI7" s="479"/>
      <c r="RJ7" s="479"/>
      <c r="RK7" s="479"/>
      <c r="RL7" s="479"/>
      <c r="RM7" s="479"/>
      <c r="RN7" s="479"/>
      <c r="RO7" s="479"/>
      <c r="RP7" s="479"/>
      <c r="RQ7" s="479"/>
      <c r="RR7" s="479"/>
      <c r="RS7" s="479"/>
      <c r="RT7" s="479"/>
      <c r="RU7" s="479"/>
      <c r="RV7" s="479"/>
      <c r="RW7" s="479"/>
      <c r="RX7" s="479"/>
    </row>
    <row r="8" spans="1:492" s="480" customFormat="1" ht="20.100000000000001" customHeight="1">
      <c r="A8" s="489" t="s">
        <v>460</v>
      </c>
      <c r="B8" s="510" t="s">
        <v>461</v>
      </c>
      <c r="C8" s="474"/>
      <c r="D8" s="474"/>
      <c r="E8" s="474"/>
      <c r="F8" s="474"/>
      <c r="G8" s="474"/>
      <c r="H8" s="474"/>
      <c r="I8" s="474"/>
      <c r="J8" s="474"/>
      <c r="K8" s="474"/>
      <c r="L8" s="474"/>
      <c r="M8" s="474"/>
      <c r="N8" s="474"/>
      <c r="O8" s="474"/>
      <c r="P8" s="474"/>
      <c r="Q8" s="474"/>
      <c r="R8" s="474"/>
      <c r="S8" s="474"/>
      <c r="T8" s="474"/>
      <c r="U8" s="474"/>
      <c r="V8" s="474"/>
      <c r="W8" s="474"/>
      <c r="X8" s="474"/>
      <c r="Y8" s="474"/>
      <c r="Z8" s="474"/>
      <c r="AA8" s="474"/>
      <c r="AB8" s="474"/>
      <c r="AC8" s="474"/>
      <c r="AD8" s="474"/>
      <c r="AE8" s="474"/>
      <c r="AF8" s="474"/>
      <c r="AG8" s="474"/>
      <c r="AH8" s="474"/>
      <c r="AI8" s="474"/>
      <c r="AJ8" s="474"/>
      <c r="AK8" s="474"/>
      <c r="AL8" s="474"/>
      <c r="AM8" s="499"/>
      <c r="AN8" s="475"/>
      <c r="AO8" s="475"/>
      <c r="AP8" s="475"/>
      <c r="AQ8" s="500"/>
      <c r="AR8" s="475"/>
      <c r="AS8" s="475"/>
      <c r="AT8" s="475"/>
      <c r="AU8" s="475"/>
      <c r="AV8" s="470"/>
      <c r="AW8" s="475"/>
      <c r="AX8" s="475"/>
      <c r="AY8" s="475"/>
      <c r="AZ8" s="475"/>
      <c r="BA8" s="478"/>
      <c r="BB8" s="499"/>
      <c r="BC8" s="475"/>
      <c r="BD8" s="475"/>
      <c r="BE8" s="469"/>
      <c r="BF8" s="500"/>
      <c r="BG8" s="475"/>
      <c r="BH8" s="475"/>
      <c r="BI8" s="475"/>
      <c r="BJ8" s="469"/>
      <c r="BK8" s="500"/>
      <c r="BL8" s="475"/>
      <c r="BM8" s="469">
        <v>44.3</v>
      </c>
      <c r="BN8" s="475">
        <f>118.1-BM8-BL8</f>
        <v>73.8</v>
      </c>
      <c r="BO8" s="469">
        <f>183.4-BN8-BM8</f>
        <v>65.300000000000011</v>
      </c>
      <c r="BP8" s="500">
        <f t="shared" si="9"/>
        <v>183.4</v>
      </c>
      <c r="BQ8" s="475">
        <v>44.8</v>
      </c>
      <c r="BR8" s="469">
        <f>83.8-BQ8</f>
        <v>39</v>
      </c>
      <c r="BS8" s="475">
        <v>40.1</v>
      </c>
      <c r="BT8" s="469">
        <v>58.299999999999983</v>
      </c>
      <c r="BU8" s="819">
        <f t="shared" si="10"/>
        <v>182.2</v>
      </c>
      <c r="BV8" s="475">
        <v>40.200000000000003</v>
      </c>
      <c r="BW8" s="469">
        <v>33.899999999999991</v>
      </c>
      <c r="BX8" s="475">
        <f>29.5+9.30000000000001</f>
        <v>38.800000000000011</v>
      </c>
      <c r="BY8" s="469">
        <v>145.29999999999998</v>
      </c>
      <c r="BZ8" s="819">
        <f t="shared" si="11"/>
        <v>258.2</v>
      </c>
      <c r="CA8" s="475">
        <v>59.5</v>
      </c>
      <c r="CB8" s="469">
        <v>40.900000000000006</v>
      </c>
      <c r="CC8" s="475"/>
      <c r="CD8" s="469"/>
      <c r="CE8" s="819">
        <f t="shared" si="12"/>
        <v>100.4</v>
      </c>
      <c r="CF8" s="479"/>
      <c r="CG8" s="475"/>
      <c r="CH8" s="966"/>
      <c r="CI8" s="479"/>
      <c r="CJ8" s="479"/>
      <c r="CK8" s="479"/>
      <c r="CL8" s="479"/>
      <c r="CM8" s="479"/>
      <c r="CN8" s="479"/>
      <c r="CO8" s="479"/>
      <c r="CP8" s="479"/>
      <c r="CQ8" s="479"/>
      <c r="CR8" s="479"/>
      <c r="CS8" s="479"/>
      <c r="CT8" s="479"/>
      <c r="CU8" s="479"/>
      <c r="CV8" s="479"/>
      <c r="CW8" s="479"/>
      <c r="CX8" s="479"/>
      <c r="CY8" s="479"/>
      <c r="CZ8" s="479"/>
      <c r="DA8" s="479"/>
      <c r="DB8" s="479"/>
      <c r="DC8" s="479"/>
      <c r="DD8" s="479"/>
      <c r="DE8" s="479"/>
      <c r="DF8" s="479"/>
      <c r="DG8" s="479"/>
      <c r="DH8" s="479"/>
      <c r="DI8" s="479"/>
      <c r="DJ8" s="479"/>
      <c r="DK8" s="479"/>
      <c r="DL8" s="479"/>
      <c r="DM8" s="479"/>
      <c r="DN8" s="479"/>
      <c r="DO8" s="479"/>
      <c r="DP8" s="479"/>
      <c r="DQ8" s="479"/>
      <c r="DR8" s="479"/>
      <c r="DS8" s="479"/>
      <c r="DT8" s="479"/>
      <c r="DU8" s="479"/>
      <c r="DV8" s="479"/>
      <c r="DW8" s="479"/>
      <c r="DX8" s="479"/>
      <c r="DY8" s="479"/>
      <c r="DZ8" s="479"/>
      <c r="EA8" s="479"/>
      <c r="EB8" s="479"/>
      <c r="EC8" s="479"/>
      <c r="ED8" s="479"/>
      <c r="EE8" s="479"/>
      <c r="EF8" s="479"/>
      <c r="EG8" s="479"/>
      <c r="EH8" s="479"/>
      <c r="EI8" s="479"/>
      <c r="EJ8" s="479"/>
      <c r="EK8" s="479"/>
      <c r="EL8" s="479"/>
      <c r="EM8" s="479"/>
      <c r="EN8" s="479"/>
      <c r="EO8" s="479"/>
      <c r="EP8" s="479"/>
      <c r="EQ8" s="479"/>
      <c r="ER8" s="479"/>
      <c r="ES8" s="479"/>
      <c r="ET8" s="479"/>
      <c r="EU8" s="479"/>
      <c r="EV8" s="479"/>
      <c r="EW8" s="479"/>
      <c r="EX8" s="479"/>
      <c r="EY8" s="479"/>
      <c r="EZ8" s="479"/>
      <c r="FA8" s="479"/>
      <c r="FB8" s="479"/>
      <c r="FC8" s="479"/>
      <c r="FD8" s="479"/>
      <c r="FE8" s="479"/>
      <c r="FF8" s="479"/>
      <c r="FG8" s="479"/>
      <c r="FH8" s="479"/>
      <c r="FI8" s="479"/>
      <c r="FJ8" s="479"/>
      <c r="FK8" s="479"/>
      <c r="FL8" s="479"/>
      <c r="FM8" s="479"/>
      <c r="FN8" s="479"/>
      <c r="FO8" s="479"/>
      <c r="FP8" s="479"/>
      <c r="FQ8" s="479"/>
      <c r="FR8" s="479"/>
      <c r="FS8" s="479"/>
      <c r="FT8" s="479"/>
      <c r="FU8" s="479"/>
      <c r="FV8" s="479"/>
      <c r="FW8" s="479"/>
      <c r="FX8" s="479"/>
      <c r="FY8" s="479"/>
      <c r="FZ8" s="479"/>
      <c r="GA8" s="479"/>
      <c r="GB8" s="479"/>
      <c r="GC8" s="479"/>
      <c r="GD8" s="479"/>
      <c r="GE8" s="479"/>
      <c r="GF8" s="479"/>
      <c r="GG8" s="479"/>
      <c r="GH8" s="479"/>
      <c r="GI8" s="479"/>
      <c r="GJ8" s="479"/>
      <c r="GK8" s="479"/>
      <c r="GL8" s="479"/>
      <c r="GM8" s="479"/>
      <c r="GN8" s="479"/>
      <c r="GO8" s="479"/>
      <c r="GP8" s="479"/>
      <c r="GQ8" s="479"/>
      <c r="GR8" s="479"/>
      <c r="GS8" s="479"/>
      <c r="GT8" s="479"/>
      <c r="GU8" s="479"/>
      <c r="GV8" s="479"/>
      <c r="GW8" s="479"/>
      <c r="GX8" s="479"/>
      <c r="GY8" s="479"/>
      <c r="GZ8" s="479"/>
      <c r="HA8" s="479"/>
      <c r="HB8" s="479"/>
      <c r="HC8" s="479"/>
      <c r="HD8" s="479"/>
      <c r="HE8" s="479"/>
      <c r="HF8" s="479"/>
      <c r="HG8" s="479"/>
      <c r="HH8" s="479"/>
      <c r="HI8" s="479"/>
      <c r="HJ8" s="479"/>
      <c r="HK8" s="479"/>
      <c r="HL8" s="479"/>
      <c r="HM8" s="479"/>
      <c r="HN8" s="479"/>
      <c r="HO8" s="479"/>
      <c r="HP8" s="479"/>
      <c r="HQ8" s="479"/>
      <c r="HR8" s="479"/>
      <c r="HS8" s="479"/>
      <c r="HT8" s="479"/>
      <c r="HU8" s="479"/>
      <c r="HV8" s="479"/>
      <c r="HW8" s="479"/>
      <c r="HX8" s="479"/>
      <c r="HY8" s="479"/>
      <c r="HZ8" s="479"/>
      <c r="IA8" s="479"/>
      <c r="IB8" s="479"/>
      <c r="IC8" s="479"/>
      <c r="ID8" s="479"/>
      <c r="IE8" s="479"/>
      <c r="IF8" s="479"/>
      <c r="IG8" s="479"/>
      <c r="IH8" s="479"/>
      <c r="II8" s="479"/>
      <c r="IJ8" s="479"/>
      <c r="IK8" s="479"/>
      <c r="IL8" s="479"/>
      <c r="IM8" s="479"/>
      <c r="IN8" s="479"/>
      <c r="IO8" s="479"/>
      <c r="IP8" s="479"/>
      <c r="IQ8" s="479"/>
      <c r="IR8" s="479"/>
      <c r="IS8" s="479"/>
      <c r="IT8" s="479"/>
      <c r="IU8" s="479"/>
      <c r="IV8" s="479"/>
      <c r="IW8" s="479"/>
      <c r="IX8" s="479"/>
      <c r="IY8" s="479"/>
      <c r="IZ8" s="479"/>
      <c r="JA8" s="479"/>
      <c r="JB8" s="479"/>
      <c r="JC8" s="479"/>
      <c r="JD8" s="479"/>
      <c r="JE8" s="479"/>
      <c r="JF8" s="479"/>
      <c r="JG8" s="479"/>
      <c r="JH8" s="479"/>
      <c r="JI8" s="479"/>
      <c r="JJ8" s="479"/>
      <c r="JK8" s="479"/>
      <c r="JL8" s="479"/>
      <c r="JM8" s="479"/>
      <c r="JN8" s="479"/>
      <c r="JO8" s="479"/>
      <c r="JP8" s="479"/>
      <c r="JQ8" s="479"/>
      <c r="JR8" s="479"/>
      <c r="JS8" s="479"/>
      <c r="JT8" s="479"/>
      <c r="JU8" s="479"/>
      <c r="JV8" s="479"/>
      <c r="JW8" s="479"/>
      <c r="JX8" s="479"/>
      <c r="JY8" s="479"/>
      <c r="JZ8" s="479"/>
      <c r="KA8" s="479"/>
      <c r="KB8" s="479"/>
      <c r="KC8" s="479"/>
      <c r="KD8" s="479"/>
      <c r="KE8" s="479"/>
      <c r="KF8" s="479"/>
      <c r="KG8" s="479"/>
      <c r="KH8" s="479"/>
      <c r="KI8" s="479"/>
      <c r="KJ8" s="479"/>
      <c r="KK8" s="479"/>
      <c r="KL8" s="479"/>
      <c r="KM8" s="479"/>
      <c r="KN8" s="479"/>
      <c r="KO8" s="479"/>
      <c r="KP8" s="479"/>
      <c r="KQ8" s="479"/>
      <c r="KR8" s="479"/>
      <c r="KS8" s="479"/>
      <c r="KT8" s="479"/>
      <c r="KU8" s="479"/>
      <c r="KV8" s="479"/>
      <c r="KW8" s="479"/>
      <c r="KX8" s="479"/>
      <c r="KY8" s="479"/>
      <c r="KZ8" s="479"/>
      <c r="LA8" s="479"/>
      <c r="LB8" s="479"/>
      <c r="LC8" s="479"/>
      <c r="LD8" s="479"/>
      <c r="LE8" s="479"/>
      <c r="LF8" s="479"/>
      <c r="LG8" s="479"/>
      <c r="LH8" s="479"/>
      <c r="LI8" s="479"/>
      <c r="LJ8" s="479"/>
      <c r="LK8" s="479"/>
      <c r="LL8" s="479"/>
      <c r="LM8" s="479"/>
      <c r="LN8" s="479"/>
      <c r="LO8" s="479"/>
      <c r="LP8" s="479"/>
      <c r="LQ8" s="479"/>
      <c r="LR8" s="479"/>
      <c r="LS8" s="479"/>
      <c r="LT8" s="479"/>
      <c r="LU8" s="479"/>
      <c r="LV8" s="479"/>
      <c r="LW8" s="479"/>
      <c r="LX8" s="479"/>
      <c r="LY8" s="479"/>
      <c r="LZ8" s="479"/>
      <c r="MA8" s="479"/>
      <c r="MB8" s="479"/>
      <c r="MC8" s="479"/>
      <c r="MD8" s="479"/>
      <c r="ME8" s="479"/>
      <c r="MF8" s="479"/>
      <c r="MG8" s="479"/>
      <c r="MH8" s="479"/>
      <c r="MI8" s="479"/>
      <c r="MJ8" s="479"/>
      <c r="MK8" s="479"/>
      <c r="ML8" s="479"/>
      <c r="MM8" s="479"/>
      <c r="MN8" s="479"/>
      <c r="MO8" s="479"/>
      <c r="MP8" s="479"/>
      <c r="MQ8" s="479"/>
      <c r="MR8" s="479"/>
      <c r="MS8" s="479"/>
      <c r="MT8" s="479"/>
      <c r="MU8" s="479"/>
      <c r="MV8" s="479"/>
      <c r="MW8" s="479"/>
      <c r="MX8" s="479"/>
      <c r="MY8" s="479"/>
      <c r="MZ8" s="479"/>
      <c r="NA8" s="479"/>
      <c r="NB8" s="479"/>
      <c r="NC8" s="479"/>
      <c r="ND8" s="479"/>
      <c r="NE8" s="479"/>
      <c r="NF8" s="479"/>
      <c r="NG8" s="479"/>
      <c r="NH8" s="479"/>
      <c r="NI8" s="479"/>
      <c r="NJ8" s="479"/>
      <c r="NK8" s="479"/>
      <c r="NL8" s="479"/>
      <c r="NM8" s="479"/>
      <c r="NN8" s="479"/>
      <c r="NO8" s="479"/>
      <c r="NP8" s="479"/>
      <c r="NQ8" s="479"/>
      <c r="NR8" s="479"/>
      <c r="NS8" s="479"/>
      <c r="NT8" s="479"/>
      <c r="NU8" s="479"/>
      <c r="NV8" s="479"/>
      <c r="NW8" s="479"/>
      <c r="NX8" s="479"/>
      <c r="NY8" s="479"/>
      <c r="NZ8" s="479"/>
      <c r="OA8" s="479"/>
      <c r="OB8" s="479"/>
      <c r="OC8" s="479"/>
      <c r="OD8" s="479"/>
      <c r="OE8" s="479"/>
      <c r="OF8" s="479"/>
      <c r="OG8" s="479"/>
      <c r="OH8" s="479"/>
      <c r="OI8" s="479"/>
      <c r="OJ8" s="479"/>
      <c r="OK8" s="479"/>
      <c r="OL8" s="479"/>
      <c r="OM8" s="479"/>
      <c r="ON8" s="479"/>
      <c r="OO8" s="479"/>
      <c r="OP8" s="479"/>
      <c r="OQ8" s="479"/>
      <c r="OR8" s="479"/>
      <c r="OS8" s="479"/>
      <c r="OT8" s="479"/>
      <c r="OU8" s="479"/>
      <c r="OV8" s="479"/>
      <c r="OW8" s="479"/>
      <c r="OX8" s="479"/>
      <c r="OY8" s="479"/>
      <c r="OZ8" s="479"/>
      <c r="PA8" s="479"/>
      <c r="PB8" s="479"/>
      <c r="PC8" s="479"/>
      <c r="PD8" s="479"/>
      <c r="PE8" s="479"/>
      <c r="PF8" s="479"/>
      <c r="PG8" s="479"/>
      <c r="PH8" s="479"/>
      <c r="PI8" s="479"/>
      <c r="PJ8" s="479"/>
      <c r="PK8" s="479"/>
      <c r="PL8" s="479"/>
      <c r="PM8" s="479"/>
      <c r="PN8" s="479"/>
      <c r="PO8" s="479"/>
      <c r="PP8" s="479"/>
      <c r="PQ8" s="479"/>
      <c r="PR8" s="479"/>
      <c r="PS8" s="479"/>
      <c r="PT8" s="479"/>
      <c r="PU8" s="479"/>
      <c r="PV8" s="479"/>
      <c r="PW8" s="479"/>
      <c r="PX8" s="479"/>
      <c r="PY8" s="479"/>
      <c r="PZ8" s="479"/>
      <c r="QA8" s="479"/>
      <c r="QB8" s="479"/>
      <c r="QC8" s="479"/>
      <c r="QD8" s="479"/>
      <c r="QE8" s="479"/>
      <c r="QF8" s="479"/>
      <c r="QG8" s="479"/>
      <c r="QH8" s="479"/>
      <c r="QI8" s="479"/>
      <c r="QJ8" s="479"/>
      <c r="QK8" s="479"/>
      <c r="QL8" s="479"/>
      <c r="QM8" s="479"/>
      <c r="QN8" s="479"/>
      <c r="QO8" s="479"/>
      <c r="QP8" s="479"/>
      <c r="QQ8" s="479"/>
      <c r="QR8" s="479"/>
      <c r="QS8" s="479"/>
      <c r="QT8" s="479"/>
      <c r="QU8" s="479"/>
      <c r="QV8" s="479"/>
      <c r="QW8" s="479"/>
      <c r="QX8" s="479"/>
      <c r="QY8" s="479"/>
      <c r="QZ8" s="479"/>
      <c r="RA8" s="479"/>
      <c r="RB8" s="479"/>
      <c r="RC8" s="479"/>
      <c r="RD8" s="479"/>
      <c r="RE8" s="479"/>
      <c r="RF8" s="479"/>
      <c r="RG8" s="479"/>
      <c r="RH8" s="479"/>
      <c r="RI8" s="479"/>
      <c r="RJ8" s="479"/>
      <c r="RK8" s="479"/>
      <c r="RL8" s="479"/>
      <c r="RM8" s="479"/>
      <c r="RN8" s="479"/>
      <c r="RO8" s="479"/>
      <c r="RP8" s="479"/>
      <c r="RQ8" s="479"/>
      <c r="RR8" s="479"/>
      <c r="RS8" s="479"/>
      <c r="RT8" s="479"/>
      <c r="RU8" s="479"/>
      <c r="RV8" s="479"/>
      <c r="RW8" s="479"/>
      <c r="RX8" s="479"/>
    </row>
    <row r="9" spans="1:492" s="480" customFormat="1" ht="20.100000000000001" customHeight="1">
      <c r="A9" s="489" t="s">
        <v>462</v>
      </c>
      <c r="B9" s="510" t="s">
        <v>463</v>
      </c>
      <c r="C9" s="474"/>
      <c r="D9" s="474"/>
      <c r="E9" s="474"/>
      <c r="F9" s="474"/>
      <c r="G9" s="474"/>
      <c r="H9" s="474"/>
      <c r="I9" s="474"/>
      <c r="J9" s="474"/>
      <c r="K9" s="474"/>
      <c r="L9" s="474"/>
      <c r="M9" s="474"/>
      <c r="N9" s="474"/>
      <c r="O9" s="474"/>
      <c r="P9" s="474"/>
      <c r="Q9" s="474"/>
      <c r="R9" s="474"/>
      <c r="S9" s="474"/>
      <c r="T9" s="474"/>
      <c r="U9" s="474"/>
      <c r="V9" s="474"/>
      <c r="W9" s="474"/>
      <c r="X9" s="474"/>
      <c r="Y9" s="474"/>
      <c r="Z9" s="474"/>
      <c r="AA9" s="474"/>
      <c r="AB9" s="474"/>
      <c r="AC9" s="474"/>
      <c r="AD9" s="474"/>
      <c r="AE9" s="474"/>
      <c r="AF9" s="474"/>
      <c r="AG9" s="474"/>
      <c r="AH9" s="474"/>
      <c r="AI9" s="474"/>
      <c r="AJ9" s="474"/>
      <c r="AK9" s="474"/>
      <c r="AL9" s="474"/>
      <c r="AM9" s="499"/>
      <c r="AN9" s="475"/>
      <c r="AO9" s="475"/>
      <c r="AP9" s="475"/>
      <c r="AQ9" s="500"/>
      <c r="AR9" s="475"/>
      <c r="AS9" s="475"/>
      <c r="AT9" s="475"/>
      <c r="AU9" s="475"/>
      <c r="AV9" s="470"/>
      <c r="AW9" s="475"/>
      <c r="AX9" s="475"/>
      <c r="AY9" s="475"/>
      <c r="AZ9" s="475"/>
      <c r="BA9" s="478"/>
      <c r="BB9" s="499"/>
      <c r="BC9" s="475"/>
      <c r="BD9" s="475"/>
      <c r="BE9" s="469"/>
      <c r="BF9" s="500"/>
      <c r="BG9" s="475"/>
      <c r="BH9" s="475"/>
      <c r="BI9" s="475"/>
      <c r="BJ9" s="469"/>
      <c r="BK9" s="500"/>
      <c r="BL9" s="475"/>
      <c r="BM9" s="469"/>
      <c r="BN9" s="475"/>
      <c r="BO9" s="469"/>
      <c r="BP9" s="500"/>
      <c r="BQ9" s="475"/>
      <c r="BR9" s="469"/>
      <c r="BS9" s="475">
        <v>376.5</v>
      </c>
      <c r="BT9" s="469">
        <v>395.1</v>
      </c>
      <c r="BU9" s="819">
        <f t="shared" si="10"/>
        <v>771.6</v>
      </c>
      <c r="BV9" s="475">
        <v>354.3</v>
      </c>
      <c r="BW9" s="469">
        <v>324.2</v>
      </c>
      <c r="BX9" s="475">
        <f>133.8+232.7</f>
        <v>366.5</v>
      </c>
      <c r="BY9" s="469">
        <v>403.29999999999995</v>
      </c>
      <c r="BZ9" s="819">
        <f t="shared" si="11"/>
        <v>1448.3</v>
      </c>
      <c r="CA9" s="475">
        <v>387.9</v>
      </c>
      <c r="CB9" s="469">
        <v>380.20000000000005</v>
      </c>
      <c r="CC9" s="475"/>
      <c r="CD9" s="469"/>
      <c r="CE9" s="819">
        <f t="shared" si="12"/>
        <v>768.1</v>
      </c>
      <c r="CF9" s="479"/>
      <c r="CG9" s="475"/>
      <c r="CH9" s="966"/>
      <c r="CI9" s="479"/>
      <c r="CJ9" s="479"/>
      <c r="CK9" s="479"/>
      <c r="CL9" s="479"/>
      <c r="CM9" s="479"/>
      <c r="CN9" s="479"/>
      <c r="CO9" s="479"/>
      <c r="CP9" s="479"/>
      <c r="CQ9" s="479"/>
      <c r="CR9" s="479"/>
      <c r="CS9" s="479"/>
      <c r="CT9" s="479"/>
      <c r="CU9" s="479"/>
      <c r="CV9" s="479"/>
      <c r="CW9" s="479"/>
      <c r="CX9" s="479"/>
      <c r="CY9" s="479"/>
      <c r="CZ9" s="479"/>
      <c r="DA9" s="479"/>
      <c r="DB9" s="479"/>
      <c r="DC9" s="479"/>
      <c r="DD9" s="479"/>
      <c r="DE9" s="479"/>
      <c r="DF9" s="479"/>
      <c r="DG9" s="479"/>
      <c r="DH9" s="479"/>
      <c r="DI9" s="479"/>
      <c r="DJ9" s="479"/>
      <c r="DK9" s="479"/>
      <c r="DL9" s="479"/>
      <c r="DM9" s="479"/>
      <c r="DN9" s="479"/>
      <c r="DO9" s="479"/>
      <c r="DP9" s="479"/>
      <c r="DQ9" s="479"/>
      <c r="DR9" s="479"/>
      <c r="DS9" s="479"/>
      <c r="DT9" s="479"/>
      <c r="DU9" s="479"/>
      <c r="DV9" s="479"/>
      <c r="DW9" s="479"/>
      <c r="DX9" s="479"/>
      <c r="DY9" s="479"/>
      <c r="DZ9" s="479"/>
      <c r="EA9" s="479"/>
      <c r="EB9" s="479"/>
      <c r="EC9" s="479"/>
      <c r="ED9" s="479"/>
      <c r="EE9" s="479"/>
      <c r="EF9" s="479"/>
      <c r="EG9" s="479"/>
      <c r="EH9" s="479"/>
      <c r="EI9" s="479"/>
      <c r="EJ9" s="479"/>
      <c r="EK9" s="479"/>
      <c r="EL9" s="479"/>
      <c r="EM9" s="479"/>
      <c r="EN9" s="479"/>
      <c r="EO9" s="479"/>
      <c r="EP9" s="479"/>
      <c r="EQ9" s="479"/>
      <c r="ER9" s="479"/>
      <c r="ES9" s="479"/>
      <c r="ET9" s="479"/>
      <c r="EU9" s="479"/>
      <c r="EV9" s="479"/>
      <c r="EW9" s="479"/>
      <c r="EX9" s="479"/>
      <c r="EY9" s="479"/>
      <c r="EZ9" s="479"/>
      <c r="FA9" s="479"/>
      <c r="FB9" s="479"/>
      <c r="FC9" s="479"/>
      <c r="FD9" s="479"/>
      <c r="FE9" s="479"/>
      <c r="FF9" s="479"/>
      <c r="FG9" s="479"/>
      <c r="FH9" s="479"/>
      <c r="FI9" s="479"/>
      <c r="FJ9" s="479"/>
      <c r="FK9" s="479"/>
      <c r="FL9" s="479"/>
      <c r="FM9" s="479"/>
      <c r="FN9" s="479"/>
      <c r="FO9" s="479"/>
      <c r="FP9" s="479"/>
      <c r="FQ9" s="479"/>
      <c r="FR9" s="479"/>
      <c r="FS9" s="479"/>
      <c r="FT9" s="479"/>
      <c r="FU9" s="479"/>
      <c r="FV9" s="479"/>
      <c r="FW9" s="479"/>
      <c r="FX9" s="479"/>
      <c r="FY9" s="479"/>
      <c r="FZ9" s="479"/>
      <c r="GA9" s="479"/>
      <c r="GB9" s="479"/>
      <c r="GC9" s="479"/>
      <c r="GD9" s="479"/>
      <c r="GE9" s="479"/>
      <c r="GF9" s="479"/>
      <c r="GG9" s="479"/>
      <c r="GH9" s="479"/>
      <c r="GI9" s="479"/>
      <c r="GJ9" s="479"/>
      <c r="GK9" s="479"/>
      <c r="GL9" s="479"/>
      <c r="GM9" s="479"/>
      <c r="GN9" s="479"/>
      <c r="GO9" s="479"/>
      <c r="GP9" s="479"/>
      <c r="GQ9" s="479"/>
      <c r="GR9" s="479"/>
      <c r="GS9" s="479"/>
      <c r="GT9" s="479"/>
      <c r="GU9" s="479"/>
      <c r="GV9" s="479"/>
      <c r="GW9" s="479"/>
      <c r="GX9" s="479"/>
      <c r="GY9" s="479"/>
      <c r="GZ9" s="479"/>
      <c r="HA9" s="479"/>
      <c r="HB9" s="479"/>
      <c r="HC9" s="479"/>
      <c r="HD9" s="479"/>
      <c r="HE9" s="479"/>
      <c r="HF9" s="479"/>
      <c r="HG9" s="479"/>
      <c r="HH9" s="479"/>
      <c r="HI9" s="479"/>
      <c r="HJ9" s="479"/>
      <c r="HK9" s="479"/>
      <c r="HL9" s="479"/>
      <c r="HM9" s="479"/>
      <c r="HN9" s="479"/>
      <c r="HO9" s="479"/>
      <c r="HP9" s="479"/>
      <c r="HQ9" s="479"/>
      <c r="HR9" s="479"/>
      <c r="HS9" s="479"/>
      <c r="HT9" s="479"/>
      <c r="HU9" s="479"/>
      <c r="HV9" s="479"/>
      <c r="HW9" s="479"/>
      <c r="HX9" s="479"/>
      <c r="HY9" s="479"/>
      <c r="HZ9" s="479"/>
      <c r="IA9" s="479"/>
      <c r="IB9" s="479"/>
      <c r="IC9" s="479"/>
      <c r="ID9" s="479"/>
      <c r="IE9" s="479"/>
      <c r="IF9" s="479"/>
      <c r="IG9" s="479"/>
      <c r="IH9" s="479"/>
      <c r="II9" s="479"/>
      <c r="IJ9" s="479"/>
      <c r="IK9" s="479"/>
      <c r="IL9" s="479"/>
      <c r="IM9" s="479"/>
      <c r="IN9" s="479"/>
      <c r="IO9" s="479"/>
      <c r="IP9" s="479"/>
      <c r="IQ9" s="479"/>
      <c r="IR9" s="479"/>
      <c r="IS9" s="479"/>
      <c r="IT9" s="479"/>
      <c r="IU9" s="479"/>
      <c r="IV9" s="479"/>
      <c r="IW9" s="479"/>
      <c r="IX9" s="479"/>
      <c r="IY9" s="479"/>
      <c r="IZ9" s="479"/>
      <c r="JA9" s="479"/>
      <c r="JB9" s="479"/>
      <c r="JC9" s="479"/>
      <c r="JD9" s="479"/>
      <c r="JE9" s="479"/>
      <c r="JF9" s="479"/>
      <c r="JG9" s="479"/>
      <c r="JH9" s="479"/>
      <c r="JI9" s="479"/>
      <c r="JJ9" s="479"/>
      <c r="JK9" s="479"/>
      <c r="JL9" s="479"/>
      <c r="JM9" s="479"/>
      <c r="JN9" s="479"/>
      <c r="JO9" s="479"/>
      <c r="JP9" s="479"/>
      <c r="JQ9" s="479"/>
      <c r="JR9" s="479"/>
      <c r="JS9" s="479"/>
      <c r="JT9" s="479"/>
      <c r="JU9" s="479"/>
      <c r="JV9" s="479"/>
      <c r="JW9" s="479"/>
      <c r="JX9" s="479"/>
      <c r="JY9" s="479"/>
      <c r="JZ9" s="479"/>
      <c r="KA9" s="479"/>
      <c r="KB9" s="479"/>
      <c r="KC9" s="479"/>
      <c r="KD9" s="479"/>
      <c r="KE9" s="479"/>
      <c r="KF9" s="479"/>
      <c r="KG9" s="479"/>
      <c r="KH9" s="479"/>
      <c r="KI9" s="479"/>
      <c r="KJ9" s="479"/>
      <c r="KK9" s="479"/>
      <c r="KL9" s="479"/>
      <c r="KM9" s="479"/>
      <c r="KN9" s="479"/>
      <c r="KO9" s="479"/>
      <c r="KP9" s="479"/>
      <c r="KQ9" s="479"/>
      <c r="KR9" s="479"/>
      <c r="KS9" s="479"/>
      <c r="KT9" s="479"/>
      <c r="KU9" s="479"/>
      <c r="KV9" s="479"/>
      <c r="KW9" s="479"/>
      <c r="KX9" s="479"/>
      <c r="KY9" s="479"/>
      <c r="KZ9" s="479"/>
      <c r="LA9" s="479"/>
      <c r="LB9" s="479"/>
      <c r="LC9" s="479"/>
      <c r="LD9" s="479"/>
      <c r="LE9" s="479"/>
      <c r="LF9" s="479"/>
      <c r="LG9" s="479"/>
      <c r="LH9" s="479"/>
      <c r="LI9" s="479"/>
      <c r="LJ9" s="479"/>
      <c r="LK9" s="479"/>
      <c r="LL9" s="479"/>
      <c r="LM9" s="479"/>
      <c r="LN9" s="479"/>
      <c r="LO9" s="479"/>
      <c r="LP9" s="479"/>
      <c r="LQ9" s="479"/>
      <c r="LR9" s="479"/>
      <c r="LS9" s="479"/>
      <c r="LT9" s="479"/>
      <c r="LU9" s="479"/>
      <c r="LV9" s="479"/>
      <c r="LW9" s="479"/>
      <c r="LX9" s="479"/>
      <c r="LY9" s="479"/>
      <c r="LZ9" s="479"/>
      <c r="MA9" s="479"/>
      <c r="MB9" s="479"/>
      <c r="MC9" s="479"/>
      <c r="MD9" s="479"/>
      <c r="ME9" s="479"/>
      <c r="MF9" s="479"/>
      <c r="MG9" s="479"/>
      <c r="MH9" s="479"/>
      <c r="MI9" s="479"/>
      <c r="MJ9" s="479"/>
      <c r="MK9" s="479"/>
      <c r="ML9" s="479"/>
      <c r="MM9" s="479"/>
      <c r="MN9" s="479"/>
      <c r="MO9" s="479"/>
      <c r="MP9" s="479"/>
      <c r="MQ9" s="479"/>
      <c r="MR9" s="479"/>
      <c r="MS9" s="479"/>
      <c r="MT9" s="479"/>
      <c r="MU9" s="479"/>
      <c r="MV9" s="479"/>
      <c r="MW9" s="479"/>
      <c r="MX9" s="479"/>
      <c r="MY9" s="479"/>
      <c r="MZ9" s="479"/>
      <c r="NA9" s="479"/>
      <c r="NB9" s="479"/>
      <c r="NC9" s="479"/>
      <c r="ND9" s="479"/>
      <c r="NE9" s="479"/>
      <c r="NF9" s="479"/>
      <c r="NG9" s="479"/>
      <c r="NH9" s="479"/>
      <c r="NI9" s="479"/>
      <c r="NJ9" s="479"/>
      <c r="NK9" s="479"/>
      <c r="NL9" s="479"/>
      <c r="NM9" s="479"/>
      <c r="NN9" s="479"/>
      <c r="NO9" s="479"/>
      <c r="NP9" s="479"/>
      <c r="NQ9" s="479"/>
      <c r="NR9" s="479"/>
      <c r="NS9" s="479"/>
      <c r="NT9" s="479"/>
      <c r="NU9" s="479"/>
      <c r="NV9" s="479"/>
      <c r="NW9" s="479"/>
      <c r="NX9" s="479"/>
      <c r="NY9" s="479"/>
      <c r="NZ9" s="479"/>
      <c r="OA9" s="479"/>
      <c r="OB9" s="479"/>
      <c r="OC9" s="479"/>
      <c r="OD9" s="479"/>
      <c r="OE9" s="479"/>
      <c r="OF9" s="479"/>
      <c r="OG9" s="479"/>
      <c r="OH9" s="479"/>
      <c r="OI9" s="479"/>
      <c r="OJ9" s="479"/>
      <c r="OK9" s="479"/>
      <c r="OL9" s="479"/>
      <c r="OM9" s="479"/>
      <c r="ON9" s="479"/>
      <c r="OO9" s="479"/>
      <c r="OP9" s="479"/>
      <c r="OQ9" s="479"/>
      <c r="OR9" s="479"/>
      <c r="OS9" s="479"/>
      <c r="OT9" s="479"/>
      <c r="OU9" s="479"/>
      <c r="OV9" s="479"/>
      <c r="OW9" s="479"/>
      <c r="OX9" s="479"/>
      <c r="OY9" s="479"/>
      <c r="OZ9" s="479"/>
      <c r="PA9" s="479"/>
      <c r="PB9" s="479"/>
      <c r="PC9" s="479"/>
      <c r="PD9" s="479"/>
      <c r="PE9" s="479"/>
      <c r="PF9" s="479"/>
      <c r="PG9" s="479"/>
      <c r="PH9" s="479"/>
      <c r="PI9" s="479"/>
      <c r="PJ9" s="479"/>
      <c r="PK9" s="479"/>
      <c r="PL9" s="479"/>
      <c r="PM9" s="479"/>
      <c r="PN9" s="479"/>
      <c r="PO9" s="479"/>
      <c r="PP9" s="479"/>
      <c r="PQ9" s="479"/>
      <c r="PR9" s="479"/>
      <c r="PS9" s="479"/>
      <c r="PT9" s="479"/>
      <c r="PU9" s="479"/>
      <c r="PV9" s="479"/>
      <c r="PW9" s="479"/>
      <c r="PX9" s="479"/>
      <c r="PY9" s="479"/>
      <c r="PZ9" s="479"/>
      <c r="QA9" s="479"/>
      <c r="QB9" s="479"/>
      <c r="QC9" s="479"/>
      <c r="QD9" s="479"/>
      <c r="QE9" s="479"/>
      <c r="QF9" s="479"/>
      <c r="QG9" s="479"/>
      <c r="QH9" s="479"/>
      <c r="QI9" s="479"/>
      <c r="QJ9" s="479"/>
      <c r="QK9" s="479"/>
      <c r="QL9" s="479"/>
      <c r="QM9" s="479"/>
      <c r="QN9" s="479"/>
      <c r="QO9" s="479"/>
      <c r="QP9" s="479"/>
      <c r="QQ9" s="479"/>
      <c r="QR9" s="479"/>
      <c r="QS9" s="479"/>
      <c r="QT9" s="479"/>
      <c r="QU9" s="479"/>
      <c r="QV9" s="479"/>
      <c r="QW9" s="479"/>
      <c r="QX9" s="479"/>
      <c r="QY9" s="479"/>
      <c r="QZ9" s="479"/>
      <c r="RA9" s="479"/>
      <c r="RB9" s="479"/>
      <c r="RC9" s="479"/>
      <c r="RD9" s="479"/>
      <c r="RE9" s="479"/>
      <c r="RF9" s="479"/>
      <c r="RG9" s="479"/>
      <c r="RH9" s="479"/>
      <c r="RI9" s="479"/>
      <c r="RJ9" s="479"/>
      <c r="RK9" s="479"/>
      <c r="RL9" s="479"/>
      <c r="RM9" s="479"/>
      <c r="RN9" s="479"/>
      <c r="RO9" s="479"/>
      <c r="RP9" s="479"/>
      <c r="RQ9" s="479"/>
      <c r="RR9" s="479"/>
      <c r="RS9" s="479"/>
      <c r="RT9" s="479"/>
      <c r="RU9" s="479"/>
      <c r="RV9" s="479"/>
      <c r="RW9" s="479"/>
      <c r="RX9" s="479"/>
    </row>
    <row r="10" spans="1:492" s="480" customFormat="1" ht="20.100000000000001" customHeight="1" thickBot="1">
      <c r="A10" s="489" t="s">
        <v>464</v>
      </c>
      <c r="B10" s="510" t="s">
        <v>465</v>
      </c>
      <c r="C10" s="474"/>
      <c r="D10" s="474"/>
      <c r="E10" s="474"/>
      <c r="F10" s="474"/>
      <c r="G10" s="474"/>
      <c r="H10" s="474"/>
      <c r="I10" s="474"/>
      <c r="J10" s="474"/>
      <c r="K10" s="474"/>
      <c r="L10" s="474"/>
      <c r="M10" s="474"/>
      <c r="N10" s="474"/>
      <c r="O10" s="474"/>
      <c r="P10" s="474"/>
      <c r="Q10" s="474"/>
      <c r="R10" s="474"/>
      <c r="S10" s="474"/>
      <c r="T10" s="474"/>
      <c r="U10" s="474"/>
      <c r="V10" s="474"/>
      <c r="W10" s="474"/>
      <c r="X10" s="474"/>
      <c r="Y10" s="474"/>
      <c r="Z10" s="474"/>
      <c r="AA10" s="474"/>
      <c r="AB10" s="474"/>
      <c r="AC10" s="474"/>
      <c r="AD10" s="474"/>
      <c r="AE10" s="474"/>
      <c r="AF10" s="474"/>
      <c r="AG10" s="474"/>
      <c r="AH10" s="474"/>
      <c r="AI10" s="474"/>
      <c r="AJ10" s="474"/>
      <c r="AK10" s="474"/>
      <c r="AL10" s="474"/>
      <c r="AM10" s="501">
        <v>-53.1</v>
      </c>
      <c r="AN10" s="481">
        <v>-56.999999999999993</v>
      </c>
      <c r="AO10" s="481">
        <v>-69.700000000000017</v>
      </c>
      <c r="AP10" s="481">
        <v>-60.699999999999989</v>
      </c>
      <c r="AQ10" s="500">
        <f t="shared" si="5"/>
        <v>-240.5</v>
      </c>
      <c r="AR10" s="481"/>
      <c r="AS10" s="481"/>
      <c r="AT10" s="481"/>
      <c r="AU10" s="481"/>
      <c r="AV10" s="482"/>
      <c r="AW10" s="481">
        <v>-61.2</v>
      </c>
      <c r="AX10" s="481">
        <v>-66</v>
      </c>
      <c r="AY10" s="481">
        <v>-63.600000000000009</v>
      </c>
      <c r="AZ10" s="481">
        <v>-66.399999999999977</v>
      </c>
      <c r="BA10" s="478">
        <f t="shared" si="6"/>
        <v>-257.2</v>
      </c>
      <c r="BB10" s="501">
        <v>-65.5</v>
      </c>
      <c r="BC10" s="481">
        <v>-68</v>
      </c>
      <c r="BD10" s="481">
        <v>-68.699999999999989</v>
      </c>
      <c r="BE10" s="481">
        <v>-72.599999999999994</v>
      </c>
      <c r="BF10" s="508">
        <f t="shared" si="7"/>
        <v>-274.79999999999995</v>
      </c>
      <c r="BG10" s="481">
        <v>-70.8</v>
      </c>
      <c r="BH10" s="481">
        <v>-71.000000000000014</v>
      </c>
      <c r="BI10" s="481">
        <v>-59.899999999999991</v>
      </c>
      <c r="BJ10" s="481">
        <f>-274.8-SUM(BG10:BI10)</f>
        <v>-73.100000000000023</v>
      </c>
      <c r="BK10" s="508">
        <f t="shared" si="8"/>
        <v>-274.8</v>
      </c>
      <c r="BL10" s="481">
        <v>-72.7</v>
      </c>
      <c r="BM10" s="669">
        <f>-166.3-BL10</f>
        <v>-93.600000000000009</v>
      </c>
      <c r="BN10" s="481">
        <f>-266.4-BM10-BL10</f>
        <v>-100.09999999999995</v>
      </c>
      <c r="BO10" s="481">
        <f>-373.9-BN10-BM10-BL10</f>
        <v>-107.49999999999999</v>
      </c>
      <c r="BP10" s="508">
        <f t="shared" si="9"/>
        <v>-373.9</v>
      </c>
      <c r="BQ10" s="481">
        <v>-87.9</v>
      </c>
      <c r="BR10" s="720">
        <f>-175.4-BQ10</f>
        <v>-87.5</v>
      </c>
      <c r="BS10" s="481">
        <v>-165.20000000000002</v>
      </c>
      <c r="BT10" s="481">
        <v>-169.09999999999997</v>
      </c>
      <c r="BU10" s="820">
        <f t="shared" si="10"/>
        <v>-509.7</v>
      </c>
      <c r="BV10" s="481">
        <v>-150.30000000000001</v>
      </c>
      <c r="BW10" s="720">
        <v>-176</v>
      </c>
      <c r="BX10" s="481">
        <v>-53.099999999999966</v>
      </c>
      <c r="BY10" s="481">
        <v>-129.5</v>
      </c>
      <c r="BZ10" s="820">
        <f t="shared" si="11"/>
        <v>-508.9</v>
      </c>
      <c r="CA10" s="481">
        <v>-109.1</v>
      </c>
      <c r="CB10" s="720">
        <v>-103.6</v>
      </c>
      <c r="CC10" s="481"/>
      <c r="CD10" s="481"/>
      <c r="CE10" s="820">
        <f t="shared" si="12"/>
        <v>-212.7</v>
      </c>
      <c r="CF10" s="479"/>
      <c r="CG10" s="475"/>
      <c r="CH10" s="966"/>
      <c r="CI10" s="479"/>
      <c r="CJ10" s="479"/>
      <c r="CK10" s="479"/>
      <c r="CL10" s="479"/>
      <c r="CM10" s="479"/>
      <c r="CN10" s="479"/>
      <c r="CO10" s="479"/>
      <c r="CP10" s="479"/>
      <c r="CQ10" s="479"/>
      <c r="CR10" s="479"/>
      <c r="CS10" s="479"/>
      <c r="CT10" s="479"/>
      <c r="CU10" s="479"/>
      <c r="CV10" s="479"/>
      <c r="CW10" s="479"/>
      <c r="CX10" s="479"/>
      <c r="CY10" s="479"/>
      <c r="CZ10" s="479"/>
      <c r="DA10" s="479"/>
      <c r="DB10" s="479"/>
      <c r="DC10" s="479"/>
      <c r="DD10" s="479"/>
      <c r="DE10" s="479"/>
      <c r="DF10" s="479"/>
      <c r="DG10" s="479"/>
      <c r="DH10" s="479"/>
      <c r="DI10" s="479"/>
      <c r="DJ10" s="479"/>
      <c r="DK10" s="479"/>
      <c r="DL10" s="479"/>
      <c r="DM10" s="479"/>
      <c r="DN10" s="479"/>
      <c r="DO10" s="479"/>
      <c r="DP10" s="479"/>
      <c r="DQ10" s="479"/>
      <c r="DR10" s="479"/>
      <c r="DS10" s="479"/>
      <c r="DT10" s="479"/>
      <c r="DU10" s="479"/>
      <c r="DV10" s="479"/>
      <c r="DW10" s="479"/>
      <c r="DX10" s="479"/>
      <c r="DY10" s="479"/>
      <c r="DZ10" s="479"/>
      <c r="EA10" s="479"/>
      <c r="EB10" s="479"/>
      <c r="EC10" s="479"/>
      <c r="ED10" s="479"/>
      <c r="EE10" s="479"/>
      <c r="EF10" s="479"/>
      <c r="EG10" s="479"/>
      <c r="EH10" s="479"/>
      <c r="EI10" s="479"/>
      <c r="EJ10" s="479"/>
      <c r="EK10" s="479"/>
      <c r="EL10" s="479"/>
      <c r="EM10" s="479"/>
      <c r="EN10" s="479"/>
      <c r="EO10" s="479"/>
      <c r="EP10" s="479"/>
      <c r="EQ10" s="479"/>
      <c r="ER10" s="479"/>
      <c r="ES10" s="479"/>
      <c r="ET10" s="479"/>
      <c r="EU10" s="479"/>
      <c r="EV10" s="479"/>
      <c r="EW10" s="479"/>
      <c r="EX10" s="479"/>
      <c r="EY10" s="479"/>
      <c r="EZ10" s="479"/>
      <c r="FA10" s="479"/>
      <c r="FB10" s="479"/>
      <c r="FC10" s="479"/>
      <c r="FD10" s="479"/>
      <c r="FE10" s="479"/>
      <c r="FF10" s="479"/>
      <c r="FG10" s="479"/>
      <c r="FH10" s="479"/>
      <c r="FI10" s="479"/>
      <c r="FJ10" s="479"/>
      <c r="FK10" s="479"/>
      <c r="FL10" s="479"/>
      <c r="FM10" s="479"/>
      <c r="FN10" s="479"/>
      <c r="FO10" s="479"/>
      <c r="FP10" s="479"/>
      <c r="FQ10" s="479"/>
      <c r="FR10" s="479"/>
      <c r="FS10" s="479"/>
      <c r="FT10" s="479"/>
      <c r="FU10" s="479"/>
      <c r="FV10" s="479"/>
      <c r="FW10" s="479"/>
      <c r="FX10" s="479"/>
      <c r="FY10" s="479"/>
      <c r="FZ10" s="479"/>
      <c r="GA10" s="479"/>
      <c r="GB10" s="479"/>
      <c r="GC10" s="479"/>
      <c r="GD10" s="479"/>
      <c r="GE10" s="479"/>
      <c r="GF10" s="479"/>
      <c r="GG10" s="479"/>
      <c r="GH10" s="479"/>
      <c r="GI10" s="479"/>
      <c r="GJ10" s="479"/>
      <c r="GK10" s="479"/>
      <c r="GL10" s="479"/>
      <c r="GM10" s="479"/>
      <c r="GN10" s="479"/>
      <c r="GO10" s="479"/>
      <c r="GP10" s="479"/>
      <c r="GQ10" s="479"/>
      <c r="GR10" s="479"/>
      <c r="GS10" s="479"/>
      <c r="GT10" s="479"/>
      <c r="GU10" s="479"/>
      <c r="GV10" s="479"/>
      <c r="GW10" s="479"/>
      <c r="GX10" s="479"/>
      <c r="GY10" s="479"/>
      <c r="GZ10" s="479"/>
      <c r="HA10" s="479"/>
      <c r="HB10" s="479"/>
      <c r="HC10" s="479"/>
      <c r="HD10" s="479"/>
      <c r="HE10" s="479"/>
      <c r="HF10" s="479"/>
      <c r="HG10" s="479"/>
      <c r="HH10" s="479"/>
      <c r="HI10" s="479"/>
      <c r="HJ10" s="479"/>
      <c r="HK10" s="479"/>
      <c r="HL10" s="479"/>
      <c r="HM10" s="479"/>
      <c r="HN10" s="479"/>
      <c r="HO10" s="479"/>
      <c r="HP10" s="479"/>
      <c r="HQ10" s="479"/>
      <c r="HR10" s="479"/>
      <c r="HS10" s="479"/>
      <c r="HT10" s="479"/>
      <c r="HU10" s="479"/>
      <c r="HV10" s="479"/>
      <c r="HW10" s="479"/>
      <c r="HX10" s="479"/>
      <c r="HY10" s="479"/>
      <c r="HZ10" s="479"/>
      <c r="IA10" s="479"/>
      <c r="IB10" s="479"/>
      <c r="IC10" s="479"/>
      <c r="ID10" s="479"/>
      <c r="IE10" s="479"/>
      <c r="IF10" s="479"/>
      <c r="IG10" s="479"/>
      <c r="IH10" s="479"/>
      <c r="II10" s="479"/>
      <c r="IJ10" s="479"/>
      <c r="IK10" s="479"/>
      <c r="IL10" s="479"/>
      <c r="IM10" s="479"/>
      <c r="IN10" s="479"/>
      <c r="IO10" s="479"/>
      <c r="IP10" s="479"/>
      <c r="IQ10" s="479"/>
      <c r="IR10" s="479"/>
      <c r="IS10" s="479"/>
      <c r="IT10" s="479"/>
      <c r="IU10" s="479"/>
      <c r="IV10" s="479"/>
      <c r="IW10" s="479"/>
      <c r="IX10" s="479"/>
      <c r="IY10" s="479"/>
      <c r="IZ10" s="479"/>
      <c r="JA10" s="479"/>
      <c r="JB10" s="479"/>
      <c r="JC10" s="479"/>
      <c r="JD10" s="479"/>
      <c r="JE10" s="479"/>
      <c r="JF10" s="479"/>
      <c r="JG10" s="479"/>
      <c r="JH10" s="479"/>
      <c r="JI10" s="479"/>
      <c r="JJ10" s="479"/>
      <c r="JK10" s="479"/>
      <c r="JL10" s="479"/>
      <c r="JM10" s="479"/>
      <c r="JN10" s="479"/>
      <c r="JO10" s="479"/>
      <c r="JP10" s="479"/>
      <c r="JQ10" s="479"/>
      <c r="JR10" s="479"/>
      <c r="JS10" s="479"/>
      <c r="JT10" s="479"/>
      <c r="JU10" s="479"/>
      <c r="JV10" s="479"/>
      <c r="JW10" s="479"/>
      <c r="JX10" s="479"/>
      <c r="JY10" s="479"/>
      <c r="JZ10" s="479"/>
      <c r="KA10" s="479"/>
      <c r="KB10" s="479"/>
      <c r="KC10" s="479"/>
      <c r="KD10" s="479"/>
      <c r="KE10" s="479"/>
      <c r="KF10" s="479"/>
      <c r="KG10" s="479"/>
      <c r="KH10" s="479"/>
      <c r="KI10" s="479"/>
      <c r="KJ10" s="479"/>
      <c r="KK10" s="479"/>
      <c r="KL10" s="479"/>
      <c r="KM10" s="479"/>
      <c r="KN10" s="479"/>
      <c r="KO10" s="479"/>
      <c r="KP10" s="479"/>
      <c r="KQ10" s="479"/>
      <c r="KR10" s="479"/>
      <c r="KS10" s="479"/>
      <c r="KT10" s="479"/>
      <c r="KU10" s="479"/>
      <c r="KV10" s="479"/>
      <c r="KW10" s="479"/>
      <c r="KX10" s="479"/>
      <c r="KY10" s="479"/>
      <c r="KZ10" s="479"/>
      <c r="LA10" s="479"/>
      <c r="LB10" s="479"/>
      <c r="LC10" s="479"/>
      <c r="LD10" s="479"/>
      <c r="LE10" s="479"/>
      <c r="LF10" s="479"/>
      <c r="LG10" s="479"/>
      <c r="LH10" s="479"/>
      <c r="LI10" s="479"/>
      <c r="LJ10" s="479"/>
      <c r="LK10" s="479"/>
      <c r="LL10" s="479"/>
      <c r="LM10" s="479"/>
      <c r="LN10" s="479"/>
      <c r="LO10" s="479"/>
      <c r="LP10" s="479"/>
      <c r="LQ10" s="479"/>
      <c r="LR10" s="479"/>
      <c r="LS10" s="479"/>
      <c r="LT10" s="479"/>
      <c r="LU10" s="479"/>
      <c r="LV10" s="479"/>
      <c r="LW10" s="479"/>
      <c r="LX10" s="479"/>
      <c r="LY10" s="479"/>
      <c r="LZ10" s="479"/>
      <c r="MA10" s="479"/>
      <c r="MB10" s="479"/>
      <c r="MC10" s="479"/>
      <c r="MD10" s="479"/>
      <c r="ME10" s="479"/>
      <c r="MF10" s="479"/>
      <c r="MG10" s="479"/>
      <c r="MH10" s="479"/>
      <c r="MI10" s="479"/>
      <c r="MJ10" s="479"/>
      <c r="MK10" s="479"/>
      <c r="ML10" s="479"/>
      <c r="MM10" s="479"/>
      <c r="MN10" s="479"/>
      <c r="MO10" s="479"/>
      <c r="MP10" s="479"/>
      <c r="MQ10" s="479"/>
      <c r="MR10" s="479"/>
      <c r="MS10" s="479"/>
      <c r="MT10" s="479"/>
      <c r="MU10" s="479"/>
      <c r="MV10" s="479"/>
      <c r="MW10" s="479"/>
      <c r="MX10" s="479"/>
      <c r="MY10" s="479"/>
      <c r="MZ10" s="479"/>
      <c r="NA10" s="479"/>
      <c r="NB10" s="479"/>
      <c r="NC10" s="479"/>
      <c r="ND10" s="479"/>
      <c r="NE10" s="479"/>
      <c r="NF10" s="479"/>
      <c r="NG10" s="479"/>
      <c r="NH10" s="479"/>
      <c r="NI10" s="479"/>
      <c r="NJ10" s="479"/>
      <c r="NK10" s="479"/>
      <c r="NL10" s="479"/>
      <c r="NM10" s="479"/>
      <c r="NN10" s="479"/>
      <c r="NO10" s="479"/>
      <c r="NP10" s="479"/>
      <c r="NQ10" s="479"/>
      <c r="NR10" s="479"/>
      <c r="NS10" s="479"/>
      <c r="NT10" s="479"/>
      <c r="NU10" s="479"/>
      <c r="NV10" s="479"/>
      <c r="NW10" s="479"/>
      <c r="NX10" s="479"/>
      <c r="NY10" s="479"/>
      <c r="NZ10" s="479"/>
      <c r="OA10" s="479"/>
      <c r="OB10" s="479"/>
      <c r="OC10" s="479"/>
      <c r="OD10" s="479"/>
      <c r="OE10" s="479"/>
      <c r="OF10" s="479"/>
      <c r="OG10" s="479"/>
      <c r="OH10" s="479"/>
      <c r="OI10" s="479"/>
      <c r="OJ10" s="479"/>
      <c r="OK10" s="479"/>
      <c r="OL10" s="479"/>
      <c r="OM10" s="479"/>
      <c r="ON10" s="479"/>
      <c r="OO10" s="479"/>
      <c r="OP10" s="479"/>
      <c r="OQ10" s="479"/>
      <c r="OR10" s="479"/>
      <c r="OS10" s="479"/>
      <c r="OT10" s="479"/>
      <c r="OU10" s="479"/>
      <c r="OV10" s="479"/>
      <c r="OW10" s="479"/>
      <c r="OX10" s="479"/>
      <c r="OY10" s="479"/>
      <c r="OZ10" s="479"/>
      <c r="PA10" s="479"/>
      <c r="PB10" s="479"/>
      <c r="PC10" s="479"/>
      <c r="PD10" s="479"/>
      <c r="PE10" s="479"/>
      <c r="PF10" s="479"/>
      <c r="PG10" s="479"/>
      <c r="PH10" s="479"/>
      <c r="PI10" s="479"/>
      <c r="PJ10" s="479"/>
      <c r="PK10" s="479"/>
      <c r="PL10" s="479"/>
      <c r="PM10" s="479"/>
      <c r="PN10" s="479"/>
      <c r="PO10" s="479"/>
      <c r="PP10" s="479"/>
      <c r="PQ10" s="479"/>
      <c r="PR10" s="479"/>
      <c r="PS10" s="479"/>
      <c r="PT10" s="479"/>
      <c r="PU10" s="479"/>
      <c r="PV10" s="479"/>
      <c r="PW10" s="479"/>
      <c r="PX10" s="479"/>
      <c r="PY10" s="479"/>
      <c r="PZ10" s="479"/>
      <c r="QA10" s="479"/>
      <c r="QB10" s="479"/>
      <c r="QC10" s="479"/>
      <c r="QD10" s="479"/>
      <c r="QE10" s="479"/>
      <c r="QF10" s="479"/>
      <c r="QG10" s="479"/>
      <c r="QH10" s="479"/>
      <c r="QI10" s="479"/>
      <c r="QJ10" s="479"/>
      <c r="QK10" s="479"/>
      <c r="QL10" s="479"/>
      <c r="QM10" s="479"/>
      <c r="QN10" s="479"/>
      <c r="QO10" s="479"/>
      <c r="QP10" s="479"/>
      <c r="QQ10" s="479"/>
      <c r="QR10" s="479"/>
      <c r="QS10" s="479"/>
      <c r="QT10" s="479"/>
      <c r="QU10" s="479"/>
      <c r="QV10" s="479"/>
      <c r="QW10" s="479"/>
      <c r="QX10" s="479"/>
      <c r="QY10" s="479"/>
      <c r="QZ10" s="479"/>
      <c r="RA10" s="479"/>
      <c r="RB10" s="479"/>
      <c r="RC10" s="479"/>
      <c r="RD10" s="479"/>
      <c r="RE10" s="479"/>
      <c r="RF10" s="479"/>
      <c r="RG10" s="479"/>
      <c r="RH10" s="479"/>
      <c r="RI10" s="479"/>
      <c r="RJ10" s="479"/>
      <c r="RK10" s="479"/>
      <c r="RL10" s="479"/>
      <c r="RM10" s="479"/>
      <c r="RN10" s="479"/>
      <c r="RO10" s="479"/>
      <c r="RP10" s="479"/>
      <c r="RQ10" s="479"/>
      <c r="RR10" s="479"/>
      <c r="RS10" s="479"/>
      <c r="RT10" s="479"/>
      <c r="RU10" s="479"/>
      <c r="RV10" s="479"/>
      <c r="RW10" s="479"/>
      <c r="RX10" s="479"/>
    </row>
    <row r="11" spans="1:492" s="59" customFormat="1" ht="20.25" customHeight="1" thickBot="1">
      <c r="A11" s="490" t="s">
        <v>466</v>
      </c>
      <c r="B11" s="511" t="s">
        <v>467</v>
      </c>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502"/>
      <c r="AN11" s="392"/>
      <c r="AO11" s="392"/>
      <c r="AP11" s="392"/>
      <c r="AQ11" s="503"/>
      <c r="AR11" s="395"/>
      <c r="AS11" s="395"/>
      <c r="AT11" s="395"/>
      <c r="AU11" s="395"/>
      <c r="AV11" s="396"/>
      <c r="AW11" s="392"/>
      <c r="AX11" s="392"/>
      <c r="AY11" s="392"/>
      <c r="AZ11" s="392"/>
      <c r="BA11" s="494"/>
      <c r="BB11" s="502">
        <f>BB23</f>
        <v>1026.7</v>
      </c>
      <c r="BC11" s="392">
        <f>SUM(BC12:BC13)</f>
        <v>1001.4999999999999</v>
      </c>
      <c r="BD11" s="392">
        <f t="shared" ref="BD11:BH11" si="13">SUM(BD12:BD13)</f>
        <v>1082.0999999999999</v>
      </c>
      <c r="BE11" s="392">
        <f t="shared" si="13"/>
        <v>1127.5</v>
      </c>
      <c r="BF11" s="503">
        <f t="shared" si="13"/>
        <v>4237.8</v>
      </c>
      <c r="BG11" s="392">
        <f t="shared" si="13"/>
        <v>1082.7</v>
      </c>
      <c r="BH11" s="392">
        <f t="shared" si="13"/>
        <v>1140.9000000000001</v>
      </c>
      <c r="BI11" s="392">
        <f>SUM(BI12:BI13)</f>
        <v>904.19999999999993</v>
      </c>
      <c r="BJ11" s="392">
        <f>SUM(BJ12:BJ13)</f>
        <v>891.19999999999993</v>
      </c>
      <c r="BK11" s="503">
        <f>SUM(BK12:BK13)</f>
        <v>4019</v>
      </c>
      <c r="BL11" s="392">
        <f>SUM(BL12:BL16)</f>
        <v>800.7</v>
      </c>
      <c r="BM11" s="670">
        <f>SUM(BM12:BM16)</f>
        <v>893.3</v>
      </c>
      <c r="BN11" s="392">
        <f t="shared" ref="BN11" si="14">SUM(BN12:BN16)</f>
        <v>839.59999999999968</v>
      </c>
      <c r="BO11" s="392">
        <f>SUM(BO12:BO16)</f>
        <v>818.5</v>
      </c>
      <c r="BP11" s="503">
        <f>SUM(BP12:BP16)</f>
        <v>3352.1</v>
      </c>
      <c r="BQ11" s="392">
        <f>SUM(BQ12:BQ16)</f>
        <v>761.2</v>
      </c>
      <c r="BR11" s="670">
        <f>SUM(BR12:BR16)</f>
        <v>798.5</v>
      </c>
      <c r="BS11" s="392">
        <f t="shared" ref="BS11:BT11" si="15">SUM(BS12:BS16)</f>
        <v>774.69999999999993</v>
      </c>
      <c r="BT11" s="392">
        <f t="shared" si="15"/>
        <v>677.09999999999991</v>
      </c>
      <c r="BU11" s="821">
        <f>SUM(BU12:BU16)</f>
        <v>3011.5</v>
      </c>
      <c r="BV11" s="392">
        <f>SUM(BV12:BV16)</f>
        <v>772.3</v>
      </c>
      <c r="BW11" s="670">
        <f>SUM(BW12:BW16)</f>
        <v>843.89999999999986</v>
      </c>
      <c r="BX11" s="392">
        <f t="shared" ref="BX11:BY11" si="16">SUM(BX12:BX16)</f>
        <v>901.80000000000018</v>
      </c>
      <c r="BY11" s="392">
        <f t="shared" si="16"/>
        <v>780.9</v>
      </c>
      <c r="BZ11" s="821">
        <f>SUM(BZ12:BZ16)</f>
        <v>3298.9</v>
      </c>
      <c r="CA11" s="392">
        <f>SUM(CA12:CA16)</f>
        <v>809.30000000000007</v>
      </c>
      <c r="CB11" s="670">
        <f>SUM(CB12:CB16)</f>
        <v>823.8</v>
      </c>
      <c r="CC11" s="392"/>
      <c r="CD11" s="392"/>
      <c r="CE11" s="821">
        <f>SUM(CE12:CE16)</f>
        <v>1633.1000000000001</v>
      </c>
      <c r="CF11" s="11"/>
      <c r="CG11" s="475"/>
      <c r="CH11" s="966"/>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11"/>
      <c r="JQ11" s="11"/>
      <c r="JR11" s="11"/>
      <c r="JS11" s="11"/>
      <c r="JT11" s="11"/>
      <c r="JU11" s="11"/>
      <c r="JV11" s="11"/>
      <c r="JW11" s="11"/>
      <c r="JX11" s="11"/>
      <c r="JY11" s="11"/>
      <c r="JZ11" s="11"/>
      <c r="KA11" s="11"/>
      <c r="KB11" s="11"/>
      <c r="KC11" s="11"/>
      <c r="KD11" s="11"/>
      <c r="KE11" s="11"/>
      <c r="KF11" s="11"/>
      <c r="KG11" s="11"/>
      <c r="KH11" s="11"/>
      <c r="KI11" s="11"/>
      <c r="KJ11" s="11"/>
      <c r="KK11" s="11"/>
      <c r="KL11" s="11"/>
      <c r="KM11" s="11"/>
      <c r="KN11" s="11"/>
      <c r="KO11" s="11"/>
      <c r="KP11" s="11"/>
      <c r="KQ11" s="11"/>
      <c r="KR11" s="11"/>
      <c r="KS11" s="11"/>
      <c r="KT11" s="11"/>
      <c r="KU11" s="11"/>
      <c r="KV11" s="11"/>
      <c r="KW11" s="11"/>
      <c r="KX11" s="11"/>
      <c r="KY11" s="11"/>
      <c r="KZ11" s="11"/>
      <c r="LA11" s="11"/>
      <c r="LB11" s="11"/>
      <c r="LC11" s="11"/>
      <c r="LD11" s="11"/>
      <c r="LE11" s="11"/>
      <c r="LF11" s="11"/>
      <c r="LG11" s="11"/>
      <c r="LH11" s="11"/>
      <c r="LI11" s="11"/>
      <c r="LJ11" s="11"/>
      <c r="LK11" s="11"/>
      <c r="LL11" s="11"/>
      <c r="LM11" s="11"/>
      <c r="LN11" s="11"/>
      <c r="LO11" s="11"/>
      <c r="LP11" s="11"/>
      <c r="LQ11" s="11"/>
      <c r="LR11" s="11"/>
      <c r="LS11" s="11"/>
      <c r="LT11" s="11"/>
      <c r="LU11" s="11"/>
      <c r="LV11" s="11"/>
      <c r="LW11" s="11"/>
      <c r="LX11" s="11"/>
      <c r="LY11" s="11"/>
      <c r="LZ11" s="11"/>
      <c r="MA11" s="11"/>
      <c r="MB11" s="11"/>
      <c r="MC11" s="11"/>
      <c r="MD11" s="11"/>
      <c r="ME11" s="11"/>
      <c r="MF11" s="11"/>
      <c r="MG11" s="11"/>
      <c r="MH11" s="11"/>
      <c r="MI11" s="11"/>
      <c r="MJ11" s="11"/>
      <c r="MK11" s="11"/>
      <c r="ML11" s="11"/>
      <c r="MM11" s="11"/>
      <c r="MN11" s="11"/>
      <c r="MO11" s="11"/>
      <c r="MP11" s="11"/>
      <c r="MQ11" s="11"/>
      <c r="MR11" s="11"/>
      <c r="MS11" s="11"/>
      <c r="MT11" s="11"/>
      <c r="MU11" s="11"/>
      <c r="MV11" s="11"/>
      <c r="MW11" s="11"/>
      <c r="MX11" s="11"/>
      <c r="MY11" s="11"/>
      <c r="MZ11" s="11"/>
      <c r="NA11" s="11"/>
      <c r="NB11" s="11"/>
      <c r="NC11" s="11"/>
      <c r="ND11" s="11"/>
      <c r="NE11" s="11"/>
      <c r="NF11" s="11"/>
      <c r="NG11" s="11"/>
      <c r="NH11" s="11"/>
      <c r="NI11" s="11"/>
      <c r="NJ11" s="11"/>
      <c r="NK11" s="11"/>
      <c r="NL11" s="11"/>
      <c r="NM11" s="11"/>
      <c r="NN11" s="11"/>
      <c r="NO11" s="11"/>
      <c r="NP11" s="11"/>
      <c r="NQ11" s="11"/>
      <c r="NR11" s="11"/>
      <c r="NS11" s="11"/>
      <c r="NT11" s="11"/>
      <c r="NU11" s="11"/>
      <c r="NV11" s="11"/>
      <c r="NW11" s="11"/>
      <c r="NX11" s="11"/>
      <c r="NY11" s="11"/>
      <c r="NZ11" s="11"/>
      <c r="OA11" s="11"/>
      <c r="OB11" s="11"/>
      <c r="OC11" s="11"/>
      <c r="OD11" s="11"/>
      <c r="OE11" s="11"/>
      <c r="OF11" s="11"/>
      <c r="OG11" s="11"/>
      <c r="OH11" s="11"/>
      <c r="OI11" s="11"/>
      <c r="OJ11" s="11"/>
      <c r="OK11" s="11"/>
      <c r="OL11" s="11"/>
      <c r="OM11" s="11"/>
      <c r="ON11" s="11"/>
      <c r="OO11" s="11"/>
      <c r="OP11" s="11"/>
      <c r="OQ11" s="11"/>
      <c r="OR11" s="11"/>
      <c r="OS11" s="11"/>
      <c r="OT11" s="11"/>
      <c r="OU11" s="11"/>
      <c r="OV11" s="11"/>
      <c r="OW11" s="11"/>
      <c r="OX11" s="11"/>
      <c r="OY11" s="11"/>
      <c r="OZ11" s="11"/>
      <c r="PA11" s="11"/>
      <c r="PB11" s="11"/>
      <c r="PC11" s="11"/>
      <c r="PD11" s="11"/>
      <c r="PE11" s="11"/>
      <c r="PF11" s="11"/>
      <c r="PG11" s="11"/>
      <c r="PH11" s="11"/>
      <c r="PI11" s="11"/>
      <c r="PJ11" s="11"/>
      <c r="PK11" s="11"/>
      <c r="PL11" s="11"/>
      <c r="PM11" s="11"/>
      <c r="PN11" s="11"/>
      <c r="PO11" s="11"/>
      <c r="PP11" s="11"/>
      <c r="PQ11" s="11"/>
      <c r="PR11" s="11"/>
      <c r="PS11" s="11"/>
      <c r="PT11" s="11"/>
      <c r="PU11" s="11"/>
      <c r="PV11" s="11"/>
      <c r="PW11" s="11"/>
      <c r="PX11" s="11"/>
      <c r="PY11" s="11"/>
      <c r="PZ11" s="11"/>
      <c r="QA11" s="11"/>
      <c r="QB11" s="11"/>
      <c r="QC11" s="11"/>
      <c r="QD11" s="11"/>
      <c r="QE11" s="11"/>
      <c r="QF11" s="11"/>
      <c r="QG11" s="11"/>
      <c r="QH11" s="11"/>
      <c r="QI11" s="11"/>
      <c r="QJ11" s="11"/>
      <c r="QK11" s="11"/>
      <c r="QL11" s="11"/>
      <c r="QM11" s="11"/>
      <c r="QN11" s="11"/>
      <c r="QO11" s="11"/>
      <c r="QP11" s="11"/>
      <c r="QQ11" s="11"/>
      <c r="QR11" s="11"/>
      <c r="QS11" s="11"/>
      <c r="QT11" s="11"/>
      <c r="QU11" s="11"/>
      <c r="QV11" s="11"/>
      <c r="QW11" s="11"/>
      <c r="QX11" s="11"/>
      <c r="QY11" s="11"/>
      <c r="QZ11" s="11"/>
      <c r="RA11" s="11"/>
      <c r="RB11" s="11"/>
      <c r="RC11" s="11"/>
      <c r="RD11" s="11"/>
      <c r="RE11" s="11"/>
      <c r="RF11" s="11"/>
      <c r="RG11" s="11"/>
      <c r="RH11" s="11"/>
      <c r="RI11" s="11"/>
      <c r="RJ11" s="11"/>
      <c r="RK11" s="11"/>
      <c r="RL11" s="11"/>
      <c r="RM11" s="11"/>
      <c r="RN11" s="11"/>
      <c r="RO11" s="11"/>
      <c r="RP11" s="11"/>
      <c r="RQ11" s="11"/>
      <c r="RR11" s="11"/>
      <c r="RS11" s="11"/>
      <c r="RT11" s="11"/>
      <c r="RU11" s="11"/>
      <c r="RV11" s="11"/>
      <c r="RW11" s="11"/>
      <c r="RX11" s="11"/>
    </row>
    <row r="12" spans="1:492" s="811" customFormat="1" ht="20.100000000000001" customHeight="1">
      <c r="A12" s="799" t="s">
        <v>456</v>
      </c>
      <c r="B12" s="800" t="s">
        <v>457</v>
      </c>
      <c r="C12" s="801"/>
      <c r="D12" s="801"/>
      <c r="E12" s="801"/>
      <c r="F12" s="801"/>
      <c r="G12" s="801"/>
      <c r="H12" s="801"/>
      <c r="I12" s="801"/>
      <c r="J12" s="801"/>
      <c r="K12" s="801"/>
      <c r="L12" s="801"/>
      <c r="M12" s="801"/>
      <c r="N12" s="801"/>
      <c r="O12" s="801"/>
      <c r="P12" s="801"/>
      <c r="Q12" s="801"/>
      <c r="R12" s="801"/>
      <c r="S12" s="801"/>
      <c r="T12" s="801"/>
      <c r="U12" s="801"/>
      <c r="V12" s="801"/>
      <c r="W12" s="801"/>
      <c r="X12" s="801"/>
      <c r="Y12" s="801"/>
      <c r="Z12" s="801"/>
      <c r="AA12" s="801"/>
      <c r="AB12" s="801"/>
      <c r="AC12" s="801"/>
      <c r="AD12" s="801"/>
      <c r="AE12" s="801"/>
      <c r="AF12" s="801"/>
      <c r="AG12" s="801"/>
      <c r="AH12" s="801"/>
      <c r="AI12" s="801"/>
      <c r="AJ12" s="801"/>
      <c r="AK12" s="801"/>
      <c r="AL12" s="801"/>
      <c r="AM12" s="802"/>
      <c r="AN12" s="803"/>
      <c r="AO12" s="803"/>
      <c r="AP12" s="803"/>
      <c r="AQ12" s="804"/>
      <c r="AR12" s="475"/>
      <c r="AS12" s="475"/>
      <c r="AT12" s="475"/>
      <c r="AU12" s="475"/>
      <c r="AV12" s="470"/>
      <c r="AW12" s="803"/>
      <c r="AX12" s="803"/>
      <c r="AY12" s="803"/>
      <c r="AZ12" s="803"/>
      <c r="BA12" s="803"/>
      <c r="BB12" s="805">
        <v>879.6</v>
      </c>
      <c r="BC12" s="806">
        <v>879.19999999999993</v>
      </c>
      <c r="BD12" s="806">
        <v>946.89999999999986</v>
      </c>
      <c r="BE12" s="806">
        <v>925.9</v>
      </c>
      <c r="BF12" s="807">
        <f>SUM(BB12:BE12)</f>
        <v>3631.6</v>
      </c>
      <c r="BG12" s="806">
        <v>936.6</v>
      </c>
      <c r="BH12" s="806">
        <v>951.80000000000007</v>
      </c>
      <c r="BI12" s="806">
        <v>786.3</v>
      </c>
      <c r="BJ12" s="806">
        <f>3389.7-SUM(BG12:BI12)</f>
        <v>715</v>
      </c>
      <c r="BK12" s="808">
        <f>SUM(BG12:BJ12)</f>
        <v>3389.7</v>
      </c>
      <c r="BL12" s="806">
        <v>704.1</v>
      </c>
      <c r="BM12" s="809">
        <f>1453.5-BL12</f>
        <v>749.4</v>
      </c>
      <c r="BN12" s="806">
        <f>2211.7-BM12-BL12</f>
        <v>758.1999999999997</v>
      </c>
      <c r="BO12" s="806">
        <f>2834-BN12-BM12-BL12</f>
        <v>622.30000000000007</v>
      </c>
      <c r="BP12" s="808">
        <f>SUM(BL12:BO12)</f>
        <v>2834</v>
      </c>
      <c r="BQ12" s="806">
        <f>BQ24</f>
        <v>663.2</v>
      </c>
      <c r="BR12" s="806">
        <f t="shared" ref="BR12" si="17">BR24</f>
        <v>635</v>
      </c>
      <c r="BS12" s="806">
        <f>BS24-BS20</f>
        <v>658.29999999999984</v>
      </c>
      <c r="BT12" s="806">
        <f>BT24-BT20</f>
        <v>536.6</v>
      </c>
      <c r="BU12" s="820">
        <f>SUM(BQ12:BT12)</f>
        <v>2493.1</v>
      </c>
      <c r="BV12" s="806">
        <f>BV24-BV21</f>
        <v>613.79999999999995</v>
      </c>
      <c r="BW12" s="806">
        <f>BW24-BW21</f>
        <v>625.19999999999993</v>
      </c>
      <c r="BX12" s="806">
        <f>BX24-BX21-BX22</f>
        <v>665.20000000000016</v>
      </c>
      <c r="BY12" s="806">
        <f>BY24-BY21-BY22</f>
        <v>527.09999999999991</v>
      </c>
      <c r="BZ12" s="820">
        <f>SUM(BV12:BY12)</f>
        <v>2431.3000000000002</v>
      </c>
      <c r="CA12" s="806">
        <f>CA24-CA20</f>
        <v>607.90000000000009</v>
      </c>
      <c r="CB12" s="806">
        <f>CB24-CB22</f>
        <v>605.09999999999991</v>
      </c>
      <c r="CC12" s="806"/>
      <c r="CD12" s="806"/>
      <c r="CE12" s="820">
        <f>SUM(CA12:CD12)</f>
        <v>1213</v>
      </c>
      <c r="CF12" s="810"/>
      <c r="CG12" s="475"/>
      <c r="CH12" s="966"/>
      <c r="CI12" s="810"/>
      <c r="CJ12" s="810"/>
      <c r="CK12" s="810"/>
      <c r="CL12" s="810"/>
      <c r="CM12" s="810"/>
      <c r="CN12" s="810"/>
      <c r="CO12" s="810"/>
      <c r="CP12" s="810"/>
      <c r="CQ12" s="810"/>
      <c r="CR12" s="810"/>
      <c r="CS12" s="810"/>
      <c r="CT12" s="810"/>
      <c r="CU12" s="810"/>
      <c r="CV12" s="810"/>
      <c r="CW12" s="810"/>
      <c r="CX12" s="810"/>
      <c r="CY12" s="810"/>
      <c r="CZ12" s="810"/>
      <c r="DA12" s="810"/>
      <c r="DB12" s="810"/>
      <c r="DC12" s="810"/>
      <c r="DD12" s="810"/>
      <c r="DE12" s="810"/>
      <c r="DF12" s="810"/>
      <c r="DG12" s="810"/>
      <c r="DH12" s="810"/>
      <c r="DI12" s="810"/>
      <c r="DJ12" s="810"/>
      <c r="DK12" s="810"/>
      <c r="DL12" s="810"/>
      <c r="DM12" s="810"/>
      <c r="DN12" s="810"/>
      <c r="DO12" s="810"/>
      <c r="DP12" s="810"/>
      <c r="DQ12" s="810"/>
      <c r="DR12" s="810"/>
      <c r="DS12" s="810"/>
      <c r="DT12" s="810"/>
      <c r="DU12" s="810"/>
      <c r="DV12" s="810"/>
      <c r="DW12" s="810"/>
      <c r="DX12" s="810"/>
      <c r="DY12" s="810"/>
      <c r="DZ12" s="810"/>
      <c r="EA12" s="810"/>
      <c r="EB12" s="810"/>
      <c r="EC12" s="810"/>
      <c r="ED12" s="810"/>
      <c r="EE12" s="810"/>
      <c r="EF12" s="810"/>
      <c r="EG12" s="810"/>
      <c r="EH12" s="810"/>
      <c r="EI12" s="810"/>
      <c r="EJ12" s="810"/>
      <c r="EK12" s="810"/>
      <c r="EL12" s="810"/>
      <c r="EM12" s="810"/>
      <c r="EN12" s="810"/>
      <c r="EO12" s="810"/>
      <c r="EP12" s="810"/>
      <c r="EQ12" s="810"/>
      <c r="ER12" s="810"/>
      <c r="ES12" s="810"/>
      <c r="ET12" s="810"/>
      <c r="EU12" s="810"/>
      <c r="EV12" s="810"/>
      <c r="EW12" s="810"/>
      <c r="EX12" s="810"/>
      <c r="EY12" s="810"/>
      <c r="EZ12" s="810"/>
      <c r="FA12" s="810"/>
      <c r="FB12" s="810"/>
      <c r="FC12" s="810"/>
      <c r="FD12" s="810"/>
      <c r="FE12" s="810"/>
      <c r="FF12" s="810"/>
      <c r="FG12" s="810"/>
      <c r="FH12" s="810"/>
      <c r="FI12" s="810"/>
      <c r="FJ12" s="810"/>
      <c r="FK12" s="810"/>
      <c r="FL12" s="810"/>
      <c r="FM12" s="810"/>
      <c r="FN12" s="810"/>
      <c r="FO12" s="810"/>
      <c r="FP12" s="810"/>
      <c r="FQ12" s="810"/>
      <c r="FR12" s="810"/>
      <c r="FS12" s="810"/>
      <c r="FT12" s="810"/>
      <c r="FU12" s="810"/>
      <c r="FV12" s="810"/>
      <c r="FW12" s="810"/>
      <c r="FX12" s="810"/>
      <c r="FY12" s="810"/>
      <c r="FZ12" s="810"/>
      <c r="GA12" s="810"/>
      <c r="GB12" s="810"/>
      <c r="GC12" s="810"/>
      <c r="GD12" s="810"/>
      <c r="GE12" s="810"/>
      <c r="GF12" s="810"/>
      <c r="GG12" s="810"/>
      <c r="GH12" s="810"/>
      <c r="GI12" s="810"/>
      <c r="GJ12" s="810"/>
      <c r="GK12" s="810"/>
      <c r="GL12" s="810"/>
      <c r="GM12" s="810"/>
      <c r="GN12" s="810"/>
      <c r="GO12" s="810"/>
      <c r="GP12" s="810"/>
      <c r="GQ12" s="810"/>
      <c r="GR12" s="810"/>
      <c r="GS12" s="810"/>
      <c r="GT12" s="810"/>
      <c r="GU12" s="810"/>
      <c r="GV12" s="810"/>
      <c r="GW12" s="810"/>
      <c r="GX12" s="810"/>
      <c r="GY12" s="810"/>
      <c r="GZ12" s="810"/>
      <c r="HA12" s="810"/>
      <c r="HB12" s="810"/>
      <c r="HC12" s="810"/>
      <c r="HD12" s="810"/>
      <c r="HE12" s="810"/>
      <c r="HF12" s="810"/>
      <c r="HG12" s="810"/>
      <c r="HH12" s="810"/>
      <c r="HI12" s="810"/>
      <c r="HJ12" s="810"/>
      <c r="HK12" s="810"/>
      <c r="HL12" s="810"/>
      <c r="HM12" s="810"/>
      <c r="HN12" s="810"/>
      <c r="HO12" s="810"/>
      <c r="HP12" s="810"/>
      <c r="HQ12" s="810"/>
      <c r="HR12" s="810"/>
      <c r="HS12" s="810"/>
      <c r="HT12" s="810"/>
      <c r="HU12" s="810"/>
      <c r="HV12" s="810"/>
      <c r="HW12" s="810"/>
      <c r="HX12" s="810"/>
      <c r="HY12" s="810"/>
      <c r="HZ12" s="810"/>
      <c r="IA12" s="810"/>
      <c r="IB12" s="810"/>
      <c r="IC12" s="810"/>
      <c r="ID12" s="810"/>
      <c r="IE12" s="810"/>
      <c r="IF12" s="810"/>
      <c r="IG12" s="810"/>
      <c r="IH12" s="810"/>
      <c r="II12" s="810"/>
      <c r="IJ12" s="810"/>
      <c r="IK12" s="810"/>
      <c r="IL12" s="810"/>
      <c r="IM12" s="810"/>
      <c r="IN12" s="810"/>
      <c r="IO12" s="810"/>
      <c r="IP12" s="810"/>
      <c r="IQ12" s="810"/>
      <c r="IR12" s="810"/>
      <c r="IS12" s="810"/>
      <c r="IT12" s="810"/>
      <c r="IU12" s="810"/>
      <c r="IV12" s="810"/>
      <c r="IW12" s="810"/>
      <c r="IX12" s="810"/>
      <c r="IY12" s="810"/>
      <c r="IZ12" s="810"/>
      <c r="JA12" s="810"/>
      <c r="JB12" s="810"/>
      <c r="JC12" s="810"/>
      <c r="JD12" s="810"/>
      <c r="JE12" s="810"/>
      <c r="JF12" s="810"/>
      <c r="JG12" s="810"/>
      <c r="JH12" s="810"/>
      <c r="JI12" s="810"/>
      <c r="JJ12" s="810"/>
      <c r="JK12" s="810"/>
      <c r="JL12" s="810"/>
      <c r="JM12" s="810"/>
      <c r="JN12" s="810"/>
      <c r="JO12" s="810"/>
      <c r="JP12" s="810"/>
      <c r="JQ12" s="810"/>
      <c r="JR12" s="810"/>
      <c r="JS12" s="810"/>
      <c r="JT12" s="810"/>
      <c r="JU12" s="810"/>
      <c r="JV12" s="810"/>
      <c r="JW12" s="810"/>
      <c r="JX12" s="810"/>
      <c r="JY12" s="810"/>
      <c r="JZ12" s="810"/>
      <c r="KA12" s="810"/>
      <c r="KB12" s="810"/>
      <c r="KC12" s="810"/>
      <c r="KD12" s="810"/>
      <c r="KE12" s="810"/>
      <c r="KF12" s="810"/>
      <c r="KG12" s="810"/>
      <c r="KH12" s="810"/>
      <c r="KI12" s="810"/>
      <c r="KJ12" s="810"/>
      <c r="KK12" s="810"/>
      <c r="KL12" s="810"/>
      <c r="KM12" s="810"/>
      <c r="KN12" s="810"/>
      <c r="KO12" s="810"/>
      <c r="KP12" s="810"/>
      <c r="KQ12" s="810"/>
      <c r="KR12" s="810"/>
      <c r="KS12" s="810"/>
      <c r="KT12" s="810"/>
      <c r="KU12" s="810"/>
      <c r="KV12" s="810"/>
      <c r="KW12" s="810"/>
      <c r="KX12" s="810"/>
      <c r="KY12" s="810"/>
      <c r="KZ12" s="810"/>
      <c r="LA12" s="810"/>
      <c r="LB12" s="810"/>
      <c r="LC12" s="810"/>
      <c r="LD12" s="810"/>
      <c r="LE12" s="810"/>
      <c r="LF12" s="810"/>
      <c r="LG12" s="810"/>
      <c r="LH12" s="810"/>
      <c r="LI12" s="810"/>
      <c r="LJ12" s="810"/>
      <c r="LK12" s="810"/>
      <c r="LL12" s="810"/>
      <c r="LM12" s="810"/>
      <c r="LN12" s="810"/>
      <c r="LO12" s="810"/>
      <c r="LP12" s="810"/>
      <c r="LQ12" s="810"/>
      <c r="LR12" s="810"/>
      <c r="LS12" s="810"/>
      <c r="LT12" s="810"/>
      <c r="LU12" s="810"/>
      <c r="LV12" s="810"/>
      <c r="LW12" s="810"/>
      <c r="LX12" s="810"/>
      <c r="LY12" s="810"/>
      <c r="LZ12" s="810"/>
      <c r="MA12" s="810"/>
      <c r="MB12" s="810"/>
      <c r="MC12" s="810"/>
      <c r="MD12" s="810"/>
      <c r="ME12" s="810"/>
      <c r="MF12" s="810"/>
      <c r="MG12" s="810"/>
      <c r="MH12" s="810"/>
      <c r="MI12" s="810"/>
      <c r="MJ12" s="810"/>
      <c r="MK12" s="810"/>
      <c r="ML12" s="810"/>
      <c r="MM12" s="810"/>
      <c r="MN12" s="810"/>
      <c r="MO12" s="810"/>
      <c r="MP12" s="810"/>
      <c r="MQ12" s="810"/>
      <c r="MR12" s="810"/>
      <c r="MS12" s="810"/>
      <c r="MT12" s="810"/>
      <c r="MU12" s="810"/>
      <c r="MV12" s="810"/>
      <c r="MW12" s="810"/>
      <c r="MX12" s="810"/>
      <c r="MY12" s="810"/>
      <c r="MZ12" s="810"/>
      <c r="NA12" s="810"/>
      <c r="NB12" s="810"/>
      <c r="NC12" s="810"/>
      <c r="ND12" s="810"/>
      <c r="NE12" s="810"/>
      <c r="NF12" s="810"/>
      <c r="NG12" s="810"/>
      <c r="NH12" s="810"/>
      <c r="NI12" s="810"/>
      <c r="NJ12" s="810"/>
      <c r="NK12" s="810"/>
      <c r="NL12" s="810"/>
      <c r="NM12" s="810"/>
      <c r="NN12" s="810"/>
      <c r="NO12" s="810"/>
      <c r="NP12" s="810"/>
      <c r="NQ12" s="810"/>
      <c r="NR12" s="810"/>
      <c r="NS12" s="810"/>
      <c r="NT12" s="810"/>
      <c r="NU12" s="810"/>
      <c r="NV12" s="810"/>
      <c r="NW12" s="810"/>
      <c r="NX12" s="810"/>
      <c r="NY12" s="810"/>
      <c r="NZ12" s="810"/>
      <c r="OA12" s="810"/>
      <c r="OB12" s="810"/>
      <c r="OC12" s="810"/>
      <c r="OD12" s="810"/>
      <c r="OE12" s="810"/>
      <c r="OF12" s="810"/>
      <c r="OG12" s="810"/>
      <c r="OH12" s="810"/>
      <c r="OI12" s="810"/>
      <c r="OJ12" s="810"/>
      <c r="OK12" s="810"/>
      <c r="OL12" s="810"/>
      <c r="OM12" s="810"/>
      <c r="ON12" s="810"/>
      <c r="OO12" s="810"/>
      <c r="OP12" s="810"/>
      <c r="OQ12" s="810"/>
      <c r="OR12" s="810"/>
      <c r="OS12" s="810"/>
      <c r="OT12" s="810"/>
      <c r="OU12" s="810"/>
      <c r="OV12" s="810"/>
      <c r="OW12" s="810"/>
      <c r="OX12" s="810"/>
      <c r="OY12" s="810"/>
      <c r="OZ12" s="810"/>
      <c r="PA12" s="810"/>
      <c r="PB12" s="810"/>
      <c r="PC12" s="810"/>
      <c r="PD12" s="810"/>
      <c r="PE12" s="810"/>
      <c r="PF12" s="810"/>
      <c r="PG12" s="810"/>
      <c r="PH12" s="810"/>
      <c r="PI12" s="810"/>
      <c r="PJ12" s="810"/>
      <c r="PK12" s="810"/>
      <c r="PL12" s="810"/>
      <c r="PM12" s="810"/>
      <c r="PN12" s="810"/>
      <c r="PO12" s="810"/>
      <c r="PP12" s="810"/>
      <c r="PQ12" s="810"/>
      <c r="PR12" s="810"/>
      <c r="PS12" s="810"/>
      <c r="PT12" s="810"/>
      <c r="PU12" s="810"/>
      <c r="PV12" s="810"/>
      <c r="PW12" s="810"/>
      <c r="PX12" s="810"/>
      <c r="PY12" s="810"/>
      <c r="PZ12" s="810"/>
      <c r="QA12" s="810"/>
      <c r="QB12" s="810"/>
      <c r="QC12" s="810"/>
      <c r="QD12" s="810"/>
      <c r="QE12" s="810"/>
      <c r="QF12" s="810"/>
      <c r="QG12" s="810"/>
      <c r="QH12" s="810"/>
      <c r="QI12" s="810"/>
      <c r="QJ12" s="810"/>
      <c r="QK12" s="810"/>
      <c r="QL12" s="810"/>
      <c r="QM12" s="810"/>
      <c r="QN12" s="810"/>
      <c r="QO12" s="810"/>
      <c r="QP12" s="810"/>
      <c r="QQ12" s="810"/>
      <c r="QR12" s="810"/>
      <c r="QS12" s="810"/>
      <c r="QT12" s="810"/>
      <c r="QU12" s="810"/>
      <c r="QV12" s="810"/>
      <c r="QW12" s="810"/>
      <c r="QX12" s="810"/>
      <c r="QY12" s="810"/>
      <c r="QZ12" s="810"/>
      <c r="RA12" s="810"/>
      <c r="RB12" s="810"/>
      <c r="RC12" s="810"/>
      <c r="RD12" s="810"/>
      <c r="RE12" s="810"/>
      <c r="RF12" s="810"/>
      <c r="RG12" s="810"/>
      <c r="RH12" s="810"/>
      <c r="RI12" s="810"/>
      <c r="RJ12" s="810"/>
      <c r="RK12" s="810"/>
      <c r="RL12" s="810"/>
      <c r="RM12" s="810"/>
      <c r="RN12" s="810"/>
      <c r="RO12" s="810"/>
      <c r="RP12" s="810"/>
      <c r="RQ12" s="810"/>
      <c r="RR12" s="810"/>
      <c r="RS12" s="810"/>
      <c r="RT12" s="810"/>
      <c r="RU12" s="810"/>
      <c r="RV12" s="810"/>
      <c r="RW12" s="810"/>
      <c r="RX12" s="810"/>
    </row>
    <row r="13" spans="1:492" s="811" customFormat="1" ht="20.100000000000001" customHeight="1">
      <c r="A13" s="799" t="s">
        <v>458</v>
      </c>
      <c r="B13" s="800" t="s">
        <v>459</v>
      </c>
      <c r="C13" s="801"/>
      <c r="D13" s="801"/>
      <c r="E13" s="801"/>
      <c r="F13" s="801"/>
      <c r="G13" s="801"/>
      <c r="H13" s="801"/>
      <c r="I13" s="801"/>
      <c r="J13" s="801"/>
      <c r="K13" s="801"/>
      <c r="L13" s="801"/>
      <c r="M13" s="801"/>
      <c r="N13" s="801"/>
      <c r="O13" s="801"/>
      <c r="P13" s="801"/>
      <c r="Q13" s="801"/>
      <c r="R13" s="801"/>
      <c r="S13" s="801"/>
      <c r="T13" s="801"/>
      <c r="U13" s="801"/>
      <c r="V13" s="801"/>
      <c r="W13" s="801"/>
      <c r="X13" s="801"/>
      <c r="Y13" s="801"/>
      <c r="Z13" s="801"/>
      <c r="AA13" s="801"/>
      <c r="AB13" s="801"/>
      <c r="AC13" s="801"/>
      <c r="AD13" s="801"/>
      <c r="AE13" s="801"/>
      <c r="AF13" s="801"/>
      <c r="AG13" s="801"/>
      <c r="AH13" s="801"/>
      <c r="AI13" s="801"/>
      <c r="AJ13" s="801"/>
      <c r="AK13" s="801"/>
      <c r="AL13" s="801"/>
      <c r="AM13" s="802"/>
      <c r="AN13" s="803"/>
      <c r="AO13" s="803"/>
      <c r="AP13" s="803"/>
      <c r="AQ13" s="804"/>
      <c r="AR13" s="475"/>
      <c r="AS13" s="475"/>
      <c r="AT13" s="475"/>
      <c r="AU13" s="475"/>
      <c r="AV13" s="470"/>
      <c r="AW13" s="803"/>
      <c r="AX13" s="803"/>
      <c r="AY13" s="803"/>
      <c r="AZ13" s="803"/>
      <c r="BA13" s="803"/>
      <c r="BB13" s="805">
        <v>147.1</v>
      </c>
      <c r="BC13" s="806">
        <v>122.29999999999998</v>
      </c>
      <c r="BD13" s="806">
        <v>135.20000000000005</v>
      </c>
      <c r="BE13" s="806">
        <v>201.6</v>
      </c>
      <c r="BF13" s="807">
        <f t="shared" ref="BF13" si="18">SUM(BB13:BE13)</f>
        <v>606.20000000000005</v>
      </c>
      <c r="BG13" s="806">
        <v>146.1</v>
      </c>
      <c r="BH13" s="806">
        <v>189.1</v>
      </c>
      <c r="BI13" s="806">
        <v>117.9</v>
      </c>
      <c r="BJ13" s="806">
        <f>629.3-SUM(BG13:BI13)</f>
        <v>176.19999999999993</v>
      </c>
      <c r="BK13" s="808">
        <f t="shared" ref="BK13" si="19">SUM(BG13:BJ13)</f>
        <v>629.29999999999995</v>
      </c>
      <c r="BL13" s="806">
        <v>96.6</v>
      </c>
      <c r="BM13" s="809">
        <f>239-BL13</f>
        <v>142.4</v>
      </c>
      <c r="BN13" s="806">
        <f>315.8-BM13-BL13</f>
        <v>76.800000000000011</v>
      </c>
      <c r="BO13" s="806">
        <f>506-BN13-BM13-BL13</f>
        <v>190.19999999999996</v>
      </c>
      <c r="BP13" s="808">
        <f t="shared" ref="BP13:BP16" si="20">SUM(BL13:BO13)</f>
        <v>506</v>
      </c>
      <c r="BQ13" s="806">
        <f t="shared" ref="BQ13:BR16" si="21">BQ25</f>
        <v>92.5</v>
      </c>
      <c r="BR13" s="806">
        <f t="shared" si="21"/>
        <v>156.69999999999999</v>
      </c>
      <c r="BS13" s="806">
        <v>83.100000000000023</v>
      </c>
      <c r="BT13" s="806">
        <v>139.69999999999999</v>
      </c>
      <c r="BU13" s="820">
        <f t="shared" ref="BU13:BU22" si="22">SUM(BQ13:BT13)</f>
        <v>472</v>
      </c>
      <c r="BV13" s="806">
        <f>BV25-BV20</f>
        <v>100.19999999999999</v>
      </c>
      <c r="BW13" s="806">
        <f t="shared" ref="BV13:BY14" si="23">BW25</f>
        <v>145.19999999999999</v>
      </c>
      <c r="BX13" s="806">
        <f t="shared" si="23"/>
        <v>144.5</v>
      </c>
      <c r="BY13" s="806">
        <f t="shared" si="23"/>
        <v>96.5</v>
      </c>
      <c r="BZ13" s="820">
        <f t="shared" ref="BZ13:BZ22" si="24">SUM(BV13:BY13)</f>
        <v>486.4</v>
      </c>
      <c r="CA13" s="806">
        <f t="shared" ref="CA13:CB13" si="25">CA25</f>
        <v>124.5</v>
      </c>
      <c r="CB13" s="806">
        <f t="shared" si="25"/>
        <v>141.39999999999998</v>
      </c>
      <c r="CC13" s="806"/>
      <c r="CD13" s="806"/>
      <c r="CE13" s="820">
        <f t="shared" ref="CE13:CE22" si="26">SUM(CA13:CD13)</f>
        <v>265.89999999999998</v>
      </c>
      <c r="CF13" s="810"/>
      <c r="CG13" s="475"/>
      <c r="CH13" s="966"/>
      <c r="CI13" s="810"/>
      <c r="CJ13" s="810"/>
      <c r="CK13" s="810"/>
      <c r="CL13" s="810"/>
      <c r="CM13" s="810"/>
      <c r="CN13" s="810"/>
      <c r="CO13" s="810"/>
      <c r="CP13" s="810"/>
      <c r="CQ13" s="810"/>
      <c r="CR13" s="810"/>
      <c r="CS13" s="810"/>
      <c r="CT13" s="810"/>
      <c r="CU13" s="810"/>
      <c r="CV13" s="810"/>
      <c r="CW13" s="810"/>
      <c r="CX13" s="810"/>
      <c r="CY13" s="810"/>
      <c r="CZ13" s="810"/>
      <c r="DA13" s="810"/>
      <c r="DB13" s="810"/>
      <c r="DC13" s="810"/>
      <c r="DD13" s="810"/>
      <c r="DE13" s="810"/>
      <c r="DF13" s="810"/>
      <c r="DG13" s="810"/>
      <c r="DH13" s="810"/>
      <c r="DI13" s="810"/>
      <c r="DJ13" s="810"/>
      <c r="DK13" s="810"/>
      <c r="DL13" s="810"/>
      <c r="DM13" s="810"/>
      <c r="DN13" s="810"/>
      <c r="DO13" s="810"/>
      <c r="DP13" s="810"/>
      <c r="DQ13" s="810"/>
      <c r="DR13" s="810"/>
      <c r="DS13" s="810"/>
      <c r="DT13" s="810"/>
      <c r="DU13" s="810"/>
      <c r="DV13" s="810"/>
      <c r="DW13" s="810"/>
      <c r="DX13" s="810"/>
      <c r="DY13" s="810"/>
      <c r="DZ13" s="810"/>
      <c r="EA13" s="810"/>
      <c r="EB13" s="810"/>
      <c r="EC13" s="810"/>
      <c r="ED13" s="810"/>
      <c r="EE13" s="810"/>
      <c r="EF13" s="810"/>
      <c r="EG13" s="810"/>
      <c r="EH13" s="810"/>
      <c r="EI13" s="810"/>
      <c r="EJ13" s="810"/>
      <c r="EK13" s="810"/>
      <c r="EL13" s="810"/>
      <c r="EM13" s="810"/>
      <c r="EN13" s="810"/>
      <c r="EO13" s="810"/>
      <c r="EP13" s="810"/>
      <c r="EQ13" s="810"/>
      <c r="ER13" s="810"/>
      <c r="ES13" s="810"/>
      <c r="ET13" s="810"/>
      <c r="EU13" s="810"/>
      <c r="EV13" s="810"/>
      <c r="EW13" s="810"/>
      <c r="EX13" s="810"/>
      <c r="EY13" s="810"/>
      <c r="EZ13" s="810"/>
      <c r="FA13" s="810"/>
      <c r="FB13" s="810"/>
      <c r="FC13" s="810"/>
      <c r="FD13" s="810"/>
      <c r="FE13" s="810"/>
      <c r="FF13" s="810"/>
      <c r="FG13" s="810"/>
      <c r="FH13" s="810"/>
      <c r="FI13" s="810"/>
      <c r="FJ13" s="810"/>
      <c r="FK13" s="810"/>
      <c r="FL13" s="810"/>
      <c r="FM13" s="810"/>
      <c r="FN13" s="810"/>
      <c r="FO13" s="810"/>
      <c r="FP13" s="810"/>
      <c r="FQ13" s="810"/>
      <c r="FR13" s="810"/>
      <c r="FS13" s="810"/>
      <c r="FT13" s="810"/>
      <c r="FU13" s="810"/>
      <c r="FV13" s="810"/>
      <c r="FW13" s="810"/>
      <c r="FX13" s="810"/>
      <c r="FY13" s="810"/>
      <c r="FZ13" s="810"/>
      <c r="GA13" s="810"/>
      <c r="GB13" s="810"/>
      <c r="GC13" s="810"/>
      <c r="GD13" s="810"/>
      <c r="GE13" s="810"/>
      <c r="GF13" s="810"/>
      <c r="GG13" s="810"/>
      <c r="GH13" s="810"/>
      <c r="GI13" s="810"/>
      <c r="GJ13" s="810"/>
      <c r="GK13" s="810"/>
      <c r="GL13" s="810"/>
      <c r="GM13" s="810"/>
      <c r="GN13" s="810"/>
      <c r="GO13" s="810"/>
      <c r="GP13" s="810"/>
      <c r="GQ13" s="810"/>
      <c r="GR13" s="810"/>
      <c r="GS13" s="810"/>
      <c r="GT13" s="810"/>
      <c r="GU13" s="810"/>
      <c r="GV13" s="810"/>
      <c r="GW13" s="810"/>
      <c r="GX13" s="810"/>
      <c r="GY13" s="810"/>
      <c r="GZ13" s="810"/>
      <c r="HA13" s="810"/>
      <c r="HB13" s="810"/>
      <c r="HC13" s="810"/>
      <c r="HD13" s="810"/>
      <c r="HE13" s="810"/>
      <c r="HF13" s="810"/>
      <c r="HG13" s="810"/>
      <c r="HH13" s="810"/>
      <c r="HI13" s="810"/>
      <c r="HJ13" s="810"/>
      <c r="HK13" s="810"/>
      <c r="HL13" s="810"/>
      <c r="HM13" s="810"/>
      <c r="HN13" s="810"/>
      <c r="HO13" s="810"/>
      <c r="HP13" s="810"/>
      <c r="HQ13" s="810"/>
      <c r="HR13" s="810"/>
      <c r="HS13" s="810"/>
      <c r="HT13" s="810"/>
      <c r="HU13" s="810"/>
      <c r="HV13" s="810"/>
      <c r="HW13" s="810"/>
      <c r="HX13" s="810"/>
      <c r="HY13" s="810"/>
      <c r="HZ13" s="810"/>
      <c r="IA13" s="810"/>
      <c r="IB13" s="810"/>
      <c r="IC13" s="810"/>
      <c r="ID13" s="810"/>
      <c r="IE13" s="810"/>
      <c r="IF13" s="810"/>
      <c r="IG13" s="810"/>
      <c r="IH13" s="810"/>
      <c r="II13" s="810"/>
      <c r="IJ13" s="810"/>
      <c r="IK13" s="810"/>
      <c r="IL13" s="810"/>
      <c r="IM13" s="810"/>
      <c r="IN13" s="810"/>
      <c r="IO13" s="810"/>
      <c r="IP13" s="810"/>
      <c r="IQ13" s="810"/>
      <c r="IR13" s="810"/>
      <c r="IS13" s="810"/>
      <c r="IT13" s="810"/>
      <c r="IU13" s="810"/>
      <c r="IV13" s="810"/>
      <c r="IW13" s="810"/>
      <c r="IX13" s="810"/>
      <c r="IY13" s="810"/>
      <c r="IZ13" s="810"/>
      <c r="JA13" s="810"/>
      <c r="JB13" s="810"/>
      <c r="JC13" s="810"/>
      <c r="JD13" s="810"/>
      <c r="JE13" s="810"/>
      <c r="JF13" s="810"/>
      <c r="JG13" s="810"/>
      <c r="JH13" s="810"/>
      <c r="JI13" s="810"/>
      <c r="JJ13" s="810"/>
      <c r="JK13" s="810"/>
      <c r="JL13" s="810"/>
      <c r="JM13" s="810"/>
      <c r="JN13" s="810"/>
      <c r="JO13" s="810"/>
      <c r="JP13" s="810"/>
      <c r="JQ13" s="810"/>
      <c r="JR13" s="810"/>
      <c r="JS13" s="810"/>
      <c r="JT13" s="810"/>
      <c r="JU13" s="810"/>
      <c r="JV13" s="810"/>
      <c r="JW13" s="810"/>
      <c r="JX13" s="810"/>
      <c r="JY13" s="810"/>
      <c r="JZ13" s="810"/>
      <c r="KA13" s="810"/>
      <c r="KB13" s="810"/>
      <c r="KC13" s="810"/>
      <c r="KD13" s="810"/>
      <c r="KE13" s="810"/>
      <c r="KF13" s="810"/>
      <c r="KG13" s="810"/>
      <c r="KH13" s="810"/>
      <c r="KI13" s="810"/>
      <c r="KJ13" s="810"/>
      <c r="KK13" s="810"/>
      <c r="KL13" s="810"/>
      <c r="KM13" s="810"/>
      <c r="KN13" s="810"/>
      <c r="KO13" s="810"/>
      <c r="KP13" s="810"/>
      <c r="KQ13" s="810"/>
      <c r="KR13" s="810"/>
      <c r="KS13" s="810"/>
      <c r="KT13" s="810"/>
      <c r="KU13" s="810"/>
      <c r="KV13" s="810"/>
      <c r="KW13" s="810"/>
      <c r="KX13" s="810"/>
      <c r="KY13" s="810"/>
      <c r="KZ13" s="810"/>
      <c r="LA13" s="810"/>
      <c r="LB13" s="810"/>
      <c r="LC13" s="810"/>
      <c r="LD13" s="810"/>
      <c r="LE13" s="810"/>
      <c r="LF13" s="810"/>
      <c r="LG13" s="810"/>
      <c r="LH13" s="810"/>
      <c r="LI13" s="810"/>
      <c r="LJ13" s="810"/>
      <c r="LK13" s="810"/>
      <c r="LL13" s="810"/>
      <c r="LM13" s="810"/>
      <c r="LN13" s="810"/>
      <c r="LO13" s="810"/>
      <c r="LP13" s="810"/>
      <c r="LQ13" s="810"/>
      <c r="LR13" s="810"/>
      <c r="LS13" s="810"/>
      <c r="LT13" s="810"/>
      <c r="LU13" s="810"/>
      <c r="LV13" s="810"/>
      <c r="LW13" s="810"/>
      <c r="LX13" s="810"/>
      <c r="LY13" s="810"/>
      <c r="LZ13" s="810"/>
      <c r="MA13" s="810"/>
      <c r="MB13" s="810"/>
      <c r="MC13" s="810"/>
      <c r="MD13" s="810"/>
      <c r="ME13" s="810"/>
      <c r="MF13" s="810"/>
      <c r="MG13" s="810"/>
      <c r="MH13" s="810"/>
      <c r="MI13" s="810"/>
      <c r="MJ13" s="810"/>
      <c r="MK13" s="810"/>
      <c r="ML13" s="810"/>
      <c r="MM13" s="810"/>
      <c r="MN13" s="810"/>
      <c r="MO13" s="810"/>
      <c r="MP13" s="810"/>
      <c r="MQ13" s="810"/>
      <c r="MR13" s="810"/>
      <c r="MS13" s="810"/>
      <c r="MT13" s="810"/>
      <c r="MU13" s="810"/>
      <c r="MV13" s="810"/>
      <c r="MW13" s="810"/>
      <c r="MX13" s="810"/>
      <c r="MY13" s="810"/>
      <c r="MZ13" s="810"/>
      <c r="NA13" s="810"/>
      <c r="NB13" s="810"/>
      <c r="NC13" s="810"/>
      <c r="ND13" s="810"/>
      <c r="NE13" s="810"/>
      <c r="NF13" s="810"/>
      <c r="NG13" s="810"/>
      <c r="NH13" s="810"/>
      <c r="NI13" s="810"/>
      <c r="NJ13" s="810"/>
      <c r="NK13" s="810"/>
      <c r="NL13" s="810"/>
      <c r="NM13" s="810"/>
      <c r="NN13" s="810"/>
      <c r="NO13" s="810"/>
      <c r="NP13" s="810"/>
      <c r="NQ13" s="810"/>
      <c r="NR13" s="810"/>
      <c r="NS13" s="810"/>
      <c r="NT13" s="810"/>
      <c r="NU13" s="810"/>
      <c r="NV13" s="810"/>
      <c r="NW13" s="810"/>
      <c r="NX13" s="810"/>
      <c r="NY13" s="810"/>
      <c r="NZ13" s="810"/>
      <c r="OA13" s="810"/>
      <c r="OB13" s="810"/>
      <c r="OC13" s="810"/>
      <c r="OD13" s="810"/>
      <c r="OE13" s="810"/>
      <c r="OF13" s="810"/>
      <c r="OG13" s="810"/>
      <c r="OH13" s="810"/>
      <c r="OI13" s="810"/>
      <c r="OJ13" s="810"/>
      <c r="OK13" s="810"/>
      <c r="OL13" s="810"/>
      <c r="OM13" s="810"/>
      <c r="ON13" s="810"/>
      <c r="OO13" s="810"/>
      <c r="OP13" s="810"/>
      <c r="OQ13" s="810"/>
      <c r="OR13" s="810"/>
      <c r="OS13" s="810"/>
      <c r="OT13" s="810"/>
      <c r="OU13" s="810"/>
      <c r="OV13" s="810"/>
      <c r="OW13" s="810"/>
      <c r="OX13" s="810"/>
      <c r="OY13" s="810"/>
      <c r="OZ13" s="810"/>
      <c r="PA13" s="810"/>
      <c r="PB13" s="810"/>
      <c r="PC13" s="810"/>
      <c r="PD13" s="810"/>
      <c r="PE13" s="810"/>
      <c r="PF13" s="810"/>
      <c r="PG13" s="810"/>
      <c r="PH13" s="810"/>
      <c r="PI13" s="810"/>
      <c r="PJ13" s="810"/>
      <c r="PK13" s="810"/>
      <c r="PL13" s="810"/>
      <c r="PM13" s="810"/>
      <c r="PN13" s="810"/>
      <c r="PO13" s="810"/>
      <c r="PP13" s="810"/>
      <c r="PQ13" s="810"/>
      <c r="PR13" s="810"/>
      <c r="PS13" s="810"/>
      <c r="PT13" s="810"/>
      <c r="PU13" s="810"/>
      <c r="PV13" s="810"/>
      <c r="PW13" s="810"/>
      <c r="PX13" s="810"/>
      <c r="PY13" s="810"/>
      <c r="PZ13" s="810"/>
      <c r="QA13" s="810"/>
      <c r="QB13" s="810"/>
      <c r="QC13" s="810"/>
      <c r="QD13" s="810"/>
      <c r="QE13" s="810"/>
      <c r="QF13" s="810"/>
      <c r="QG13" s="810"/>
      <c r="QH13" s="810"/>
      <c r="QI13" s="810"/>
      <c r="QJ13" s="810"/>
      <c r="QK13" s="810"/>
      <c r="QL13" s="810"/>
      <c r="QM13" s="810"/>
      <c r="QN13" s="810"/>
      <c r="QO13" s="810"/>
      <c r="QP13" s="810"/>
      <c r="QQ13" s="810"/>
      <c r="QR13" s="810"/>
      <c r="QS13" s="810"/>
      <c r="QT13" s="810"/>
      <c r="QU13" s="810"/>
      <c r="QV13" s="810"/>
      <c r="QW13" s="810"/>
      <c r="QX13" s="810"/>
      <c r="QY13" s="810"/>
      <c r="QZ13" s="810"/>
      <c r="RA13" s="810"/>
      <c r="RB13" s="810"/>
      <c r="RC13" s="810"/>
      <c r="RD13" s="810"/>
      <c r="RE13" s="810"/>
      <c r="RF13" s="810"/>
      <c r="RG13" s="810"/>
      <c r="RH13" s="810"/>
      <c r="RI13" s="810"/>
      <c r="RJ13" s="810"/>
      <c r="RK13" s="810"/>
      <c r="RL13" s="810"/>
      <c r="RM13" s="810"/>
      <c r="RN13" s="810"/>
      <c r="RO13" s="810"/>
      <c r="RP13" s="810"/>
      <c r="RQ13" s="810"/>
      <c r="RR13" s="810"/>
      <c r="RS13" s="810"/>
      <c r="RT13" s="810"/>
      <c r="RU13" s="810"/>
      <c r="RV13" s="810"/>
      <c r="RW13" s="810"/>
      <c r="RX13" s="810"/>
    </row>
    <row r="14" spans="1:492" s="811" customFormat="1" ht="20.100000000000001" customHeight="1">
      <c r="A14" s="799" t="s">
        <v>468</v>
      </c>
      <c r="B14" s="800" t="s">
        <v>461</v>
      </c>
      <c r="C14" s="801"/>
      <c r="D14" s="801"/>
      <c r="E14" s="801"/>
      <c r="F14" s="801"/>
      <c r="G14" s="801"/>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2"/>
      <c r="AN14" s="803"/>
      <c r="AO14" s="803"/>
      <c r="AP14" s="803"/>
      <c r="AQ14" s="804"/>
      <c r="AR14" s="475"/>
      <c r="AS14" s="475"/>
      <c r="AT14" s="475"/>
      <c r="AU14" s="475"/>
      <c r="AV14" s="470"/>
      <c r="AW14" s="803"/>
      <c r="AX14" s="803"/>
      <c r="AY14" s="803"/>
      <c r="AZ14" s="803"/>
      <c r="BA14" s="803"/>
      <c r="BB14" s="805"/>
      <c r="BC14" s="806"/>
      <c r="BD14" s="806"/>
      <c r="BE14" s="806"/>
      <c r="BF14" s="807"/>
      <c r="BG14" s="806"/>
      <c r="BH14" s="806"/>
      <c r="BI14" s="806"/>
      <c r="BJ14" s="806"/>
      <c r="BK14" s="808"/>
      <c r="BL14" s="812">
        <v>0</v>
      </c>
      <c r="BM14" s="809">
        <v>3.7</v>
      </c>
      <c r="BN14" s="806">
        <f>14-BM14-BL14</f>
        <v>10.3</v>
      </c>
      <c r="BO14" s="806">
        <f>17.2-BN14-BM14</f>
        <v>3.1999999999999984</v>
      </c>
      <c r="BP14" s="808">
        <f t="shared" si="20"/>
        <v>17.2</v>
      </c>
      <c r="BQ14" s="806">
        <f t="shared" si="21"/>
        <v>7</v>
      </c>
      <c r="BR14" s="806">
        <f t="shared" si="21"/>
        <v>6</v>
      </c>
      <c r="BS14" s="806">
        <v>8.6999999999999993</v>
      </c>
      <c r="BT14" s="806">
        <v>5.3</v>
      </c>
      <c r="BU14" s="820">
        <f t="shared" si="22"/>
        <v>27</v>
      </c>
      <c r="BV14" s="806">
        <f t="shared" si="23"/>
        <v>9</v>
      </c>
      <c r="BW14" s="806">
        <f t="shared" si="23"/>
        <v>2.0999999999999996</v>
      </c>
      <c r="BX14" s="806">
        <f t="shared" si="23"/>
        <v>9.9</v>
      </c>
      <c r="BY14" s="806">
        <f t="shared" si="23"/>
        <v>78.2</v>
      </c>
      <c r="BZ14" s="820">
        <f t="shared" si="24"/>
        <v>99.2</v>
      </c>
      <c r="CA14" s="806">
        <f t="shared" ref="CA14:CB14" si="27">CA26</f>
        <v>19.8</v>
      </c>
      <c r="CB14" s="806">
        <f t="shared" si="27"/>
        <v>11.7</v>
      </c>
      <c r="CC14" s="806"/>
      <c r="CD14" s="806"/>
      <c r="CE14" s="820">
        <f t="shared" si="26"/>
        <v>31.5</v>
      </c>
      <c r="CF14" s="810"/>
      <c r="CG14" s="475"/>
      <c r="CH14" s="966"/>
      <c r="CI14" s="810"/>
      <c r="CJ14" s="810"/>
      <c r="CK14" s="810"/>
      <c r="CL14" s="810"/>
      <c r="CM14" s="810"/>
      <c r="CN14" s="810"/>
      <c r="CO14" s="810"/>
      <c r="CP14" s="810"/>
      <c r="CQ14" s="810"/>
      <c r="CR14" s="810"/>
      <c r="CS14" s="810"/>
      <c r="CT14" s="810"/>
      <c r="CU14" s="810"/>
      <c r="CV14" s="810"/>
      <c r="CW14" s="810"/>
      <c r="CX14" s="810"/>
      <c r="CY14" s="810"/>
      <c r="CZ14" s="810"/>
      <c r="DA14" s="810"/>
      <c r="DB14" s="810"/>
      <c r="DC14" s="810"/>
      <c r="DD14" s="810"/>
      <c r="DE14" s="810"/>
      <c r="DF14" s="810"/>
      <c r="DG14" s="810"/>
      <c r="DH14" s="810"/>
      <c r="DI14" s="810"/>
      <c r="DJ14" s="810"/>
      <c r="DK14" s="810"/>
      <c r="DL14" s="810"/>
      <c r="DM14" s="810"/>
      <c r="DN14" s="810"/>
      <c r="DO14" s="810"/>
      <c r="DP14" s="810"/>
      <c r="DQ14" s="810"/>
      <c r="DR14" s="810"/>
      <c r="DS14" s="810"/>
      <c r="DT14" s="810"/>
      <c r="DU14" s="810"/>
      <c r="DV14" s="810"/>
      <c r="DW14" s="810"/>
      <c r="DX14" s="810"/>
      <c r="DY14" s="810"/>
      <c r="DZ14" s="810"/>
      <c r="EA14" s="810"/>
      <c r="EB14" s="810"/>
      <c r="EC14" s="810"/>
      <c r="ED14" s="810"/>
      <c r="EE14" s="810"/>
      <c r="EF14" s="810"/>
      <c r="EG14" s="810"/>
      <c r="EH14" s="810"/>
      <c r="EI14" s="810"/>
      <c r="EJ14" s="810"/>
      <c r="EK14" s="810"/>
      <c r="EL14" s="810"/>
      <c r="EM14" s="810"/>
      <c r="EN14" s="810"/>
      <c r="EO14" s="810"/>
      <c r="EP14" s="810"/>
      <c r="EQ14" s="810"/>
      <c r="ER14" s="810"/>
      <c r="ES14" s="810"/>
      <c r="ET14" s="810"/>
      <c r="EU14" s="810"/>
      <c r="EV14" s="810"/>
      <c r="EW14" s="810"/>
      <c r="EX14" s="810"/>
      <c r="EY14" s="810"/>
      <c r="EZ14" s="810"/>
      <c r="FA14" s="810"/>
      <c r="FB14" s="810"/>
      <c r="FC14" s="810"/>
      <c r="FD14" s="810"/>
      <c r="FE14" s="810"/>
      <c r="FF14" s="810"/>
      <c r="FG14" s="810"/>
      <c r="FH14" s="810"/>
      <c r="FI14" s="810"/>
      <c r="FJ14" s="810"/>
      <c r="FK14" s="810"/>
      <c r="FL14" s="810"/>
      <c r="FM14" s="810"/>
      <c r="FN14" s="810"/>
      <c r="FO14" s="810"/>
      <c r="FP14" s="810"/>
      <c r="FQ14" s="810"/>
      <c r="FR14" s="810"/>
      <c r="FS14" s="810"/>
      <c r="FT14" s="810"/>
      <c r="FU14" s="810"/>
      <c r="FV14" s="810"/>
      <c r="FW14" s="810"/>
      <c r="FX14" s="810"/>
      <c r="FY14" s="810"/>
      <c r="FZ14" s="810"/>
      <c r="GA14" s="810"/>
      <c r="GB14" s="810"/>
      <c r="GC14" s="810"/>
      <c r="GD14" s="810"/>
      <c r="GE14" s="810"/>
      <c r="GF14" s="810"/>
      <c r="GG14" s="810"/>
      <c r="GH14" s="810"/>
      <c r="GI14" s="810"/>
      <c r="GJ14" s="810"/>
      <c r="GK14" s="810"/>
      <c r="GL14" s="810"/>
      <c r="GM14" s="810"/>
      <c r="GN14" s="810"/>
      <c r="GO14" s="810"/>
      <c r="GP14" s="810"/>
      <c r="GQ14" s="810"/>
      <c r="GR14" s="810"/>
      <c r="GS14" s="810"/>
      <c r="GT14" s="810"/>
      <c r="GU14" s="810"/>
      <c r="GV14" s="810"/>
      <c r="GW14" s="810"/>
      <c r="GX14" s="810"/>
      <c r="GY14" s="810"/>
      <c r="GZ14" s="810"/>
      <c r="HA14" s="810"/>
      <c r="HB14" s="810"/>
      <c r="HC14" s="810"/>
      <c r="HD14" s="810"/>
      <c r="HE14" s="810"/>
      <c r="HF14" s="810"/>
      <c r="HG14" s="810"/>
      <c r="HH14" s="810"/>
      <c r="HI14" s="810"/>
      <c r="HJ14" s="810"/>
      <c r="HK14" s="810"/>
      <c r="HL14" s="810"/>
      <c r="HM14" s="810"/>
      <c r="HN14" s="810"/>
      <c r="HO14" s="810"/>
      <c r="HP14" s="810"/>
      <c r="HQ14" s="810"/>
      <c r="HR14" s="810"/>
      <c r="HS14" s="810"/>
      <c r="HT14" s="810"/>
      <c r="HU14" s="810"/>
      <c r="HV14" s="810"/>
      <c r="HW14" s="810"/>
      <c r="HX14" s="810"/>
      <c r="HY14" s="810"/>
      <c r="HZ14" s="810"/>
      <c r="IA14" s="810"/>
      <c r="IB14" s="810"/>
      <c r="IC14" s="810"/>
      <c r="ID14" s="810"/>
      <c r="IE14" s="810"/>
      <c r="IF14" s="810"/>
      <c r="IG14" s="810"/>
      <c r="IH14" s="810"/>
      <c r="II14" s="810"/>
      <c r="IJ14" s="810"/>
      <c r="IK14" s="810"/>
      <c r="IL14" s="810"/>
      <c r="IM14" s="810"/>
      <c r="IN14" s="810"/>
      <c r="IO14" s="810"/>
      <c r="IP14" s="810"/>
      <c r="IQ14" s="810"/>
      <c r="IR14" s="810"/>
      <c r="IS14" s="810"/>
      <c r="IT14" s="810"/>
      <c r="IU14" s="810"/>
      <c r="IV14" s="810"/>
      <c r="IW14" s="810"/>
      <c r="IX14" s="810"/>
      <c r="IY14" s="810"/>
      <c r="IZ14" s="810"/>
      <c r="JA14" s="810"/>
      <c r="JB14" s="810"/>
      <c r="JC14" s="810"/>
      <c r="JD14" s="810"/>
      <c r="JE14" s="810"/>
      <c r="JF14" s="810"/>
      <c r="JG14" s="810"/>
      <c r="JH14" s="810"/>
      <c r="JI14" s="810"/>
      <c r="JJ14" s="810"/>
      <c r="JK14" s="810"/>
      <c r="JL14" s="810"/>
      <c r="JM14" s="810"/>
      <c r="JN14" s="810"/>
      <c r="JO14" s="810"/>
      <c r="JP14" s="810"/>
      <c r="JQ14" s="810"/>
      <c r="JR14" s="810"/>
      <c r="JS14" s="810"/>
      <c r="JT14" s="810"/>
      <c r="JU14" s="810"/>
      <c r="JV14" s="810"/>
      <c r="JW14" s="810"/>
      <c r="JX14" s="810"/>
      <c r="JY14" s="810"/>
      <c r="JZ14" s="810"/>
      <c r="KA14" s="810"/>
      <c r="KB14" s="810"/>
      <c r="KC14" s="810"/>
      <c r="KD14" s="810"/>
      <c r="KE14" s="810"/>
      <c r="KF14" s="810"/>
      <c r="KG14" s="810"/>
      <c r="KH14" s="810"/>
      <c r="KI14" s="810"/>
      <c r="KJ14" s="810"/>
      <c r="KK14" s="810"/>
      <c r="KL14" s="810"/>
      <c r="KM14" s="810"/>
      <c r="KN14" s="810"/>
      <c r="KO14" s="810"/>
      <c r="KP14" s="810"/>
      <c r="KQ14" s="810"/>
      <c r="KR14" s="810"/>
      <c r="KS14" s="810"/>
      <c r="KT14" s="810"/>
      <c r="KU14" s="810"/>
      <c r="KV14" s="810"/>
      <c r="KW14" s="810"/>
      <c r="KX14" s="810"/>
      <c r="KY14" s="810"/>
      <c r="KZ14" s="810"/>
      <c r="LA14" s="810"/>
      <c r="LB14" s="810"/>
      <c r="LC14" s="810"/>
      <c r="LD14" s="810"/>
      <c r="LE14" s="810"/>
      <c r="LF14" s="810"/>
      <c r="LG14" s="810"/>
      <c r="LH14" s="810"/>
      <c r="LI14" s="810"/>
      <c r="LJ14" s="810"/>
      <c r="LK14" s="810"/>
      <c r="LL14" s="810"/>
      <c r="LM14" s="810"/>
      <c r="LN14" s="810"/>
      <c r="LO14" s="810"/>
      <c r="LP14" s="810"/>
      <c r="LQ14" s="810"/>
      <c r="LR14" s="810"/>
      <c r="LS14" s="810"/>
      <c r="LT14" s="810"/>
      <c r="LU14" s="810"/>
      <c r="LV14" s="810"/>
      <c r="LW14" s="810"/>
      <c r="LX14" s="810"/>
      <c r="LY14" s="810"/>
      <c r="LZ14" s="810"/>
      <c r="MA14" s="810"/>
      <c r="MB14" s="810"/>
      <c r="MC14" s="810"/>
      <c r="MD14" s="810"/>
      <c r="ME14" s="810"/>
      <c r="MF14" s="810"/>
      <c r="MG14" s="810"/>
      <c r="MH14" s="810"/>
      <c r="MI14" s="810"/>
      <c r="MJ14" s="810"/>
      <c r="MK14" s="810"/>
      <c r="ML14" s="810"/>
      <c r="MM14" s="810"/>
      <c r="MN14" s="810"/>
      <c r="MO14" s="810"/>
      <c r="MP14" s="810"/>
      <c r="MQ14" s="810"/>
      <c r="MR14" s="810"/>
      <c r="MS14" s="810"/>
      <c r="MT14" s="810"/>
      <c r="MU14" s="810"/>
      <c r="MV14" s="810"/>
      <c r="MW14" s="810"/>
      <c r="MX14" s="810"/>
      <c r="MY14" s="810"/>
      <c r="MZ14" s="810"/>
      <c r="NA14" s="810"/>
      <c r="NB14" s="810"/>
      <c r="NC14" s="810"/>
      <c r="ND14" s="810"/>
      <c r="NE14" s="810"/>
      <c r="NF14" s="810"/>
      <c r="NG14" s="810"/>
      <c r="NH14" s="810"/>
      <c r="NI14" s="810"/>
      <c r="NJ14" s="810"/>
      <c r="NK14" s="810"/>
      <c r="NL14" s="810"/>
      <c r="NM14" s="810"/>
      <c r="NN14" s="810"/>
      <c r="NO14" s="810"/>
      <c r="NP14" s="810"/>
      <c r="NQ14" s="810"/>
      <c r="NR14" s="810"/>
      <c r="NS14" s="810"/>
      <c r="NT14" s="810"/>
      <c r="NU14" s="810"/>
      <c r="NV14" s="810"/>
      <c r="NW14" s="810"/>
      <c r="NX14" s="810"/>
      <c r="NY14" s="810"/>
      <c r="NZ14" s="810"/>
      <c r="OA14" s="810"/>
      <c r="OB14" s="810"/>
      <c r="OC14" s="810"/>
      <c r="OD14" s="810"/>
      <c r="OE14" s="810"/>
      <c r="OF14" s="810"/>
      <c r="OG14" s="810"/>
      <c r="OH14" s="810"/>
      <c r="OI14" s="810"/>
      <c r="OJ14" s="810"/>
      <c r="OK14" s="810"/>
      <c r="OL14" s="810"/>
      <c r="OM14" s="810"/>
      <c r="ON14" s="810"/>
      <c r="OO14" s="810"/>
      <c r="OP14" s="810"/>
      <c r="OQ14" s="810"/>
      <c r="OR14" s="810"/>
      <c r="OS14" s="810"/>
      <c r="OT14" s="810"/>
      <c r="OU14" s="810"/>
      <c r="OV14" s="810"/>
      <c r="OW14" s="810"/>
      <c r="OX14" s="810"/>
      <c r="OY14" s="810"/>
      <c r="OZ14" s="810"/>
      <c r="PA14" s="810"/>
      <c r="PB14" s="810"/>
      <c r="PC14" s="810"/>
      <c r="PD14" s="810"/>
      <c r="PE14" s="810"/>
      <c r="PF14" s="810"/>
      <c r="PG14" s="810"/>
      <c r="PH14" s="810"/>
      <c r="PI14" s="810"/>
      <c r="PJ14" s="810"/>
      <c r="PK14" s="810"/>
      <c r="PL14" s="810"/>
      <c r="PM14" s="810"/>
      <c r="PN14" s="810"/>
      <c r="PO14" s="810"/>
      <c r="PP14" s="810"/>
      <c r="PQ14" s="810"/>
      <c r="PR14" s="810"/>
      <c r="PS14" s="810"/>
      <c r="PT14" s="810"/>
      <c r="PU14" s="810"/>
      <c r="PV14" s="810"/>
      <c r="PW14" s="810"/>
      <c r="PX14" s="810"/>
      <c r="PY14" s="810"/>
      <c r="PZ14" s="810"/>
      <c r="QA14" s="810"/>
      <c r="QB14" s="810"/>
      <c r="QC14" s="810"/>
      <c r="QD14" s="810"/>
      <c r="QE14" s="810"/>
      <c r="QF14" s="810"/>
      <c r="QG14" s="810"/>
      <c r="QH14" s="810"/>
      <c r="QI14" s="810"/>
      <c r="QJ14" s="810"/>
      <c r="QK14" s="810"/>
      <c r="QL14" s="810"/>
      <c r="QM14" s="810"/>
      <c r="QN14" s="810"/>
      <c r="QO14" s="810"/>
      <c r="QP14" s="810"/>
      <c r="QQ14" s="810"/>
      <c r="QR14" s="810"/>
      <c r="QS14" s="810"/>
      <c r="QT14" s="810"/>
      <c r="QU14" s="810"/>
      <c r="QV14" s="810"/>
      <c r="QW14" s="810"/>
      <c r="QX14" s="810"/>
      <c r="QY14" s="810"/>
      <c r="QZ14" s="810"/>
      <c r="RA14" s="810"/>
      <c r="RB14" s="810"/>
      <c r="RC14" s="810"/>
      <c r="RD14" s="810"/>
      <c r="RE14" s="810"/>
      <c r="RF14" s="810"/>
      <c r="RG14" s="810"/>
      <c r="RH14" s="810"/>
      <c r="RI14" s="810"/>
      <c r="RJ14" s="810"/>
      <c r="RK14" s="810"/>
      <c r="RL14" s="810"/>
      <c r="RM14" s="810"/>
      <c r="RN14" s="810"/>
      <c r="RO14" s="810"/>
      <c r="RP14" s="810"/>
      <c r="RQ14" s="810"/>
      <c r="RR14" s="810"/>
      <c r="RS14" s="810"/>
      <c r="RT14" s="810"/>
      <c r="RU14" s="810"/>
      <c r="RV14" s="810"/>
      <c r="RW14" s="810"/>
      <c r="RX14" s="810"/>
    </row>
    <row r="15" spans="1:492" s="811" customFormat="1" ht="20.100000000000001" customHeight="1">
      <c r="A15" s="799" t="s">
        <v>462</v>
      </c>
      <c r="B15" s="800" t="s">
        <v>463</v>
      </c>
      <c r="C15" s="801"/>
      <c r="D15" s="801"/>
      <c r="E15" s="801"/>
      <c r="F15" s="801"/>
      <c r="G15" s="801"/>
      <c r="H15" s="801"/>
      <c r="I15" s="801"/>
      <c r="J15" s="801"/>
      <c r="K15" s="801"/>
      <c r="L15" s="801"/>
      <c r="M15" s="801"/>
      <c r="N15" s="801"/>
      <c r="O15" s="801"/>
      <c r="P15" s="801"/>
      <c r="Q15" s="801"/>
      <c r="R15" s="801"/>
      <c r="S15" s="801"/>
      <c r="T15" s="801"/>
      <c r="U15" s="801"/>
      <c r="V15" s="801"/>
      <c r="W15" s="801"/>
      <c r="X15" s="801"/>
      <c r="Y15" s="801"/>
      <c r="Z15" s="801"/>
      <c r="AA15" s="801"/>
      <c r="AB15" s="801"/>
      <c r="AC15" s="801"/>
      <c r="AD15" s="801"/>
      <c r="AE15" s="801"/>
      <c r="AF15" s="801"/>
      <c r="AG15" s="801"/>
      <c r="AH15" s="801"/>
      <c r="AI15" s="801"/>
      <c r="AJ15" s="801"/>
      <c r="AK15" s="801"/>
      <c r="AL15" s="801"/>
      <c r="AM15" s="802"/>
      <c r="AN15" s="803"/>
      <c r="AO15" s="803"/>
      <c r="AP15" s="803"/>
      <c r="AQ15" s="804"/>
      <c r="AR15" s="475"/>
      <c r="AS15" s="475"/>
      <c r="AT15" s="475"/>
      <c r="AU15" s="475"/>
      <c r="AV15" s="470"/>
      <c r="AW15" s="803"/>
      <c r="AX15" s="803"/>
      <c r="AY15" s="803"/>
      <c r="AZ15" s="803"/>
      <c r="BA15" s="803"/>
      <c r="BB15" s="805"/>
      <c r="BC15" s="806"/>
      <c r="BD15" s="806"/>
      <c r="BE15" s="806"/>
      <c r="BF15" s="807"/>
      <c r="BG15" s="806"/>
      <c r="BH15" s="806"/>
      <c r="BI15" s="806"/>
      <c r="BJ15" s="806"/>
      <c r="BK15" s="808"/>
      <c r="BL15" s="812"/>
      <c r="BM15" s="809"/>
      <c r="BN15" s="806"/>
      <c r="BO15" s="806"/>
      <c r="BP15" s="808"/>
      <c r="BQ15" s="806">
        <f t="shared" si="21"/>
        <v>0</v>
      </c>
      <c r="BR15" s="806">
        <f t="shared" si="21"/>
        <v>0</v>
      </c>
      <c r="BS15" s="806">
        <v>25.9</v>
      </c>
      <c r="BT15" s="813">
        <v>-1.4</v>
      </c>
      <c r="BU15" s="820">
        <f t="shared" si="22"/>
        <v>24.5</v>
      </c>
      <c r="BV15" s="806">
        <f>BV27</f>
        <v>49.3</v>
      </c>
      <c r="BW15" s="806">
        <f t="shared" ref="BW15:BY15" si="28">BW27</f>
        <v>71.399999999999991</v>
      </c>
      <c r="BX15" s="806">
        <f t="shared" si="28"/>
        <v>82.200000000000017</v>
      </c>
      <c r="BY15" s="806">
        <f t="shared" si="28"/>
        <v>79.099999999999994</v>
      </c>
      <c r="BZ15" s="820">
        <f t="shared" si="24"/>
        <v>282</v>
      </c>
      <c r="CA15" s="806">
        <f t="shared" ref="CA15:CB15" si="29">CA27</f>
        <v>57.1</v>
      </c>
      <c r="CB15" s="806">
        <f t="shared" si="29"/>
        <v>65.599999999999994</v>
      </c>
      <c r="CC15" s="806"/>
      <c r="CD15" s="806"/>
      <c r="CE15" s="820">
        <f t="shared" si="26"/>
        <v>122.69999999999999</v>
      </c>
      <c r="CF15" s="810"/>
      <c r="CG15" s="475"/>
      <c r="CH15" s="966"/>
      <c r="CI15" s="810"/>
      <c r="CJ15" s="810"/>
      <c r="CK15" s="810"/>
      <c r="CL15" s="810"/>
      <c r="CM15" s="810"/>
      <c r="CN15" s="810"/>
      <c r="CO15" s="810"/>
      <c r="CP15" s="810"/>
      <c r="CQ15" s="810"/>
      <c r="CR15" s="810"/>
      <c r="CS15" s="810"/>
      <c r="CT15" s="810"/>
      <c r="CU15" s="810"/>
      <c r="CV15" s="810"/>
      <c r="CW15" s="810"/>
      <c r="CX15" s="810"/>
      <c r="CY15" s="810"/>
      <c r="CZ15" s="810"/>
      <c r="DA15" s="810"/>
      <c r="DB15" s="810"/>
      <c r="DC15" s="810"/>
      <c r="DD15" s="810"/>
      <c r="DE15" s="810"/>
      <c r="DF15" s="810"/>
      <c r="DG15" s="810"/>
      <c r="DH15" s="810"/>
      <c r="DI15" s="810"/>
      <c r="DJ15" s="810"/>
      <c r="DK15" s="810"/>
      <c r="DL15" s="810"/>
      <c r="DM15" s="810"/>
      <c r="DN15" s="810"/>
      <c r="DO15" s="810"/>
      <c r="DP15" s="810"/>
      <c r="DQ15" s="810"/>
      <c r="DR15" s="810"/>
      <c r="DS15" s="810"/>
      <c r="DT15" s="810"/>
      <c r="DU15" s="810"/>
      <c r="DV15" s="810"/>
      <c r="DW15" s="810"/>
      <c r="DX15" s="810"/>
      <c r="DY15" s="810"/>
      <c r="DZ15" s="810"/>
      <c r="EA15" s="810"/>
      <c r="EB15" s="810"/>
      <c r="EC15" s="810"/>
      <c r="ED15" s="810"/>
      <c r="EE15" s="810"/>
      <c r="EF15" s="810"/>
      <c r="EG15" s="810"/>
      <c r="EH15" s="810"/>
      <c r="EI15" s="810"/>
      <c r="EJ15" s="810"/>
      <c r="EK15" s="810"/>
      <c r="EL15" s="810"/>
      <c r="EM15" s="810"/>
      <c r="EN15" s="810"/>
      <c r="EO15" s="810"/>
      <c r="EP15" s="810"/>
      <c r="EQ15" s="810"/>
      <c r="ER15" s="810"/>
      <c r="ES15" s="810"/>
      <c r="ET15" s="810"/>
      <c r="EU15" s="810"/>
      <c r="EV15" s="810"/>
      <c r="EW15" s="810"/>
      <c r="EX15" s="810"/>
      <c r="EY15" s="810"/>
      <c r="EZ15" s="810"/>
      <c r="FA15" s="810"/>
      <c r="FB15" s="810"/>
      <c r="FC15" s="810"/>
      <c r="FD15" s="810"/>
      <c r="FE15" s="810"/>
      <c r="FF15" s="810"/>
      <c r="FG15" s="810"/>
      <c r="FH15" s="810"/>
      <c r="FI15" s="810"/>
      <c r="FJ15" s="810"/>
      <c r="FK15" s="810"/>
      <c r="FL15" s="810"/>
      <c r="FM15" s="810"/>
      <c r="FN15" s="810"/>
      <c r="FO15" s="810"/>
      <c r="FP15" s="810"/>
      <c r="FQ15" s="810"/>
      <c r="FR15" s="810"/>
      <c r="FS15" s="810"/>
      <c r="FT15" s="810"/>
      <c r="FU15" s="810"/>
      <c r="FV15" s="810"/>
      <c r="FW15" s="810"/>
      <c r="FX15" s="810"/>
      <c r="FY15" s="810"/>
      <c r="FZ15" s="810"/>
      <c r="GA15" s="810"/>
      <c r="GB15" s="810"/>
      <c r="GC15" s="810"/>
      <c r="GD15" s="810"/>
      <c r="GE15" s="810"/>
      <c r="GF15" s="810"/>
      <c r="GG15" s="810"/>
      <c r="GH15" s="810"/>
      <c r="GI15" s="810"/>
      <c r="GJ15" s="810"/>
      <c r="GK15" s="810"/>
      <c r="GL15" s="810"/>
      <c r="GM15" s="810"/>
      <c r="GN15" s="810"/>
      <c r="GO15" s="810"/>
      <c r="GP15" s="810"/>
      <c r="GQ15" s="810"/>
      <c r="GR15" s="810"/>
      <c r="GS15" s="810"/>
      <c r="GT15" s="810"/>
      <c r="GU15" s="810"/>
      <c r="GV15" s="810"/>
      <c r="GW15" s="810"/>
      <c r="GX15" s="810"/>
      <c r="GY15" s="810"/>
      <c r="GZ15" s="810"/>
      <c r="HA15" s="810"/>
      <c r="HB15" s="810"/>
      <c r="HC15" s="810"/>
      <c r="HD15" s="810"/>
      <c r="HE15" s="810"/>
      <c r="HF15" s="810"/>
      <c r="HG15" s="810"/>
      <c r="HH15" s="810"/>
      <c r="HI15" s="810"/>
      <c r="HJ15" s="810"/>
      <c r="HK15" s="810"/>
      <c r="HL15" s="810"/>
      <c r="HM15" s="810"/>
      <c r="HN15" s="810"/>
      <c r="HO15" s="810"/>
      <c r="HP15" s="810"/>
      <c r="HQ15" s="810"/>
      <c r="HR15" s="810"/>
      <c r="HS15" s="810"/>
      <c r="HT15" s="810"/>
      <c r="HU15" s="810"/>
      <c r="HV15" s="810"/>
      <c r="HW15" s="810"/>
      <c r="HX15" s="810"/>
      <c r="HY15" s="810"/>
      <c r="HZ15" s="810"/>
      <c r="IA15" s="810"/>
      <c r="IB15" s="810"/>
      <c r="IC15" s="810"/>
      <c r="ID15" s="810"/>
      <c r="IE15" s="810"/>
      <c r="IF15" s="810"/>
      <c r="IG15" s="810"/>
      <c r="IH15" s="810"/>
      <c r="II15" s="810"/>
      <c r="IJ15" s="810"/>
      <c r="IK15" s="810"/>
      <c r="IL15" s="810"/>
      <c r="IM15" s="810"/>
      <c r="IN15" s="810"/>
      <c r="IO15" s="810"/>
      <c r="IP15" s="810"/>
      <c r="IQ15" s="810"/>
      <c r="IR15" s="810"/>
      <c r="IS15" s="810"/>
      <c r="IT15" s="810"/>
      <c r="IU15" s="810"/>
      <c r="IV15" s="810"/>
      <c r="IW15" s="810"/>
      <c r="IX15" s="810"/>
      <c r="IY15" s="810"/>
      <c r="IZ15" s="810"/>
      <c r="JA15" s="810"/>
      <c r="JB15" s="810"/>
      <c r="JC15" s="810"/>
      <c r="JD15" s="810"/>
      <c r="JE15" s="810"/>
      <c r="JF15" s="810"/>
      <c r="JG15" s="810"/>
      <c r="JH15" s="810"/>
      <c r="JI15" s="810"/>
      <c r="JJ15" s="810"/>
      <c r="JK15" s="810"/>
      <c r="JL15" s="810"/>
      <c r="JM15" s="810"/>
      <c r="JN15" s="810"/>
      <c r="JO15" s="810"/>
      <c r="JP15" s="810"/>
      <c r="JQ15" s="810"/>
      <c r="JR15" s="810"/>
      <c r="JS15" s="810"/>
      <c r="JT15" s="810"/>
      <c r="JU15" s="810"/>
      <c r="JV15" s="810"/>
      <c r="JW15" s="810"/>
      <c r="JX15" s="810"/>
      <c r="JY15" s="810"/>
      <c r="JZ15" s="810"/>
      <c r="KA15" s="810"/>
      <c r="KB15" s="810"/>
      <c r="KC15" s="810"/>
      <c r="KD15" s="810"/>
      <c r="KE15" s="810"/>
      <c r="KF15" s="810"/>
      <c r="KG15" s="810"/>
      <c r="KH15" s="810"/>
      <c r="KI15" s="810"/>
      <c r="KJ15" s="810"/>
      <c r="KK15" s="810"/>
      <c r="KL15" s="810"/>
      <c r="KM15" s="810"/>
      <c r="KN15" s="810"/>
      <c r="KO15" s="810"/>
      <c r="KP15" s="810"/>
      <c r="KQ15" s="810"/>
      <c r="KR15" s="810"/>
      <c r="KS15" s="810"/>
      <c r="KT15" s="810"/>
      <c r="KU15" s="810"/>
      <c r="KV15" s="810"/>
      <c r="KW15" s="810"/>
      <c r="KX15" s="810"/>
      <c r="KY15" s="810"/>
      <c r="KZ15" s="810"/>
      <c r="LA15" s="810"/>
      <c r="LB15" s="810"/>
      <c r="LC15" s="810"/>
      <c r="LD15" s="810"/>
      <c r="LE15" s="810"/>
      <c r="LF15" s="810"/>
      <c r="LG15" s="810"/>
      <c r="LH15" s="810"/>
      <c r="LI15" s="810"/>
      <c r="LJ15" s="810"/>
      <c r="LK15" s="810"/>
      <c r="LL15" s="810"/>
      <c r="LM15" s="810"/>
      <c r="LN15" s="810"/>
      <c r="LO15" s="810"/>
      <c r="LP15" s="810"/>
      <c r="LQ15" s="810"/>
      <c r="LR15" s="810"/>
      <c r="LS15" s="810"/>
      <c r="LT15" s="810"/>
      <c r="LU15" s="810"/>
      <c r="LV15" s="810"/>
      <c r="LW15" s="810"/>
      <c r="LX15" s="810"/>
      <c r="LY15" s="810"/>
      <c r="LZ15" s="810"/>
      <c r="MA15" s="810"/>
      <c r="MB15" s="810"/>
      <c r="MC15" s="810"/>
      <c r="MD15" s="810"/>
      <c r="ME15" s="810"/>
      <c r="MF15" s="810"/>
      <c r="MG15" s="810"/>
      <c r="MH15" s="810"/>
      <c r="MI15" s="810"/>
      <c r="MJ15" s="810"/>
      <c r="MK15" s="810"/>
      <c r="ML15" s="810"/>
      <c r="MM15" s="810"/>
      <c r="MN15" s="810"/>
      <c r="MO15" s="810"/>
      <c r="MP15" s="810"/>
      <c r="MQ15" s="810"/>
      <c r="MR15" s="810"/>
      <c r="MS15" s="810"/>
      <c r="MT15" s="810"/>
      <c r="MU15" s="810"/>
      <c r="MV15" s="810"/>
      <c r="MW15" s="810"/>
      <c r="MX15" s="810"/>
      <c r="MY15" s="810"/>
      <c r="MZ15" s="810"/>
      <c r="NA15" s="810"/>
      <c r="NB15" s="810"/>
      <c r="NC15" s="810"/>
      <c r="ND15" s="810"/>
      <c r="NE15" s="810"/>
      <c r="NF15" s="810"/>
      <c r="NG15" s="810"/>
      <c r="NH15" s="810"/>
      <c r="NI15" s="810"/>
      <c r="NJ15" s="810"/>
      <c r="NK15" s="810"/>
      <c r="NL15" s="810"/>
      <c r="NM15" s="810"/>
      <c r="NN15" s="810"/>
      <c r="NO15" s="810"/>
      <c r="NP15" s="810"/>
      <c r="NQ15" s="810"/>
      <c r="NR15" s="810"/>
      <c r="NS15" s="810"/>
      <c r="NT15" s="810"/>
      <c r="NU15" s="810"/>
      <c r="NV15" s="810"/>
      <c r="NW15" s="810"/>
      <c r="NX15" s="810"/>
      <c r="NY15" s="810"/>
      <c r="NZ15" s="810"/>
      <c r="OA15" s="810"/>
      <c r="OB15" s="810"/>
      <c r="OC15" s="810"/>
      <c r="OD15" s="810"/>
      <c r="OE15" s="810"/>
      <c r="OF15" s="810"/>
      <c r="OG15" s="810"/>
      <c r="OH15" s="810"/>
      <c r="OI15" s="810"/>
      <c r="OJ15" s="810"/>
      <c r="OK15" s="810"/>
      <c r="OL15" s="810"/>
      <c r="OM15" s="810"/>
      <c r="ON15" s="810"/>
      <c r="OO15" s="810"/>
      <c r="OP15" s="810"/>
      <c r="OQ15" s="810"/>
      <c r="OR15" s="810"/>
      <c r="OS15" s="810"/>
      <c r="OT15" s="810"/>
      <c r="OU15" s="810"/>
      <c r="OV15" s="810"/>
      <c r="OW15" s="810"/>
      <c r="OX15" s="810"/>
      <c r="OY15" s="810"/>
      <c r="OZ15" s="810"/>
      <c r="PA15" s="810"/>
      <c r="PB15" s="810"/>
      <c r="PC15" s="810"/>
      <c r="PD15" s="810"/>
      <c r="PE15" s="810"/>
      <c r="PF15" s="810"/>
      <c r="PG15" s="810"/>
      <c r="PH15" s="810"/>
      <c r="PI15" s="810"/>
      <c r="PJ15" s="810"/>
      <c r="PK15" s="810"/>
      <c r="PL15" s="810"/>
      <c r="PM15" s="810"/>
      <c r="PN15" s="810"/>
      <c r="PO15" s="810"/>
      <c r="PP15" s="810"/>
      <c r="PQ15" s="810"/>
      <c r="PR15" s="810"/>
      <c r="PS15" s="810"/>
      <c r="PT15" s="810"/>
      <c r="PU15" s="810"/>
      <c r="PV15" s="810"/>
      <c r="PW15" s="810"/>
      <c r="PX15" s="810"/>
      <c r="PY15" s="810"/>
      <c r="PZ15" s="810"/>
      <c r="QA15" s="810"/>
      <c r="QB15" s="810"/>
      <c r="QC15" s="810"/>
      <c r="QD15" s="810"/>
      <c r="QE15" s="810"/>
      <c r="QF15" s="810"/>
      <c r="QG15" s="810"/>
      <c r="QH15" s="810"/>
      <c r="QI15" s="810"/>
      <c r="QJ15" s="810"/>
      <c r="QK15" s="810"/>
      <c r="QL15" s="810"/>
      <c r="QM15" s="810"/>
      <c r="QN15" s="810"/>
      <c r="QO15" s="810"/>
      <c r="QP15" s="810"/>
      <c r="QQ15" s="810"/>
      <c r="QR15" s="810"/>
      <c r="QS15" s="810"/>
      <c r="QT15" s="810"/>
      <c r="QU15" s="810"/>
      <c r="QV15" s="810"/>
      <c r="QW15" s="810"/>
      <c r="QX15" s="810"/>
      <c r="QY15" s="810"/>
      <c r="QZ15" s="810"/>
      <c r="RA15" s="810"/>
      <c r="RB15" s="810"/>
      <c r="RC15" s="810"/>
      <c r="RD15" s="810"/>
      <c r="RE15" s="810"/>
      <c r="RF15" s="810"/>
      <c r="RG15" s="810"/>
      <c r="RH15" s="810"/>
      <c r="RI15" s="810"/>
      <c r="RJ15" s="810"/>
      <c r="RK15" s="810"/>
      <c r="RL15" s="810"/>
      <c r="RM15" s="810"/>
      <c r="RN15" s="810"/>
      <c r="RO15" s="810"/>
      <c r="RP15" s="810"/>
      <c r="RQ15" s="810"/>
      <c r="RR15" s="810"/>
      <c r="RS15" s="810"/>
      <c r="RT15" s="810"/>
      <c r="RU15" s="810"/>
      <c r="RV15" s="810"/>
      <c r="RW15" s="810"/>
      <c r="RX15" s="810"/>
    </row>
    <row r="16" spans="1:492" s="811" customFormat="1" ht="20.100000000000001" customHeight="1" thickBot="1">
      <c r="A16" s="799" t="s">
        <v>464</v>
      </c>
      <c r="B16" s="800" t="s">
        <v>465</v>
      </c>
      <c r="C16" s="801"/>
      <c r="D16" s="801"/>
      <c r="E16" s="801"/>
      <c r="F16" s="801"/>
      <c r="G16" s="801"/>
      <c r="H16" s="801"/>
      <c r="I16" s="801"/>
      <c r="J16" s="801"/>
      <c r="K16" s="801"/>
      <c r="L16" s="801"/>
      <c r="M16" s="801"/>
      <c r="N16" s="801"/>
      <c r="O16" s="801"/>
      <c r="P16" s="801"/>
      <c r="Q16" s="801"/>
      <c r="R16" s="801"/>
      <c r="S16" s="801"/>
      <c r="T16" s="801"/>
      <c r="U16" s="801"/>
      <c r="V16" s="801"/>
      <c r="W16" s="801"/>
      <c r="X16" s="801"/>
      <c r="Y16" s="801"/>
      <c r="Z16" s="801"/>
      <c r="AA16" s="801"/>
      <c r="AB16" s="801"/>
      <c r="AC16" s="801"/>
      <c r="AD16" s="801"/>
      <c r="AE16" s="801"/>
      <c r="AF16" s="801"/>
      <c r="AG16" s="801"/>
      <c r="AH16" s="801"/>
      <c r="AI16" s="801"/>
      <c r="AJ16" s="801"/>
      <c r="AK16" s="801"/>
      <c r="AL16" s="801"/>
      <c r="AM16" s="802"/>
      <c r="AN16" s="803"/>
      <c r="AO16" s="803"/>
      <c r="AP16" s="803"/>
      <c r="AQ16" s="804"/>
      <c r="AR16" s="481"/>
      <c r="AS16" s="481"/>
      <c r="AT16" s="481"/>
      <c r="AU16" s="481"/>
      <c r="AV16" s="482"/>
      <c r="AW16" s="803"/>
      <c r="AX16" s="803"/>
      <c r="AY16" s="803"/>
      <c r="AZ16" s="803"/>
      <c r="BA16" s="803"/>
      <c r="BB16" s="805"/>
      <c r="BC16" s="806"/>
      <c r="BD16" s="806"/>
      <c r="BE16" s="806"/>
      <c r="BF16" s="807"/>
      <c r="BG16" s="806"/>
      <c r="BH16" s="806"/>
      <c r="BI16" s="806"/>
      <c r="BJ16" s="806"/>
      <c r="BK16" s="808"/>
      <c r="BL16" s="812"/>
      <c r="BM16" s="813">
        <v>-2.2000000000000002</v>
      </c>
      <c r="BN16" s="813">
        <f>-7.9-BM16-BL16</f>
        <v>-5.7</v>
      </c>
      <c r="BO16" s="806">
        <f>-5.1-BN16-BM16</f>
        <v>2.8000000000000007</v>
      </c>
      <c r="BP16" s="808">
        <f t="shared" si="20"/>
        <v>-5.0999999999999996</v>
      </c>
      <c r="BQ16" s="813">
        <f t="shared" si="21"/>
        <v>-1.5</v>
      </c>
      <c r="BR16" s="813">
        <f t="shared" si="21"/>
        <v>0.8</v>
      </c>
      <c r="BS16" s="813">
        <v>-1.2999999999999998</v>
      </c>
      <c r="BT16" s="813">
        <v>-3.1</v>
      </c>
      <c r="BU16" s="820">
        <f t="shared" si="22"/>
        <v>-5.0999999999999996</v>
      </c>
      <c r="BV16" s="813">
        <v>0</v>
      </c>
      <c r="BW16" s="813">
        <v>0</v>
      </c>
      <c r="BX16" s="813">
        <v>0</v>
      </c>
      <c r="BY16" s="813"/>
      <c r="BZ16" s="822">
        <f t="shared" si="24"/>
        <v>0</v>
      </c>
      <c r="CA16" s="813">
        <v>0</v>
      </c>
      <c r="CB16" s="813">
        <v>0</v>
      </c>
      <c r="CC16" s="813"/>
      <c r="CD16" s="813"/>
      <c r="CE16" s="822">
        <f t="shared" si="26"/>
        <v>0</v>
      </c>
      <c r="CF16" s="810"/>
      <c r="CG16" s="475"/>
      <c r="CH16" s="966"/>
      <c r="CI16" s="810"/>
      <c r="CJ16" s="810"/>
      <c r="CK16" s="810"/>
      <c r="CL16" s="810"/>
      <c r="CM16" s="810"/>
      <c r="CN16" s="810"/>
      <c r="CO16" s="810"/>
      <c r="CP16" s="810"/>
      <c r="CQ16" s="810"/>
      <c r="CR16" s="810"/>
      <c r="CS16" s="810"/>
      <c r="CT16" s="810"/>
      <c r="CU16" s="810"/>
      <c r="CV16" s="810"/>
      <c r="CW16" s="810"/>
      <c r="CX16" s="810"/>
      <c r="CY16" s="810"/>
      <c r="CZ16" s="810"/>
      <c r="DA16" s="810"/>
      <c r="DB16" s="810"/>
      <c r="DC16" s="810"/>
      <c r="DD16" s="810"/>
      <c r="DE16" s="810"/>
      <c r="DF16" s="810"/>
      <c r="DG16" s="810"/>
      <c r="DH16" s="810"/>
      <c r="DI16" s="810"/>
      <c r="DJ16" s="810"/>
      <c r="DK16" s="810"/>
      <c r="DL16" s="810"/>
      <c r="DM16" s="810"/>
      <c r="DN16" s="810"/>
      <c r="DO16" s="810"/>
      <c r="DP16" s="810"/>
      <c r="DQ16" s="810"/>
      <c r="DR16" s="810"/>
      <c r="DS16" s="810"/>
      <c r="DT16" s="810"/>
      <c r="DU16" s="810"/>
      <c r="DV16" s="810"/>
      <c r="DW16" s="810"/>
      <c r="DX16" s="810"/>
      <c r="DY16" s="810"/>
      <c r="DZ16" s="810"/>
      <c r="EA16" s="810"/>
      <c r="EB16" s="810"/>
      <c r="EC16" s="810"/>
      <c r="ED16" s="810"/>
      <c r="EE16" s="810"/>
      <c r="EF16" s="810"/>
      <c r="EG16" s="810"/>
      <c r="EH16" s="810"/>
      <c r="EI16" s="810"/>
      <c r="EJ16" s="810"/>
      <c r="EK16" s="810"/>
      <c r="EL16" s="810"/>
      <c r="EM16" s="810"/>
      <c r="EN16" s="810"/>
      <c r="EO16" s="810"/>
      <c r="EP16" s="810"/>
      <c r="EQ16" s="810"/>
      <c r="ER16" s="810"/>
      <c r="ES16" s="810"/>
      <c r="ET16" s="810"/>
      <c r="EU16" s="810"/>
      <c r="EV16" s="810"/>
      <c r="EW16" s="810"/>
      <c r="EX16" s="810"/>
      <c r="EY16" s="810"/>
      <c r="EZ16" s="810"/>
      <c r="FA16" s="810"/>
      <c r="FB16" s="810"/>
      <c r="FC16" s="810"/>
      <c r="FD16" s="810"/>
      <c r="FE16" s="810"/>
      <c r="FF16" s="810"/>
      <c r="FG16" s="810"/>
      <c r="FH16" s="810"/>
      <c r="FI16" s="810"/>
      <c r="FJ16" s="810"/>
      <c r="FK16" s="810"/>
      <c r="FL16" s="810"/>
      <c r="FM16" s="810"/>
      <c r="FN16" s="810"/>
      <c r="FO16" s="810"/>
      <c r="FP16" s="810"/>
      <c r="FQ16" s="810"/>
      <c r="FR16" s="810"/>
      <c r="FS16" s="810"/>
      <c r="FT16" s="810"/>
      <c r="FU16" s="810"/>
      <c r="FV16" s="810"/>
      <c r="FW16" s="810"/>
      <c r="FX16" s="810"/>
      <c r="FY16" s="810"/>
      <c r="FZ16" s="810"/>
      <c r="GA16" s="810"/>
      <c r="GB16" s="810"/>
      <c r="GC16" s="810"/>
      <c r="GD16" s="810"/>
      <c r="GE16" s="810"/>
      <c r="GF16" s="810"/>
      <c r="GG16" s="810"/>
      <c r="GH16" s="810"/>
      <c r="GI16" s="810"/>
      <c r="GJ16" s="810"/>
      <c r="GK16" s="810"/>
      <c r="GL16" s="810"/>
      <c r="GM16" s="810"/>
      <c r="GN16" s="810"/>
      <c r="GO16" s="810"/>
      <c r="GP16" s="810"/>
      <c r="GQ16" s="810"/>
      <c r="GR16" s="810"/>
      <c r="GS16" s="810"/>
      <c r="GT16" s="810"/>
      <c r="GU16" s="810"/>
      <c r="GV16" s="810"/>
      <c r="GW16" s="810"/>
      <c r="GX16" s="810"/>
      <c r="GY16" s="810"/>
      <c r="GZ16" s="810"/>
      <c r="HA16" s="810"/>
      <c r="HB16" s="810"/>
      <c r="HC16" s="810"/>
      <c r="HD16" s="810"/>
      <c r="HE16" s="810"/>
      <c r="HF16" s="810"/>
      <c r="HG16" s="810"/>
      <c r="HH16" s="810"/>
      <c r="HI16" s="810"/>
      <c r="HJ16" s="810"/>
      <c r="HK16" s="810"/>
      <c r="HL16" s="810"/>
      <c r="HM16" s="810"/>
      <c r="HN16" s="810"/>
      <c r="HO16" s="810"/>
      <c r="HP16" s="810"/>
      <c r="HQ16" s="810"/>
      <c r="HR16" s="810"/>
      <c r="HS16" s="810"/>
      <c r="HT16" s="810"/>
      <c r="HU16" s="810"/>
      <c r="HV16" s="810"/>
      <c r="HW16" s="810"/>
      <c r="HX16" s="810"/>
      <c r="HY16" s="810"/>
      <c r="HZ16" s="810"/>
      <c r="IA16" s="810"/>
      <c r="IB16" s="810"/>
      <c r="IC16" s="810"/>
      <c r="ID16" s="810"/>
      <c r="IE16" s="810"/>
      <c r="IF16" s="810"/>
      <c r="IG16" s="810"/>
      <c r="IH16" s="810"/>
      <c r="II16" s="810"/>
      <c r="IJ16" s="810"/>
      <c r="IK16" s="810"/>
      <c r="IL16" s="810"/>
      <c r="IM16" s="810"/>
      <c r="IN16" s="810"/>
      <c r="IO16" s="810"/>
      <c r="IP16" s="810"/>
      <c r="IQ16" s="810"/>
      <c r="IR16" s="810"/>
      <c r="IS16" s="810"/>
      <c r="IT16" s="810"/>
      <c r="IU16" s="810"/>
      <c r="IV16" s="810"/>
      <c r="IW16" s="810"/>
      <c r="IX16" s="810"/>
      <c r="IY16" s="810"/>
      <c r="IZ16" s="810"/>
      <c r="JA16" s="810"/>
      <c r="JB16" s="810"/>
      <c r="JC16" s="810"/>
      <c r="JD16" s="810"/>
      <c r="JE16" s="810"/>
      <c r="JF16" s="810"/>
      <c r="JG16" s="810"/>
      <c r="JH16" s="810"/>
      <c r="JI16" s="810"/>
      <c r="JJ16" s="810"/>
      <c r="JK16" s="810"/>
      <c r="JL16" s="810"/>
      <c r="JM16" s="810"/>
      <c r="JN16" s="810"/>
      <c r="JO16" s="810"/>
      <c r="JP16" s="810"/>
      <c r="JQ16" s="810"/>
      <c r="JR16" s="810"/>
      <c r="JS16" s="810"/>
      <c r="JT16" s="810"/>
      <c r="JU16" s="810"/>
      <c r="JV16" s="810"/>
      <c r="JW16" s="810"/>
      <c r="JX16" s="810"/>
      <c r="JY16" s="810"/>
      <c r="JZ16" s="810"/>
      <c r="KA16" s="810"/>
      <c r="KB16" s="810"/>
      <c r="KC16" s="810"/>
      <c r="KD16" s="810"/>
      <c r="KE16" s="810"/>
      <c r="KF16" s="810"/>
      <c r="KG16" s="810"/>
      <c r="KH16" s="810"/>
      <c r="KI16" s="810"/>
      <c r="KJ16" s="810"/>
      <c r="KK16" s="810"/>
      <c r="KL16" s="810"/>
      <c r="KM16" s="810"/>
      <c r="KN16" s="810"/>
      <c r="KO16" s="810"/>
      <c r="KP16" s="810"/>
      <c r="KQ16" s="810"/>
      <c r="KR16" s="810"/>
      <c r="KS16" s="810"/>
      <c r="KT16" s="810"/>
      <c r="KU16" s="810"/>
      <c r="KV16" s="810"/>
      <c r="KW16" s="810"/>
      <c r="KX16" s="810"/>
      <c r="KY16" s="810"/>
      <c r="KZ16" s="810"/>
      <c r="LA16" s="810"/>
      <c r="LB16" s="810"/>
      <c r="LC16" s="810"/>
      <c r="LD16" s="810"/>
      <c r="LE16" s="810"/>
      <c r="LF16" s="810"/>
      <c r="LG16" s="810"/>
      <c r="LH16" s="810"/>
      <c r="LI16" s="810"/>
      <c r="LJ16" s="810"/>
      <c r="LK16" s="810"/>
      <c r="LL16" s="810"/>
      <c r="LM16" s="810"/>
      <c r="LN16" s="810"/>
      <c r="LO16" s="810"/>
      <c r="LP16" s="810"/>
      <c r="LQ16" s="810"/>
      <c r="LR16" s="810"/>
      <c r="LS16" s="810"/>
      <c r="LT16" s="810"/>
      <c r="LU16" s="810"/>
      <c r="LV16" s="810"/>
      <c r="LW16" s="810"/>
      <c r="LX16" s="810"/>
      <c r="LY16" s="810"/>
      <c r="LZ16" s="810"/>
      <c r="MA16" s="810"/>
      <c r="MB16" s="810"/>
      <c r="MC16" s="810"/>
      <c r="MD16" s="810"/>
      <c r="ME16" s="810"/>
      <c r="MF16" s="810"/>
      <c r="MG16" s="810"/>
      <c r="MH16" s="810"/>
      <c r="MI16" s="810"/>
      <c r="MJ16" s="810"/>
      <c r="MK16" s="810"/>
      <c r="ML16" s="810"/>
      <c r="MM16" s="810"/>
      <c r="MN16" s="810"/>
      <c r="MO16" s="810"/>
      <c r="MP16" s="810"/>
      <c r="MQ16" s="810"/>
      <c r="MR16" s="810"/>
      <c r="MS16" s="810"/>
      <c r="MT16" s="810"/>
      <c r="MU16" s="810"/>
      <c r="MV16" s="810"/>
      <c r="MW16" s="810"/>
      <c r="MX16" s="810"/>
      <c r="MY16" s="810"/>
      <c r="MZ16" s="810"/>
      <c r="NA16" s="810"/>
      <c r="NB16" s="810"/>
      <c r="NC16" s="810"/>
      <c r="ND16" s="810"/>
      <c r="NE16" s="810"/>
      <c r="NF16" s="810"/>
      <c r="NG16" s="810"/>
      <c r="NH16" s="810"/>
      <c r="NI16" s="810"/>
      <c r="NJ16" s="810"/>
      <c r="NK16" s="810"/>
      <c r="NL16" s="810"/>
      <c r="NM16" s="810"/>
      <c r="NN16" s="810"/>
      <c r="NO16" s="810"/>
      <c r="NP16" s="810"/>
      <c r="NQ16" s="810"/>
      <c r="NR16" s="810"/>
      <c r="NS16" s="810"/>
      <c r="NT16" s="810"/>
      <c r="NU16" s="810"/>
      <c r="NV16" s="810"/>
      <c r="NW16" s="810"/>
      <c r="NX16" s="810"/>
      <c r="NY16" s="810"/>
      <c r="NZ16" s="810"/>
      <c r="OA16" s="810"/>
      <c r="OB16" s="810"/>
      <c r="OC16" s="810"/>
      <c r="OD16" s="810"/>
      <c r="OE16" s="810"/>
      <c r="OF16" s="810"/>
      <c r="OG16" s="810"/>
      <c r="OH16" s="810"/>
      <c r="OI16" s="810"/>
      <c r="OJ16" s="810"/>
      <c r="OK16" s="810"/>
      <c r="OL16" s="810"/>
      <c r="OM16" s="810"/>
      <c r="ON16" s="810"/>
      <c r="OO16" s="810"/>
      <c r="OP16" s="810"/>
      <c r="OQ16" s="810"/>
      <c r="OR16" s="810"/>
      <c r="OS16" s="810"/>
      <c r="OT16" s="810"/>
      <c r="OU16" s="810"/>
      <c r="OV16" s="810"/>
      <c r="OW16" s="810"/>
      <c r="OX16" s="810"/>
      <c r="OY16" s="810"/>
      <c r="OZ16" s="810"/>
      <c r="PA16" s="810"/>
      <c r="PB16" s="810"/>
      <c r="PC16" s="810"/>
      <c r="PD16" s="810"/>
      <c r="PE16" s="810"/>
      <c r="PF16" s="810"/>
      <c r="PG16" s="810"/>
      <c r="PH16" s="810"/>
      <c r="PI16" s="810"/>
      <c r="PJ16" s="810"/>
      <c r="PK16" s="810"/>
      <c r="PL16" s="810"/>
      <c r="PM16" s="810"/>
      <c r="PN16" s="810"/>
      <c r="PO16" s="810"/>
      <c r="PP16" s="810"/>
      <c r="PQ16" s="810"/>
      <c r="PR16" s="810"/>
      <c r="PS16" s="810"/>
      <c r="PT16" s="810"/>
      <c r="PU16" s="810"/>
      <c r="PV16" s="810"/>
      <c r="PW16" s="810"/>
      <c r="PX16" s="810"/>
      <c r="PY16" s="810"/>
      <c r="PZ16" s="810"/>
      <c r="QA16" s="810"/>
      <c r="QB16" s="810"/>
      <c r="QC16" s="810"/>
      <c r="QD16" s="810"/>
      <c r="QE16" s="810"/>
      <c r="QF16" s="810"/>
      <c r="QG16" s="810"/>
      <c r="QH16" s="810"/>
      <c r="QI16" s="810"/>
      <c r="QJ16" s="810"/>
      <c r="QK16" s="810"/>
      <c r="QL16" s="810"/>
      <c r="QM16" s="810"/>
      <c r="QN16" s="810"/>
      <c r="QO16" s="810"/>
      <c r="QP16" s="810"/>
      <c r="QQ16" s="810"/>
      <c r="QR16" s="810"/>
      <c r="QS16" s="810"/>
      <c r="QT16" s="810"/>
      <c r="QU16" s="810"/>
      <c r="QV16" s="810"/>
      <c r="QW16" s="810"/>
      <c r="QX16" s="810"/>
      <c r="QY16" s="810"/>
      <c r="QZ16" s="810"/>
      <c r="RA16" s="810"/>
      <c r="RB16" s="810"/>
      <c r="RC16" s="810"/>
      <c r="RD16" s="810"/>
      <c r="RE16" s="810"/>
      <c r="RF16" s="810"/>
      <c r="RG16" s="810"/>
      <c r="RH16" s="810"/>
      <c r="RI16" s="810"/>
      <c r="RJ16" s="810"/>
      <c r="RK16" s="810"/>
      <c r="RL16" s="810"/>
      <c r="RM16" s="810"/>
      <c r="RN16" s="810"/>
      <c r="RO16" s="810"/>
      <c r="RP16" s="810"/>
      <c r="RQ16" s="810"/>
      <c r="RR16" s="810"/>
      <c r="RS16" s="810"/>
      <c r="RT16" s="810"/>
      <c r="RU16" s="810"/>
      <c r="RV16" s="810"/>
      <c r="RW16" s="810"/>
      <c r="RX16" s="810"/>
    </row>
    <row r="17" spans="1:492" s="59" customFormat="1" ht="20.25" customHeight="1" thickBot="1">
      <c r="A17" s="490" t="s">
        <v>800</v>
      </c>
      <c r="B17" s="511" t="s">
        <v>801</v>
      </c>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502"/>
      <c r="AN17" s="392"/>
      <c r="AO17" s="392"/>
      <c r="AP17" s="392"/>
      <c r="AQ17" s="503"/>
      <c r="AR17" s="395"/>
      <c r="AS17" s="395"/>
      <c r="AT17" s="395"/>
      <c r="AU17" s="395"/>
      <c r="AV17" s="396"/>
      <c r="AW17" s="392"/>
      <c r="AX17" s="392"/>
      <c r="AY17" s="392"/>
      <c r="AZ17" s="392"/>
      <c r="BA17" s="494"/>
      <c r="BB17" s="502"/>
      <c r="BC17" s="392"/>
      <c r="BD17" s="392"/>
      <c r="BE17" s="392"/>
      <c r="BF17" s="503"/>
      <c r="BG17" s="392"/>
      <c r="BH17" s="392"/>
      <c r="BI17" s="392"/>
      <c r="BJ17" s="392"/>
      <c r="BK17" s="503"/>
      <c r="BL17" s="392">
        <f>SUM(BL18:BL22)</f>
        <v>-34.1</v>
      </c>
      <c r="BM17" s="670">
        <f>SUM(BM18:BM22)</f>
        <v>0</v>
      </c>
      <c r="BN17" s="392">
        <f>SUM(BN18:BN22)</f>
        <v>0</v>
      </c>
      <c r="BO17" s="392">
        <f>SUM(BO18:BO22)</f>
        <v>0</v>
      </c>
      <c r="BP17" s="821">
        <f>SUM(BP18:BP20)</f>
        <v>-34.1</v>
      </c>
      <c r="BQ17" s="392">
        <f>SUM(BQ18:BQ22)</f>
        <v>0</v>
      </c>
      <c r="BR17" s="670">
        <f>SUM(BR18:BR22)</f>
        <v>0</v>
      </c>
      <c r="BS17" s="392">
        <f>SUM(BS18:BS22)</f>
        <v>220.1</v>
      </c>
      <c r="BT17" s="392">
        <f>SUM(BT18:BT22)</f>
        <v>-0.4</v>
      </c>
      <c r="BU17" s="821">
        <f>SUM(BU18:BU20)</f>
        <v>219.7</v>
      </c>
      <c r="BV17" s="392">
        <f t="shared" ref="BV17:BY17" si="30">SUM(BV18:BV22)</f>
        <v>174</v>
      </c>
      <c r="BW17" s="670">
        <f t="shared" si="30"/>
        <v>21.1</v>
      </c>
      <c r="BX17" s="962">
        <f t="shared" si="30"/>
        <v>-15.4</v>
      </c>
      <c r="BY17" s="962">
        <f t="shared" si="30"/>
        <v>-41</v>
      </c>
      <c r="BZ17" s="946">
        <f>SUM(BZ18:BZ20)</f>
        <v>10</v>
      </c>
      <c r="CA17" s="947">
        <f>SUM(CA18:CA22)</f>
        <v>-0.2</v>
      </c>
      <c r="CB17" s="963">
        <f>SUM(CB18:CB22)</f>
        <v>-18.8</v>
      </c>
      <c r="CC17" s="392"/>
      <c r="CD17" s="392"/>
      <c r="CE17" s="965">
        <f>SUM(CE18:CE22)</f>
        <v>-19</v>
      </c>
      <c r="CF17" s="11"/>
      <c r="CG17" s="475"/>
      <c r="CH17" s="966"/>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c r="IS17" s="11"/>
      <c r="IT17" s="11"/>
      <c r="IU17" s="11"/>
      <c r="IV17" s="11"/>
      <c r="IW17" s="11"/>
      <c r="IX17" s="11"/>
      <c r="IY17" s="11"/>
      <c r="IZ17" s="11"/>
      <c r="JA17" s="11"/>
      <c r="JB17" s="11"/>
      <c r="JC17" s="11"/>
      <c r="JD17" s="11"/>
      <c r="JE17" s="11"/>
      <c r="JF17" s="11"/>
      <c r="JG17" s="11"/>
      <c r="JH17" s="11"/>
      <c r="JI17" s="11"/>
      <c r="JJ17" s="11"/>
      <c r="JK17" s="11"/>
      <c r="JL17" s="11"/>
      <c r="JM17" s="11"/>
      <c r="JN17" s="11"/>
      <c r="JO17" s="11"/>
      <c r="JP17" s="11"/>
      <c r="JQ17" s="11"/>
      <c r="JR17" s="11"/>
      <c r="JS17" s="11"/>
      <c r="JT17" s="11"/>
      <c r="JU17" s="11"/>
      <c r="JV17" s="11"/>
      <c r="JW17" s="11"/>
      <c r="JX17" s="11"/>
      <c r="JY17" s="11"/>
      <c r="JZ17" s="11"/>
      <c r="KA17" s="11"/>
      <c r="KB17" s="11"/>
      <c r="KC17" s="11"/>
      <c r="KD17" s="11"/>
      <c r="KE17" s="11"/>
      <c r="KF17" s="11"/>
      <c r="KG17" s="11"/>
      <c r="KH17" s="11"/>
      <c r="KI17" s="11"/>
      <c r="KJ17" s="11"/>
      <c r="KK17" s="11"/>
      <c r="KL17" s="11"/>
      <c r="KM17" s="11"/>
      <c r="KN17" s="11"/>
      <c r="KO17" s="11"/>
      <c r="KP17" s="11"/>
      <c r="KQ17" s="11"/>
      <c r="KR17" s="11"/>
      <c r="KS17" s="11"/>
      <c r="KT17" s="11"/>
      <c r="KU17" s="11"/>
      <c r="KV17" s="11"/>
      <c r="KW17" s="11"/>
      <c r="KX17" s="11"/>
      <c r="KY17" s="11"/>
      <c r="KZ17" s="11"/>
      <c r="LA17" s="11"/>
      <c r="LB17" s="11"/>
      <c r="LC17" s="11"/>
      <c r="LD17" s="11"/>
      <c r="LE17" s="11"/>
      <c r="LF17" s="11"/>
      <c r="LG17" s="11"/>
      <c r="LH17" s="11"/>
      <c r="LI17" s="11"/>
      <c r="LJ17" s="11"/>
      <c r="LK17" s="11"/>
      <c r="LL17" s="11"/>
      <c r="LM17" s="11"/>
      <c r="LN17" s="11"/>
      <c r="LO17" s="11"/>
      <c r="LP17" s="11"/>
      <c r="LQ17" s="11"/>
      <c r="LR17" s="11"/>
      <c r="LS17" s="11"/>
      <c r="LT17" s="11"/>
      <c r="LU17" s="11"/>
      <c r="LV17" s="11"/>
      <c r="LW17" s="11"/>
      <c r="LX17" s="11"/>
      <c r="LY17" s="11"/>
      <c r="LZ17" s="11"/>
      <c r="MA17" s="11"/>
      <c r="MB17" s="11"/>
      <c r="MC17" s="11"/>
      <c r="MD17" s="11"/>
      <c r="ME17" s="11"/>
      <c r="MF17" s="11"/>
      <c r="MG17" s="11"/>
      <c r="MH17" s="11"/>
      <c r="MI17" s="11"/>
      <c r="MJ17" s="11"/>
      <c r="MK17" s="11"/>
      <c r="ML17" s="11"/>
      <c r="MM17" s="11"/>
      <c r="MN17" s="11"/>
      <c r="MO17" s="11"/>
      <c r="MP17" s="11"/>
      <c r="MQ17" s="11"/>
      <c r="MR17" s="11"/>
      <c r="MS17" s="11"/>
      <c r="MT17" s="11"/>
      <c r="MU17" s="11"/>
      <c r="MV17" s="11"/>
      <c r="MW17" s="11"/>
      <c r="MX17" s="11"/>
      <c r="MY17" s="11"/>
      <c r="MZ17" s="11"/>
      <c r="NA17" s="11"/>
      <c r="NB17" s="11"/>
      <c r="NC17" s="11"/>
      <c r="ND17" s="11"/>
      <c r="NE17" s="11"/>
      <c r="NF17" s="11"/>
      <c r="NG17" s="11"/>
      <c r="NH17" s="11"/>
      <c r="NI17" s="11"/>
      <c r="NJ17" s="11"/>
      <c r="NK17" s="11"/>
      <c r="NL17" s="11"/>
      <c r="NM17" s="11"/>
      <c r="NN17" s="11"/>
      <c r="NO17" s="11"/>
      <c r="NP17" s="11"/>
      <c r="NQ17" s="11"/>
      <c r="NR17" s="11"/>
      <c r="NS17" s="11"/>
      <c r="NT17" s="11"/>
      <c r="NU17" s="11"/>
      <c r="NV17" s="11"/>
      <c r="NW17" s="11"/>
      <c r="NX17" s="11"/>
      <c r="NY17" s="11"/>
      <c r="NZ17" s="11"/>
      <c r="OA17" s="11"/>
      <c r="OB17" s="11"/>
      <c r="OC17" s="11"/>
      <c r="OD17" s="11"/>
      <c r="OE17" s="11"/>
      <c r="OF17" s="11"/>
      <c r="OG17" s="11"/>
      <c r="OH17" s="11"/>
      <c r="OI17" s="11"/>
      <c r="OJ17" s="11"/>
      <c r="OK17" s="11"/>
      <c r="OL17" s="11"/>
      <c r="OM17" s="11"/>
      <c r="ON17" s="11"/>
      <c r="OO17" s="11"/>
      <c r="OP17" s="11"/>
      <c r="OQ17" s="11"/>
      <c r="OR17" s="11"/>
      <c r="OS17" s="11"/>
      <c r="OT17" s="11"/>
      <c r="OU17" s="11"/>
      <c r="OV17" s="11"/>
      <c r="OW17" s="11"/>
      <c r="OX17" s="11"/>
      <c r="OY17" s="11"/>
      <c r="OZ17" s="11"/>
      <c r="PA17" s="11"/>
      <c r="PB17" s="11"/>
      <c r="PC17" s="11"/>
      <c r="PD17" s="11"/>
      <c r="PE17" s="11"/>
      <c r="PF17" s="11"/>
      <c r="PG17" s="11"/>
      <c r="PH17" s="11"/>
      <c r="PI17" s="11"/>
      <c r="PJ17" s="11"/>
      <c r="PK17" s="11"/>
      <c r="PL17" s="11"/>
      <c r="PM17" s="11"/>
      <c r="PN17" s="11"/>
      <c r="PO17" s="11"/>
      <c r="PP17" s="11"/>
      <c r="PQ17" s="11"/>
      <c r="PR17" s="11"/>
      <c r="PS17" s="11"/>
      <c r="PT17" s="11"/>
      <c r="PU17" s="11"/>
      <c r="PV17" s="11"/>
      <c r="PW17" s="11"/>
      <c r="PX17" s="11"/>
      <c r="PY17" s="11"/>
      <c r="PZ17" s="11"/>
      <c r="QA17" s="11"/>
      <c r="QB17" s="11"/>
      <c r="QC17" s="11"/>
      <c r="QD17" s="11"/>
      <c r="QE17" s="11"/>
      <c r="QF17" s="11"/>
      <c r="QG17" s="11"/>
      <c r="QH17" s="11"/>
      <c r="QI17" s="11"/>
      <c r="QJ17" s="11"/>
      <c r="QK17" s="11"/>
      <c r="QL17" s="11"/>
      <c r="QM17" s="11"/>
      <c r="QN17" s="11"/>
      <c r="QO17" s="11"/>
      <c r="QP17" s="11"/>
      <c r="QQ17" s="11"/>
      <c r="QR17" s="11"/>
      <c r="QS17" s="11"/>
      <c r="QT17" s="11"/>
      <c r="QU17" s="11"/>
      <c r="QV17" s="11"/>
      <c r="QW17" s="11"/>
      <c r="QX17" s="11"/>
      <c r="QY17" s="11"/>
      <c r="QZ17" s="11"/>
      <c r="RA17" s="11"/>
      <c r="RB17" s="11"/>
      <c r="RC17" s="11"/>
      <c r="RD17" s="11"/>
      <c r="RE17" s="11"/>
      <c r="RF17" s="11"/>
      <c r="RG17" s="11"/>
      <c r="RH17" s="11"/>
      <c r="RI17" s="11"/>
      <c r="RJ17" s="11"/>
      <c r="RK17" s="11"/>
      <c r="RL17" s="11"/>
      <c r="RM17" s="11"/>
      <c r="RN17" s="11"/>
      <c r="RO17" s="11"/>
      <c r="RP17" s="11"/>
      <c r="RQ17" s="11"/>
      <c r="RR17" s="11"/>
      <c r="RS17" s="11"/>
      <c r="RT17" s="11"/>
      <c r="RU17" s="11"/>
      <c r="RV17" s="11"/>
      <c r="RW17" s="11"/>
      <c r="RX17" s="11"/>
    </row>
    <row r="18" spans="1:492" s="811" customFormat="1" ht="13.8">
      <c r="A18" s="799" t="s">
        <v>92</v>
      </c>
      <c r="B18" s="800" t="s">
        <v>93</v>
      </c>
      <c r="C18" s="801"/>
      <c r="D18" s="801"/>
      <c r="E18" s="801"/>
      <c r="F18" s="801"/>
      <c r="G18" s="801"/>
      <c r="H18" s="801"/>
      <c r="I18" s="801"/>
      <c r="J18" s="801"/>
      <c r="K18" s="801"/>
      <c r="L18" s="801"/>
      <c r="M18" s="801"/>
      <c r="N18" s="801"/>
      <c r="O18" s="801"/>
      <c r="P18" s="801"/>
      <c r="Q18" s="801"/>
      <c r="R18" s="801"/>
      <c r="S18" s="801"/>
      <c r="T18" s="801"/>
      <c r="U18" s="801"/>
      <c r="V18" s="801"/>
      <c r="W18" s="801"/>
      <c r="X18" s="801"/>
      <c r="Y18" s="801"/>
      <c r="Z18" s="801"/>
      <c r="AA18" s="801"/>
      <c r="AB18" s="801"/>
      <c r="AC18" s="801"/>
      <c r="AD18" s="801"/>
      <c r="AE18" s="801"/>
      <c r="AF18" s="801"/>
      <c r="AG18" s="801"/>
      <c r="AH18" s="801"/>
      <c r="AI18" s="801"/>
      <c r="AJ18" s="801"/>
      <c r="AK18" s="801"/>
      <c r="AL18" s="801"/>
      <c r="AM18" s="802"/>
      <c r="AN18" s="803"/>
      <c r="AO18" s="803"/>
      <c r="AP18" s="803"/>
      <c r="AQ18" s="804"/>
      <c r="AR18" s="475"/>
      <c r="AS18" s="475"/>
      <c r="AT18" s="475"/>
      <c r="AU18" s="475"/>
      <c r="AV18" s="470"/>
      <c r="AW18" s="803"/>
      <c r="AX18" s="803"/>
      <c r="AY18" s="803"/>
      <c r="AZ18" s="803"/>
      <c r="BA18" s="803"/>
      <c r="BB18" s="805"/>
      <c r="BC18" s="806"/>
      <c r="BD18" s="806"/>
      <c r="BE18" s="806"/>
      <c r="BF18" s="807"/>
      <c r="BG18" s="806"/>
      <c r="BH18" s="806"/>
      <c r="BI18" s="806"/>
      <c r="BJ18" s="806"/>
      <c r="BK18" s="808"/>
      <c r="BL18" s="812">
        <v>0</v>
      </c>
      <c r="BM18" s="817">
        <v>0</v>
      </c>
      <c r="BN18" s="816">
        <v>0</v>
      </c>
      <c r="BO18" s="816">
        <v>0</v>
      </c>
      <c r="BP18" s="820">
        <f>SUM(BL18:BO18)</f>
        <v>0</v>
      </c>
      <c r="BQ18" s="806">
        <v>0</v>
      </c>
      <c r="BR18" s="806">
        <v>0</v>
      </c>
      <c r="BS18" s="806">
        <v>0</v>
      </c>
      <c r="BT18" s="806">
        <v>0</v>
      </c>
      <c r="BU18" s="967">
        <f>SUM(BQ18:BT18)</f>
        <v>0</v>
      </c>
      <c r="BV18" s="812">
        <v>0</v>
      </c>
      <c r="BW18" s="812">
        <v>0</v>
      </c>
      <c r="BX18" s="812">
        <v>0</v>
      </c>
      <c r="BY18" s="812">
        <v>0</v>
      </c>
      <c r="BZ18" s="967">
        <f>SUM(BV18:BY18)</f>
        <v>0</v>
      </c>
      <c r="CA18" s="812">
        <v>0</v>
      </c>
      <c r="CB18" s="812">
        <v>0</v>
      </c>
      <c r="CC18" s="806"/>
      <c r="CD18" s="806"/>
      <c r="CE18" s="967">
        <f>SUM(CA18:CD18)</f>
        <v>0</v>
      </c>
      <c r="CF18" s="810"/>
      <c r="CG18" s="475"/>
      <c r="CH18" s="966"/>
      <c r="CI18" s="810"/>
      <c r="CJ18" s="810"/>
      <c r="CK18" s="810"/>
      <c r="CL18" s="810"/>
      <c r="CM18" s="810"/>
      <c r="CN18" s="810"/>
      <c r="CO18" s="810"/>
      <c r="CP18" s="810"/>
      <c r="CQ18" s="810"/>
      <c r="CR18" s="810"/>
      <c r="CS18" s="810"/>
      <c r="CT18" s="810"/>
      <c r="CU18" s="810"/>
      <c r="CV18" s="810"/>
      <c r="CW18" s="810"/>
      <c r="CX18" s="810"/>
      <c r="CY18" s="810"/>
      <c r="CZ18" s="810"/>
      <c r="DA18" s="810"/>
      <c r="DB18" s="810"/>
      <c r="DC18" s="810"/>
      <c r="DD18" s="810"/>
      <c r="DE18" s="810"/>
      <c r="DF18" s="810"/>
      <c r="DG18" s="810"/>
      <c r="DH18" s="810"/>
      <c r="DI18" s="810"/>
      <c r="DJ18" s="810"/>
      <c r="DK18" s="810"/>
      <c r="DL18" s="810"/>
      <c r="DM18" s="810"/>
      <c r="DN18" s="810"/>
      <c r="DO18" s="810"/>
      <c r="DP18" s="810"/>
      <c r="DQ18" s="810"/>
      <c r="DR18" s="810"/>
      <c r="DS18" s="810"/>
      <c r="DT18" s="810"/>
      <c r="DU18" s="810"/>
      <c r="DV18" s="810"/>
      <c r="DW18" s="810"/>
      <c r="DX18" s="810"/>
      <c r="DY18" s="810"/>
      <c r="DZ18" s="810"/>
      <c r="EA18" s="810"/>
      <c r="EB18" s="810"/>
      <c r="EC18" s="810"/>
      <c r="ED18" s="810"/>
      <c r="EE18" s="810"/>
      <c r="EF18" s="810"/>
      <c r="EG18" s="810"/>
      <c r="EH18" s="810"/>
      <c r="EI18" s="810"/>
      <c r="EJ18" s="810"/>
      <c r="EK18" s="810"/>
      <c r="EL18" s="810"/>
      <c r="EM18" s="810"/>
      <c r="EN18" s="810"/>
      <c r="EO18" s="810"/>
      <c r="EP18" s="810"/>
      <c r="EQ18" s="810"/>
      <c r="ER18" s="810"/>
      <c r="ES18" s="810"/>
      <c r="ET18" s="810"/>
      <c r="EU18" s="810"/>
      <c r="EV18" s="810"/>
      <c r="EW18" s="810"/>
      <c r="EX18" s="810"/>
      <c r="EY18" s="810"/>
      <c r="EZ18" s="810"/>
      <c r="FA18" s="810"/>
      <c r="FB18" s="810"/>
      <c r="FC18" s="810"/>
      <c r="FD18" s="810"/>
      <c r="FE18" s="810"/>
      <c r="FF18" s="810"/>
      <c r="FG18" s="810"/>
      <c r="FH18" s="810"/>
      <c r="FI18" s="810"/>
      <c r="FJ18" s="810"/>
      <c r="FK18" s="810"/>
      <c r="FL18" s="810"/>
      <c r="FM18" s="810"/>
      <c r="FN18" s="810"/>
      <c r="FO18" s="810"/>
      <c r="FP18" s="810"/>
      <c r="FQ18" s="810"/>
      <c r="FR18" s="810"/>
      <c r="FS18" s="810"/>
      <c r="FT18" s="810"/>
      <c r="FU18" s="810"/>
      <c r="FV18" s="810"/>
      <c r="FW18" s="810"/>
      <c r="FX18" s="810"/>
      <c r="FY18" s="810"/>
      <c r="FZ18" s="810"/>
      <c r="GA18" s="810"/>
      <c r="GB18" s="810"/>
      <c r="GC18" s="810"/>
      <c r="GD18" s="810"/>
      <c r="GE18" s="810"/>
      <c r="GF18" s="810"/>
      <c r="GG18" s="810"/>
      <c r="GH18" s="810"/>
      <c r="GI18" s="810"/>
      <c r="GJ18" s="810"/>
      <c r="GK18" s="810"/>
      <c r="GL18" s="810"/>
      <c r="GM18" s="810"/>
      <c r="GN18" s="810"/>
      <c r="GO18" s="810"/>
      <c r="GP18" s="810"/>
      <c r="GQ18" s="810"/>
      <c r="GR18" s="810"/>
      <c r="GS18" s="810"/>
      <c r="GT18" s="810"/>
      <c r="GU18" s="810"/>
      <c r="GV18" s="810"/>
      <c r="GW18" s="810"/>
      <c r="GX18" s="810"/>
      <c r="GY18" s="810"/>
      <c r="GZ18" s="810"/>
      <c r="HA18" s="810"/>
      <c r="HB18" s="810"/>
      <c r="HC18" s="810"/>
      <c r="HD18" s="810"/>
      <c r="HE18" s="810"/>
      <c r="HF18" s="810"/>
      <c r="HG18" s="810"/>
      <c r="HH18" s="810"/>
      <c r="HI18" s="810"/>
      <c r="HJ18" s="810"/>
      <c r="HK18" s="810"/>
      <c r="HL18" s="810"/>
      <c r="HM18" s="810"/>
      <c r="HN18" s="810"/>
      <c r="HO18" s="810"/>
      <c r="HP18" s="810"/>
      <c r="HQ18" s="810"/>
      <c r="HR18" s="810"/>
      <c r="HS18" s="810"/>
      <c r="HT18" s="810"/>
      <c r="HU18" s="810"/>
      <c r="HV18" s="810"/>
      <c r="HW18" s="810"/>
      <c r="HX18" s="810"/>
      <c r="HY18" s="810"/>
      <c r="HZ18" s="810"/>
      <c r="IA18" s="810"/>
      <c r="IB18" s="810"/>
      <c r="IC18" s="810"/>
      <c r="ID18" s="810"/>
      <c r="IE18" s="810"/>
      <c r="IF18" s="810"/>
      <c r="IG18" s="810"/>
      <c r="IH18" s="810"/>
      <c r="II18" s="810"/>
      <c r="IJ18" s="810"/>
      <c r="IK18" s="810"/>
      <c r="IL18" s="810"/>
      <c r="IM18" s="810"/>
      <c r="IN18" s="810"/>
      <c r="IO18" s="810"/>
      <c r="IP18" s="810"/>
      <c r="IQ18" s="810"/>
      <c r="IR18" s="810"/>
      <c r="IS18" s="810"/>
      <c r="IT18" s="810"/>
      <c r="IU18" s="810"/>
      <c r="IV18" s="810"/>
      <c r="IW18" s="810"/>
      <c r="IX18" s="810"/>
      <c r="IY18" s="810"/>
      <c r="IZ18" s="810"/>
      <c r="JA18" s="810"/>
      <c r="JB18" s="810"/>
      <c r="JC18" s="810"/>
      <c r="JD18" s="810"/>
      <c r="JE18" s="810"/>
      <c r="JF18" s="810"/>
      <c r="JG18" s="810"/>
      <c r="JH18" s="810"/>
      <c r="JI18" s="810"/>
      <c r="JJ18" s="810"/>
      <c r="JK18" s="810"/>
      <c r="JL18" s="810"/>
      <c r="JM18" s="810"/>
      <c r="JN18" s="810"/>
      <c r="JO18" s="810"/>
      <c r="JP18" s="810"/>
      <c r="JQ18" s="810"/>
      <c r="JR18" s="810"/>
      <c r="JS18" s="810"/>
      <c r="JT18" s="810"/>
      <c r="JU18" s="810"/>
      <c r="JV18" s="810"/>
      <c r="JW18" s="810"/>
      <c r="JX18" s="810"/>
      <c r="JY18" s="810"/>
      <c r="JZ18" s="810"/>
      <c r="KA18" s="810"/>
      <c r="KB18" s="810"/>
      <c r="KC18" s="810"/>
      <c r="KD18" s="810"/>
      <c r="KE18" s="810"/>
      <c r="KF18" s="810"/>
      <c r="KG18" s="810"/>
      <c r="KH18" s="810"/>
      <c r="KI18" s="810"/>
      <c r="KJ18" s="810"/>
      <c r="KK18" s="810"/>
      <c r="KL18" s="810"/>
      <c r="KM18" s="810"/>
      <c r="KN18" s="810"/>
      <c r="KO18" s="810"/>
      <c r="KP18" s="810"/>
      <c r="KQ18" s="810"/>
      <c r="KR18" s="810"/>
      <c r="KS18" s="810"/>
      <c r="KT18" s="810"/>
      <c r="KU18" s="810"/>
      <c r="KV18" s="810"/>
      <c r="KW18" s="810"/>
      <c r="KX18" s="810"/>
      <c r="KY18" s="810"/>
      <c r="KZ18" s="810"/>
      <c r="LA18" s="810"/>
      <c r="LB18" s="810"/>
      <c r="LC18" s="810"/>
      <c r="LD18" s="810"/>
      <c r="LE18" s="810"/>
      <c r="LF18" s="810"/>
      <c r="LG18" s="810"/>
      <c r="LH18" s="810"/>
      <c r="LI18" s="810"/>
      <c r="LJ18" s="810"/>
      <c r="LK18" s="810"/>
      <c r="LL18" s="810"/>
      <c r="LM18" s="810"/>
      <c r="LN18" s="810"/>
      <c r="LO18" s="810"/>
      <c r="LP18" s="810"/>
      <c r="LQ18" s="810"/>
      <c r="LR18" s="810"/>
      <c r="LS18" s="810"/>
      <c r="LT18" s="810"/>
      <c r="LU18" s="810"/>
      <c r="LV18" s="810"/>
      <c r="LW18" s="810"/>
      <c r="LX18" s="810"/>
      <c r="LY18" s="810"/>
      <c r="LZ18" s="810"/>
      <c r="MA18" s="810"/>
      <c r="MB18" s="810"/>
      <c r="MC18" s="810"/>
      <c r="MD18" s="810"/>
      <c r="ME18" s="810"/>
      <c r="MF18" s="810"/>
      <c r="MG18" s="810"/>
      <c r="MH18" s="810"/>
      <c r="MI18" s="810"/>
      <c r="MJ18" s="810"/>
      <c r="MK18" s="810"/>
      <c r="ML18" s="810"/>
      <c r="MM18" s="810"/>
      <c r="MN18" s="810"/>
      <c r="MO18" s="810"/>
      <c r="MP18" s="810"/>
      <c r="MQ18" s="810"/>
      <c r="MR18" s="810"/>
      <c r="MS18" s="810"/>
      <c r="MT18" s="810"/>
      <c r="MU18" s="810"/>
      <c r="MV18" s="810"/>
      <c r="MW18" s="810"/>
      <c r="MX18" s="810"/>
      <c r="MY18" s="810"/>
      <c r="MZ18" s="810"/>
      <c r="NA18" s="810"/>
      <c r="NB18" s="810"/>
      <c r="NC18" s="810"/>
      <c r="ND18" s="810"/>
      <c r="NE18" s="810"/>
      <c r="NF18" s="810"/>
      <c r="NG18" s="810"/>
      <c r="NH18" s="810"/>
      <c r="NI18" s="810"/>
      <c r="NJ18" s="810"/>
      <c r="NK18" s="810"/>
      <c r="NL18" s="810"/>
      <c r="NM18" s="810"/>
      <c r="NN18" s="810"/>
      <c r="NO18" s="810"/>
      <c r="NP18" s="810"/>
      <c r="NQ18" s="810"/>
      <c r="NR18" s="810"/>
      <c r="NS18" s="810"/>
      <c r="NT18" s="810"/>
      <c r="NU18" s="810"/>
      <c r="NV18" s="810"/>
      <c r="NW18" s="810"/>
      <c r="NX18" s="810"/>
      <c r="NY18" s="810"/>
      <c r="NZ18" s="810"/>
      <c r="OA18" s="810"/>
      <c r="OB18" s="810"/>
      <c r="OC18" s="810"/>
      <c r="OD18" s="810"/>
      <c r="OE18" s="810"/>
      <c r="OF18" s="810"/>
      <c r="OG18" s="810"/>
      <c r="OH18" s="810"/>
      <c r="OI18" s="810"/>
      <c r="OJ18" s="810"/>
      <c r="OK18" s="810"/>
      <c r="OL18" s="810"/>
      <c r="OM18" s="810"/>
      <c r="ON18" s="810"/>
      <c r="OO18" s="810"/>
      <c r="OP18" s="810"/>
      <c r="OQ18" s="810"/>
      <c r="OR18" s="810"/>
      <c r="OS18" s="810"/>
      <c r="OT18" s="810"/>
      <c r="OU18" s="810"/>
      <c r="OV18" s="810"/>
      <c r="OW18" s="810"/>
      <c r="OX18" s="810"/>
      <c r="OY18" s="810"/>
      <c r="OZ18" s="810"/>
      <c r="PA18" s="810"/>
      <c r="PB18" s="810"/>
      <c r="PC18" s="810"/>
      <c r="PD18" s="810"/>
      <c r="PE18" s="810"/>
      <c r="PF18" s="810"/>
      <c r="PG18" s="810"/>
      <c r="PH18" s="810"/>
      <c r="PI18" s="810"/>
      <c r="PJ18" s="810"/>
      <c r="PK18" s="810"/>
      <c r="PL18" s="810"/>
      <c r="PM18" s="810"/>
      <c r="PN18" s="810"/>
      <c r="PO18" s="810"/>
      <c r="PP18" s="810"/>
      <c r="PQ18" s="810"/>
      <c r="PR18" s="810"/>
      <c r="PS18" s="810"/>
      <c r="PT18" s="810"/>
      <c r="PU18" s="810"/>
      <c r="PV18" s="810"/>
      <c r="PW18" s="810"/>
      <c r="PX18" s="810"/>
      <c r="PY18" s="810"/>
      <c r="PZ18" s="810"/>
      <c r="QA18" s="810"/>
      <c r="QB18" s="810"/>
      <c r="QC18" s="810"/>
      <c r="QD18" s="810"/>
      <c r="QE18" s="810"/>
      <c r="QF18" s="810"/>
      <c r="QG18" s="810"/>
      <c r="QH18" s="810"/>
      <c r="QI18" s="810"/>
      <c r="QJ18" s="810"/>
      <c r="QK18" s="810"/>
      <c r="QL18" s="810"/>
      <c r="QM18" s="810"/>
      <c r="QN18" s="810"/>
      <c r="QO18" s="810"/>
      <c r="QP18" s="810"/>
      <c r="QQ18" s="810"/>
      <c r="QR18" s="810"/>
      <c r="QS18" s="810"/>
      <c r="QT18" s="810"/>
      <c r="QU18" s="810"/>
      <c r="QV18" s="810"/>
      <c r="QW18" s="810"/>
      <c r="QX18" s="810"/>
      <c r="QY18" s="810"/>
      <c r="QZ18" s="810"/>
      <c r="RA18" s="810"/>
      <c r="RB18" s="810"/>
      <c r="RC18" s="810"/>
      <c r="RD18" s="810"/>
      <c r="RE18" s="810"/>
      <c r="RF18" s="810"/>
      <c r="RG18" s="810"/>
      <c r="RH18" s="810"/>
      <c r="RI18" s="810"/>
      <c r="RJ18" s="810"/>
      <c r="RK18" s="810"/>
      <c r="RL18" s="810"/>
      <c r="RM18" s="810"/>
      <c r="RN18" s="810"/>
      <c r="RO18" s="810"/>
      <c r="RP18" s="810"/>
      <c r="RQ18" s="810"/>
      <c r="RR18" s="810"/>
      <c r="RS18" s="810"/>
      <c r="RT18" s="810"/>
      <c r="RU18" s="810"/>
      <c r="RV18" s="810"/>
      <c r="RW18" s="810"/>
      <c r="RX18" s="810"/>
    </row>
    <row r="19" spans="1:492" s="811" customFormat="1" ht="13.8">
      <c r="A19" s="799" t="s">
        <v>94</v>
      </c>
      <c r="B19" s="800" t="s">
        <v>95</v>
      </c>
      <c r="C19" s="801"/>
      <c r="D19" s="801"/>
      <c r="E19" s="801"/>
      <c r="F19" s="801"/>
      <c r="G19" s="801"/>
      <c r="H19" s="801"/>
      <c r="I19" s="801"/>
      <c r="J19" s="801"/>
      <c r="K19" s="801"/>
      <c r="L19" s="801"/>
      <c r="M19" s="801"/>
      <c r="N19" s="801"/>
      <c r="O19" s="801"/>
      <c r="P19" s="801"/>
      <c r="Q19" s="801"/>
      <c r="R19" s="801"/>
      <c r="S19" s="801"/>
      <c r="T19" s="801"/>
      <c r="U19" s="801"/>
      <c r="V19" s="801"/>
      <c r="W19" s="801"/>
      <c r="X19" s="801"/>
      <c r="Y19" s="801"/>
      <c r="Z19" s="801"/>
      <c r="AA19" s="801"/>
      <c r="AB19" s="801"/>
      <c r="AC19" s="801"/>
      <c r="AD19" s="801"/>
      <c r="AE19" s="801"/>
      <c r="AF19" s="801"/>
      <c r="AG19" s="801"/>
      <c r="AH19" s="801"/>
      <c r="AI19" s="801"/>
      <c r="AJ19" s="801"/>
      <c r="AK19" s="801"/>
      <c r="AL19" s="801"/>
      <c r="AM19" s="802"/>
      <c r="AN19" s="803"/>
      <c r="AO19" s="803"/>
      <c r="AP19" s="803"/>
      <c r="AQ19" s="804"/>
      <c r="AR19" s="475"/>
      <c r="AS19" s="475"/>
      <c r="AT19" s="475"/>
      <c r="AU19" s="475"/>
      <c r="AV19" s="470"/>
      <c r="AW19" s="803"/>
      <c r="AX19" s="803"/>
      <c r="AY19" s="803"/>
      <c r="AZ19" s="803"/>
      <c r="BA19" s="803"/>
      <c r="BB19" s="805"/>
      <c r="BC19" s="806"/>
      <c r="BD19" s="806"/>
      <c r="BE19" s="806"/>
      <c r="BF19" s="807"/>
      <c r="BG19" s="806"/>
      <c r="BH19" s="806"/>
      <c r="BI19" s="806"/>
      <c r="BJ19" s="806"/>
      <c r="BK19" s="808"/>
      <c r="BL19" s="812">
        <v>-34.1</v>
      </c>
      <c r="BM19" s="817">
        <v>0</v>
      </c>
      <c r="BN19" s="816">
        <v>0</v>
      </c>
      <c r="BO19" s="816">
        <v>0</v>
      </c>
      <c r="BP19" s="820">
        <f t="shared" ref="BP19:BP22" si="31">SUM(BL19:BO19)</f>
        <v>-34.1</v>
      </c>
      <c r="BQ19" s="806">
        <v>0</v>
      </c>
      <c r="BR19" s="806">
        <v>0</v>
      </c>
      <c r="BS19" s="806">
        <v>0</v>
      </c>
      <c r="BT19" s="806">
        <v>0</v>
      </c>
      <c r="BU19" s="967">
        <f t="shared" ref="BU19:BU20" si="32">SUM(BQ19:BT19)</f>
        <v>0</v>
      </c>
      <c r="BV19" s="812">
        <v>0</v>
      </c>
      <c r="BW19" s="812">
        <v>0</v>
      </c>
      <c r="BX19" s="812">
        <v>0</v>
      </c>
      <c r="BY19" s="812">
        <v>0</v>
      </c>
      <c r="BZ19" s="967">
        <f t="shared" ref="BZ19:BZ20" si="33">SUM(BV19:BY19)</f>
        <v>0</v>
      </c>
      <c r="CA19" s="812">
        <v>0</v>
      </c>
      <c r="CB19" s="812">
        <v>0</v>
      </c>
      <c r="CC19" s="806"/>
      <c r="CD19" s="806"/>
      <c r="CE19" s="967">
        <f t="shared" ref="CE19:CE20" si="34">SUM(CA19:CD19)</f>
        <v>0</v>
      </c>
      <c r="CF19" s="810"/>
      <c r="CG19" s="475"/>
      <c r="CH19" s="966"/>
      <c r="CI19" s="810"/>
      <c r="CJ19" s="810"/>
      <c r="CK19" s="810"/>
      <c r="CL19" s="810"/>
      <c r="CM19" s="810"/>
      <c r="CN19" s="810"/>
      <c r="CO19" s="810"/>
      <c r="CP19" s="810"/>
      <c r="CQ19" s="810"/>
      <c r="CR19" s="810"/>
      <c r="CS19" s="810"/>
      <c r="CT19" s="810"/>
      <c r="CU19" s="810"/>
      <c r="CV19" s="810"/>
      <c r="CW19" s="810"/>
      <c r="CX19" s="810"/>
      <c r="CY19" s="810"/>
      <c r="CZ19" s="810"/>
      <c r="DA19" s="810"/>
      <c r="DB19" s="810"/>
      <c r="DC19" s="810"/>
      <c r="DD19" s="810"/>
      <c r="DE19" s="810"/>
      <c r="DF19" s="810"/>
      <c r="DG19" s="810"/>
      <c r="DH19" s="810"/>
      <c r="DI19" s="810"/>
      <c r="DJ19" s="810"/>
      <c r="DK19" s="810"/>
      <c r="DL19" s="810"/>
      <c r="DM19" s="810"/>
      <c r="DN19" s="810"/>
      <c r="DO19" s="810"/>
      <c r="DP19" s="810"/>
      <c r="DQ19" s="810"/>
      <c r="DR19" s="810"/>
      <c r="DS19" s="810"/>
      <c r="DT19" s="810"/>
      <c r="DU19" s="810"/>
      <c r="DV19" s="810"/>
      <c r="DW19" s="810"/>
      <c r="DX19" s="810"/>
      <c r="DY19" s="810"/>
      <c r="DZ19" s="810"/>
      <c r="EA19" s="810"/>
      <c r="EB19" s="810"/>
      <c r="EC19" s="810"/>
      <c r="ED19" s="810"/>
      <c r="EE19" s="810"/>
      <c r="EF19" s="810"/>
      <c r="EG19" s="810"/>
      <c r="EH19" s="810"/>
      <c r="EI19" s="810"/>
      <c r="EJ19" s="810"/>
      <c r="EK19" s="810"/>
      <c r="EL19" s="810"/>
      <c r="EM19" s="810"/>
      <c r="EN19" s="810"/>
      <c r="EO19" s="810"/>
      <c r="EP19" s="810"/>
      <c r="EQ19" s="810"/>
      <c r="ER19" s="810"/>
      <c r="ES19" s="810"/>
      <c r="ET19" s="810"/>
      <c r="EU19" s="810"/>
      <c r="EV19" s="810"/>
      <c r="EW19" s="810"/>
      <c r="EX19" s="810"/>
      <c r="EY19" s="810"/>
      <c r="EZ19" s="810"/>
      <c r="FA19" s="810"/>
      <c r="FB19" s="810"/>
      <c r="FC19" s="810"/>
      <c r="FD19" s="810"/>
      <c r="FE19" s="810"/>
      <c r="FF19" s="810"/>
      <c r="FG19" s="810"/>
      <c r="FH19" s="810"/>
      <c r="FI19" s="810"/>
      <c r="FJ19" s="810"/>
      <c r="FK19" s="810"/>
      <c r="FL19" s="810"/>
      <c r="FM19" s="810"/>
      <c r="FN19" s="810"/>
      <c r="FO19" s="810"/>
      <c r="FP19" s="810"/>
      <c r="FQ19" s="810"/>
      <c r="FR19" s="810"/>
      <c r="FS19" s="810"/>
      <c r="FT19" s="810"/>
      <c r="FU19" s="810"/>
      <c r="FV19" s="810"/>
      <c r="FW19" s="810"/>
      <c r="FX19" s="810"/>
      <c r="FY19" s="810"/>
      <c r="FZ19" s="810"/>
      <c r="GA19" s="810"/>
      <c r="GB19" s="810"/>
      <c r="GC19" s="810"/>
      <c r="GD19" s="810"/>
      <c r="GE19" s="810"/>
      <c r="GF19" s="810"/>
      <c r="GG19" s="810"/>
      <c r="GH19" s="810"/>
      <c r="GI19" s="810"/>
      <c r="GJ19" s="810"/>
      <c r="GK19" s="810"/>
      <c r="GL19" s="810"/>
      <c r="GM19" s="810"/>
      <c r="GN19" s="810"/>
      <c r="GO19" s="810"/>
      <c r="GP19" s="810"/>
      <c r="GQ19" s="810"/>
      <c r="GR19" s="810"/>
      <c r="GS19" s="810"/>
      <c r="GT19" s="810"/>
      <c r="GU19" s="810"/>
      <c r="GV19" s="810"/>
      <c r="GW19" s="810"/>
      <c r="GX19" s="810"/>
      <c r="GY19" s="810"/>
      <c r="GZ19" s="810"/>
      <c r="HA19" s="810"/>
      <c r="HB19" s="810"/>
      <c r="HC19" s="810"/>
      <c r="HD19" s="810"/>
      <c r="HE19" s="810"/>
      <c r="HF19" s="810"/>
      <c r="HG19" s="810"/>
      <c r="HH19" s="810"/>
      <c r="HI19" s="810"/>
      <c r="HJ19" s="810"/>
      <c r="HK19" s="810"/>
      <c r="HL19" s="810"/>
      <c r="HM19" s="810"/>
      <c r="HN19" s="810"/>
      <c r="HO19" s="810"/>
      <c r="HP19" s="810"/>
      <c r="HQ19" s="810"/>
      <c r="HR19" s="810"/>
      <c r="HS19" s="810"/>
      <c r="HT19" s="810"/>
      <c r="HU19" s="810"/>
      <c r="HV19" s="810"/>
      <c r="HW19" s="810"/>
      <c r="HX19" s="810"/>
      <c r="HY19" s="810"/>
      <c r="HZ19" s="810"/>
      <c r="IA19" s="810"/>
      <c r="IB19" s="810"/>
      <c r="IC19" s="810"/>
      <c r="ID19" s="810"/>
      <c r="IE19" s="810"/>
      <c r="IF19" s="810"/>
      <c r="IG19" s="810"/>
      <c r="IH19" s="810"/>
      <c r="II19" s="810"/>
      <c r="IJ19" s="810"/>
      <c r="IK19" s="810"/>
      <c r="IL19" s="810"/>
      <c r="IM19" s="810"/>
      <c r="IN19" s="810"/>
      <c r="IO19" s="810"/>
      <c r="IP19" s="810"/>
      <c r="IQ19" s="810"/>
      <c r="IR19" s="810"/>
      <c r="IS19" s="810"/>
      <c r="IT19" s="810"/>
      <c r="IU19" s="810"/>
      <c r="IV19" s="810"/>
      <c r="IW19" s="810"/>
      <c r="IX19" s="810"/>
      <c r="IY19" s="810"/>
      <c r="IZ19" s="810"/>
      <c r="JA19" s="810"/>
      <c r="JB19" s="810"/>
      <c r="JC19" s="810"/>
      <c r="JD19" s="810"/>
      <c r="JE19" s="810"/>
      <c r="JF19" s="810"/>
      <c r="JG19" s="810"/>
      <c r="JH19" s="810"/>
      <c r="JI19" s="810"/>
      <c r="JJ19" s="810"/>
      <c r="JK19" s="810"/>
      <c r="JL19" s="810"/>
      <c r="JM19" s="810"/>
      <c r="JN19" s="810"/>
      <c r="JO19" s="810"/>
      <c r="JP19" s="810"/>
      <c r="JQ19" s="810"/>
      <c r="JR19" s="810"/>
      <c r="JS19" s="810"/>
      <c r="JT19" s="810"/>
      <c r="JU19" s="810"/>
      <c r="JV19" s="810"/>
      <c r="JW19" s="810"/>
      <c r="JX19" s="810"/>
      <c r="JY19" s="810"/>
      <c r="JZ19" s="810"/>
      <c r="KA19" s="810"/>
      <c r="KB19" s="810"/>
      <c r="KC19" s="810"/>
      <c r="KD19" s="810"/>
      <c r="KE19" s="810"/>
      <c r="KF19" s="810"/>
      <c r="KG19" s="810"/>
      <c r="KH19" s="810"/>
      <c r="KI19" s="810"/>
      <c r="KJ19" s="810"/>
      <c r="KK19" s="810"/>
      <c r="KL19" s="810"/>
      <c r="KM19" s="810"/>
      <c r="KN19" s="810"/>
      <c r="KO19" s="810"/>
      <c r="KP19" s="810"/>
      <c r="KQ19" s="810"/>
      <c r="KR19" s="810"/>
      <c r="KS19" s="810"/>
      <c r="KT19" s="810"/>
      <c r="KU19" s="810"/>
      <c r="KV19" s="810"/>
      <c r="KW19" s="810"/>
      <c r="KX19" s="810"/>
      <c r="KY19" s="810"/>
      <c r="KZ19" s="810"/>
      <c r="LA19" s="810"/>
      <c r="LB19" s="810"/>
      <c r="LC19" s="810"/>
      <c r="LD19" s="810"/>
      <c r="LE19" s="810"/>
      <c r="LF19" s="810"/>
      <c r="LG19" s="810"/>
      <c r="LH19" s="810"/>
      <c r="LI19" s="810"/>
      <c r="LJ19" s="810"/>
      <c r="LK19" s="810"/>
      <c r="LL19" s="810"/>
      <c r="LM19" s="810"/>
      <c r="LN19" s="810"/>
      <c r="LO19" s="810"/>
      <c r="LP19" s="810"/>
      <c r="LQ19" s="810"/>
      <c r="LR19" s="810"/>
      <c r="LS19" s="810"/>
      <c r="LT19" s="810"/>
      <c r="LU19" s="810"/>
      <c r="LV19" s="810"/>
      <c r="LW19" s="810"/>
      <c r="LX19" s="810"/>
      <c r="LY19" s="810"/>
      <c r="LZ19" s="810"/>
      <c r="MA19" s="810"/>
      <c r="MB19" s="810"/>
      <c r="MC19" s="810"/>
      <c r="MD19" s="810"/>
      <c r="ME19" s="810"/>
      <c r="MF19" s="810"/>
      <c r="MG19" s="810"/>
      <c r="MH19" s="810"/>
      <c r="MI19" s="810"/>
      <c r="MJ19" s="810"/>
      <c r="MK19" s="810"/>
      <c r="ML19" s="810"/>
      <c r="MM19" s="810"/>
      <c r="MN19" s="810"/>
      <c r="MO19" s="810"/>
      <c r="MP19" s="810"/>
      <c r="MQ19" s="810"/>
      <c r="MR19" s="810"/>
      <c r="MS19" s="810"/>
      <c r="MT19" s="810"/>
      <c r="MU19" s="810"/>
      <c r="MV19" s="810"/>
      <c r="MW19" s="810"/>
      <c r="MX19" s="810"/>
      <c r="MY19" s="810"/>
      <c r="MZ19" s="810"/>
      <c r="NA19" s="810"/>
      <c r="NB19" s="810"/>
      <c r="NC19" s="810"/>
      <c r="ND19" s="810"/>
      <c r="NE19" s="810"/>
      <c r="NF19" s="810"/>
      <c r="NG19" s="810"/>
      <c r="NH19" s="810"/>
      <c r="NI19" s="810"/>
      <c r="NJ19" s="810"/>
      <c r="NK19" s="810"/>
      <c r="NL19" s="810"/>
      <c r="NM19" s="810"/>
      <c r="NN19" s="810"/>
      <c r="NO19" s="810"/>
      <c r="NP19" s="810"/>
      <c r="NQ19" s="810"/>
      <c r="NR19" s="810"/>
      <c r="NS19" s="810"/>
      <c r="NT19" s="810"/>
      <c r="NU19" s="810"/>
      <c r="NV19" s="810"/>
      <c r="NW19" s="810"/>
      <c r="NX19" s="810"/>
      <c r="NY19" s="810"/>
      <c r="NZ19" s="810"/>
      <c r="OA19" s="810"/>
      <c r="OB19" s="810"/>
      <c r="OC19" s="810"/>
      <c r="OD19" s="810"/>
      <c r="OE19" s="810"/>
      <c r="OF19" s="810"/>
      <c r="OG19" s="810"/>
      <c r="OH19" s="810"/>
      <c r="OI19" s="810"/>
      <c r="OJ19" s="810"/>
      <c r="OK19" s="810"/>
      <c r="OL19" s="810"/>
      <c r="OM19" s="810"/>
      <c r="ON19" s="810"/>
      <c r="OO19" s="810"/>
      <c r="OP19" s="810"/>
      <c r="OQ19" s="810"/>
      <c r="OR19" s="810"/>
      <c r="OS19" s="810"/>
      <c r="OT19" s="810"/>
      <c r="OU19" s="810"/>
      <c r="OV19" s="810"/>
      <c r="OW19" s="810"/>
      <c r="OX19" s="810"/>
      <c r="OY19" s="810"/>
      <c r="OZ19" s="810"/>
      <c r="PA19" s="810"/>
      <c r="PB19" s="810"/>
      <c r="PC19" s="810"/>
      <c r="PD19" s="810"/>
      <c r="PE19" s="810"/>
      <c r="PF19" s="810"/>
      <c r="PG19" s="810"/>
      <c r="PH19" s="810"/>
      <c r="PI19" s="810"/>
      <c r="PJ19" s="810"/>
      <c r="PK19" s="810"/>
      <c r="PL19" s="810"/>
      <c r="PM19" s="810"/>
      <c r="PN19" s="810"/>
      <c r="PO19" s="810"/>
      <c r="PP19" s="810"/>
      <c r="PQ19" s="810"/>
      <c r="PR19" s="810"/>
      <c r="PS19" s="810"/>
      <c r="PT19" s="810"/>
      <c r="PU19" s="810"/>
      <c r="PV19" s="810"/>
      <c r="PW19" s="810"/>
      <c r="PX19" s="810"/>
      <c r="PY19" s="810"/>
      <c r="PZ19" s="810"/>
      <c r="QA19" s="810"/>
      <c r="QB19" s="810"/>
      <c r="QC19" s="810"/>
      <c r="QD19" s="810"/>
      <c r="QE19" s="810"/>
      <c r="QF19" s="810"/>
      <c r="QG19" s="810"/>
      <c r="QH19" s="810"/>
      <c r="QI19" s="810"/>
      <c r="QJ19" s="810"/>
      <c r="QK19" s="810"/>
      <c r="QL19" s="810"/>
      <c r="QM19" s="810"/>
      <c r="QN19" s="810"/>
      <c r="QO19" s="810"/>
      <c r="QP19" s="810"/>
      <c r="QQ19" s="810"/>
      <c r="QR19" s="810"/>
      <c r="QS19" s="810"/>
      <c r="QT19" s="810"/>
      <c r="QU19" s="810"/>
      <c r="QV19" s="810"/>
      <c r="QW19" s="810"/>
      <c r="QX19" s="810"/>
      <c r="QY19" s="810"/>
      <c r="QZ19" s="810"/>
      <c r="RA19" s="810"/>
      <c r="RB19" s="810"/>
      <c r="RC19" s="810"/>
      <c r="RD19" s="810"/>
      <c r="RE19" s="810"/>
      <c r="RF19" s="810"/>
      <c r="RG19" s="810"/>
      <c r="RH19" s="810"/>
      <c r="RI19" s="810"/>
      <c r="RJ19" s="810"/>
      <c r="RK19" s="810"/>
      <c r="RL19" s="810"/>
      <c r="RM19" s="810"/>
      <c r="RN19" s="810"/>
      <c r="RO19" s="810"/>
      <c r="RP19" s="810"/>
      <c r="RQ19" s="810"/>
      <c r="RR19" s="810"/>
      <c r="RS19" s="810"/>
      <c r="RT19" s="810"/>
      <c r="RU19" s="810"/>
      <c r="RV19" s="810"/>
      <c r="RW19" s="810"/>
      <c r="RX19" s="810"/>
    </row>
    <row r="20" spans="1:492" s="811" customFormat="1" ht="27.6">
      <c r="A20" s="799" t="s">
        <v>805</v>
      </c>
      <c r="B20" s="800" t="s">
        <v>802</v>
      </c>
      <c r="C20" s="801"/>
      <c r="D20" s="801"/>
      <c r="E20" s="801"/>
      <c r="F20" s="801"/>
      <c r="G20" s="801"/>
      <c r="H20" s="801"/>
      <c r="I20" s="801"/>
      <c r="J20" s="801"/>
      <c r="K20" s="801"/>
      <c r="L20" s="801"/>
      <c r="M20" s="801"/>
      <c r="N20" s="801"/>
      <c r="O20" s="801"/>
      <c r="P20" s="801"/>
      <c r="Q20" s="801"/>
      <c r="R20" s="801"/>
      <c r="S20" s="801"/>
      <c r="T20" s="801"/>
      <c r="U20" s="801"/>
      <c r="V20" s="801"/>
      <c r="W20" s="801"/>
      <c r="X20" s="801"/>
      <c r="Y20" s="801"/>
      <c r="Z20" s="801"/>
      <c r="AA20" s="801"/>
      <c r="AB20" s="801"/>
      <c r="AC20" s="801"/>
      <c r="AD20" s="801"/>
      <c r="AE20" s="801"/>
      <c r="AF20" s="801"/>
      <c r="AG20" s="801"/>
      <c r="AH20" s="801"/>
      <c r="AI20" s="801"/>
      <c r="AJ20" s="801"/>
      <c r="AK20" s="801"/>
      <c r="AL20" s="801"/>
      <c r="AM20" s="802"/>
      <c r="AN20" s="803"/>
      <c r="AO20" s="803"/>
      <c r="AP20" s="803"/>
      <c r="AQ20" s="804"/>
      <c r="AR20" s="475"/>
      <c r="AS20" s="475"/>
      <c r="AT20" s="475"/>
      <c r="AU20" s="475"/>
      <c r="AV20" s="470"/>
      <c r="AW20" s="803"/>
      <c r="AX20" s="803"/>
      <c r="AY20" s="803"/>
      <c r="AZ20" s="803"/>
      <c r="BA20" s="803"/>
      <c r="BB20" s="805"/>
      <c r="BC20" s="806"/>
      <c r="BD20" s="806"/>
      <c r="BE20" s="806"/>
      <c r="BF20" s="807"/>
      <c r="BG20" s="806"/>
      <c r="BH20" s="806"/>
      <c r="BI20" s="806"/>
      <c r="BJ20" s="806"/>
      <c r="BK20" s="808"/>
      <c r="BL20" s="812">
        <v>0</v>
      </c>
      <c r="BM20" s="817">
        <v>0</v>
      </c>
      <c r="BN20" s="816">
        <v>0</v>
      </c>
      <c r="BO20" s="816">
        <v>0</v>
      </c>
      <c r="BP20" s="820">
        <f t="shared" si="31"/>
        <v>0</v>
      </c>
      <c r="BQ20" s="806">
        <v>0</v>
      </c>
      <c r="BR20" s="806">
        <v>0</v>
      </c>
      <c r="BS20" s="806">
        <v>220.1</v>
      </c>
      <c r="BT20" s="813">
        <v>-0.4</v>
      </c>
      <c r="BU20" s="820">
        <f t="shared" si="32"/>
        <v>219.7</v>
      </c>
      <c r="BV20" s="806">
        <v>10</v>
      </c>
      <c r="BW20" s="813">
        <v>0</v>
      </c>
      <c r="BX20" s="812">
        <v>0</v>
      </c>
      <c r="BY20" s="812">
        <v>0</v>
      </c>
      <c r="BZ20" s="820">
        <f t="shared" si="33"/>
        <v>10</v>
      </c>
      <c r="CA20" s="813">
        <v>-0.2</v>
      </c>
      <c r="CB20" s="812">
        <v>0</v>
      </c>
      <c r="CC20" s="806"/>
      <c r="CD20" s="806"/>
      <c r="CE20" s="820">
        <f t="shared" si="34"/>
        <v>-0.2</v>
      </c>
      <c r="CF20" s="810"/>
      <c r="CG20" s="475"/>
      <c r="CH20" s="966"/>
      <c r="CI20" s="810"/>
      <c r="CJ20" s="810"/>
      <c r="CK20" s="810"/>
      <c r="CL20" s="810"/>
      <c r="CM20" s="810"/>
      <c r="CN20" s="810"/>
      <c r="CO20" s="810"/>
      <c r="CP20" s="810"/>
      <c r="CQ20" s="810"/>
      <c r="CR20" s="810"/>
      <c r="CS20" s="810"/>
      <c r="CT20" s="810"/>
      <c r="CU20" s="810"/>
      <c r="CV20" s="810"/>
      <c r="CW20" s="810"/>
      <c r="CX20" s="810"/>
      <c r="CY20" s="810"/>
      <c r="CZ20" s="810"/>
      <c r="DA20" s="810"/>
      <c r="DB20" s="810"/>
      <c r="DC20" s="810"/>
      <c r="DD20" s="810"/>
      <c r="DE20" s="810"/>
      <c r="DF20" s="810"/>
      <c r="DG20" s="810"/>
      <c r="DH20" s="810"/>
      <c r="DI20" s="810"/>
      <c r="DJ20" s="810"/>
      <c r="DK20" s="810"/>
      <c r="DL20" s="810"/>
      <c r="DM20" s="810"/>
      <c r="DN20" s="810"/>
      <c r="DO20" s="810"/>
      <c r="DP20" s="810"/>
      <c r="DQ20" s="810"/>
      <c r="DR20" s="810"/>
      <c r="DS20" s="810"/>
      <c r="DT20" s="810"/>
      <c r="DU20" s="810"/>
      <c r="DV20" s="810"/>
      <c r="DW20" s="810"/>
      <c r="DX20" s="810"/>
      <c r="DY20" s="810"/>
      <c r="DZ20" s="810"/>
      <c r="EA20" s="810"/>
      <c r="EB20" s="810"/>
      <c r="EC20" s="810"/>
      <c r="ED20" s="810"/>
      <c r="EE20" s="810"/>
      <c r="EF20" s="810"/>
      <c r="EG20" s="810"/>
      <c r="EH20" s="810"/>
      <c r="EI20" s="810"/>
      <c r="EJ20" s="810"/>
      <c r="EK20" s="810"/>
      <c r="EL20" s="810"/>
      <c r="EM20" s="810"/>
      <c r="EN20" s="810"/>
      <c r="EO20" s="810"/>
      <c r="EP20" s="810"/>
      <c r="EQ20" s="810"/>
      <c r="ER20" s="810"/>
      <c r="ES20" s="810"/>
      <c r="ET20" s="810"/>
      <c r="EU20" s="810"/>
      <c r="EV20" s="810"/>
      <c r="EW20" s="810"/>
      <c r="EX20" s="810"/>
      <c r="EY20" s="810"/>
      <c r="EZ20" s="810"/>
      <c r="FA20" s="810"/>
      <c r="FB20" s="810"/>
      <c r="FC20" s="810"/>
      <c r="FD20" s="810"/>
      <c r="FE20" s="810"/>
      <c r="FF20" s="810"/>
      <c r="FG20" s="810"/>
      <c r="FH20" s="810"/>
      <c r="FI20" s="810"/>
      <c r="FJ20" s="810"/>
      <c r="FK20" s="810"/>
      <c r="FL20" s="810"/>
      <c r="FM20" s="810"/>
      <c r="FN20" s="810"/>
      <c r="FO20" s="810"/>
      <c r="FP20" s="810"/>
      <c r="FQ20" s="810"/>
      <c r="FR20" s="810"/>
      <c r="FS20" s="810"/>
      <c r="FT20" s="810"/>
      <c r="FU20" s="810"/>
      <c r="FV20" s="810"/>
      <c r="FW20" s="810"/>
      <c r="FX20" s="810"/>
      <c r="FY20" s="810"/>
      <c r="FZ20" s="810"/>
      <c r="GA20" s="810"/>
      <c r="GB20" s="810"/>
      <c r="GC20" s="810"/>
      <c r="GD20" s="810"/>
      <c r="GE20" s="810"/>
      <c r="GF20" s="810"/>
      <c r="GG20" s="810"/>
      <c r="GH20" s="810"/>
      <c r="GI20" s="810"/>
      <c r="GJ20" s="810"/>
      <c r="GK20" s="810"/>
      <c r="GL20" s="810"/>
      <c r="GM20" s="810"/>
      <c r="GN20" s="810"/>
      <c r="GO20" s="810"/>
      <c r="GP20" s="810"/>
      <c r="GQ20" s="810"/>
      <c r="GR20" s="810"/>
      <c r="GS20" s="810"/>
      <c r="GT20" s="810"/>
      <c r="GU20" s="810"/>
      <c r="GV20" s="810"/>
      <c r="GW20" s="810"/>
      <c r="GX20" s="810"/>
      <c r="GY20" s="810"/>
      <c r="GZ20" s="810"/>
      <c r="HA20" s="810"/>
      <c r="HB20" s="810"/>
      <c r="HC20" s="810"/>
      <c r="HD20" s="810"/>
      <c r="HE20" s="810"/>
      <c r="HF20" s="810"/>
      <c r="HG20" s="810"/>
      <c r="HH20" s="810"/>
      <c r="HI20" s="810"/>
      <c r="HJ20" s="810"/>
      <c r="HK20" s="810"/>
      <c r="HL20" s="810"/>
      <c r="HM20" s="810"/>
      <c r="HN20" s="810"/>
      <c r="HO20" s="810"/>
      <c r="HP20" s="810"/>
      <c r="HQ20" s="810"/>
      <c r="HR20" s="810"/>
      <c r="HS20" s="810"/>
      <c r="HT20" s="810"/>
      <c r="HU20" s="810"/>
      <c r="HV20" s="810"/>
      <c r="HW20" s="810"/>
      <c r="HX20" s="810"/>
      <c r="HY20" s="810"/>
      <c r="HZ20" s="810"/>
      <c r="IA20" s="810"/>
      <c r="IB20" s="810"/>
      <c r="IC20" s="810"/>
      <c r="ID20" s="810"/>
      <c r="IE20" s="810"/>
      <c r="IF20" s="810"/>
      <c r="IG20" s="810"/>
      <c r="IH20" s="810"/>
      <c r="II20" s="810"/>
      <c r="IJ20" s="810"/>
      <c r="IK20" s="810"/>
      <c r="IL20" s="810"/>
      <c r="IM20" s="810"/>
      <c r="IN20" s="810"/>
      <c r="IO20" s="810"/>
      <c r="IP20" s="810"/>
      <c r="IQ20" s="810"/>
      <c r="IR20" s="810"/>
      <c r="IS20" s="810"/>
      <c r="IT20" s="810"/>
      <c r="IU20" s="810"/>
      <c r="IV20" s="810"/>
      <c r="IW20" s="810"/>
      <c r="IX20" s="810"/>
      <c r="IY20" s="810"/>
      <c r="IZ20" s="810"/>
      <c r="JA20" s="810"/>
      <c r="JB20" s="810"/>
      <c r="JC20" s="810"/>
      <c r="JD20" s="810"/>
      <c r="JE20" s="810"/>
      <c r="JF20" s="810"/>
      <c r="JG20" s="810"/>
      <c r="JH20" s="810"/>
      <c r="JI20" s="810"/>
      <c r="JJ20" s="810"/>
      <c r="JK20" s="810"/>
      <c r="JL20" s="810"/>
      <c r="JM20" s="810"/>
      <c r="JN20" s="810"/>
      <c r="JO20" s="810"/>
      <c r="JP20" s="810"/>
      <c r="JQ20" s="810"/>
      <c r="JR20" s="810"/>
      <c r="JS20" s="810"/>
      <c r="JT20" s="810"/>
      <c r="JU20" s="810"/>
      <c r="JV20" s="810"/>
      <c r="JW20" s="810"/>
      <c r="JX20" s="810"/>
      <c r="JY20" s="810"/>
      <c r="JZ20" s="810"/>
      <c r="KA20" s="810"/>
      <c r="KB20" s="810"/>
      <c r="KC20" s="810"/>
      <c r="KD20" s="810"/>
      <c r="KE20" s="810"/>
      <c r="KF20" s="810"/>
      <c r="KG20" s="810"/>
      <c r="KH20" s="810"/>
      <c r="KI20" s="810"/>
      <c r="KJ20" s="810"/>
      <c r="KK20" s="810"/>
      <c r="KL20" s="810"/>
      <c r="KM20" s="810"/>
      <c r="KN20" s="810"/>
      <c r="KO20" s="810"/>
      <c r="KP20" s="810"/>
      <c r="KQ20" s="810"/>
      <c r="KR20" s="810"/>
      <c r="KS20" s="810"/>
      <c r="KT20" s="810"/>
      <c r="KU20" s="810"/>
      <c r="KV20" s="810"/>
      <c r="KW20" s="810"/>
      <c r="KX20" s="810"/>
      <c r="KY20" s="810"/>
      <c r="KZ20" s="810"/>
      <c r="LA20" s="810"/>
      <c r="LB20" s="810"/>
      <c r="LC20" s="810"/>
      <c r="LD20" s="810"/>
      <c r="LE20" s="810"/>
      <c r="LF20" s="810"/>
      <c r="LG20" s="810"/>
      <c r="LH20" s="810"/>
      <c r="LI20" s="810"/>
      <c r="LJ20" s="810"/>
      <c r="LK20" s="810"/>
      <c r="LL20" s="810"/>
      <c r="LM20" s="810"/>
      <c r="LN20" s="810"/>
      <c r="LO20" s="810"/>
      <c r="LP20" s="810"/>
      <c r="LQ20" s="810"/>
      <c r="LR20" s="810"/>
      <c r="LS20" s="810"/>
      <c r="LT20" s="810"/>
      <c r="LU20" s="810"/>
      <c r="LV20" s="810"/>
      <c r="LW20" s="810"/>
      <c r="LX20" s="810"/>
      <c r="LY20" s="810"/>
      <c r="LZ20" s="810"/>
      <c r="MA20" s="810"/>
      <c r="MB20" s="810"/>
      <c r="MC20" s="810"/>
      <c r="MD20" s="810"/>
      <c r="ME20" s="810"/>
      <c r="MF20" s="810"/>
      <c r="MG20" s="810"/>
      <c r="MH20" s="810"/>
      <c r="MI20" s="810"/>
      <c r="MJ20" s="810"/>
      <c r="MK20" s="810"/>
      <c r="ML20" s="810"/>
      <c r="MM20" s="810"/>
      <c r="MN20" s="810"/>
      <c r="MO20" s="810"/>
      <c r="MP20" s="810"/>
      <c r="MQ20" s="810"/>
      <c r="MR20" s="810"/>
      <c r="MS20" s="810"/>
      <c r="MT20" s="810"/>
      <c r="MU20" s="810"/>
      <c r="MV20" s="810"/>
      <c r="MW20" s="810"/>
      <c r="MX20" s="810"/>
      <c r="MY20" s="810"/>
      <c r="MZ20" s="810"/>
      <c r="NA20" s="810"/>
      <c r="NB20" s="810"/>
      <c r="NC20" s="810"/>
      <c r="ND20" s="810"/>
      <c r="NE20" s="810"/>
      <c r="NF20" s="810"/>
      <c r="NG20" s="810"/>
      <c r="NH20" s="810"/>
      <c r="NI20" s="810"/>
      <c r="NJ20" s="810"/>
      <c r="NK20" s="810"/>
      <c r="NL20" s="810"/>
      <c r="NM20" s="810"/>
      <c r="NN20" s="810"/>
      <c r="NO20" s="810"/>
      <c r="NP20" s="810"/>
      <c r="NQ20" s="810"/>
      <c r="NR20" s="810"/>
      <c r="NS20" s="810"/>
      <c r="NT20" s="810"/>
      <c r="NU20" s="810"/>
      <c r="NV20" s="810"/>
      <c r="NW20" s="810"/>
      <c r="NX20" s="810"/>
      <c r="NY20" s="810"/>
      <c r="NZ20" s="810"/>
      <c r="OA20" s="810"/>
      <c r="OB20" s="810"/>
      <c r="OC20" s="810"/>
      <c r="OD20" s="810"/>
      <c r="OE20" s="810"/>
      <c r="OF20" s="810"/>
      <c r="OG20" s="810"/>
      <c r="OH20" s="810"/>
      <c r="OI20" s="810"/>
      <c r="OJ20" s="810"/>
      <c r="OK20" s="810"/>
      <c r="OL20" s="810"/>
      <c r="OM20" s="810"/>
      <c r="ON20" s="810"/>
      <c r="OO20" s="810"/>
      <c r="OP20" s="810"/>
      <c r="OQ20" s="810"/>
      <c r="OR20" s="810"/>
      <c r="OS20" s="810"/>
      <c r="OT20" s="810"/>
      <c r="OU20" s="810"/>
      <c r="OV20" s="810"/>
      <c r="OW20" s="810"/>
      <c r="OX20" s="810"/>
      <c r="OY20" s="810"/>
      <c r="OZ20" s="810"/>
      <c r="PA20" s="810"/>
      <c r="PB20" s="810"/>
      <c r="PC20" s="810"/>
      <c r="PD20" s="810"/>
      <c r="PE20" s="810"/>
      <c r="PF20" s="810"/>
      <c r="PG20" s="810"/>
      <c r="PH20" s="810"/>
      <c r="PI20" s="810"/>
      <c r="PJ20" s="810"/>
      <c r="PK20" s="810"/>
      <c r="PL20" s="810"/>
      <c r="PM20" s="810"/>
      <c r="PN20" s="810"/>
      <c r="PO20" s="810"/>
      <c r="PP20" s="810"/>
      <c r="PQ20" s="810"/>
      <c r="PR20" s="810"/>
      <c r="PS20" s="810"/>
      <c r="PT20" s="810"/>
      <c r="PU20" s="810"/>
      <c r="PV20" s="810"/>
      <c r="PW20" s="810"/>
      <c r="PX20" s="810"/>
      <c r="PY20" s="810"/>
      <c r="PZ20" s="810"/>
      <c r="QA20" s="810"/>
      <c r="QB20" s="810"/>
      <c r="QC20" s="810"/>
      <c r="QD20" s="810"/>
      <c r="QE20" s="810"/>
      <c r="QF20" s="810"/>
      <c r="QG20" s="810"/>
      <c r="QH20" s="810"/>
      <c r="QI20" s="810"/>
      <c r="QJ20" s="810"/>
      <c r="QK20" s="810"/>
      <c r="QL20" s="810"/>
      <c r="QM20" s="810"/>
      <c r="QN20" s="810"/>
      <c r="QO20" s="810"/>
      <c r="QP20" s="810"/>
      <c r="QQ20" s="810"/>
      <c r="QR20" s="810"/>
      <c r="QS20" s="810"/>
      <c r="QT20" s="810"/>
      <c r="QU20" s="810"/>
      <c r="QV20" s="810"/>
      <c r="QW20" s="810"/>
      <c r="QX20" s="810"/>
      <c r="QY20" s="810"/>
      <c r="QZ20" s="810"/>
      <c r="RA20" s="810"/>
      <c r="RB20" s="810"/>
      <c r="RC20" s="810"/>
      <c r="RD20" s="810"/>
      <c r="RE20" s="810"/>
      <c r="RF20" s="810"/>
      <c r="RG20" s="810"/>
      <c r="RH20" s="810"/>
      <c r="RI20" s="810"/>
      <c r="RJ20" s="810"/>
      <c r="RK20" s="810"/>
      <c r="RL20" s="810"/>
      <c r="RM20" s="810"/>
      <c r="RN20" s="810"/>
      <c r="RO20" s="810"/>
      <c r="RP20" s="810"/>
      <c r="RQ20" s="810"/>
      <c r="RR20" s="810"/>
      <c r="RS20" s="810"/>
      <c r="RT20" s="810"/>
      <c r="RU20" s="810"/>
      <c r="RV20" s="810"/>
      <c r="RW20" s="810"/>
      <c r="RX20" s="810"/>
    </row>
    <row r="21" spans="1:492" s="811" customFormat="1" ht="20.25" customHeight="1">
      <c r="A21" s="799" t="s">
        <v>797</v>
      </c>
      <c r="B21" s="800" t="s">
        <v>803</v>
      </c>
      <c r="C21" s="814"/>
      <c r="D21" s="814"/>
      <c r="E21" s="814"/>
      <c r="F21" s="814"/>
      <c r="G21" s="814"/>
      <c r="H21" s="814"/>
      <c r="I21" s="814"/>
      <c r="J21" s="814"/>
      <c r="K21" s="814"/>
      <c r="L21" s="814"/>
      <c r="M21" s="814"/>
      <c r="N21" s="814"/>
      <c r="O21" s="814"/>
      <c r="P21" s="814"/>
      <c r="Q21" s="814"/>
      <c r="R21" s="814"/>
      <c r="S21" s="814"/>
      <c r="T21" s="814"/>
      <c r="U21" s="814"/>
      <c r="V21" s="814"/>
      <c r="W21" s="814"/>
      <c r="X21" s="814"/>
      <c r="Y21" s="814"/>
      <c r="Z21" s="814"/>
      <c r="AA21" s="814"/>
      <c r="AB21" s="814"/>
      <c r="AC21" s="814"/>
      <c r="AD21" s="814"/>
      <c r="AE21" s="814"/>
      <c r="AF21" s="814"/>
      <c r="AG21" s="814"/>
      <c r="AH21" s="814"/>
      <c r="AI21" s="814"/>
      <c r="AJ21" s="814"/>
      <c r="AK21" s="814"/>
      <c r="AL21" s="814"/>
      <c r="AM21" s="802"/>
      <c r="AN21" s="803"/>
      <c r="AO21" s="803"/>
      <c r="AP21" s="803"/>
      <c r="AQ21" s="804"/>
      <c r="AR21" s="475"/>
      <c r="AS21" s="475"/>
      <c r="AT21" s="475"/>
      <c r="AU21" s="475"/>
      <c r="AV21" s="470"/>
      <c r="AW21" s="803"/>
      <c r="AX21" s="803"/>
      <c r="AY21" s="803"/>
      <c r="AZ21" s="803"/>
      <c r="BA21" s="803"/>
      <c r="BB21" s="805"/>
      <c r="BC21" s="806"/>
      <c r="BD21" s="806"/>
      <c r="BE21" s="806"/>
      <c r="BF21" s="815"/>
      <c r="BG21" s="803"/>
      <c r="BH21" s="803"/>
      <c r="BI21" s="816"/>
      <c r="BJ21" s="816"/>
      <c r="BK21" s="808"/>
      <c r="BL21" s="812">
        <v>0</v>
      </c>
      <c r="BM21" s="817">
        <v>0</v>
      </c>
      <c r="BN21" s="816">
        <v>0</v>
      </c>
      <c r="BO21" s="816">
        <v>0</v>
      </c>
      <c r="BP21" s="822">
        <f t="shared" si="31"/>
        <v>0</v>
      </c>
      <c r="BQ21" s="812">
        <v>0</v>
      </c>
      <c r="BR21" s="817">
        <v>0</v>
      </c>
      <c r="BS21" s="816">
        <v>0</v>
      </c>
      <c r="BT21" s="816">
        <v>0</v>
      </c>
      <c r="BU21" s="822">
        <f t="shared" si="22"/>
        <v>0</v>
      </c>
      <c r="BV21" s="812">
        <v>164</v>
      </c>
      <c r="BW21" s="812">
        <v>21.1</v>
      </c>
      <c r="BX21" s="816">
        <v>14.6</v>
      </c>
      <c r="BY21" s="816">
        <v>0</v>
      </c>
      <c r="BZ21" s="822">
        <f t="shared" si="24"/>
        <v>199.7</v>
      </c>
      <c r="CA21" s="812">
        <v>0</v>
      </c>
      <c r="CB21" s="812">
        <v>0</v>
      </c>
      <c r="CC21" s="816"/>
      <c r="CD21" s="816"/>
      <c r="CE21" s="822">
        <f t="shared" si="26"/>
        <v>0</v>
      </c>
      <c r="CF21" s="810"/>
      <c r="CG21" s="475"/>
      <c r="CH21" s="966"/>
      <c r="CI21" s="810"/>
      <c r="CJ21" s="810"/>
      <c r="CK21" s="810"/>
      <c r="CL21" s="810"/>
      <c r="CM21" s="810"/>
      <c r="CN21" s="810"/>
      <c r="CO21" s="810"/>
      <c r="CP21" s="810"/>
      <c r="CQ21" s="810"/>
      <c r="CR21" s="810"/>
      <c r="CS21" s="810"/>
      <c r="CT21" s="810"/>
      <c r="CU21" s="810"/>
      <c r="CV21" s="810"/>
      <c r="CW21" s="810"/>
      <c r="CX21" s="810"/>
      <c r="CY21" s="810"/>
      <c r="CZ21" s="810"/>
      <c r="DA21" s="810"/>
      <c r="DB21" s="810"/>
      <c r="DC21" s="810"/>
      <c r="DD21" s="810"/>
      <c r="DE21" s="810"/>
      <c r="DF21" s="810"/>
      <c r="DG21" s="810"/>
      <c r="DH21" s="810"/>
      <c r="DI21" s="810"/>
      <c r="DJ21" s="810"/>
      <c r="DK21" s="810"/>
      <c r="DL21" s="810"/>
      <c r="DM21" s="810"/>
      <c r="DN21" s="810"/>
      <c r="DO21" s="810"/>
      <c r="DP21" s="810"/>
      <c r="DQ21" s="810"/>
      <c r="DR21" s="810"/>
      <c r="DS21" s="810"/>
      <c r="DT21" s="810"/>
      <c r="DU21" s="810"/>
      <c r="DV21" s="810"/>
      <c r="DW21" s="810"/>
      <c r="DX21" s="810"/>
      <c r="DY21" s="810"/>
      <c r="DZ21" s="810"/>
      <c r="EA21" s="810"/>
      <c r="EB21" s="810"/>
      <c r="EC21" s="810"/>
      <c r="ED21" s="810"/>
      <c r="EE21" s="810"/>
      <c r="EF21" s="810"/>
      <c r="EG21" s="810"/>
      <c r="EH21" s="810"/>
      <c r="EI21" s="810"/>
      <c r="EJ21" s="810"/>
      <c r="EK21" s="810"/>
      <c r="EL21" s="810"/>
      <c r="EM21" s="810"/>
      <c r="EN21" s="810"/>
      <c r="EO21" s="810"/>
      <c r="EP21" s="810"/>
      <c r="EQ21" s="810"/>
      <c r="ER21" s="810"/>
      <c r="ES21" s="810"/>
      <c r="ET21" s="810"/>
      <c r="EU21" s="810"/>
      <c r="EV21" s="810"/>
      <c r="EW21" s="810"/>
      <c r="EX21" s="810"/>
      <c r="EY21" s="810"/>
      <c r="EZ21" s="810"/>
      <c r="FA21" s="810"/>
      <c r="FB21" s="810"/>
      <c r="FC21" s="810"/>
      <c r="FD21" s="810"/>
      <c r="FE21" s="810"/>
      <c r="FF21" s="810"/>
      <c r="FG21" s="810"/>
      <c r="FH21" s="810"/>
      <c r="FI21" s="810"/>
      <c r="FJ21" s="810"/>
      <c r="FK21" s="810"/>
      <c r="FL21" s="810"/>
      <c r="FM21" s="810"/>
      <c r="FN21" s="810"/>
      <c r="FO21" s="810"/>
      <c r="FP21" s="810"/>
      <c r="FQ21" s="810"/>
      <c r="FR21" s="810"/>
      <c r="FS21" s="810"/>
      <c r="FT21" s="810"/>
      <c r="FU21" s="810"/>
      <c r="FV21" s="810"/>
      <c r="FW21" s="810"/>
      <c r="FX21" s="810"/>
      <c r="FY21" s="810"/>
      <c r="FZ21" s="810"/>
      <c r="GA21" s="810"/>
      <c r="GB21" s="810"/>
      <c r="GC21" s="810"/>
      <c r="GD21" s="810"/>
      <c r="GE21" s="810"/>
      <c r="GF21" s="810"/>
      <c r="GG21" s="810"/>
      <c r="GH21" s="810"/>
      <c r="GI21" s="810"/>
      <c r="GJ21" s="810"/>
      <c r="GK21" s="810"/>
      <c r="GL21" s="810"/>
      <c r="GM21" s="810"/>
      <c r="GN21" s="810"/>
      <c r="GO21" s="810"/>
      <c r="GP21" s="810"/>
      <c r="GQ21" s="810"/>
      <c r="GR21" s="810"/>
      <c r="GS21" s="810"/>
      <c r="GT21" s="810"/>
      <c r="GU21" s="810"/>
      <c r="GV21" s="810"/>
      <c r="GW21" s="810"/>
      <c r="GX21" s="810"/>
      <c r="GY21" s="810"/>
      <c r="GZ21" s="810"/>
      <c r="HA21" s="810"/>
      <c r="HB21" s="810"/>
      <c r="HC21" s="810"/>
      <c r="HD21" s="810"/>
      <c r="HE21" s="810"/>
      <c r="HF21" s="810"/>
      <c r="HG21" s="810"/>
      <c r="HH21" s="810"/>
      <c r="HI21" s="810"/>
      <c r="HJ21" s="810"/>
      <c r="HK21" s="810"/>
      <c r="HL21" s="810"/>
      <c r="HM21" s="810"/>
      <c r="HN21" s="810"/>
      <c r="HO21" s="810"/>
      <c r="HP21" s="810"/>
      <c r="HQ21" s="810"/>
      <c r="HR21" s="810"/>
      <c r="HS21" s="810"/>
      <c r="HT21" s="810"/>
      <c r="HU21" s="810"/>
      <c r="HV21" s="810"/>
      <c r="HW21" s="810"/>
      <c r="HX21" s="810"/>
      <c r="HY21" s="810"/>
      <c r="HZ21" s="810"/>
      <c r="IA21" s="810"/>
      <c r="IB21" s="810"/>
      <c r="IC21" s="810"/>
      <c r="ID21" s="810"/>
      <c r="IE21" s="810"/>
      <c r="IF21" s="810"/>
      <c r="IG21" s="810"/>
      <c r="IH21" s="810"/>
      <c r="II21" s="810"/>
      <c r="IJ21" s="810"/>
      <c r="IK21" s="810"/>
      <c r="IL21" s="810"/>
      <c r="IM21" s="810"/>
      <c r="IN21" s="810"/>
      <c r="IO21" s="810"/>
      <c r="IP21" s="810"/>
      <c r="IQ21" s="810"/>
      <c r="IR21" s="810"/>
      <c r="IS21" s="810"/>
      <c r="IT21" s="810"/>
      <c r="IU21" s="810"/>
      <c r="IV21" s="810"/>
      <c r="IW21" s="810"/>
      <c r="IX21" s="810"/>
      <c r="IY21" s="810"/>
      <c r="IZ21" s="810"/>
      <c r="JA21" s="810"/>
      <c r="JB21" s="810"/>
      <c r="JC21" s="810"/>
      <c r="JD21" s="810"/>
      <c r="JE21" s="810"/>
      <c r="JF21" s="810"/>
      <c r="JG21" s="810"/>
      <c r="JH21" s="810"/>
      <c r="JI21" s="810"/>
      <c r="JJ21" s="810"/>
      <c r="JK21" s="810"/>
      <c r="JL21" s="810"/>
      <c r="JM21" s="810"/>
      <c r="JN21" s="810"/>
      <c r="JO21" s="810"/>
      <c r="JP21" s="810"/>
      <c r="JQ21" s="810"/>
      <c r="JR21" s="810"/>
      <c r="JS21" s="810"/>
      <c r="JT21" s="810"/>
      <c r="JU21" s="810"/>
      <c r="JV21" s="810"/>
      <c r="JW21" s="810"/>
      <c r="JX21" s="810"/>
      <c r="JY21" s="810"/>
      <c r="JZ21" s="810"/>
      <c r="KA21" s="810"/>
      <c r="KB21" s="810"/>
      <c r="KC21" s="810"/>
      <c r="KD21" s="810"/>
      <c r="KE21" s="810"/>
      <c r="KF21" s="810"/>
      <c r="KG21" s="810"/>
      <c r="KH21" s="810"/>
      <c r="KI21" s="810"/>
      <c r="KJ21" s="810"/>
      <c r="KK21" s="810"/>
      <c r="KL21" s="810"/>
      <c r="KM21" s="810"/>
      <c r="KN21" s="810"/>
      <c r="KO21" s="810"/>
      <c r="KP21" s="810"/>
      <c r="KQ21" s="810"/>
      <c r="KR21" s="810"/>
      <c r="KS21" s="810"/>
      <c r="KT21" s="810"/>
      <c r="KU21" s="810"/>
      <c r="KV21" s="810"/>
      <c r="KW21" s="810"/>
      <c r="KX21" s="810"/>
      <c r="KY21" s="810"/>
      <c r="KZ21" s="810"/>
      <c r="LA21" s="810"/>
      <c r="LB21" s="810"/>
      <c r="LC21" s="810"/>
      <c r="LD21" s="810"/>
      <c r="LE21" s="810"/>
      <c r="LF21" s="810"/>
      <c r="LG21" s="810"/>
      <c r="LH21" s="810"/>
      <c r="LI21" s="810"/>
      <c r="LJ21" s="810"/>
      <c r="LK21" s="810"/>
      <c r="LL21" s="810"/>
      <c r="LM21" s="810"/>
      <c r="LN21" s="810"/>
      <c r="LO21" s="810"/>
      <c r="LP21" s="810"/>
      <c r="LQ21" s="810"/>
      <c r="LR21" s="810"/>
      <c r="LS21" s="810"/>
      <c r="LT21" s="810"/>
      <c r="LU21" s="810"/>
      <c r="LV21" s="810"/>
      <c r="LW21" s="810"/>
      <c r="LX21" s="810"/>
      <c r="LY21" s="810"/>
      <c r="LZ21" s="810"/>
      <c r="MA21" s="810"/>
      <c r="MB21" s="810"/>
      <c r="MC21" s="810"/>
      <c r="MD21" s="810"/>
      <c r="ME21" s="810"/>
      <c r="MF21" s="810"/>
      <c r="MG21" s="810"/>
      <c r="MH21" s="810"/>
      <c r="MI21" s="810"/>
      <c r="MJ21" s="810"/>
      <c r="MK21" s="810"/>
      <c r="ML21" s="810"/>
      <c r="MM21" s="810"/>
      <c r="MN21" s="810"/>
      <c r="MO21" s="810"/>
      <c r="MP21" s="810"/>
      <c r="MQ21" s="810"/>
      <c r="MR21" s="810"/>
      <c r="MS21" s="810"/>
      <c r="MT21" s="810"/>
      <c r="MU21" s="810"/>
      <c r="MV21" s="810"/>
      <c r="MW21" s="810"/>
      <c r="MX21" s="810"/>
      <c r="MY21" s="810"/>
      <c r="MZ21" s="810"/>
      <c r="NA21" s="810"/>
      <c r="NB21" s="810"/>
      <c r="NC21" s="810"/>
      <c r="ND21" s="810"/>
      <c r="NE21" s="810"/>
      <c r="NF21" s="810"/>
      <c r="NG21" s="810"/>
      <c r="NH21" s="810"/>
      <c r="NI21" s="810"/>
      <c r="NJ21" s="810"/>
      <c r="NK21" s="810"/>
      <c r="NL21" s="810"/>
      <c r="NM21" s="810"/>
      <c r="NN21" s="810"/>
      <c r="NO21" s="810"/>
      <c r="NP21" s="810"/>
      <c r="NQ21" s="810"/>
      <c r="NR21" s="810"/>
      <c r="NS21" s="810"/>
      <c r="NT21" s="810"/>
      <c r="NU21" s="810"/>
      <c r="NV21" s="810"/>
      <c r="NW21" s="810"/>
      <c r="NX21" s="810"/>
      <c r="NY21" s="810"/>
      <c r="NZ21" s="810"/>
      <c r="OA21" s="810"/>
      <c r="OB21" s="810"/>
      <c r="OC21" s="810"/>
      <c r="OD21" s="810"/>
      <c r="OE21" s="810"/>
      <c r="OF21" s="810"/>
      <c r="OG21" s="810"/>
      <c r="OH21" s="810"/>
      <c r="OI21" s="810"/>
      <c r="OJ21" s="810"/>
      <c r="OK21" s="810"/>
      <c r="OL21" s="810"/>
      <c r="OM21" s="810"/>
      <c r="ON21" s="810"/>
      <c r="OO21" s="810"/>
      <c r="OP21" s="810"/>
      <c r="OQ21" s="810"/>
      <c r="OR21" s="810"/>
      <c r="OS21" s="810"/>
      <c r="OT21" s="810"/>
      <c r="OU21" s="810"/>
      <c r="OV21" s="810"/>
      <c r="OW21" s="810"/>
      <c r="OX21" s="810"/>
      <c r="OY21" s="810"/>
      <c r="OZ21" s="810"/>
      <c r="PA21" s="810"/>
      <c r="PB21" s="810"/>
      <c r="PC21" s="810"/>
      <c r="PD21" s="810"/>
      <c r="PE21" s="810"/>
      <c r="PF21" s="810"/>
      <c r="PG21" s="810"/>
      <c r="PH21" s="810"/>
      <c r="PI21" s="810"/>
      <c r="PJ21" s="810"/>
      <c r="PK21" s="810"/>
      <c r="PL21" s="810"/>
      <c r="PM21" s="810"/>
      <c r="PN21" s="810"/>
      <c r="PO21" s="810"/>
      <c r="PP21" s="810"/>
      <c r="PQ21" s="810"/>
      <c r="PR21" s="810"/>
      <c r="PS21" s="810"/>
      <c r="PT21" s="810"/>
      <c r="PU21" s="810"/>
      <c r="PV21" s="810"/>
      <c r="PW21" s="810"/>
      <c r="PX21" s="810"/>
      <c r="PY21" s="810"/>
      <c r="PZ21" s="810"/>
      <c r="QA21" s="810"/>
      <c r="QB21" s="810"/>
      <c r="QC21" s="810"/>
      <c r="QD21" s="810"/>
      <c r="QE21" s="810"/>
      <c r="QF21" s="810"/>
      <c r="QG21" s="810"/>
      <c r="QH21" s="810"/>
      <c r="QI21" s="810"/>
      <c r="QJ21" s="810"/>
      <c r="QK21" s="810"/>
      <c r="QL21" s="810"/>
      <c r="QM21" s="810"/>
      <c r="QN21" s="810"/>
      <c r="QO21" s="810"/>
      <c r="QP21" s="810"/>
      <c r="QQ21" s="810"/>
      <c r="QR21" s="810"/>
      <c r="QS21" s="810"/>
      <c r="QT21" s="810"/>
      <c r="QU21" s="810"/>
      <c r="QV21" s="810"/>
      <c r="QW21" s="810"/>
      <c r="QX21" s="810"/>
      <c r="QY21" s="810"/>
      <c r="QZ21" s="810"/>
      <c r="RA21" s="810"/>
      <c r="RB21" s="810"/>
      <c r="RC21" s="810"/>
      <c r="RD21" s="810"/>
      <c r="RE21" s="810"/>
      <c r="RF21" s="810"/>
      <c r="RG21" s="810"/>
      <c r="RH21" s="810"/>
      <c r="RI21" s="810"/>
      <c r="RJ21" s="810"/>
      <c r="RK21" s="810"/>
      <c r="RL21" s="810"/>
      <c r="RM21" s="810"/>
      <c r="RN21" s="810"/>
      <c r="RO21" s="810"/>
      <c r="RP21" s="810"/>
      <c r="RQ21" s="810"/>
      <c r="RR21" s="810"/>
      <c r="RS21" s="810"/>
      <c r="RT21" s="810"/>
      <c r="RU21" s="810"/>
      <c r="RV21" s="810"/>
      <c r="RW21" s="810"/>
      <c r="RX21" s="810"/>
    </row>
    <row r="22" spans="1:492" s="811" customFormat="1" thickBot="1">
      <c r="A22" s="799" t="s">
        <v>796</v>
      </c>
      <c r="B22" s="800" t="s">
        <v>804</v>
      </c>
      <c r="C22" s="814"/>
      <c r="D22" s="814"/>
      <c r="E22" s="814"/>
      <c r="F22" s="814"/>
      <c r="G22" s="814"/>
      <c r="H22" s="814"/>
      <c r="I22" s="814"/>
      <c r="J22" s="814"/>
      <c r="K22" s="814"/>
      <c r="L22" s="814"/>
      <c r="M22" s="814"/>
      <c r="N22" s="814"/>
      <c r="O22" s="814"/>
      <c r="P22" s="814"/>
      <c r="Q22" s="814"/>
      <c r="R22" s="814"/>
      <c r="S22" s="814"/>
      <c r="T22" s="814"/>
      <c r="U22" s="814"/>
      <c r="V22" s="814"/>
      <c r="W22" s="814"/>
      <c r="X22" s="814"/>
      <c r="Y22" s="814"/>
      <c r="Z22" s="814"/>
      <c r="AA22" s="814"/>
      <c r="AB22" s="814"/>
      <c r="AC22" s="814"/>
      <c r="AD22" s="814"/>
      <c r="AE22" s="814"/>
      <c r="AF22" s="814"/>
      <c r="AG22" s="814"/>
      <c r="AH22" s="814"/>
      <c r="AI22" s="814"/>
      <c r="AJ22" s="814"/>
      <c r="AK22" s="814"/>
      <c r="AL22" s="814"/>
      <c r="AM22" s="802"/>
      <c r="AN22" s="803"/>
      <c r="AO22" s="803"/>
      <c r="AP22" s="803"/>
      <c r="AQ22" s="804"/>
      <c r="AR22" s="481"/>
      <c r="AS22" s="481"/>
      <c r="AT22" s="481"/>
      <c r="AU22" s="481"/>
      <c r="AV22" s="482"/>
      <c r="AW22" s="803"/>
      <c r="AX22" s="803"/>
      <c r="AY22" s="803"/>
      <c r="AZ22" s="803"/>
      <c r="BA22" s="803"/>
      <c r="BB22" s="805"/>
      <c r="BC22" s="806"/>
      <c r="BD22" s="806"/>
      <c r="BE22" s="806"/>
      <c r="BF22" s="815"/>
      <c r="BG22" s="803"/>
      <c r="BH22" s="803"/>
      <c r="BI22" s="816"/>
      <c r="BJ22" s="816"/>
      <c r="BK22" s="808"/>
      <c r="BL22" s="812">
        <v>0</v>
      </c>
      <c r="BM22" s="817">
        <v>0</v>
      </c>
      <c r="BN22" s="816">
        <v>0</v>
      </c>
      <c r="BO22" s="813">
        <v>0</v>
      </c>
      <c r="BP22" s="820">
        <f t="shared" si="31"/>
        <v>0</v>
      </c>
      <c r="BQ22" s="812">
        <v>0</v>
      </c>
      <c r="BR22" s="817">
        <v>0</v>
      </c>
      <c r="BS22" s="816">
        <v>0</v>
      </c>
      <c r="BT22" s="813">
        <v>0</v>
      </c>
      <c r="BU22" s="820">
        <f t="shared" si="22"/>
        <v>0</v>
      </c>
      <c r="BV22" s="812">
        <v>0</v>
      </c>
      <c r="BW22" s="812">
        <v>0</v>
      </c>
      <c r="BX22" s="816">
        <v>-30</v>
      </c>
      <c r="BY22" s="813">
        <v>-41</v>
      </c>
      <c r="BZ22" s="820">
        <f t="shared" si="24"/>
        <v>-71</v>
      </c>
      <c r="CA22" s="812">
        <v>0</v>
      </c>
      <c r="CB22" s="816">
        <v>-18.8</v>
      </c>
      <c r="CC22" s="816"/>
      <c r="CD22" s="813"/>
      <c r="CE22" s="820">
        <f t="shared" si="26"/>
        <v>-18.8</v>
      </c>
      <c r="CG22" s="475"/>
      <c r="CH22" s="966"/>
    </row>
    <row r="23" spans="1:492" s="59" customFormat="1" ht="20.25" customHeight="1" thickBot="1">
      <c r="A23" s="490" t="s">
        <v>469</v>
      </c>
      <c r="B23" s="511" t="s">
        <v>470</v>
      </c>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1"/>
      <c r="AJ23" s="391"/>
      <c r="AK23" s="391"/>
      <c r="AL23" s="391"/>
      <c r="AM23" s="502">
        <f>SUM(AM24:AM25)</f>
        <v>890</v>
      </c>
      <c r="AN23" s="392">
        <f t="shared" ref="AN23:AQ23" si="35">SUM(AN24:AN25)</f>
        <v>946.40000000000009</v>
      </c>
      <c r="AO23" s="392">
        <f t="shared" si="35"/>
        <v>920</v>
      </c>
      <c r="AP23" s="392">
        <f t="shared" si="35"/>
        <v>941.3</v>
      </c>
      <c r="AQ23" s="503">
        <f t="shared" si="35"/>
        <v>3697.7</v>
      </c>
      <c r="AR23" s="392"/>
      <c r="AS23" s="392"/>
      <c r="AT23" s="392"/>
      <c r="AU23" s="392"/>
      <c r="AV23" s="393"/>
      <c r="AW23" s="392">
        <f t="shared" ref="AW23:BE23" si="36">SUM(AW24:AW25)</f>
        <v>1038.3</v>
      </c>
      <c r="AX23" s="392">
        <f t="shared" si="36"/>
        <v>1076.0999999999999</v>
      </c>
      <c r="AY23" s="392">
        <f t="shared" si="36"/>
        <v>1020.4999999999999</v>
      </c>
      <c r="AZ23" s="392">
        <f t="shared" si="36"/>
        <v>1061.8000000000004</v>
      </c>
      <c r="BA23" s="494">
        <f t="shared" si="36"/>
        <v>4196.7</v>
      </c>
      <c r="BB23" s="502">
        <f t="shared" si="36"/>
        <v>1026.7</v>
      </c>
      <c r="BC23" s="392">
        <f t="shared" si="36"/>
        <v>960</v>
      </c>
      <c r="BD23" s="392">
        <f t="shared" si="36"/>
        <v>1078.9000000000001</v>
      </c>
      <c r="BE23" s="392">
        <f t="shared" si="36"/>
        <v>1126.3</v>
      </c>
      <c r="BF23" s="503">
        <f>SUM(BF24:BF25)</f>
        <v>4191.9000000000005</v>
      </c>
      <c r="BG23" s="392">
        <f>SUM(BG24:BG25)</f>
        <v>1082.7</v>
      </c>
      <c r="BH23" s="392">
        <f t="shared" ref="BH23:BJ23" si="37">SUM(BH24:BH25)</f>
        <v>1140.9000000000001</v>
      </c>
      <c r="BI23" s="392">
        <f t="shared" si="37"/>
        <v>4594.9999999999991</v>
      </c>
      <c r="BJ23" s="392">
        <f t="shared" si="37"/>
        <v>881.00000000000011</v>
      </c>
      <c r="BK23" s="503">
        <f>SUM(BK24:BK25)</f>
        <v>7699.6</v>
      </c>
      <c r="BL23" s="392">
        <f>SUM(BL24:BL26)</f>
        <v>766.6</v>
      </c>
      <c r="BM23" s="670">
        <f>SUM(BM24:BM28)</f>
        <v>893.3</v>
      </c>
      <c r="BN23" s="392">
        <f>SUM(BN24:BN28)</f>
        <v>952.99999999999966</v>
      </c>
      <c r="BO23" s="392">
        <f>SUM(BO24:BO28)</f>
        <v>858.30000000000007</v>
      </c>
      <c r="BP23" s="503">
        <f>SUM(BP24:BP28)</f>
        <v>3471.2000000000003</v>
      </c>
      <c r="BQ23" s="392">
        <f>SUM(BQ24:BQ28)</f>
        <v>761.2</v>
      </c>
      <c r="BR23" s="392">
        <f t="shared" ref="BR23:BT23" si="38">SUM(BR24:BR28)</f>
        <v>798.5</v>
      </c>
      <c r="BS23" s="392">
        <f t="shared" si="38"/>
        <v>994.8</v>
      </c>
      <c r="BT23" s="392">
        <f t="shared" si="38"/>
        <v>676.7</v>
      </c>
      <c r="BU23" s="821">
        <f>SUM(BU24:BU28)</f>
        <v>3231.2000000000003</v>
      </c>
      <c r="BV23" s="392">
        <f>SUM(BV24:BV28)</f>
        <v>946.3</v>
      </c>
      <c r="BW23" s="392">
        <f t="shared" ref="BW23:BY23" si="39">SUM(BW24:BW28)</f>
        <v>865</v>
      </c>
      <c r="BX23" s="392">
        <f t="shared" si="39"/>
        <v>886.4000000000002</v>
      </c>
      <c r="BY23" s="392">
        <f t="shared" si="39"/>
        <v>739.9</v>
      </c>
      <c r="BZ23" s="821">
        <f>SUM(BZ24:BZ28)</f>
        <v>3437.6</v>
      </c>
      <c r="CA23" s="392">
        <f>SUM(CA24:CA28)</f>
        <v>809.1</v>
      </c>
      <c r="CB23" s="392">
        <f>SUM(CB24:CB28)</f>
        <v>805</v>
      </c>
      <c r="CC23" s="392"/>
      <c r="CD23" s="392"/>
      <c r="CE23" s="821">
        <f>SUM(CE24:CE28)</f>
        <v>1614.1000000000001</v>
      </c>
      <c r="CF23" s="11"/>
      <c r="CG23" s="475"/>
      <c r="CH23" s="966"/>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c r="IZ23" s="11"/>
      <c r="JA23" s="11"/>
      <c r="JB23" s="11"/>
      <c r="JC23" s="11"/>
      <c r="JD23" s="11"/>
      <c r="JE23" s="11"/>
      <c r="JF23" s="11"/>
      <c r="JG23" s="11"/>
      <c r="JH23" s="11"/>
      <c r="JI23" s="11"/>
      <c r="JJ23" s="11"/>
      <c r="JK23" s="11"/>
      <c r="JL23" s="11"/>
      <c r="JM23" s="11"/>
      <c r="JN23" s="11"/>
      <c r="JO23" s="11"/>
      <c r="JP23" s="11"/>
      <c r="JQ23" s="11"/>
      <c r="JR23" s="11"/>
      <c r="JS23" s="11"/>
      <c r="JT23" s="11"/>
      <c r="JU23" s="11"/>
      <c r="JV23" s="11"/>
      <c r="JW23" s="11"/>
      <c r="JX23" s="11"/>
      <c r="JY23" s="11"/>
      <c r="JZ23" s="11"/>
      <c r="KA23" s="11"/>
      <c r="KB23" s="11"/>
      <c r="KC23" s="11"/>
      <c r="KD23" s="11"/>
      <c r="KE23" s="11"/>
      <c r="KF23" s="11"/>
      <c r="KG23" s="11"/>
      <c r="KH23" s="11"/>
      <c r="KI23" s="11"/>
      <c r="KJ23" s="11"/>
      <c r="KK23" s="11"/>
      <c r="KL23" s="11"/>
      <c r="KM23" s="11"/>
      <c r="KN23" s="11"/>
      <c r="KO23" s="11"/>
      <c r="KP23" s="11"/>
      <c r="KQ23" s="11"/>
      <c r="KR23" s="11"/>
      <c r="KS23" s="11"/>
      <c r="KT23" s="11"/>
      <c r="KU23" s="11"/>
      <c r="KV23" s="11"/>
      <c r="KW23" s="11"/>
      <c r="KX23" s="11"/>
      <c r="KY23" s="11"/>
      <c r="KZ23" s="11"/>
      <c r="LA23" s="11"/>
      <c r="LB23" s="11"/>
      <c r="LC23" s="11"/>
      <c r="LD23" s="11"/>
      <c r="LE23" s="11"/>
      <c r="LF23" s="11"/>
      <c r="LG23" s="11"/>
      <c r="LH23" s="11"/>
      <c r="LI23" s="11"/>
      <c r="LJ23" s="11"/>
      <c r="LK23" s="11"/>
      <c r="LL23" s="11"/>
      <c r="LM23" s="11"/>
      <c r="LN23" s="11"/>
      <c r="LO23" s="11"/>
      <c r="LP23" s="11"/>
      <c r="LQ23" s="11"/>
      <c r="LR23" s="11"/>
      <c r="LS23" s="11"/>
      <c r="LT23" s="11"/>
      <c r="LU23" s="11"/>
      <c r="LV23" s="11"/>
      <c r="LW23" s="11"/>
      <c r="LX23" s="11"/>
      <c r="LY23" s="11"/>
      <c r="LZ23" s="11"/>
      <c r="MA23" s="11"/>
      <c r="MB23" s="11"/>
      <c r="MC23" s="11"/>
      <c r="MD23" s="11"/>
      <c r="ME23" s="11"/>
      <c r="MF23" s="11"/>
      <c r="MG23" s="11"/>
      <c r="MH23" s="11"/>
      <c r="MI23" s="11"/>
      <c r="MJ23" s="11"/>
      <c r="MK23" s="11"/>
      <c r="ML23" s="11"/>
      <c r="MM23" s="11"/>
      <c r="MN23" s="11"/>
      <c r="MO23" s="11"/>
      <c r="MP23" s="11"/>
      <c r="MQ23" s="11"/>
      <c r="MR23" s="11"/>
      <c r="MS23" s="11"/>
      <c r="MT23" s="11"/>
      <c r="MU23" s="11"/>
      <c r="MV23" s="11"/>
      <c r="MW23" s="11"/>
      <c r="MX23" s="11"/>
      <c r="MY23" s="11"/>
      <c r="MZ23" s="11"/>
      <c r="NA23" s="11"/>
      <c r="NB23" s="11"/>
      <c r="NC23" s="11"/>
      <c r="ND23" s="11"/>
      <c r="NE23" s="11"/>
      <c r="NF23" s="11"/>
      <c r="NG23" s="11"/>
      <c r="NH23" s="11"/>
      <c r="NI23" s="11"/>
      <c r="NJ23" s="11"/>
      <c r="NK23" s="11"/>
      <c r="NL23" s="11"/>
      <c r="NM23" s="11"/>
      <c r="NN23" s="11"/>
      <c r="NO23" s="11"/>
      <c r="NP23" s="11"/>
      <c r="NQ23" s="11"/>
      <c r="NR23" s="11"/>
      <c r="NS23" s="11"/>
      <c r="NT23" s="11"/>
      <c r="NU23" s="11"/>
      <c r="NV23" s="11"/>
      <c r="NW23" s="11"/>
      <c r="NX23" s="11"/>
      <c r="NY23" s="11"/>
      <c r="NZ23" s="11"/>
      <c r="OA23" s="11"/>
      <c r="OB23" s="11"/>
      <c r="OC23" s="11"/>
      <c r="OD23" s="11"/>
      <c r="OE23" s="11"/>
      <c r="OF23" s="11"/>
      <c r="OG23" s="11"/>
      <c r="OH23" s="11"/>
      <c r="OI23" s="11"/>
      <c r="OJ23" s="11"/>
      <c r="OK23" s="11"/>
      <c r="OL23" s="11"/>
      <c r="OM23" s="11"/>
      <c r="ON23" s="11"/>
      <c r="OO23" s="11"/>
      <c r="OP23" s="11"/>
      <c r="OQ23" s="11"/>
      <c r="OR23" s="11"/>
      <c r="OS23" s="11"/>
      <c r="OT23" s="11"/>
      <c r="OU23" s="11"/>
      <c r="OV23" s="11"/>
      <c r="OW23" s="11"/>
      <c r="OX23" s="11"/>
      <c r="OY23" s="11"/>
      <c r="OZ23" s="11"/>
      <c r="PA23" s="11"/>
      <c r="PB23" s="11"/>
      <c r="PC23" s="11"/>
      <c r="PD23" s="11"/>
      <c r="PE23" s="11"/>
      <c r="PF23" s="11"/>
      <c r="PG23" s="11"/>
      <c r="PH23" s="11"/>
      <c r="PI23" s="11"/>
      <c r="PJ23" s="11"/>
      <c r="PK23" s="11"/>
      <c r="PL23" s="11"/>
      <c r="PM23" s="11"/>
      <c r="PN23" s="11"/>
      <c r="PO23" s="11"/>
      <c r="PP23" s="11"/>
      <c r="PQ23" s="11"/>
      <c r="PR23" s="11"/>
      <c r="PS23" s="11"/>
      <c r="PT23" s="11"/>
      <c r="PU23" s="11"/>
      <c r="PV23" s="11"/>
      <c r="PW23" s="11"/>
      <c r="PX23" s="11"/>
      <c r="PY23" s="11"/>
      <c r="PZ23" s="11"/>
      <c r="QA23" s="11"/>
      <c r="QB23" s="11"/>
      <c r="QC23" s="11"/>
      <c r="QD23" s="11"/>
      <c r="QE23" s="11"/>
      <c r="QF23" s="11"/>
      <c r="QG23" s="11"/>
      <c r="QH23" s="11"/>
      <c r="QI23" s="11"/>
      <c r="QJ23" s="11"/>
      <c r="QK23" s="11"/>
      <c r="QL23" s="11"/>
      <c r="QM23" s="11"/>
      <c r="QN23" s="11"/>
      <c r="QO23" s="11"/>
      <c r="QP23" s="11"/>
      <c r="QQ23" s="11"/>
      <c r="QR23" s="11"/>
      <c r="QS23" s="11"/>
      <c r="QT23" s="11"/>
      <c r="QU23" s="11"/>
      <c r="QV23" s="11"/>
      <c r="QW23" s="11"/>
      <c r="QX23" s="11"/>
      <c r="QY23" s="11"/>
      <c r="QZ23" s="11"/>
      <c r="RA23" s="11"/>
      <c r="RB23" s="11"/>
      <c r="RC23" s="11"/>
      <c r="RD23" s="11"/>
      <c r="RE23" s="11"/>
      <c r="RF23" s="11"/>
      <c r="RG23" s="11"/>
      <c r="RH23" s="11"/>
      <c r="RI23" s="11"/>
      <c r="RJ23" s="11"/>
      <c r="RK23" s="11"/>
      <c r="RL23" s="11"/>
      <c r="RM23" s="11"/>
      <c r="RN23" s="11"/>
      <c r="RO23" s="11"/>
      <c r="RP23" s="11"/>
      <c r="RQ23" s="11"/>
      <c r="RR23" s="11"/>
      <c r="RS23" s="11"/>
      <c r="RT23" s="11"/>
      <c r="RU23" s="11"/>
      <c r="RV23" s="11"/>
      <c r="RW23" s="11"/>
      <c r="RX23" s="11"/>
    </row>
    <row r="24" spans="1:492" s="477" customFormat="1" ht="20.100000000000001" customHeight="1">
      <c r="A24" s="489" t="s">
        <v>456</v>
      </c>
      <c r="B24" s="510" t="s">
        <v>457</v>
      </c>
      <c r="C24" s="474"/>
      <c r="D24" s="474"/>
      <c r="E24" s="474"/>
      <c r="F24" s="474"/>
      <c r="G24" s="474"/>
      <c r="H24" s="474"/>
      <c r="I24" s="474"/>
      <c r="J24" s="474"/>
      <c r="K24" s="474"/>
      <c r="L24" s="474"/>
      <c r="M24" s="474"/>
      <c r="N24" s="474"/>
      <c r="O24" s="474"/>
      <c r="P24" s="474"/>
      <c r="Q24" s="474"/>
      <c r="R24" s="474"/>
      <c r="S24" s="474"/>
      <c r="T24" s="474"/>
      <c r="U24" s="474"/>
      <c r="V24" s="474"/>
      <c r="W24" s="474"/>
      <c r="X24" s="474"/>
      <c r="Y24" s="474"/>
      <c r="Z24" s="474"/>
      <c r="AA24" s="474"/>
      <c r="AB24" s="474"/>
      <c r="AC24" s="474"/>
      <c r="AD24" s="474"/>
      <c r="AE24" s="474"/>
      <c r="AF24" s="474"/>
      <c r="AG24" s="474"/>
      <c r="AH24" s="474"/>
      <c r="AI24" s="474"/>
      <c r="AJ24" s="474"/>
      <c r="AK24" s="474"/>
      <c r="AL24" s="474"/>
      <c r="AM24" s="499">
        <v>755</v>
      </c>
      <c r="AN24" s="475">
        <v>795.2</v>
      </c>
      <c r="AO24" s="475">
        <v>825.7</v>
      </c>
      <c r="AP24" s="475">
        <v>769</v>
      </c>
      <c r="AQ24" s="500">
        <f>SUM(AM24:AP24)</f>
        <v>3144.9</v>
      </c>
      <c r="AR24" s="475"/>
      <c r="AS24" s="475"/>
      <c r="AT24" s="475"/>
      <c r="AU24" s="475"/>
      <c r="AV24" s="470"/>
      <c r="AW24" s="475">
        <v>892.6</v>
      </c>
      <c r="AX24" s="475">
        <v>914.49999999999989</v>
      </c>
      <c r="AY24" s="475">
        <v>925.59999999999991</v>
      </c>
      <c r="AZ24" s="475">
        <v>867.10000000000036</v>
      </c>
      <c r="BA24" s="478">
        <f>SUM(AW24:AZ24)</f>
        <v>3599.8</v>
      </c>
      <c r="BB24" s="499">
        <v>879.6</v>
      </c>
      <c r="BC24" s="475">
        <v>841.4</v>
      </c>
      <c r="BD24" s="475">
        <v>943.80000000000018</v>
      </c>
      <c r="BE24" s="475">
        <v>925</v>
      </c>
      <c r="BF24" s="500">
        <f>SUM(BB24:BE24)</f>
        <v>3589.8</v>
      </c>
      <c r="BG24" s="475">
        <v>936.6</v>
      </c>
      <c r="BH24" s="475">
        <v>951.80000000000007</v>
      </c>
      <c r="BI24" s="475">
        <v>4477.0999999999995</v>
      </c>
      <c r="BJ24" s="475">
        <f>7070.3-SUM(BG24:BI24)</f>
        <v>704.80000000000018</v>
      </c>
      <c r="BK24" s="500">
        <f>SUM(BG24:BJ24)</f>
        <v>7070.3</v>
      </c>
      <c r="BL24" s="475">
        <v>671.1</v>
      </c>
      <c r="BM24" s="469">
        <f>1420.5-BL24</f>
        <v>749.4</v>
      </c>
      <c r="BN24" s="475">
        <f>2292.1-BM24-BL24</f>
        <v>871.5999999999998</v>
      </c>
      <c r="BO24" s="475">
        <f>2914.4-BN24-BM24-BL24</f>
        <v>622.30000000000007</v>
      </c>
      <c r="BP24" s="500">
        <f>SUM(BL24:BO24)</f>
        <v>2914.4</v>
      </c>
      <c r="BQ24" s="475">
        <v>663.2</v>
      </c>
      <c r="BR24" s="469">
        <v>635</v>
      </c>
      <c r="BS24" s="475">
        <v>878.39999999999986</v>
      </c>
      <c r="BT24" s="475">
        <v>536.20000000000005</v>
      </c>
      <c r="BU24" s="819">
        <f>SUM(BQ24:BT24)</f>
        <v>2712.8</v>
      </c>
      <c r="BV24" s="772">
        <v>777.8</v>
      </c>
      <c r="BW24" s="469">
        <v>646.29999999999995</v>
      </c>
      <c r="BX24" s="475">
        <v>649.80000000000018</v>
      </c>
      <c r="BY24" s="475">
        <v>486.09999999999991</v>
      </c>
      <c r="BZ24" s="819">
        <f>SUM(BV24:BY24)</f>
        <v>2560</v>
      </c>
      <c r="CA24" s="772">
        <v>607.70000000000005</v>
      </c>
      <c r="CB24" s="469">
        <v>586.29999999999995</v>
      </c>
      <c r="CC24" s="475"/>
      <c r="CD24" s="475"/>
      <c r="CE24" s="819">
        <f>SUM(CA24:CD24)</f>
        <v>1194</v>
      </c>
      <c r="CF24" s="476"/>
      <c r="CG24" s="934"/>
      <c r="CH24" s="476"/>
      <c r="CI24" s="476"/>
      <c r="CJ24" s="476"/>
      <c r="CK24" s="476"/>
      <c r="CL24" s="476"/>
      <c r="CM24" s="476"/>
      <c r="CN24" s="476"/>
      <c r="CO24" s="476"/>
      <c r="CP24" s="476"/>
      <c r="CQ24" s="476"/>
      <c r="CR24" s="476"/>
      <c r="CS24" s="476"/>
      <c r="CT24" s="476"/>
      <c r="CU24" s="476"/>
      <c r="CV24" s="476"/>
      <c r="CW24" s="476"/>
      <c r="CX24" s="476"/>
      <c r="CY24" s="476"/>
      <c r="CZ24" s="476"/>
      <c r="DA24" s="476"/>
      <c r="DB24" s="476"/>
      <c r="DC24" s="476"/>
      <c r="DD24" s="476"/>
      <c r="DE24" s="476"/>
      <c r="DF24" s="476"/>
      <c r="DG24" s="476"/>
      <c r="DH24" s="476"/>
      <c r="DI24" s="476"/>
      <c r="DJ24" s="476"/>
      <c r="DK24" s="476"/>
      <c r="DL24" s="476"/>
      <c r="DM24" s="476"/>
      <c r="DN24" s="476"/>
      <c r="DO24" s="476"/>
      <c r="DP24" s="476"/>
      <c r="DQ24" s="476"/>
      <c r="DR24" s="476"/>
      <c r="DS24" s="476"/>
      <c r="DT24" s="476"/>
      <c r="DU24" s="476"/>
      <c r="DV24" s="476"/>
      <c r="DW24" s="476"/>
      <c r="DX24" s="476"/>
      <c r="DY24" s="476"/>
      <c r="DZ24" s="476"/>
      <c r="EA24" s="476"/>
      <c r="EB24" s="476"/>
      <c r="EC24" s="476"/>
      <c r="ED24" s="476"/>
      <c r="EE24" s="476"/>
      <c r="EF24" s="476"/>
      <c r="EG24" s="476"/>
      <c r="EH24" s="476"/>
      <c r="EI24" s="476"/>
      <c r="EJ24" s="476"/>
      <c r="EK24" s="476"/>
      <c r="EL24" s="476"/>
      <c r="EM24" s="476"/>
      <c r="EN24" s="476"/>
      <c r="EO24" s="476"/>
      <c r="EP24" s="476"/>
      <c r="EQ24" s="476"/>
      <c r="ER24" s="476"/>
      <c r="ES24" s="476"/>
      <c r="ET24" s="476"/>
      <c r="EU24" s="476"/>
      <c r="EV24" s="476"/>
      <c r="EW24" s="476"/>
      <c r="EX24" s="476"/>
      <c r="EY24" s="476"/>
      <c r="EZ24" s="476"/>
      <c r="FA24" s="476"/>
      <c r="FB24" s="476"/>
      <c r="FC24" s="476"/>
      <c r="FD24" s="476"/>
      <c r="FE24" s="476"/>
      <c r="FF24" s="476"/>
      <c r="FG24" s="476"/>
      <c r="FH24" s="476"/>
      <c r="FI24" s="476"/>
      <c r="FJ24" s="476"/>
      <c r="FK24" s="476"/>
      <c r="FL24" s="476"/>
      <c r="FM24" s="476"/>
      <c r="FN24" s="476"/>
      <c r="FO24" s="476"/>
      <c r="FP24" s="476"/>
      <c r="FQ24" s="476"/>
      <c r="FR24" s="476"/>
      <c r="FS24" s="476"/>
      <c r="FT24" s="476"/>
      <c r="FU24" s="476"/>
      <c r="FV24" s="476"/>
      <c r="FW24" s="476"/>
      <c r="FX24" s="476"/>
      <c r="FY24" s="476"/>
      <c r="FZ24" s="476"/>
      <c r="GA24" s="476"/>
      <c r="GB24" s="476"/>
      <c r="GC24" s="476"/>
      <c r="GD24" s="476"/>
      <c r="GE24" s="476"/>
      <c r="GF24" s="476"/>
      <c r="GG24" s="476"/>
      <c r="GH24" s="476"/>
      <c r="GI24" s="476"/>
      <c r="GJ24" s="476"/>
      <c r="GK24" s="476"/>
      <c r="GL24" s="476"/>
      <c r="GM24" s="476"/>
      <c r="GN24" s="476"/>
      <c r="GO24" s="476"/>
      <c r="GP24" s="476"/>
      <c r="GQ24" s="476"/>
      <c r="GR24" s="476"/>
      <c r="GS24" s="476"/>
      <c r="GT24" s="476"/>
      <c r="GU24" s="476"/>
      <c r="GV24" s="476"/>
      <c r="GW24" s="476"/>
      <c r="GX24" s="476"/>
      <c r="GY24" s="476"/>
      <c r="GZ24" s="476"/>
      <c r="HA24" s="476"/>
      <c r="HB24" s="476"/>
      <c r="HC24" s="476"/>
      <c r="HD24" s="476"/>
      <c r="HE24" s="476"/>
      <c r="HF24" s="476"/>
      <c r="HG24" s="476"/>
      <c r="HH24" s="476"/>
      <c r="HI24" s="476"/>
      <c r="HJ24" s="476"/>
      <c r="HK24" s="476"/>
      <c r="HL24" s="476"/>
      <c r="HM24" s="476"/>
      <c r="HN24" s="476"/>
      <c r="HO24" s="476"/>
      <c r="HP24" s="476"/>
      <c r="HQ24" s="476"/>
      <c r="HR24" s="476"/>
      <c r="HS24" s="476"/>
      <c r="HT24" s="476"/>
      <c r="HU24" s="476"/>
      <c r="HV24" s="476"/>
      <c r="HW24" s="476"/>
      <c r="HX24" s="476"/>
      <c r="HY24" s="476"/>
      <c r="HZ24" s="476"/>
      <c r="IA24" s="476"/>
      <c r="IB24" s="476"/>
      <c r="IC24" s="476"/>
      <c r="ID24" s="476"/>
      <c r="IE24" s="476"/>
      <c r="IF24" s="476"/>
      <c r="IG24" s="476"/>
      <c r="IH24" s="476"/>
      <c r="II24" s="476"/>
      <c r="IJ24" s="476"/>
      <c r="IK24" s="476"/>
      <c r="IL24" s="476"/>
      <c r="IM24" s="476"/>
      <c r="IN24" s="476"/>
      <c r="IO24" s="476"/>
      <c r="IP24" s="476"/>
      <c r="IQ24" s="476"/>
      <c r="IR24" s="476"/>
      <c r="IS24" s="476"/>
      <c r="IT24" s="476"/>
      <c r="IU24" s="476"/>
      <c r="IV24" s="476"/>
      <c r="IW24" s="476"/>
      <c r="IX24" s="476"/>
      <c r="IY24" s="476"/>
      <c r="IZ24" s="476"/>
      <c r="JA24" s="476"/>
      <c r="JB24" s="476"/>
      <c r="JC24" s="476"/>
      <c r="JD24" s="476"/>
      <c r="JE24" s="476"/>
      <c r="JF24" s="476"/>
      <c r="JG24" s="476"/>
      <c r="JH24" s="476"/>
      <c r="JI24" s="476"/>
      <c r="JJ24" s="476"/>
      <c r="JK24" s="476"/>
      <c r="JL24" s="476"/>
      <c r="JM24" s="476"/>
      <c r="JN24" s="476"/>
      <c r="JO24" s="476"/>
      <c r="JP24" s="476"/>
      <c r="JQ24" s="476"/>
      <c r="JR24" s="476"/>
      <c r="JS24" s="476"/>
      <c r="JT24" s="476"/>
      <c r="JU24" s="476"/>
      <c r="JV24" s="476"/>
      <c r="JW24" s="476"/>
      <c r="JX24" s="476"/>
      <c r="JY24" s="476"/>
      <c r="JZ24" s="476"/>
      <c r="KA24" s="476"/>
      <c r="KB24" s="476"/>
      <c r="KC24" s="476"/>
      <c r="KD24" s="476"/>
      <c r="KE24" s="476"/>
      <c r="KF24" s="476"/>
      <c r="KG24" s="476"/>
      <c r="KH24" s="476"/>
      <c r="KI24" s="476"/>
      <c r="KJ24" s="476"/>
      <c r="KK24" s="476"/>
      <c r="KL24" s="476"/>
      <c r="KM24" s="476"/>
      <c r="KN24" s="476"/>
      <c r="KO24" s="476"/>
      <c r="KP24" s="476"/>
      <c r="KQ24" s="476"/>
      <c r="KR24" s="476"/>
      <c r="KS24" s="476"/>
      <c r="KT24" s="476"/>
      <c r="KU24" s="476"/>
      <c r="KV24" s="476"/>
      <c r="KW24" s="476"/>
      <c r="KX24" s="476"/>
      <c r="KY24" s="476"/>
      <c r="KZ24" s="476"/>
      <c r="LA24" s="476"/>
      <c r="LB24" s="476"/>
      <c r="LC24" s="476"/>
      <c r="LD24" s="476"/>
      <c r="LE24" s="476"/>
      <c r="LF24" s="476"/>
      <c r="LG24" s="476"/>
      <c r="LH24" s="476"/>
      <c r="LI24" s="476"/>
      <c r="LJ24" s="476"/>
      <c r="LK24" s="476"/>
      <c r="LL24" s="476"/>
      <c r="LM24" s="476"/>
      <c r="LN24" s="476"/>
      <c r="LO24" s="476"/>
      <c r="LP24" s="476"/>
      <c r="LQ24" s="476"/>
      <c r="LR24" s="476"/>
      <c r="LS24" s="476"/>
      <c r="LT24" s="476"/>
      <c r="LU24" s="476"/>
      <c r="LV24" s="476"/>
      <c r="LW24" s="476"/>
      <c r="LX24" s="476"/>
      <c r="LY24" s="476"/>
      <c r="LZ24" s="476"/>
      <c r="MA24" s="476"/>
      <c r="MB24" s="476"/>
      <c r="MC24" s="476"/>
      <c r="MD24" s="476"/>
      <c r="ME24" s="476"/>
      <c r="MF24" s="476"/>
      <c r="MG24" s="476"/>
      <c r="MH24" s="476"/>
      <c r="MI24" s="476"/>
      <c r="MJ24" s="476"/>
      <c r="MK24" s="476"/>
      <c r="ML24" s="476"/>
      <c r="MM24" s="476"/>
      <c r="MN24" s="476"/>
      <c r="MO24" s="476"/>
      <c r="MP24" s="476"/>
      <c r="MQ24" s="476"/>
      <c r="MR24" s="476"/>
      <c r="MS24" s="476"/>
      <c r="MT24" s="476"/>
      <c r="MU24" s="476"/>
      <c r="MV24" s="476"/>
      <c r="MW24" s="476"/>
      <c r="MX24" s="476"/>
      <c r="MY24" s="476"/>
      <c r="MZ24" s="476"/>
      <c r="NA24" s="476"/>
      <c r="NB24" s="476"/>
      <c r="NC24" s="476"/>
      <c r="ND24" s="476"/>
      <c r="NE24" s="476"/>
      <c r="NF24" s="476"/>
      <c r="NG24" s="476"/>
      <c r="NH24" s="476"/>
      <c r="NI24" s="476"/>
      <c r="NJ24" s="476"/>
      <c r="NK24" s="476"/>
      <c r="NL24" s="476"/>
      <c r="NM24" s="476"/>
      <c r="NN24" s="476"/>
      <c r="NO24" s="476"/>
      <c r="NP24" s="476"/>
      <c r="NQ24" s="476"/>
      <c r="NR24" s="476"/>
      <c r="NS24" s="476"/>
      <c r="NT24" s="476"/>
      <c r="NU24" s="476"/>
      <c r="NV24" s="476"/>
      <c r="NW24" s="476"/>
      <c r="NX24" s="476"/>
      <c r="NY24" s="476"/>
      <c r="NZ24" s="476"/>
      <c r="OA24" s="476"/>
      <c r="OB24" s="476"/>
      <c r="OC24" s="476"/>
      <c r="OD24" s="476"/>
      <c r="OE24" s="476"/>
      <c r="OF24" s="476"/>
      <c r="OG24" s="476"/>
      <c r="OH24" s="476"/>
      <c r="OI24" s="476"/>
      <c r="OJ24" s="476"/>
      <c r="OK24" s="476"/>
      <c r="OL24" s="476"/>
      <c r="OM24" s="476"/>
      <c r="ON24" s="476"/>
      <c r="OO24" s="476"/>
      <c r="OP24" s="476"/>
      <c r="OQ24" s="476"/>
      <c r="OR24" s="476"/>
      <c r="OS24" s="476"/>
      <c r="OT24" s="476"/>
      <c r="OU24" s="476"/>
      <c r="OV24" s="476"/>
      <c r="OW24" s="476"/>
      <c r="OX24" s="476"/>
      <c r="OY24" s="476"/>
      <c r="OZ24" s="476"/>
      <c r="PA24" s="476"/>
      <c r="PB24" s="476"/>
      <c r="PC24" s="476"/>
      <c r="PD24" s="476"/>
      <c r="PE24" s="476"/>
      <c r="PF24" s="476"/>
      <c r="PG24" s="476"/>
      <c r="PH24" s="476"/>
      <c r="PI24" s="476"/>
      <c r="PJ24" s="476"/>
      <c r="PK24" s="476"/>
      <c r="PL24" s="476"/>
      <c r="PM24" s="476"/>
      <c r="PN24" s="476"/>
      <c r="PO24" s="476"/>
      <c r="PP24" s="476"/>
      <c r="PQ24" s="476"/>
      <c r="PR24" s="476"/>
      <c r="PS24" s="476"/>
      <c r="PT24" s="476"/>
      <c r="PU24" s="476"/>
      <c r="PV24" s="476"/>
      <c r="PW24" s="476"/>
      <c r="PX24" s="476"/>
      <c r="PY24" s="476"/>
      <c r="PZ24" s="476"/>
      <c r="QA24" s="476"/>
      <c r="QB24" s="476"/>
      <c r="QC24" s="476"/>
      <c r="QD24" s="476"/>
      <c r="QE24" s="476"/>
      <c r="QF24" s="476"/>
      <c r="QG24" s="476"/>
      <c r="QH24" s="476"/>
      <c r="QI24" s="476"/>
      <c r="QJ24" s="476"/>
      <c r="QK24" s="476"/>
      <c r="QL24" s="476"/>
      <c r="QM24" s="476"/>
      <c r="QN24" s="476"/>
      <c r="QO24" s="476"/>
      <c r="QP24" s="476"/>
      <c r="QQ24" s="476"/>
      <c r="QR24" s="476"/>
      <c r="QS24" s="476"/>
      <c r="QT24" s="476"/>
      <c r="QU24" s="476"/>
      <c r="QV24" s="476"/>
      <c r="QW24" s="476"/>
      <c r="QX24" s="476"/>
      <c r="QY24" s="476"/>
      <c r="QZ24" s="476"/>
      <c r="RA24" s="476"/>
      <c r="RB24" s="476"/>
      <c r="RC24" s="476"/>
      <c r="RD24" s="476"/>
      <c r="RE24" s="476"/>
      <c r="RF24" s="476"/>
      <c r="RG24" s="476"/>
      <c r="RH24" s="476"/>
      <c r="RI24" s="476"/>
      <c r="RJ24" s="476"/>
      <c r="RK24" s="476"/>
      <c r="RL24" s="476"/>
      <c r="RM24" s="476"/>
      <c r="RN24" s="476"/>
      <c r="RO24" s="476"/>
      <c r="RP24" s="476"/>
      <c r="RQ24" s="476"/>
      <c r="RR24" s="476"/>
      <c r="RS24" s="476"/>
      <c r="RT24" s="476"/>
      <c r="RU24" s="476"/>
      <c r="RV24" s="476"/>
      <c r="RW24" s="476"/>
      <c r="RX24" s="476"/>
    </row>
    <row r="25" spans="1:492" s="477" customFormat="1" ht="20.100000000000001" customHeight="1">
      <c r="A25" s="489" t="s">
        <v>458</v>
      </c>
      <c r="B25" s="510" t="s">
        <v>459</v>
      </c>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99">
        <v>135</v>
      </c>
      <c r="AN25" s="475">
        <v>151.19999999999999</v>
      </c>
      <c r="AO25" s="475">
        <v>94.300000000000011</v>
      </c>
      <c r="AP25" s="475">
        <v>172.29999999999995</v>
      </c>
      <c r="AQ25" s="500">
        <f>SUM(AM25:AP25)</f>
        <v>552.79999999999995</v>
      </c>
      <c r="AR25" s="475"/>
      <c r="AS25" s="475"/>
      <c r="AT25" s="475"/>
      <c r="AU25" s="475"/>
      <c r="AV25" s="470"/>
      <c r="AW25" s="475">
        <v>145.69999999999999</v>
      </c>
      <c r="AX25" s="475">
        <v>161.60000000000002</v>
      </c>
      <c r="AY25" s="475">
        <v>94.899999999999977</v>
      </c>
      <c r="AZ25" s="475">
        <v>194.7</v>
      </c>
      <c r="BA25" s="478">
        <f>SUM(AW25:AZ25)</f>
        <v>596.9</v>
      </c>
      <c r="BB25" s="499">
        <v>147.1</v>
      </c>
      <c r="BC25" s="475">
        <v>118.6</v>
      </c>
      <c r="BD25" s="475">
        <v>135.10000000000002</v>
      </c>
      <c r="BE25" s="475">
        <v>201.3</v>
      </c>
      <c r="BF25" s="500">
        <f>SUM(BB25:BE25)</f>
        <v>602.1</v>
      </c>
      <c r="BG25" s="475">
        <v>146.1</v>
      </c>
      <c r="BH25" s="475">
        <v>189.1</v>
      </c>
      <c r="BI25" s="475">
        <v>117.9</v>
      </c>
      <c r="BJ25" s="475">
        <f>629.3-SUM(BG25:BI25)</f>
        <v>176.19999999999993</v>
      </c>
      <c r="BK25" s="500">
        <f>SUM(BG25:BJ25)</f>
        <v>629.29999999999995</v>
      </c>
      <c r="BL25" s="475">
        <v>95.5</v>
      </c>
      <c r="BM25" s="469">
        <f>237.9-BL25</f>
        <v>142.4</v>
      </c>
      <c r="BN25" s="475">
        <f>314.7-BM25-BL25</f>
        <v>76.799999999999983</v>
      </c>
      <c r="BO25" s="475">
        <f>504.9-BN25-BM25-BL25</f>
        <v>190.20000000000005</v>
      </c>
      <c r="BP25" s="500">
        <f>SUM(BL25:BO25)</f>
        <v>504.90000000000003</v>
      </c>
      <c r="BQ25" s="475">
        <v>92.5</v>
      </c>
      <c r="BR25" s="469">
        <v>156.69999999999999</v>
      </c>
      <c r="BS25" s="475">
        <v>83.100000000000023</v>
      </c>
      <c r="BT25" s="475">
        <v>139.69999999999999</v>
      </c>
      <c r="BU25" s="819">
        <f>SUM(BQ25:BT25)</f>
        <v>472</v>
      </c>
      <c r="BV25" s="475">
        <v>110.19999999999999</v>
      </c>
      <c r="BW25" s="469">
        <v>145.19999999999999</v>
      </c>
      <c r="BX25" s="475">
        <v>144.5</v>
      </c>
      <c r="BY25" s="475">
        <v>96.5</v>
      </c>
      <c r="BZ25" s="819">
        <f>SUM(BV25:BY25)</f>
        <v>496.4</v>
      </c>
      <c r="CA25" s="475">
        <v>124.5</v>
      </c>
      <c r="CB25" s="469">
        <v>141.39999999999998</v>
      </c>
      <c r="CC25" s="475"/>
      <c r="CD25" s="475"/>
      <c r="CE25" s="819">
        <f>SUM(CA25:CD25)</f>
        <v>265.89999999999998</v>
      </c>
      <c r="CF25" s="476"/>
      <c r="CG25" s="810"/>
      <c r="CH25" s="476"/>
      <c r="CI25" s="476"/>
      <c r="CJ25" s="476"/>
      <c r="CK25" s="476"/>
      <c r="CL25" s="476"/>
      <c r="CM25" s="476"/>
      <c r="CN25" s="476"/>
      <c r="CO25" s="476"/>
      <c r="CP25" s="476"/>
      <c r="CQ25" s="476"/>
      <c r="CR25" s="476"/>
      <c r="CS25" s="476"/>
      <c r="CT25" s="476"/>
      <c r="CU25" s="476"/>
      <c r="CV25" s="476"/>
      <c r="CW25" s="476"/>
      <c r="CX25" s="476"/>
      <c r="CY25" s="476"/>
      <c r="CZ25" s="476"/>
      <c r="DA25" s="476"/>
      <c r="DB25" s="476"/>
      <c r="DC25" s="476"/>
      <c r="DD25" s="476"/>
      <c r="DE25" s="476"/>
      <c r="DF25" s="476"/>
      <c r="DG25" s="476"/>
      <c r="DH25" s="476"/>
      <c r="DI25" s="476"/>
      <c r="DJ25" s="476"/>
      <c r="DK25" s="476"/>
      <c r="DL25" s="476"/>
      <c r="DM25" s="476"/>
      <c r="DN25" s="476"/>
      <c r="DO25" s="476"/>
      <c r="DP25" s="476"/>
      <c r="DQ25" s="476"/>
      <c r="DR25" s="476"/>
      <c r="DS25" s="476"/>
      <c r="DT25" s="476"/>
      <c r="DU25" s="476"/>
      <c r="DV25" s="476"/>
      <c r="DW25" s="476"/>
      <c r="DX25" s="476"/>
      <c r="DY25" s="476"/>
      <c r="DZ25" s="476"/>
      <c r="EA25" s="476"/>
      <c r="EB25" s="476"/>
      <c r="EC25" s="476"/>
      <c r="ED25" s="476"/>
      <c r="EE25" s="476"/>
      <c r="EF25" s="476"/>
      <c r="EG25" s="476"/>
      <c r="EH25" s="476"/>
      <c r="EI25" s="476"/>
      <c r="EJ25" s="476"/>
      <c r="EK25" s="476"/>
      <c r="EL25" s="476"/>
      <c r="EM25" s="476"/>
      <c r="EN25" s="476"/>
      <c r="EO25" s="476"/>
      <c r="EP25" s="476"/>
      <c r="EQ25" s="476"/>
      <c r="ER25" s="476"/>
      <c r="ES25" s="476"/>
      <c r="ET25" s="476"/>
      <c r="EU25" s="476"/>
      <c r="EV25" s="476"/>
      <c r="EW25" s="476"/>
      <c r="EX25" s="476"/>
      <c r="EY25" s="476"/>
      <c r="EZ25" s="476"/>
      <c r="FA25" s="476"/>
      <c r="FB25" s="476"/>
      <c r="FC25" s="476"/>
      <c r="FD25" s="476"/>
      <c r="FE25" s="476"/>
      <c r="FF25" s="476"/>
      <c r="FG25" s="476"/>
      <c r="FH25" s="476"/>
      <c r="FI25" s="476"/>
      <c r="FJ25" s="476"/>
      <c r="FK25" s="476"/>
      <c r="FL25" s="476"/>
      <c r="FM25" s="476"/>
      <c r="FN25" s="476"/>
      <c r="FO25" s="476"/>
      <c r="FP25" s="476"/>
      <c r="FQ25" s="476"/>
      <c r="FR25" s="476"/>
      <c r="FS25" s="476"/>
      <c r="FT25" s="476"/>
      <c r="FU25" s="476"/>
      <c r="FV25" s="476"/>
      <c r="FW25" s="476"/>
      <c r="FX25" s="476"/>
      <c r="FY25" s="476"/>
      <c r="FZ25" s="476"/>
      <c r="GA25" s="476"/>
      <c r="GB25" s="476"/>
      <c r="GC25" s="476"/>
      <c r="GD25" s="476"/>
      <c r="GE25" s="476"/>
      <c r="GF25" s="476"/>
      <c r="GG25" s="476"/>
      <c r="GH25" s="476"/>
      <c r="GI25" s="476"/>
      <c r="GJ25" s="476"/>
      <c r="GK25" s="476"/>
      <c r="GL25" s="476"/>
      <c r="GM25" s="476"/>
      <c r="GN25" s="476"/>
      <c r="GO25" s="476"/>
      <c r="GP25" s="476"/>
      <c r="GQ25" s="476"/>
      <c r="GR25" s="476"/>
      <c r="GS25" s="476"/>
      <c r="GT25" s="476"/>
      <c r="GU25" s="476"/>
      <c r="GV25" s="476"/>
      <c r="GW25" s="476"/>
      <c r="GX25" s="476"/>
      <c r="GY25" s="476"/>
      <c r="GZ25" s="476"/>
      <c r="HA25" s="476"/>
      <c r="HB25" s="476"/>
      <c r="HC25" s="476"/>
      <c r="HD25" s="476"/>
      <c r="HE25" s="476"/>
      <c r="HF25" s="476"/>
      <c r="HG25" s="476"/>
      <c r="HH25" s="476"/>
      <c r="HI25" s="476"/>
      <c r="HJ25" s="476"/>
      <c r="HK25" s="476"/>
      <c r="HL25" s="476"/>
      <c r="HM25" s="476"/>
      <c r="HN25" s="476"/>
      <c r="HO25" s="476"/>
      <c r="HP25" s="476"/>
      <c r="HQ25" s="476"/>
      <c r="HR25" s="476"/>
      <c r="HS25" s="476"/>
      <c r="HT25" s="476"/>
      <c r="HU25" s="476"/>
      <c r="HV25" s="476"/>
      <c r="HW25" s="476"/>
      <c r="HX25" s="476"/>
      <c r="HY25" s="476"/>
      <c r="HZ25" s="476"/>
      <c r="IA25" s="476"/>
      <c r="IB25" s="476"/>
      <c r="IC25" s="476"/>
      <c r="ID25" s="476"/>
      <c r="IE25" s="476"/>
      <c r="IF25" s="476"/>
      <c r="IG25" s="476"/>
      <c r="IH25" s="476"/>
      <c r="II25" s="476"/>
      <c r="IJ25" s="476"/>
      <c r="IK25" s="476"/>
      <c r="IL25" s="476"/>
      <c r="IM25" s="476"/>
      <c r="IN25" s="476"/>
      <c r="IO25" s="476"/>
      <c r="IP25" s="476"/>
      <c r="IQ25" s="476"/>
      <c r="IR25" s="476"/>
      <c r="IS25" s="476"/>
      <c r="IT25" s="476"/>
      <c r="IU25" s="476"/>
      <c r="IV25" s="476"/>
      <c r="IW25" s="476"/>
      <c r="IX25" s="476"/>
      <c r="IY25" s="476"/>
      <c r="IZ25" s="476"/>
      <c r="JA25" s="476"/>
      <c r="JB25" s="476"/>
      <c r="JC25" s="476"/>
      <c r="JD25" s="476"/>
      <c r="JE25" s="476"/>
      <c r="JF25" s="476"/>
      <c r="JG25" s="476"/>
      <c r="JH25" s="476"/>
      <c r="JI25" s="476"/>
      <c r="JJ25" s="476"/>
      <c r="JK25" s="476"/>
      <c r="JL25" s="476"/>
      <c r="JM25" s="476"/>
      <c r="JN25" s="476"/>
      <c r="JO25" s="476"/>
      <c r="JP25" s="476"/>
      <c r="JQ25" s="476"/>
      <c r="JR25" s="476"/>
      <c r="JS25" s="476"/>
      <c r="JT25" s="476"/>
      <c r="JU25" s="476"/>
      <c r="JV25" s="476"/>
      <c r="JW25" s="476"/>
      <c r="JX25" s="476"/>
      <c r="JY25" s="476"/>
      <c r="JZ25" s="476"/>
      <c r="KA25" s="476"/>
      <c r="KB25" s="476"/>
      <c r="KC25" s="476"/>
      <c r="KD25" s="476"/>
      <c r="KE25" s="476"/>
      <c r="KF25" s="476"/>
      <c r="KG25" s="476"/>
      <c r="KH25" s="476"/>
      <c r="KI25" s="476"/>
      <c r="KJ25" s="476"/>
      <c r="KK25" s="476"/>
      <c r="KL25" s="476"/>
      <c r="KM25" s="476"/>
      <c r="KN25" s="476"/>
      <c r="KO25" s="476"/>
      <c r="KP25" s="476"/>
      <c r="KQ25" s="476"/>
      <c r="KR25" s="476"/>
      <c r="KS25" s="476"/>
      <c r="KT25" s="476"/>
      <c r="KU25" s="476"/>
      <c r="KV25" s="476"/>
      <c r="KW25" s="476"/>
      <c r="KX25" s="476"/>
      <c r="KY25" s="476"/>
      <c r="KZ25" s="476"/>
      <c r="LA25" s="476"/>
      <c r="LB25" s="476"/>
      <c r="LC25" s="476"/>
      <c r="LD25" s="476"/>
      <c r="LE25" s="476"/>
      <c r="LF25" s="476"/>
      <c r="LG25" s="476"/>
      <c r="LH25" s="476"/>
      <c r="LI25" s="476"/>
      <c r="LJ25" s="476"/>
      <c r="LK25" s="476"/>
      <c r="LL25" s="476"/>
      <c r="LM25" s="476"/>
      <c r="LN25" s="476"/>
      <c r="LO25" s="476"/>
      <c r="LP25" s="476"/>
      <c r="LQ25" s="476"/>
      <c r="LR25" s="476"/>
      <c r="LS25" s="476"/>
      <c r="LT25" s="476"/>
      <c r="LU25" s="476"/>
      <c r="LV25" s="476"/>
      <c r="LW25" s="476"/>
      <c r="LX25" s="476"/>
      <c r="LY25" s="476"/>
      <c r="LZ25" s="476"/>
      <c r="MA25" s="476"/>
      <c r="MB25" s="476"/>
      <c r="MC25" s="476"/>
      <c r="MD25" s="476"/>
      <c r="ME25" s="476"/>
      <c r="MF25" s="476"/>
      <c r="MG25" s="476"/>
      <c r="MH25" s="476"/>
      <c r="MI25" s="476"/>
      <c r="MJ25" s="476"/>
      <c r="MK25" s="476"/>
      <c r="ML25" s="476"/>
      <c r="MM25" s="476"/>
      <c r="MN25" s="476"/>
      <c r="MO25" s="476"/>
      <c r="MP25" s="476"/>
      <c r="MQ25" s="476"/>
      <c r="MR25" s="476"/>
      <c r="MS25" s="476"/>
      <c r="MT25" s="476"/>
      <c r="MU25" s="476"/>
      <c r="MV25" s="476"/>
      <c r="MW25" s="476"/>
      <c r="MX25" s="476"/>
      <c r="MY25" s="476"/>
      <c r="MZ25" s="476"/>
      <c r="NA25" s="476"/>
      <c r="NB25" s="476"/>
      <c r="NC25" s="476"/>
      <c r="ND25" s="476"/>
      <c r="NE25" s="476"/>
      <c r="NF25" s="476"/>
      <c r="NG25" s="476"/>
      <c r="NH25" s="476"/>
      <c r="NI25" s="476"/>
      <c r="NJ25" s="476"/>
      <c r="NK25" s="476"/>
      <c r="NL25" s="476"/>
      <c r="NM25" s="476"/>
      <c r="NN25" s="476"/>
      <c r="NO25" s="476"/>
      <c r="NP25" s="476"/>
      <c r="NQ25" s="476"/>
      <c r="NR25" s="476"/>
      <c r="NS25" s="476"/>
      <c r="NT25" s="476"/>
      <c r="NU25" s="476"/>
      <c r="NV25" s="476"/>
      <c r="NW25" s="476"/>
      <c r="NX25" s="476"/>
      <c r="NY25" s="476"/>
      <c r="NZ25" s="476"/>
      <c r="OA25" s="476"/>
      <c r="OB25" s="476"/>
      <c r="OC25" s="476"/>
      <c r="OD25" s="476"/>
      <c r="OE25" s="476"/>
      <c r="OF25" s="476"/>
      <c r="OG25" s="476"/>
      <c r="OH25" s="476"/>
      <c r="OI25" s="476"/>
      <c r="OJ25" s="476"/>
      <c r="OK25" s="476"/>
      <c r="OL25" s="476"/>
      <c r="OM25" s="476"/>
      <c r="ON25" s="476"/>
      <c r="OO25" s="476"/>
      <c r="OP25" s="476"/>
      <c r="OQ25" s="476"/>
      <c r="OR25" s="476"/>
      <c r="OS25" s="476"/>
      <c r="OT25" s="476"/>
      <c r="OU25" s="476"/>
      <c r="OV25" s="476"/>
      <c r="OW25" s="476"/>
      <c r="OX25" s="476"/>
      <c r="OY25" s="476"/>
      <c r="OZ25" s="476"/>
      <c r="PA25" s="476"/>
      <c r="PB25" s="476"/>
      <c r="PC25" s="476"/>
      <c r="PD25" s="476"/>
      <c r="PE25" s="476"/>
      <c r="PF25" s="476"/>
      <c r="PG25" s="476"/>
      <c r="PH25" s="476"/>
      <c r="PI25" s="476"/>
      <c r="PJ25" s="476"/>
      <c r="PK25" s="476"/>
      <c r="PL25" s="476"/>
      <c r="PM25" s="476"/>
      <c r="PN25" s="476"/>
      <c r="PO25" s="476"/>
      <c r="PP25" s="476"/>
      <c r="PQ25" s="476"/>
      <c r="PR25" s="476"/>
      <c r="PS25" s="476"/>
      <c r="PT25" s="476"/>
      <c r="PU25" s="476"/>
      <c r="PV25" s="476"/>
      <c r="PW25" s="476"/>
      <c r="PX25" s="476"/>
      <c r="PY25" s="476"/>
      <c r="PZ25" s="476"/>
      <c r="QA25" s="476"/>
      <c r="QB25" s="476"/>
      <c r="QC25" s="476"/>
      <c r="QD25" s="476"/>
      <c r="QE25" s="476"/>
      <c r="QF25" s="476"/>
      <c r="QG25" s="476"/>
      <c r="QH25" s="476"/>
      <c r="QI25" s="476"/>
      <c r="QJ25" s="476"/>
      <c r="QK25" s="476"/>
      <c r="QL25" s="476"/>
      <c r="QM25" s="476"/>
      <c r="QN25" s="476"/>
      <c r="QO25" s="476"/>
      <c r="QP25" s="476"/>
      <c r="QQ25" s="476"/>
      <c r="QR25" s="476"/>
      <c r="QS25" s="476"/>
      <c r="QT25" s="476"/>
      <c r="QU25" s="476"/>
      <c r="QV25" s="476"/>
      <c r="QW25" s="476"/>
      <c r="QX25" s="476"/>
      <c r="QY25" s="476"/>
      <c r="QZ25" s="476"/>
      <c r="RA25" s="476"/>
      <c r="RB25" s="476"/>
      <c r="RC25" s="476"/>
      <c r="RD25" s="476"/>
      <c r="RE25" s="476"/>
      <c r="RF25" s="476"/>
      <c r="RG25" s="476"/>
      <c r="RH25" s="476"/>
      <c r="RI25" s="476"/>
      <c r="RJ25" s="476"/>
      <c r="RK25" s="476"/>
      <c r="RL25" s="476"/>
      <c r="RM25" s="476"/>
      <c r="RN25" s="476"/>
      <c r="RO25" s="476"/>
      <c r="RP25" s="476"/>
      <c r="RQ25" s="476"/>
      <c r="RR25" s="476"/>
      <c r="RS25" s="476"/>
      <c r="RT25" s="476"/>
      <c r="RU25" s="476"/>
      <c r="RV25" s="476"/>
      <c r="RW25" s="476"/>
      <c r="RX25" s="476"/>
    </row>
    <row r="26" spans="1:492" s="477" customFormat="1" ht="20.100000000000001" customHeight="1">
      <c r="A26" s="489" t="s">
        <v>468</v>
      </c>
      <c r="B26" s="510" t="s">
        <v>461</v>
      </c>
      <c r="C26" s="474"/>
      <c r="D26" s="474"/>
      <c r="E26" s="474"/>
      <c r="F26" s="474"/>
      <c r="G26" s="474"/>
      <c r="H26" s="474"/>
      <c r="I26" s="474"/>
      <c r="J26" s="474"/>
      <c r="K26" s="474"/>
      <c r="L26" s="474"/>
      <c r="M26" s="474"/>
      <c r="N26" s="474"/>
      <c r="O26" s="474"/>
      <c r="P26" s="474"/>
      <c r="Q26" s="474"/>
      <c r="R26" s="474"/>
      <c r="S26" s="474"/>
      <c r="T26" s="474"/>
      <c r="U26" s="474"/>
      <c r="V26" s="474"/>
      <c r="W26" s="474"/>
      <c r="X26" s="474"/>
      <c r="Y26" s="474"/>
      <c r="Z26" s="474"/>
      <c r="AA26" s="474"/>
      <c r="AB26" s="474"/>
      <c r="AC26" s="474"/>
      <c r="AD26" s="474"/>
      <c r="AE26" s="474"/>
      <c r="AF26" s="474"/>
      <c r="AG26" s="474"/>
      <c r="AH26" s="474"/>
      <c r="AI26" s="474"/>
      <c r="AJ26" s="474"/>
      <c r="AK26" s="474"/>
      <c r="AL26" s="474"/>
      <c r="AM26" s="499"/>
      <c r="AN26" s="475"/>
      <c r="AO26" s="475"/>
      <c r="AP26" s="475"/>
      <c r="AQ26" s="500"/>
      <c r="AR26" s="475"/>
      <c r="AS26" s="475"/>
      <c r="AT26" s="475"/>
      <c r="AU26" s="475"/>
      <c r="AV26" s="470"/>
      <c r="AW26" s="475"/>
      <c r="AX26" s="475"/>
      <c r="AY26" s="475"/>
      <c r="AZ26" s="475"/>
      <c r="BA26" s="478"/>
      <c r="BB26" s="499"/>
      <c r="BC26" s="475"/>
      <c r="BD26" s="475"/>
      <c r="BE26" s="475"/>
      <c r="BF26" s="500"/>
      <c r="BG26" s="475"/>
      <c r="BH26" s="475"/>
      <c r="BI26" s="475"/>
      <c r="BJ26" s="475"/>
      <c r="BK26" s="500"/>
      <c r="BL26" s="475"/>
      <c r="BM26" s="469">
        <v>3.7</v>
      </c>
      <c r="BN26" s="475">
        <f>14-BM26-BL26</f>
        <v>10.3</v>
      </c>
      <c r="BO26" s="475">
        <f>57-BN26-BM26</f>
        <v>43</v>
      </c>
      <c r="BP26" s="500">
        <f>SUM(BL26:BO26)</f>
        <v>57</v>
      </c>
      <c r="BQ26" s="475">
        <v>7</v>
      </c>
      <c r="BR26" s="469">
        <v>6</v>
      </c>
      <c r="BS26" s="475">
        <v>8.6999999999999993</v>
      </c>
      <c r="BT26" s="475">
        <v>5.3</v>
      </c>
      <c r="BU26" s="819">
        <f>SUM(BQ26:BT26)</f>
        <v>27</v>
      </c>
      <c r="BV26" s="475">
        <v>9</v>
      </c>
      <c r="BW26" s="469">
        <v>2.0999999999999996</v>
      </c>
      <c r="BX26" s="475">
        <v>9.9</v>
      </c>
      <c r="BY26" s="475">
        <v>78.2</v>
      </c>
      <c r="BZ26" s="819">
        <f>SUM(BV26:BY26)</f>
        <v>99.2</v>
      </c>
      <c r="CA26" s="475">
        <v>19.8</v>
      </c>
      <c r="CB26" s="469">
        <v>11.7</v>
      </c>
      <c r="CC26" s="475"/>
      <c r="CD26" s="475"/>
      <c r="CE26" s="819">
        <f>SUM(CA26:CD26)</f>
        <v>31.5</v>
      </c>
      <c r="CF26" s="476"/>
      <c r="CG26" s="810"/>
      <c r="CH26" s="476"/>
      <c r="CI26" s="476"/>
      <c r="CJ26" s="476"/>
      <c r="CK26" s="476"/>
      <c r="CL26" s="476"/>
      <c r="CM26" s="476"/>
      <c r="CN26" s="476"/>
      <c r="CO26" s="476"/>
      <c r="CP26" s="476"/>
      <c r="CQ26" s="476"/>
      <c r="CR26" s="476"/>
      <c r="CS26" s="476"/>
      <c r="CT26" s="476"/>
      <c r="CU26" s="476"/>
      <c r="CV26" s="476"/>
      <c r="CW26" s="476"/>
      <c r="CX26" s="476"/>
      <c r="CY26" s="476"/>
      <c r="CZ26" s="476"/>
      <c r="DA26" s="476"/>
      <c r="DB26" s="476"/>
      <c r="DC26" s="476"/>
      <c r="DD26" s="476"/>
      <c r="DE26" s="476"/>
      <c r="DF26" s="476"/>
      <c r="DG26" s="476"/>
      <c r="DH26" s="476"/>
      <c r="DI26" s="476"/>
      <c r="DJ26" s="476"/>
      <c r="DK26" s="476"/>
      <c r="DL26" s="476"/>
      <c r="DM26" s="476"/>
      <c r="DN26" s="476"/>
      <c r="DO26" s="476"/>
      <c r="DP26" s="476"/>
      <c r="DQ26" s="476"/>
      <c r="DR26" s="476"/>
      <c r="DS26" s="476"/>
      <c r="DT26" s="476"/>
      <c r="DU26" s="476"/>
      <c r="DV26" s="476"/>
      <c r="DW26" s="476"/>
      <c r="DX26" s="476"/>
      <c r="DY26" s="476"/>
      <c r="DZ26" s="476"/>
      <c r="EA26" s="476"/>
      <c r="EB26" s="476"/>
      <c r="EC26" s="476"/>
      <c r="ED26" s="476"/>
      <c r="EE26" s="476"/>
      <c r="EF26" s="476"/>
      <c r="EG26" s="476"/>
      <c r="EH26" s="476"/>
      <c r="EI26" s="476"/>
      <c r="EJ26" s="476"/>
      <c r="EK26" s="476"/>
      <c r="EL26" s="476"/>
      <c r="EM26" s="476"/>
      <c r="EN26" s="476"/>
      <c r="EO26" s="476"/>
      <c r="EP26" s="476"/>
      <c r="EQ26" s="476"/>
      <c r="ER26" s="476"/>
      <c r="ES26" s="476"/>
      <c r="ET26" s="476"/>
      <c r="EU26" s="476"/>
      <c r="EV26" s="476"/>
      <c r="EW26" s="476"/>
      <c r="EX26" s="476"/>
      <c r="EY26" s="476"/>
      <c r="EZ26" s="476"/>
      <c r="FA26" s="476"/>
      <c r="FB26" s="476"/>
      <c r="FC26" s="476"/>
      <c r="FD26" s="476"/>
      <c r="FE26" s="476"/>
      <c r="FF26" s="476"/>
      <c r="FG26" s="476"/>
      <c r="FH26" s="476"/>
      <c r="FI26" s="476"/>
      <c r="FJ26" s="476"/>
      <c r="FK26" s="476"/>
      <c r="FL26" s="476"/>
      <c r="FM26" s="476"/>
      <c r="FN26" s="476"/>
      <c r="FO26" s="476"/>
      <c r="FP26" s="476"/>
      <c r="FQ26" s="476"/>
      <c r="FR26" s="476"/>
      <c r="FS26" s="476"/>
      <c r="FT26" s="476"/>
      <c r="FU26" s="476"/>
      <c r="FV26" s="476"/>
      <c r="FW26" s="476"/>
      <c r="FX26" s="476"/>
      <c r="FY26" s="476"/>
      <c r="FZ26" s="476"/>
      <c r="GA26" s="476"/>
      <c r="GB26" s="476"/>
      <c r="GC26" s="476"/>
      <c r="GD26" s="476"/>
      <c r="GE26" s="476"/>
      <c r="GF26" s="476"/>
      <c r="GG26" s="476"/>
      <c r="GH26" s="476"/>
      <c r="GI26" s="476"/>
      <c r="GJ26" s="476"/>
      <c r="GK26" s="476"/>
      <c r="GL26" s="476"/>
      <c r="GM26" s="476"/>
      <c r="GN26" s="476"/>
      <c r="GO26" s="476"/>
      <c r="GP26" s="476"/>
      <c r="GQ26" s="476"/>
      <c r="GR26" s="476"/>
      <c r="GS26" s="476"/>
      <c r="GT26" s="476"/>
      <c r="GU26" s="476"/>
      <c r="GV26" s="476"/>
      <c r="GW26" s="476"/>
      <c r="GX26" s="476"/>
      <c r="GY26" s="476"/>
      <c r="GZ26" s="476"/>
      <c r="HA26" s="476"/>
      <c r="HB26" s="476"/>
      <c r="HC26" s="476"/>
      <c r="HD26" s="476"/>
      <c r="HE26" s="476"/>
      <c r="HF26" s="476"/>
      <c r="HG26" s="476"/>
      <c r="HH26" s="476"/>
      <c r="HI26" s="476"/>
      <c r="HJ26" s="476"/>
      <c r="HK26" s="476"/>
      <c r="HL26" s="476"/>
      <c r="HM26" s="476"/>
      <c r="HN26" s="476"/>
      <c r="HO26" s="476"/>
      <c r="HP26" s="476"/>
      <c r="HQ26" s="476"/>
      <c r="HR26" s="476"/>
      <c r="HS26" s="476"/>
      <c r="HT26" s="476"/>
      <c r="HU26" s="476"/>
      <c r="HV26" s="476"/>
      <c r="HW26" s="476"/>
      <c r="HX26" s="476"/>
      <c r="HY26" s="476"/>
      <c r="HZ26" s="476"/>
      <c r="IA26" s="476"/>
      <c r="IB26" s="476"/>
      <c r="IC26" s="476"/>
      <c r="ID26" s="476"/>
      <c r="IE26" s="476"/>
      <c r="IF26" s="476"/>
      <c r="IG26" s="476"/>
      <c r="IH26" s="476"/>
      <c r="II26" s="476"/>
      <c r="IJ26" s="476"/>
      <c r="IK26" s="476"/>
      <c r="IL26" s="476"/>
      <c r="IM26" s="476"/>
      <c r="IN26" s="476"/>
      <c r="IO26" s="476"/>
      <c r="IP26" s="476"/>
      <c r="IQ26" s="476"/>
      <c r="IR26" s="476"/>
      <c r="IS26" s="476"/>
      <c r="IT26" s="476"/>
      <c r="IU26" s="476"/>
      <c r="IV26" s="476"/>
      <c r="IW26" s="476"/>
      <c r="IX26" s="476"/>
      <c r="IY26" s="476"/>
      <c r="IZ26" s="476"/>
      <c r="JA26" s="476"/>
      <c r="JB26" s="476"/>
      <c r="JC26" s="476"/>
      <c r="JD26" s="476"/>
      <c r="JE26" s="476"/>
      <c r="JF26" s="476"/>
      <c r="JG26" s="476"/>
      <c r="JH26" s="476"/>
      <c r="JI26" s="476"/>
      <c r="JJ26" s="476"/>
      <c r="JK26" s="476"/>
      <c r="JL26" s="476"/>
      <c r="JM26" s="476"/>
      <c r="JN26" s="476"/>
      <c r="JO26" s="476"/>
      <c r="JP26" s="476"/>
      <c r="JQ26" s="476"/>
      <c r="JR26" s="476"/>
      <c r="JS26" s="476"/>
      <c r="JT26" s="476"/>
      <c r="JU26" s="476"/>
      <c r="JV26" s="476"/>
      <c r="JW26" s="476"/>
      <c r="JX26" s="476"/>
      <c r="JY26" s="476"/>
      <c r="JZ26" s="476"/>
      <c r="KA26" s="476"/>
      <c r="KB26" s="476"/>
      <c r="KC26" s="476"/>
      <c r="KD26" s="476"/>
      <c r="KE26" s="476"/>
      <c r="KF26" s="476"/>
      <c r="KG26" s="476"/>
      <c r="KH26" s="476"/>
      <c r="KI26" s="476"/>
      <c r="KJ26" s="476"/>
      <c r="KK26" s="476"/>
      <c r="KL26" s="476"/>
      <c r="KM26" s="476"/>
      <c r="KN26" s="476"/>
      <c r="KO26" s="476"/>
      <c r="KP26" s="476"/>
      <c r="KQ26" s="476"/>
      <c r="KR26" s="476"/>
      <c r="KS26" s="476"/>
      <c r="KT26" s="476"/>
      <c r="KU26" s="476"/>
      <c r="KV26" s="476"/>
      <c r="KW26" s="476"/>
      <c r="KX26" s="476"/>
      <c r="KY26" s="476"/>
      <c r="KZ26" s="476"/>
      <c r="LA26" s="476"/>
      <c r="LB26" s="476"/>
      <c r="LC26" s="476"/>
      <c r="LD26" s="476"/>
      <c r="LE26" s="476"/>
      <c r="LF26" s="476"/>
      <c r="LG26" s="476"/>
      <c r="LH26" s="476"/>
      <c r="LI26" s="476"/>
      <c r="LJ26" s="476"/>
      <c r="LK26" s="476"/>
      <c r="LL26" s="476"/>
      <c r="LM26" s="476"/>
      <c r="LN26" s="476"/>
      <c r="LO26" s="476"/>
      <c r="LP26" s="476"/>
      <c r="LQ26" s="476"/>
      <c r="LR26" s="476"/>
      <c r="LS26" s="476"/>
      <c r="LT26" s="476"/>
      <c r="LU26" s="476"/>
      <c r="LV26" s="476"/>
      <c r="LW26" s="476"/>
      <c r="LX26" s="476"/>
      <c r="LY26" s="476"/>
      <c r="LZ26" s="476"/>
      <c r="MA26" s="476"/>
      <c r="MB26" s="476"/>
      <c r="MC26" s="476"/>
      <c r="MD26" s="476"/>
      <c r="ME26" s="476"/>
      <c r="MF26" s="476"/>
      <c r="MG26" s="476"/>
      <c r="MH26" s="476"/>
      <c r="MI26" s="476"/>
      <c r="MJ26" s="476"/>
      <c r="MK26" s="476"/>
      <c r="ML26" s="476"/>
      <c r="MM26" s="476"/>
      <c r="MN26" s="476"/>
      <c r="MO26" s="476"/>
      <c r="MP26" s="476"/>
      <c r="MQ26" s="476"/>
      <c r="MR26" s="476"/>
      <c r="MS26" s="476"/>
      <c r="MT26" s="476"/>
      <c r="MU26" s="476"/>
      <c r="MV26" s="476"/>
      <c r="MW26" s="476"/>
      <c r="MX26" s="476"/>
      <c r="MY26" s="476"/>
      <c r="MZ26" s="476"/>
      <c r="NA26" s="476"/>
      <c r="NB26" s="476"/>
      <c r="NC26" s="476"/>
      <c r="ND26" s="476"/>
      <c r="NE26" s="476"/>
      <c r="NF26" s="476"/>
      <c r="NG26" s="476"/>
      <c r="NH26" s="476"/>
      <c r="NI26" s="476"/>
      <c r="NJ26" s="476"/>
      <c r="NK26" s="476"/>
      <c r="NL26" s="476"/>
      <c r="NM26" s="476"/>
      <c r="NN26" s="476"/>
      <c r="NO26" s="476"/>
      <c r="NP26" s="476"/>
      <c r="NQ26" s="476"/>
      <c r="NR26" s="476"/>
      <c r="NS26" s="476"/>
      <c r="NT26" s="476"/>
      <c r="NU26" s="476"/>
      <c r="NV26" s="476"/>
      <c r="NW26" s="476"/>
      <c r="NX26" s="476"/>
      <c r="NY26" s="476"/>
      <c r="NZ26" s="476"/>
      <c r="OA26" s="476"/>
      <c r="OB26" s="476"/>
      <c r="OC26" s="476"/>
      <c r="OD26" s="476"/>
      <c r="OE26" s="476"/>
      <c r="OF26" s="476"/>
      <c r="OG26" s="476"/>
      <c r="OH26" s="476"/>
      <c r="OI26" s="476"/>
      <c r="OJ26" s="476"/>
      <c r="OK26" s="476"/>
      <c r="OL26" s="476"/>
      <c r="OM26" s="476"/>
      <c r="ON26" s="476"/>
      <c r="OO26" s="476"/>
      <c r="OP26" s="476"/>
      <c r="OQ26" s="476"/>
      <c r="OR26" s="476"/>
      <c r="OS26" s="476"/>
      <c r="OT26" s="476"/>
      <c r="OU26" s="476"/>
      <c r="OV26" s="476"/>
      <c r="OW26" s="476"/>
      <c r="OX26" s="476"/>
      <c r="OY26" s="476"/>
      <c r="OZ26" s="476"/>
      <c r="PA26" s="476"/>
      <c r="PB26" s="476"/>
      <c r="PC26" s="476"/>
      <c r="PD26" s="476"/>
      <c r="PE26" s="476"/>
      <c r="PF26" s="476"/>
      <c r="PG26" s="476"/>
      <c r="PH26" s="476"/>
      <c r="PI26" s="476"/>
      <c r="PJ26" s="476"/>
      <c r="PK26" s="476"/>
      <c r="PL26" s="476"/>
      <c r="PM26" s="476"/>
      <c r="PN26" s="476"/>
      <c r="PO26" s="476"/>
      <c r="PP26" s="476"/>
      <c r="PQ26" s="476"/>
      <c r="PR26" s="476"/>
      <c r="PS26" s="476"/>
      <c r="PT26" s="476"/>
      <c r="PU26" s="476"/>
      <c r="PV26" s="476"/>
      <c r="PW26" s="476"/>
      <c r="PX26" s="476"/>
      <c r="PY26" s="476"/>
      <c r="PZ26" s="476"/>
      <c r="QA26" s="476"/>
      <c r="QB26" s="476"/>
      <c r="QC26" s="476"/>
      <c r="QD26" s="476"/>
      <c r="QE26" s="476"/>
      <c r="QF26" s="476"/>
      <c r="QG26" s="476"/>
      <c r="QH26" s="476"/>
      <c r="QI26" s="476"/>
      <c r="QJ26" s="476"/>
      <c r="QK26" s="476"/>
      <c r="QL26" s="476"/>
      <c r="QM26" s="476"/>
      <c r="QN26" s="476"/>
      <c r="QO26" s="476"/>
      <c r="QP26" s="476"/>
      <c r="QQ26" s="476"/>
      <c r="QR26" s="476"/>
      <c r="QS26" s="476"/>
      <c r="QT26" s="476"/>
      <c r="QU26" s="476"/>
      <c r="QV26" s="476"/>
      <c r="QW26" s="476"/>
      <c r="QX26" s="476"/>
      <c r="QY26" s="476"/>
      <c r="QZ26" s="476"/>
      <c r="RA26" s="476"/>
      <c r="RB26" s="476"/>
      <c r="RC26" s="476"/>
      <c r="RD26" s="476"/>
      <c r="RE26" s="476"/>
      <c r="RF26" s="476"/>
      <c r="RG26" s="476"/>
      <c r="RH26" s="476"/>
      <c r="RI26" s="476"/>
      <c r="RJ26" s="476"/>
      <c r="RK26" s="476"/>
      <c r="RL26" s="476"/>
      <c r="RM26" s="476"/>
      <c r="RN26" s="476"/>
      <c r="RO26" s="476"/>
      <c r="RP26" s="476"/>
      <c r="RQ26" s="476"/>
      <c r="RR26" s="476"/>
      <c r="RS26" s="476"/>
      <c r="RT26" s="476"/>
      <c r="RU26" s="476"/>
      <c r="RV26" s="476"/>
      <c r="RW26" s="476"/>
      <c r="RX26" s="476"/>
    </row>
    <row r="27" spans="1:492" s="477" customFormat="1" ht="20.100000000000001" customHeight="1">
      <c r="A27" s="489" t="s">
        <v>462</v>
      </c>
      <c r="B27" s="510" t="s">
        <v>463</v>
      </c>
      <c r="C27" s="474"/>
      <c r="D27" s="474"/>
      <c r="E27" s="474"/>
      <c r="F27" s="474"/>
      <c r="G27" s="474"/>
      <c r="H27" s="474"/>
      <c r="I27" s="474"/>
      <c r="J27" s="474"/>
      <c r="K27" s="474"/>
      <c r="L27" s="474"/>
      <c r="M27" s="474"/>
      <c r="N27" s="474"/>
      <c r="O27" s="474"/>
      <c r="P27" s="474"/>
      <c r="Q27" s="474"/>
      <c r="R27" s="474"/>
      <c r="S27" s="474"/>
      <c r="T27" s="474"/>
      <c r="U27" s="474"/>
      <c r="V27" s="474"/>
      <c r="W27" s="474"/>
      <c r="X27" s="474"/>
      <c r="Y27" s="474"/>
      <c r="Z27" s="474"/>
      <c r="AA27" s="474"/>
      <c r="AB27" s="474"/>
      <c r="AC27" s="474"/>
      <c r="AD27" s="474"/>
      <c r="AE27" s="474"/>
      <c r="AF27" s="474"/>
      <c r="AG27" s="474"/>
      <c r="AH27" s="474"/>
      <c r="AI27" s="474"/>
      <c r="AJ27" s="474"/>
      <c r="AK27" s="474"/>
      <c r="AL27" s="474"/>
      <c r="AM27" s="499"/>
      <c r="AN27" s="475"/>
      <c r="AO27" s="475"/>
      <c r="AP27" s="475"/>
      <c r="AQ27" s="500"/>
      <c r="AR27" s="475"/>
      <c r="AS27" s="475"/>
      <c r="AT27" s="475"/>
      <c r="AU27" s="475"/>
      <c r="AV27" s="470"/>
      <c r="AW27" s="475"/>
      <c r="AX27" s="475"/>
      <c r="AY27" s="475"/>
      <c r="AZ27" s="475"/>
      <c r="BA27" s="478"/>
      <c r="BB27" s="499"/>
      <c r="BC27" s="475"/>
      <c r="BD27" s="475"/>
      <c r="BE27" s="475"/>
      <c r="BF27" s="500"/>
      <c r="BG27" s="475"/>
      <c r="BH27" s="475"/>
      <c r="BI27" s="475"/>
      <c r="BJ27" s="475"/>
      <c r="BK27" s="500"/>
      <c r="BL27" s="475"/>
      <c r="BM27" s="469"/>
      <c r="BN27" s="475"/>
      <c r="BO27" s="475"/>
      <c r="BP27" s="500"/>
      <c r="BQ27" s="475"/>
      <c r="BR27" s="469"/>
      <c r="BS27" s="475">
        <v>25.9</v>
      </c>
      <c r="BT27" s="669">
        <v>-1.4</v>
      </c>
      <c r="BU27" s="819">
        <f>SUM(BQ27:BT27)</f>
        <v>24.5</v>
      </c>
      <c r="BV27" s="475">
        <v>49.3</v>
      </c>
      <c r="BW27" s="469">
        <v>71.399999999999991</v>
      </c>
      <c r="BX27" s="475">
        <v>82.200000000000017</v>
      </c>
      <c r="BY27" s="806">
        <v>79.099999999999994</v>
      </c>
      <c r="BZ27" s="819">
        <f>SUM(BV27:BY27)</f>
        <v>282</v>
      </c>
      <c r="CA27" s="475">
        <v>57.1</v>
      </c>
      <c r="CB27" s="469">
        <v>65.599999999999994</v>
      </c>
      <c r="CC27" s="475"/>
      <c r="CD27" s="806"/>
      <c r="CE27" s="819">
        <f>SUM(CA27:CD27)</f>
        <v>122.69999999999999</v>
      </c>
      <c r="CF27" s="476"/>
      <c r="CG27" s="810"/>
      <c r="CH27" s="476"/>
      <c r="CI27" s="476"/>
      <c r="CJ27" s="476"/>
      <c r="CK27" s="476"/>
      <c r="CL27" s="476"/>
      <c r="CM27" s="476"/>
      <c r="CN27" s="476"/>
      <c r="CO27" s="476"/>
      <c r="CP27" s="476"/>
      <c r="CQ27" s="476"/>
      <c r="CR27" s="476"/>
      <c r="CS27" s="476"/>
      <c r="CT27" s="476"/>
      <c r="CU27" s="476"/>
      <c r="CV27" s="476"/>
      <c r="CW27" s="476"/>
      <c r="CX27" s="476"/>
      <c r="CY27" s="476"/>
      <c r="CZ27" s="476"/>
      <c r="DA27" s="476"/>
      <c r="DB27" s="476"/>
      <c r="DC27" s="476"/>
      <c r="DD27" s="476"/>
      <c r="DE27" s="476"/>
      <c r="DF27" s="476"/>
      <c r="DG27" s="476"/>
      <c r="DH27" s="476"/>
      <c r="DI27" s="476"/>
      <c r="DJ27" s="476"/>
      <c r="DK27" s="476"/>
      <c r="DL27" s="476"/>
      <c r="DM27" s="476"/>
      <c r="DN27" s="476"/>
      <c r="DO27" s="476"/>
      <c r="DP27" s="476"/>
      <c r="DQ27" s="476"/>
      <c r="DR27" s="476"/>
      <c r="DS27" s="476"/>
      <c r="DT27" s="476"/>
      <c r="DU27" s="476"/>
      <c r="DV27" s="476"/>
      <c r="DW27" s="476"/>
      <c r="DX27" s="476"/>
      <c r="DY27" s="476"/>
      <c r="DZ27" s="476"/>
      <c r="EA27" s="476"/>
      <c r="EB27" s="476"/>
      <c r="EC27" s="476"/>
      <c r="ED27" s="476"/>
      <c r="EE27" s="476"/>
      <c r="EF27" s="476"/>
      <c r="EG27" s="476"/>
      <c r="EH27" s="476"/>
      <c r="EI27" s="476"/>
      <c r="EJ27" s="476"/>
      <c r="EK27" s="476"/>
      <c r="EL27" s="476"/>
      <c r="EM27" s="476"/>
      <c r="EN27" s="476"/>
      <c r="EO27" s="476"/>
      <c r="EP27" s="476"/>
      <c r="EQ27" s="476"/>
      <c r="ER27" s="476"/>
      <c r="ES27" s="476"/>
      <c r="ET27" s="476"/>
      <c r="EU27" s="476"/>
      <c r="EV27" s="476"/>
      <c r="EW27" s="476"/>
      <c r="EX27" s="476"/>
      <c r="EY27" s="476"/>
      <c r="EZ27" s="476"/>
      <c r="FA27" s="476"/>
      <c r="FB27" s="476"/>
      <c r="FC27" s="476"/>
      <c r="FD27" s="476"/>
      <c r="FE27" s="476"/>
      <c r="FF27" s="476"/>
      <c r="FG27" s="476"/>
      <c r="FH27" s="476"/>
      <c r="FI27" s="476"/>
      <c r="FJ27" s="476"/>
      <c r="FK27" s="476"/>
      <c r="FL27" s="476"/>
      <c r="FM27" s="476"/>
      <c r="FN27" s="476"/>
      <c r="FO27" s="476"/>
      <c r="FP27" s="476"/>
      <c r="FQ27" s="476"/>
      <c r="FR27" s="476"/>
      <c r="FS27" s="476"/>
      <c r="FT27" s="476"/>
      <c r="FU27" s="476"/>
      <c r="FV27" s="476"/>
      <c r="FW27" s="476"/>
      <c r="FX27" s="476"/>
      <c r="FY27" s="476"/>
      <c r="FZ27" s="476"/>
      <c r="GA27" s="476"/>
      <c r="GB27" s="476"/>
      <c r="GC27" s="476"/>
      <c r="GD27" s="476"/>
      <c r="GE27" s="476"/>
      <c r="GF27" s="476"/>
      <c r="GG27" s="476"/>
      <c r="GH27" s="476"/>
      <c r="GI27" s="476"/>
      <c r="GJ27" s="476"/>
      <c r="GK27" s="476"/>
      <c r="GL27" s="476"/>
      <c r="GM27" s="476"/>
      <c r="GN27" s="476"/>
      <c r="GO27" s="476"/>
      <c r="GP27" s="476"/>
      <c r="GQ27" s="476"/>
      <c r="GR27" s="476"/>
      <c r="GS27" s="476"/>
      <c r="GT27" s="476"/>
      <c r="GU27" s="476"/>
      <c r="GV27" s="476"/>
      <c r="GW27" s="476"/>
      <c r="GX27" s="476"/>
      <c r="GY27" s="476"/>
      <c r="GZ27" s="476"/>
      <c r="HA27" s="476"/>
      <c r="HB27" s="476"/>
      <c r="HC27" s="476"/>
      <c r="HD27" s="476"/>
      <c r="HE27" s="476"/>
      <c r="HF27" s="476"/>
      <c r="HG27" s="476"/>
      <c r="HH27" s="476"/>
      <c r="HI27" s="476"/>
      <c r="HJ27" s="476"/>
      <c r="HK27" s="476"/>
      <c r="HL27" s="476"/>
      <c r="HM27" s="476"/>
      <c r="HN27" s="476"/>
      <c r="HO27" s="476"/>
      <c r="HP27" s="476"/>
      <c r="HQ27" s="476"/>
      <c r="HR27" s="476"/>
      <c r="HS27" s="476"/>
      <c r="HT27" s="476"/>
      <c r="HU27" s="476"/>
      <c r="HV27" s="476"/>
      <c r="HW27" s="476"/>
      <c r="HX27" s="476"/>
      <c r="HY27" s="476"/>
      <c r="HZ27" s="476"/>
      <c r="IA27" s="476"/>
      <c r="IB27" s="476"/>
      <c r="IC27" s="476"/>
      <c r="ID27" s="476"/>
      <c r="IE27" s="476"/>
      <c r="IF27" s="476"/>
      <c r="IG27" s="476"/>
      <c r="IH27" s="476"/>
      <c r="II27" s="476"/>
      <c r="IJ27" s="476"/>
      <c r="IK27" s="476"/>
      <c r="IL27" s="476"/>
      <c r="IM27" s="476"/>
      <c r="IN27" s="476"/>
      <c r="IO27" s="476"/>
      <c r="IP27" s="476"/>
      <c r="IQ27" s="476"/>
      <c r="IR27" s="476"/>
      <c r="IS27" s="476"/>
      <c r="IT27" s="476"/>
      <c r="IU27" s="476"/>
      <c r="IV27" s="476"/>
      <c r="IW27" s="476"/>
      <c r="IX27" s="476"/>
      <c r="IY27" s="476"/>
      <c r="IZ27" s="476"/>
      <c r="JA27" s="476"/>
      <c r="JB27" s="476"/>
      <c r="JC27" s="476"/>
      <c r="JD27" s="476"/>
      <c r="JE27" s="476"/>
      <c r="JF27" s="476"/>
      <c r="JG27" s="476"/>
      <c r="JH27" s="476"/>
      <c r="JI27" s="476"/>
      <c r="JJ27" s="476"/>
      <c r="JK27" s="476"/>
      <c r="JL27" s="476"/>
      <c r="JM27" s="476"/>
      <c r="JN27" s="476"/>
      <c r="JO27" s="476"/>
      <c r="JP27" s="476"/>
      <c r="JQ27" s="476"/>
      <c r="JR27" s="476"/>
      <c r="JS27" s="476"/>
      <c r="JT27" s="476"/>
      <c r="JU27" s="476"/>
      <c r="JV27" s="476"/>
      <c r="JW27" s="476"/>
      <c r="JX27" s="476"/>
      <c r="JY27" s="476"/>
      <c r="JZ27" s="476"/>
      <c r="KA27" s="476"/>
      <c r="KB27" s="476"/>
      <c r="KC27" s="476"/>
      <c r="KD27" s="476"/>
      <c r="KE27" s="476"/>
      <c r="KF27" s="476"/>
      <c r="KG27" s="476"/>
      <c r="KH27" s="476"/>
      <c r="KI27" s="476"/>
      <c r="KJ27" s="476"/>
      <c r="KK27" s="476"/>
      <c r="KL27" s="476"/>
      <c r="KM27" s="476"/>
      <c r="KN27" s="476"/>
      <c r="KO27" s="476"/>
      <c r="KP27" s="476"/>
      <c r="KQ27" s="476"/>
      <c r="KR27" s="476"/>
      <c r="KS27" s="476"/>
      <c r="KT27" s="476"/>
      <c r="KU27" s="476"/>
      <c r="KV27" s="476"/>
      <c r="KW27" s="476"/>
      <c r="KX27" s="476"/>
      <c r="KY27" s="476"/>
      <c r="KZ27" s="476"/>
      <c r="LA27" s="476"/>
      <c r="LB27" s="476"/>
      <c r="LC27" s="476"/>
      <c r="LD27" s="476"/>
      <c r="LE27" s="476"/>
      <c r="LF27" s="476"/>
      <c r="LG27" s="476"/>
      <c r="LH27" s="476"/>
      <c r="LI27" s="476"/>
      <c r="LJ27" s="476"/>
      <c r="LK27" s="476"/>
      <c r="LL27" s="476"/>
      <c r="LM27" s="476"/>
      <c r="LN27" s="476"/>
      <c r="LO27" s="476"/>
      <c r="LP27" s="476"/>
      <c r="LQ27" s="476"/>
      <c r="LR27" s="476"/>
      <c r="LS27" s="476"/>
      <c r="LT27" s="476"/>
      <c r="LU27" s="476"/>
      <c r="LV27" s="476"/>
      <c r="LW27" s="476"/>
      <c r="LX27" s="476"/>
      <c r="LY27" s="476"/>
      <c r="LZ27" s="476"/>
      <c r="MA27" s="476"/>
      <c r="MB27" s="476"/>
      <c r="MC27" s="476"/>
      <c r="MD27" s="476"/>
      <c r="ME27" s="476"/>
      <c r="MF27" s="476"/>
      <c r="MG27" s="476"/>
      <c r="MH27" s="476"/>
      <c r="MI27" s="476"/>
      <c r="MJ27" s="476"/>
      <c r="MK27" s="476"/>
      <c r="ML27" s="476"/>
      <c r="MM27" s="476"/>
      <c r="MN27" s="476"/>
      <c r="MO27" s="476"/>
      <c r="MP27" s="476"/>
      <c r="MQ27" s="476"/>
      <c r="MR27" s="476"/>
      <c r="MS27" s="476"/>
      <c r="MT27" s="476"/>
      <c r="MU27" s="476"/>
      <c r="MV27" s="476"/>
      <c r="MW27" s="476"/>
      <c r="MX27" s="476"/>
      <c r="MY27" s="476"/>
      <c r="MZ27" s="476"/>
      <c r="NA27" s="476"/>
      <c r="NB27" s="476"/>
      <c r="NC27" s="476"/>
      <c r="ND27" s="476"/>
      <c r="NE27" s="476"/>
      <c r="NF27" s="476"/>
      <c r="NG27" s="476"/>
      <c r="NH27" s="476"/>
      <c r="NI27" s="476"/>
      <c r="NJ27" s="476"/>
      <c r="NK27" s="476"/>
      <c r="NL27" s="476"/>
      <c r="NM27" s="476"/>
      <c r="NN27" s="476"/>
      <c r="NO27" s="476"/>
      <c r="NP27" s="476"/>
      <c r="NQ27" s="476"/>
      <c r="NR27" s="476"/>
      <c r="NS27" s="476"/>
      <c r="NT27" s="476"/>
      <c r="NU27" s="476"/>
      <c r="NV27" s="476"/>
      <c r="NW27" s="476"/>
      <c r="NX27" s="476"/>
      <c r="NY27" s="476"/>
      <c r="NZ27" s="476"/>
      <c r="OA27" s="476"/>
      <c r="OB27" s="476"/>
      <c r="OC27" s="476"/>
      <c r="OD27" s="476"/>
      <c r="OE27" s="476"/>
      <c r="OF27" s="476"/>
      <c r="OG27" s="476"/>
      <c r="OH27" s="476"/>
      <c r="OI27" s="476"/>
      <c r="OJ27" s="476"/>
      <c r="OK27" s="476"/>
      <c r="OL27" s="476"/>
      <c r="OM27" s="476"/>
      <c r="ON27" s="476"/>
      <c r="OO27" s="476"/>
      <c r="OP27" s="476"/>
      <c r="OQ27" s="476"/>
      <c r="OR27" s="476"/>
      <c r="OS27" s="476"/>
      <c r="OT27" s="476"/>
      <c r="OU27" s="476"/>
      <c r="OV27" s="476"/>
      <c r="OW27" s="476"/>
      <c r="OX27" s="476"/>
      <c r="OY27" s="476"/>
      <c r="OZ27" s="476"/>
      <c r="PA27" s="476"/>
      <c r="PB27" s="476"/>
      <c r="PC27" s="476"/>
      <c r="PD27" s="476"/>
      <c r="PE27" s="476"/>
      <c r="PF27" s="476"/>
      <c r="PG27" s="476"/>
      <c r="PH27" s="476"/>
      <c r="PI27" s="476"/>
      <c r="PJ27" s="476"/>
      <c r="PK27" s="476"/>
      <c r="PL27" s="476"/>
      <c r="PM27" s="476"/>
      <c r="PN27" s="476"/>
      <c r="PO27" s="476"/>
      <c r="PP27" s="476"/>
      <c r="PQ27" s="476"/>
      <c r="PR27" s="476"/>
      <c r="PS27" s="476"/>
      <c r="PT27" s="476"/>
      <c r="PU27" s="476"/>
      <c r="PV27" s="476"/>
      <c r="PW27" s="476"/>
      <c r="PX27" s="476"/>
      <c r="PY27" s="476"/>
      <c r="PZ27" s="476"/>
      <c r="QA27" s="476"/>
      <c r="QB27" s="476"/>
      <c r="QC27" s="476"/>
      <c r="QD27" s="476"/>
      <c r="QE27" s="476"/>
      <c r="QF27" s="476"/>
      <c r="QG27" s="476"/>
      <c r="QH27" s="476"/>
      <c r="QI27" s="476"/>
      <c r="QJ27" s="476"/>
      <c r="QK27" s="476"/>
      <c r="QL27" s="476"/>
      <c r="QM27" s="476"/>
      <c r="QN27" s="476"/>
      <c r="QO27" s="476"/>
      <c r="QP27" s="476"/>
      <c r="QQ27" s="476"/>
      <c r="QR27" s="476"/>
      <c r="QS27" s="476"/>
      <c r="QT27" s="476"/>
      <c r="QU27" s="476"/>
      <c r="QV27" s="476"/>
      <c r="QW27" s="476"/>
      <c r="QX27" s="476"/>
      <c r="QY27" s="476"/>
      <c r="QZ27" s="476"/>
      <c r="RA27" s="476"/>
      <c r="RB27" s="476"/>
      <c r="RC27" s="476"/>
      <c r="RD27" s="476"/>
      <c r="RE27" s="476"/>
      <c r="RF27" s="476"/>
      <c r="RG27" s="476"/>
      <c r="RH27" s="476"/>
      <c r="RI27" s="476"/>
      <c r="RJ27" s="476"/>
      <c r="RK27" s="476"/>
      <c r="RL27" s="476"/>
      <c r="RM27" s="476"/>
      <c r="RN27" s="476"/>
      <c r="RO27" s="476"/>
      <c r="RP27" s="476"/>
      <c r="RQ27" s="476"/>
      <c r="RR27" s="476"/>
      <c r="RS27" s="476"/>
      <c r="RT27" s="476"/>
      <c r="RU27" s="476"/>
      <c r="RV27" s="476"/>
      <c r="RW27" s="476"/>
      <c r="RX27" s="476"/>
    </row>
    <row r="28" spans="1:492" s="477" customFormat="1" ht="20.100000000000001" customHeight="1" thickBot="1">
      <c r="A28" s="489" t="s">
        <v>464</v>
      </c>
      <c r="B28" s="510" t="s">
        <v>465</v>
      </c>
      <c r="C28" s="474"/>
      <c r="D28" s="474"/>
      <c r="E28" s="474"/>
      <c r="F28" s="474"/>
      <c r="G28" s="474"/>
      <c r="H28" s="474"/>
      <c r="I28" s="474"/>
      <c r="J28" s="474"/>
      <c r="K28" s="474"/>
      <c r="L28" s="474"/>
      <c r="M28" s="474"/>
      <c r="N28" s="474"/>
      <c r="O28" s="474"/>
      <c r="P28" s="474"/>
      <c r="Q28" s="474"/>
      <c r="R28" s="474"/>
      <c r="S28" s="474"/>
      <c r="T28" s="474"/>
      <c r="U28" s="474"/>
      <c r="V28" s="474"/>
      <c r="W28" s="474"/>
      <c r="X28" s="474"/>
      <c r="Y28" s="474"/>
      <c r="Z28" s="474"/>
      <c r="AA28" s="474"/>
      <c r="AB28" s="474"/>
      <c r="AC28" s="474"/>
      <c r="AD28" s="474"/>
      <c r="AE28" s="474"/>
      <c r="AF28" s="474"/>
      <c r="AG28" s="474"/>
      <c r="AH28" s="474"/>
      <c r="AI28" s="474"/>
      <c r="AJ28" s="474"/>
      <c r="AK28" s="474"/>
      <c r="AL28" s="474"/>
      <c r="AM28" s="499"/>
      <c r="AN28" s="475"/>
      <c r="AO28" s="475"/>
      <c r="AP28" s="475"/>
      <c r="AQ28" s="500"/>
      <c r="AR28" s="475"/>
      <c r="AS28" s="475"/>
      <c r="AT28" s="475"/>
      <c r="AU28" s="475"/>
      <c r="AV28" s="470"/>
      <c r="AW28" s="475"/>
      <c r="AX28" s="475"/>
      <c r="AY28" s="475"/>
      <c r="AZ28" s="475"/>
      <c r="BA28" s="478"/>
      <c r="BB28" s="499"/>
      <c r="BC28" s="475"/>
      <c r="BD28" s="475"/>
      <c r="BE28" s="475"/>
      <c r="BF28" s="500"/>
      <c r="BG28" s="475"/>
      <c r="BH28" s="475"/>
      <c r="BI28" s="475"/>
      <c r="BJ28" s="475"/>
      <c r="BK28" s="500"/>
      <c r="BL28" s="475"/>
      <c r="BM28" s="669">
        <v>-2.2000000000000002</v>
      </c>
      <c r="BN28" s="669">
        <f>-7.9-BM28-BL28</f>
        <v>-5.7</v>
      </c>
      <c r="BO28" s="475">
        <f>-5.1-BN28-BM28</f>
        <v>2.8000000000000007</v>
      </c>
      <c r="BP28" s="515">
        <f>SUM(BL28:BO28)</f>
        <v>-5.0999999999999996</v>
      </c>
      <c r="BQ28" s="669">
        <v>-1.5</v>
      </c>
      <c r="BR28" s="669">
        <v>0.8</v>
      </c>
      <c r="BS28" s="669">
        <v>-1.2999999999999998</v>
      </c>
      <c r="BT28" s="669">
        <v>-3.1</v>
      </c>
      <c r="BU28" s="822">
        <f>SUM(BQ28:BT28)</f>
        <v>-5.0999999999999996</v>
      </c>
      <c r="BV28" s="669"/>
      <c r="BW28" s="669"/>
      <c r="BX28" s="669"/>
      <c r="BY28" s="669"/>
      <c r="BZ28" s="822">
        <f>SUM(BV28:BY28)</f>
        <v>0</v>
      </c>
      <c r="CA28" s="669"/>
      <c r="CB28" s="669"/>
      <c r="CC28" s="669"/>
      <c r="CD28" s="669"/>
      <c r="CE28" s="822">
        <f>SUM(CA28:CD28)</f>
        <v>0</v>
      </c>
      <c r="CF28" s="476"/>
      <c r="CG28" s="476"/>
      <c r="CH28" s="476"/>
      <c r="CI28" s="476"/>
      <c r="CJ28" s="476"/>
      <c r="CK28" s="476"/>
      <c r="CL28" s="476"/>
      <c r="CM28" s="476"/>
      <c r="CN28" s="476"/>
      <c r="CO28" s="476"/>
      <c r="CP28" s="476"/>
      <c r="CQ28" s="476"/>
      <c r="CR28" s="476"/>
      <c r="CS28" s="476"/>
      <c r="CT28" s="476"/>
      <c r="CU28" s="476"/>
      <c r="CV28" s="476"/>
      <c r="CW28" s="476"/>
      <c r="CX28" s="476"/>
      <c r="CY28" s="476"/>
      <c r="CZ28" s="476"/>
      <c r="DA28" s="476"/>
      <c r="DB28" s="476"/>
      <c r="DC28" s="476"/>
      <c r="DD28" s="476"/>
      <c r="DE28" s="476"/>
      <c r="DF28" s="476"/>
      <c r="DG28" s="476"/>
      <c r="DH28" s="476"/>
      <c r="DI28" s="476"/>
      <c r="DJ28" s="476"/>
      <c r="DK28" s="476"/>
      <c r="DL28" s="476"/>
      <c r="DM28" s="476"/>
      <c r="DN28" s="476"/>
      <c r="DO28" s="476"/>
      <c r="DP28" s="476"/>
      <c r="DQ28" s="476"/>
      <c r="DR28" s="476"/>
      <c r="DS28" s="476"/>
      <c r="DT28" s="476"/>
      <c r="DU28" s="476"/>
      <c r="DV28" s="476"/>
      <c r="DW28" s="476"/>
      <c r="DX28" s="476"/>
      <c r="DY28" s="476"/>
      <c r="DZ28" s="476"/>
      <c r="EA28" s="476"/>
      <c r="EB28" s="476"/>
      <c r="EC28" s="476"/>
      <c r="ED28" s="476"/>
      <c r="EE28" s="476"/>
      <c r="EF28" s="476"/>
      <c r="EG28" s="476"/>
      <c r="EH28" s="476"/>
      <c r="EI28" s="476"/>
      <c r="EJ28" s="476"/>
      <c r="EK28" s="476"/>
      <c r="EL28" s="476"/>
      <c r="EM28" s="476"/>
      <c r="EN28" s="476"/>
      <c r="EO28" s="476"/>
      <c r="EP28" s="476"/>
      <c r="EQ28" s="476"/>
      <c r="ER28" s="476"/>
      <c r="ES28" s="476"/>
      <c r="ET28" s="476"/>
      <c r="EU28" s="476"/>
      <c r="EV28" s="476"/>
      <c r="EW28" s="476"/>
      <c r="EX28" s="476"/>
      <c r="EY28" s="476"/>
      <c r="EZ28" s="476"/>
      <c r="FA28" s="476"/>
      <c r="FB28" s="476"/>
      <c r="FC28" s="476"/>
      <c r="FD28" s="476"/>
      <c r="FE28" s="476"/>
      <c r="FF28" s="476"/>
      <c r="FG28" s="476"/>
      <c r="FH28" s="476"/>
      <c r="FI28" s="476"/>
      <c r="FJ28" s="476"/>
      <c r="FK28" s="476"/>
      <c r="FL28" s="476"/>
      <c r="FM28" s="476"/>
      <c r="FN28" s="476"/>
      <c r="FO28" s="476"/>
      <c r="FP28" s="476"/>
      <c r="FQ28" s="476"/>
      <c r="FR28" s="476"/>
      <c r="FS28" s="476"/>
      <c r="FT28" s="476"/>
      <c r="FU28" s="476"/>
      <c r="FV28" s="476"/>
      <c r="FW28" s="476"/>
      <c r="FX28" s="476"/>
      <c r="FY28" s="476"/>
      <c r="FZ28" s="476"/>
      <c r="GA28" s="476"/>
      <c r="GB28" s="476"/>
      <c r="GC28" s="476"/>
      <c r="GD28" s="476"/>
      <c r="GE28" s="476"/>
      <c r="GF28" s="476"/>
      <c r="GG28" s="476"/>
      <c r="GH28" s="476"/>
      <c r="GI28" s="476"/>
      <c r="GJ28" s="476"/>
      <c r="GK28" s="476"/>
      <c r="GL28" s="476"/>
      <c r="GM28" s="476"/>
      <c r="GN28" s="476"/>
      <c r="GO28" s="476"/>
      <c r="GP28" s="476"/>
      <c r="GQ28" s="476"/>
      <c r="GR28" s="476"/>
      <c r="GS28" s="476"/>
      <c r="GT28" s="476"/>
      <c r="GU28" s="476"/>
      <c r="GV28" s="476"/>
      <c r="GW28" s="476"/>
      <c r="GX28" s="476"/>
      <c r="GY28" s="476"/>
      <c r="GZ28" s="476"/>
      <c r="HA28" s="476"/>
      <c r="HB28" s="476"/>
      <c r="HC28" s="476"/>
      <c r="HD28" s="476"/>
      <c r="HE28" s="476"/>
      <c r="HF28" s="476"/>
      <c r="HG28" s="476"/>
      <c r="HH28" s="476"/>
      <c r="HI28" s="476"/>
      <c r="HJ28" s="476"/>
      <c r="HK28" s="476"/>
      <c r="HL28" s="476"/>
      <c r="HM28" s="476"/>
      <c r="HN28" s="476"/>
      <c r="HO28" s="476"/>
      <c r="HP28" s="476"/>
      <c r="HQ28" s="476"/>
      <c r="HR28" s="476"/>
      <c r="HS28" s="476"/>
      <c r="HT28" s="476"/>
      <c r="HU28" s="476"/>
      <c r="HV28" s="476"/>
      <c r="HW28" s="476"/>
      <c r="HX28" s="476"/>
      <c r="HY28" s="476"/>
      <c r="HZ28" s="476"/>
      <c r="IA28" s="476"/>
      <c r="IB28" s="476"/>
      <c r="IC28" s="476"/>
      <c r="ID28" s="476"/>
      <c r="IE28" s="476"/>
      <c r="IF28" s="476"/>
      <c r="IG28" s="476"/>
      <c r="IH28" s="476"/>
      <c r="II28" s="476"/>
      <c r="IJ28" s="476"/>
      <c r="IK28" s="476"/>
      <c r="IL28" s="476"/>
      <c r="IM28" s="476"/>
      <c r="IN28" s="476"/>
      <c r="IO28" s="476"/>
      <c r="IP28" s="476"/>
      <c r="IQ28" s="476"/>
      <c r="IR28" s="476"/>
      <c r="IS28" s="476"/>
      <c r="IT28" s="476"/>
      <c r="IU28" s="476"/>
      <c r="IV28" s="476"/>
      <c r="IW28" s="476"/>
      <c r="IX28" s="476"/>
      <c r="IY28" s="476"/>
      <c r="IZ28" s="476"/>
      <c r="JA28" s="476"/>
      <c r="JB28" s="476"/>
      <c r="JC28" s="476"/>
      <c r="JD28" s="476"/>
      <c r="JE28" s="476"/>
      <c r="JF28" s="476"/>
      <c r="JG28" s="476"/>
      <c r="JH28" s="476"/>
      <c r="JI28" s="476"/>
      <c r="JJ28" s="476"/>
      <c r="JK28" s="476"/>
      <c r="JL28" s="476"/>
      <c r="JM28" s="476"/>
      <c r="JN28" s="476"/>
      <c r="JO28" s="476"/>
      <c r="JP28" s="476"/>
      <c r="JQ28" s="476"/>
      <c r="JR28" s="476"/>
      <c r="JS28" s="476"/>
      <c r="JT28" s="476"/>
      <c r="JU28" s="476"/>
      <c r="JV28" s="476"/>
      <c r="JW28" s="476"/>
      <c r="JX28" s="476"/>
      <c r="JY28" s="476"/>
      <c r="JZ28" s="476"/>
      <c r="KA28" s="476"/>
      <c r="KB28" s="476"/>
      <c r="KC28" s="476"/>
      <c r="KD28" s="476"/>
      <c r="KE28" s="476"/>
      <c r="KF28" s="476"/>
      <c r="KG28" s="476"/>
      <c r="KH28" s="476"/>
      <c r="KI28" s="476"/>
      <c r="KJ28" s="476"/>
      <c r="KK28" s="476"/>
      <c r="KL28" s="476"/>
      <c r="KM28" s="476"/>
      <c r="KN28" s="476"/>
      <c r="KO28" s="476"/>
      <c r="KP28" s="476"/>
      <c r="KQ28" s="476"/>
      <c r="KR28" s="476"/>
      <c r="KS28" s="476"/>
      <c r="KT28" s="476"/>
      <c r="KU28" s="476"/>
      <c r="KV28" s="476"/>
      <c r="KW28" s="476"/>
      <c r="KX28" s="476"/>
      <c r="KY28" s="476"/>
      <c r="KZ28" s="476"/>
      <c r="LA28" s="476"/>
      <c r="LB28" s="476"/>
      <c r="LC28" s="476"/>
      <c r="LD28" s="476"/>
      <c r="LE28" s="476"/>
      <c r="LF28" s="476"/>
      <c r="LG28" s="476"/>
      <c r="LH28" s="476"/>
      <c r="LI28" s="476"/>
      <c r="LJ28" s="476"/>
      <c r="LK28" s="476"/>
      <c r="LL28" s="476"/>
      <c r="LM28" s="476"/>
      <c r="LN28" s="476"/>
      <c r="LO28" s="476"/>
      <c r="LP28" s="476"/>
      <c r="LQ28" s="476"/>
      <c r="LR28" s="476"/>
      <c r="LS28" s="476"/>
      <c r="LT28" s="476"/>
      <c r="LU28" s="476"/>
      <c r="LV28" s="476"/>
      <c r="LW28" s="476"/>
      <c r="LX28" s="476"/>
      <c r="LY28" s="476"/>
      <c r="LZ28" s="476"/>
      <c r="MA28" s="476"/>
      <c r="MB28" s="476"/>
      <c r="MC28" s="476"/>
      <c r="MD28" s="476"/>
      <c r="ME28" s="476"/>
      <c r="MF28" s="476"/>
      <c r="MG28" s="476"/>
      <c r="MH28" s="476"/>
      <c r="MI28" s="476"/>
      <c r="MJ28" s="476"/>
      <c r="MK28" s="476"/>
      <c r="ML28" s="476"/>
      <c r="MM28" s="476"/>
      <c r="MN28" s="476"/>
      <c r="MO28" s="476"/>
      <c r="MP28" s="476"/>
      <c r="MQ28" s="476"/>
      <c r="MR28" s="476"/>
      <c r="MS28" s="476"/>
      <c r="MT28" s="476"/>
      <c r="MU28" s="476"/>
      <c r="MV28" s="476"/>
      <c r="MW28" s="476"/>
      <c r="MX28" s="476"/>
      <c r="MY28" s="476"/>
      <c r="MZ28" s="476"/>
      <c r="NA28" s="476"/>
      <c r="NB28" s="476"/>
      <c r="NC28" s="476"/>
      <c r="ND28" s="476"/>
      <c r="NE28" s="476"/>
      <c r="NF28" s="476"/>
      <c r="NG28" s="476"/>
      <c r="NH28" s="476"/>
      <c r="NI28" s="476"/>
      <c r="NJ28" s="476"/>
      <c r="NK28" s="476"/>
      <c r="NL28" s="476"/>
      <c r="NM28" s="476"/>
      <c r="NN28" s="476"/>
      <c r="NO28" s="476"/>
      <c r="NP28" s="476"/>
      <c r="NQ28" s="476"/>
      <c r="NR28" s="476"/>
      <c r="NS28" s="476"/>
      <c r="NT28" s="476"/>
      <c r="NU28" s="476"/>
      <c r="NV28" s="476"/>
      <c r="NW28" s="476"/>
      <c r="NX28" s="476"/>
      <c r="NY28" s="476"/>
      <c r="NZ28" s="476"/>
      <c r="OA28" s="476"/>
      <c r="OB28" s="476"/>
      <c r="OC28" s="476"/>
      <c r="OD28" s="476"/>
      <c r="OE28" s="476"/>
      <c r="OF28" s="476"/>
      <c r="OG28" s="476"/>
      <c r="OH28" s="476"/>
      <c r="OI28" s="476"/>
      <c r="OJ28" s="476"/>
      <c r="OK28" s="476"/>
      <c r="OL28" s="476"/>
      <c r="OM28" s="476"/>
      <c r="ON28" s="476"/>
      <c r="OO28" s="476"/>
      <c r="OP28" s="476"/>
      <c r="OQ28" s="476"/>
      <c r="OR28" s="476"/>
      <c r="OS28" s="476"/>
      <c r="OT28" s="476"/>
      <c r="OU28" s="476"/>
      <c r="OV28" s="476"/>
      <c r="OW28" s="476"/>
      <c r="OX28" s="476"/>
      <c r="OY28" s="476"/>
      <c r="OZ28" s="476"/>
      <c r="PA28" s="476"/>
      <c r="PB28" s="476"/>
      <c r="PC28" s="476"/>
      <c r="PD28" s="476"/>
      <c r="PE28" s="476"/>
      <c r="PF28" s="476"/>
      <c r="PG28" s="476"/>
      <c r="PH28" s="476"/>
      <c r="PI28" s="476"/>
      <c r="PJ28" s="476"/>
      <c r="PK28" s="476"/>
      <c r="PL28" s="476"/>
      <c r="PM28" s="476"/>
      <c r="PN28" s="476"/>
      <c r="PO28" s="476"/>
      <c r="PP28" s="476"/>
      <c r="PQ28" s="476"/>
      <c r="PR28" s="476"/>
      <c r="PS28" s="476"/>
      <c r="PT28" s="476"/>
      <c r="PU28" s="476"/>
      <c r="PV28" s="476"/>
      <c r="PW28" s="476"/>
      <c r="PX28" s="476"/>
      <c r="PY28" s="476"/>
      <c r="PZ28" s="476"/>
      <c r="QA28" s="476"/>
      <c r="QB28" s="476"/>
      <c r="QC28" s="476"/>
      <c r="QD28" s="476"/>
      <c r="QE28" s="476"/>
      <c r="QF28" s="476"/>
      <c r="QG28" s="476"/>
      <c r="QH28" s="476"/>
      <c r="QI28" s="476"/>
      <c r="QJ28" s="476"/>
      <c r="QK28" s="476"/>
      <c r="QL28" s="476"/>
      <c r="QM28" s="476"/>
      <c r="QN28" s="476"/>
      <c r="QO28" s="476"/>
      <c r="QP28" s="476"/>
      <c r="QQ28" s="476"/>
      <c r="QR28" s="476"/>
      <c r="QS28" s="476"/>
      <c r="QT28" s="476"/>
      <c r="QU28" s="476"/>
      <c r="QV28" s="476"/>
      <c r="QW28" s="476"/>
      <c r="QX28" s="476"/>
      <c r="QY28" s="476"/>
      <c r="QZ28" s="476"/>
      <c r="RA28" s="476"/>
      <c r="RB28" s="476"/>
      <c r="RC28" s="476"/>
      <c r="RD28" s="476"/>
      <c r="RE28" s="476"/>
      <c r="RF28" s="476"/>
      <c r="RG28" s="476"/>
      <c r="RH28" s="476"/>
      <c r="RI28" s="476"/>
      <c r="RJ28" s="476"/>
      <c r="RK28" s="476"/>
      <c r="RL28" s="476"/>
      <c r="RM28" s="476"/>
      <c r="RN28" s="476"/>
      <c r="RO28" s="476"/>
      <c r="RP28" s="476"/>
      <c r="RQ28" s="476"/>
      <c r="RR28" s="476"/>
      <c r="RS28" s="476"/>
      <c r="RT28" s="476"/>
      <c r="RU28" s="476"/>
      <c r="RV28" s="476"/>
      <c r="RW28" s="476"/>
      <c r="RX28" s="476"/>
    </row>
    <row r="29" spans="1:492" s="59" customFormat="1" ht="20.25" customHeight="1" thickBot="1">
      <c r="A29" s="490" t="s">
        <v>471</v>
      </c>
      <c r="B29" s="511" t="s">
        <v>472</v>
      </c>
      <c r="C29" s="391"/>
      <c r="D29" s="391"/>
      <c r="E29" s="391"/>
      <c r="F29" s="391"/>
      <c r="G29" s="391"/>
      <c r="H29" s="391"/>
      <c r="I29" s="391"/>
      <c r="J29" s="391"/>
      <c r="K29" s="391"/>
      <c r="L29" s="391"/>
      <c r="M29" s="391"/>
      <c r="N29" s="391"/>
      <c r="O29" s="391"/>
      <c r="P29" s="391"/>
      <c r="Q29" s="391"/>
      <c r="R29" s="391"/>
      <c r="S29" s="391"/>
      <c r="T29" s="391"/>
      <c r="U29" s="391"/>
      <c r="V29" s="391"/>
      <c r="W29" s="391"/>
      <c r="X29" s="391"/>
      <c r="Y29" s="391"/>
      <c r="Z29" s="391"/>
      <c r="AA29" s="391"/>
      <c r="AB29" s="391"/>
      <c r="AC29" s="391"/>
      <c r="AD29" s="391"/>
      <c r="AE29" s="391"/>
      <c r="AF29" s="391"/>
      <c r="AG29" s="391"/>
      <c r="AH29" s="391"/>
      <c r="AI29" s="391"/>
      <c r="AJ29" s="391"/>
      <c r="AK29" s="391"/>
      <c r="AL29" s="391"/>
      <c r="AM29" s="502">
        <f>SUM(AM30:AM31)</f>
        <v>435.5</v>
      </c>
      <c r="AN29" s="392">
        <f t="shared" ref="AN29:BK29" si="40">SUM(AN30:AN31)</f>
        <v>475.59999999999997</v>
      </c>
      <c r="AO29" s="392">
        <f t="shared" si="40"/>
        <v>396.5</v>
      </c>
      <c r="AP29" s="392">
        <f t="shared" si="40"/>
        <v>419.40000000000015</v>
      </c>
      <c r="AQ29" s="503">
        <f t="shared" si="40"/>
        <v>1727</v>
      </c>
      <c r="AR29" s="392">
        <f t="shared" si="40"/>
        <v>0</v>
      </c>
      <c r="AS29" s="392">
        <f t="shared" si="40"/>
        <v>0</v>
      </c>
      <c r="AT29" s="392">
        <f t="shared" si="40"/>
        <v>0</v>
      </c>
      <c r="AU29" s="392">
        <f t="shared" si="40"/>
        <v>0</v>
      </c>
      <c r="AV29" s="393">
        <f t="shared" si="40"/>
        <v>0</v>
      </c>
      <c r="AW29" s="392">
        <f t="shared" si="40"/>
        <v>491.2</v>
      </c>
      <c r="AX29" s="392">
        <f t="shared" si="40"/>
        <v>522.5</v>
      </c>
      <c r="AY29" s="392">
        <f t="shared" si="40"/>
        <v>459.00000000000006</v>
      </c>
      <c r="AZ29" s="392">
        <f t="shared" si="40"/>
        <v>494.30000000000013</v>
      </c>
      <c r="BA29" s="494">
        <f t="shared" si="40"/>
        <v>1967</v>
      </c>
      <c r="BB29" s="502">
        <f t="shared" si="40"/>
        <v>462.2</v>
      </c>
      <c r="BC29" s="392">
        <f t="shared" si="40"/>
        <v>394.1</v>
      </c>
      <c r="BD29" s="392">
        <f t="shared" si="40"/>
        <v>505.9</v>
      </c>
      <c r="BE29" s="392">
        <f t="shared" si="40"/>
        <v>524</v>
      </c>
      <c r="BF29" s="503">
        <f t="shared" si="40"/>
        <v>1886.2</v>
      </c>
      <c r="BG29" s="392">
        <f t="shared" si="40"/>
        <v>561.5</v>
      </c>
      <c r="BH29" s="392">
        <f t="shared" si="40"/>
        <v>683.7</v>
      </c>
      <c r="BI29" s="392">
        <f t="shared" si="40"/>
        <v>4131.4000000000005</v>
      </c>
      <c r="BJ29" s="392">
        <f t="shared" si="40"/>
        <v>419.80000000000018</v>
      </c>
      <c r="BK29" s="503">
        <f t="shared" si="40"/>
        <v>5796.4000000000005</v>
      </c>
      <c r="BL29" s="392">
        <f>SUM(BL30:BL32)</f>
        <v>320.3</v>
      </c>
      <c r="BM29" s="670">
        <f>SUM(BM30:BM34)</f>
        <v>425.8</v>
      </c>
      <c r="BN29" s="392">
        <f>SUM(BN30:BN34)</f>
        <v>500.90000000000003</v>
      </c>
      <c r="BO29" s="392">
        <f>SUM(BO30:BO34)</f>
        <v>395.19999999999993</v>
      </c>
      <c r="BP29" s="503">
        <f>SUM(BP30:BP34)</f>
        <v>1642.2</v>
      </c>
      <c r="BQ29" s="392">
        <f>SUM(BQ30:BQ34)</f>
        <v>298.7</v>
      </c>
      <c r="BR29" s="392">
        <f t="shared" ref="BR29:BT29" si="41">SUM(BR30:BR34)</f>
        <v>329.79999999999995</v>
      </c>
      <c r="BS29" s="392">
        <f t="shared" si="41"/>
        <v>510.90000000000003</v>
      </c>
      <c r="BT29" s="392">
        <f t="shared" si="41"/>
        <v>172.2</v>
      </c>
      <c r="BU29" s="821">
        <f>SUM(BU30:BU34)</f>
        <v>1311.6000000000001</v>
      </c>
      <c r="BV29" s="392">
        <f>SUM(BV30:BV34)</f>
        <v>452.7</v>
      </c>
      <c r="BW29" s="392">
        <f t="shared" ref="BW29:BY29" si="42">SUM(BW30:BW34)</f>
        <v>396.00000000000011</v>
      </c>
      <c r="BX29" s="392">
        <f t="shared" si="42"/>
        <v>569.5</v>
      </c>
      <c r="BY29" s="392">
        <f t="shared" si="42"/>
        <v>347.99999999999994</v>
      </c>
      <c r="BZ29" s="821">
        <f>SUM(BZ30:BZ34)</f>
        <v>1766.2</v>
      </c>
      <c r="CA29" s="392">
        <f>SUM(CA30:CA34)</f>
        <v>410.29999999999995</v>
      </c>
      <c r="CB29" s="392">
        <f>SUM(CB30:CB34)</f>
        <v>384.3</v>
      </c>
      <c r="CC29" s="392"/>
      <c r="CD29" s="392"/>
      <c r="CE29" s="821">
        <f>SUM(CE30:CE34)</f>
        <v>794.60000000000014</v>
      </c>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c r="IY29" s="11"/>
      <c r="IZ29" s="11"/>
      <c r="JA29" s="11"/>
      <c r="JB29" s="11"/>
      <c r="JC29" s="11"/>
      <c r="JD29" s="11"/>
      <c r="JE29" s="11"/>
      <c r="JF29" s="11"/>
      <c r="JG29" s="11"/>
      <c r="JH29" s="11"/>
      <c r="JI29" s="11"/>
      <c r="JJ29" s="11"/>
      <c r="JK29" s="11"/>
      <c r="JL29" s="11"/>
      <c r="JM29" s="11"/>
      <c r="JN29" s="11"/>
      <c r="JO29" s="11"/>
      <c r="JP29" s="11"/>
      <c r="JQ29" s="11"/>
      <c r="JR29" s="11"/>
      <c r="JS29" s="11"/>
      <c r="JT29" s="11"/>
      <c r="JU29" s="11"/>
      <c r="JV29" s="11"/>
      <c r="JW29" s="11"/>
      <c r="JX29" s="11"/>
      <c r="JY29" s="11"/>
      <c r="JZ29" s="11"/>
      <c r="KA29" s="11"/>
      <c r="KB29" s="11"/>
      <c r="KC29" s="11"/>
      <c r="KD29" s="11"/>
      <c r="KE29" s="11"/>
      <c r="KF29" s="11"/>
      <c r="KG29" s="11"/>
      <c r="KH29" s="11"/>
      <c r="KI29" s="11"/>
      <c r="KJ29" s="11"/>
      <c r="KK29" s="11"/>
      <c r="KL29" s="11"/>
      <c r="KM29" s="11"/>
      <c r="KN29" s="11"/>
      <c r="KO29" s="11"/>
      <c r="KP29" s="11"/>
      <c r="KQ29" s="11"/>
      <c r="KR29" s="11"/>
      <c r="KS29" s="11"/>
      <c r="KT29" s="11"/>
      <c r="KU29" s="11"/>
      <c r="KV29" s="11"/>
      <c r="KW29" s="11"/>
      <c r="KX29" s="11"/>
      <c r="KY29" s="11"/>
      <c r="KZ29" s="11"/>
      <c r="LA29" s="11"/>
      <c r="LB29" s="11"/>
      <c r="LC29" s="11"/>
      <c r="LD29" s="11"/>
      <c r="LE29" s="11"/>
      <c r="LF29" s="11"/>
      <c r="LG29" s="11"/>
      <c r="LH29" s="11"/>
      <c r="LI29" s="11"/>
      <c r="LJ29" s="11"/>
      <c r="LK29" s="11"/>
      <c r="LL29" s="11"/>
      <c r="LM29" s="11"/>
      <c r="LN29" s="11"/>
      <c r="LO29" s="11"/>
      <c r="LP29" s="11"/>
      <c r="LQ29" s="11"/>
      <c r="LR29" s="11"/>
      <c r="LS29" s="11"/>
      <c r="LT29" s="11"/>
      <c r="LU29" s="11"/>
      <c r="LV29" s="11"/>
      <c r="LW29" s="11"/>
      <c r="LX29" s="11"/>
      <c r="LY29" s="11"/>
      <c r="LZ29" s="11"/>
      <c r="MA29" s="11"/>
      <c r="MB29" s="11"/>
      <c r="MC29" s="11"/>
      <c r="MD29" s="11"/>
      <c r="ME29" s="11"/>
      <c r="MF29" s="11"/>
      <c r="MG29" s="11"/>
      <c r="MH29" s="11"/>
      <c r="MI29" s="11"/>
      <c r="MJ29" s="11"/>
      <c r="MK29" s="11"/>
      <c r="ML29" s="11"/>
      <c r="MM29" s="11"/>
      <c r="MN29" s="11"/>
      <c r="MO29" s="11"/>
      <c r="MP29" s="11"/>
      <c r="MQ29" s="11"/>
      <c r="MR29" s="11"/>
      <c r="MS29" s="11"/>
      <c r="MT29" s="11"/>
      <c r="MU29" s="11"/>
      <c r="MV29" s="11"/>
      <c r="MW29" s="11"/>
      <c r="MX29" s="11"/>
      <c r="MY29" s="11"/>
      <c r="MZ29" s="11"/>
      <c r="NA29" s="11"/>
      <c r="NB29" s="11"/>
      <c r="NC29" s="11"/>
      <c r="ND29" s="11"/>
      <c r="NE29" s="11"/>
      <c r="NF29" s="11"/>
      <c r="NG29" s="11"/>
      <c r="NH29" s="11"/>
      <c r="NI29" s="11"/>
      <c r="NJ29" s="11"/>
      <c r="NK29" s="11"/>
      <c r="NL29" s="11"/>
      <c r="NM29" s="11"/>
      <c r="NN29" s="11"/>
      <c r="NO29" s="11"/>
      <c r="NP29" s="11"/>
      <c r="NQ29" s="11"/>
      <c r="NR29" s="11"/>
      <c r="NS29" s="11"/>
      <c r="NT29" s="11"/>
      <c r="NU29" s="11"/>
      <c r="NV29" s="11"/>
      <c r="NW29" s="11"/>
      <c r="NX29" s="11"/>
      <c r="NY29" s="11"/>
      <c r="NZ29" s="11"/>
      <c r="OA29" s="11"/>
      <c r="OB29" s="11"/>
      <c r="OC29" s="11"/>
      <c r="OD29" s="11"/>
      <c r="OE29" s="11"/>
      <c r="OF29" s="11"/>
      <c r="OG29" s="11"/>
      <c r="OH29" s="11"/>
      <c r="OI29" s="11"/>
      <c r="OJ29" s="11"/>
      <c r="OK29" s="11"/>
      <c r="OL29" s="11"/>
      <c r="OM29" s="11"/>
      <c r="ON29" s="11"/>
      <c r="OO29" s="11"/>
      <c r="OP29" s="11"/>
      <c r="OQ29" s="11"/>
      <c r="OR29" s="11"/>
      <c r="OS29" s="11"/>
      <c r="OT29" s="11"/>
      <c r="OU29" s="11"/>
      <c r="OV29" s="11"/>
      <c r="OW29" s="11"/>
      <c r="OX29" s="11"/>
      <c r="OY29" s="11"/>
      <c r="OZ29" s="11"/>
      <c r="PA29" s="11"/>
      <c r="PB29" s="11"/>
      <c r="PC29" s="11"/>
      <c r="PD29" s="11"/>
      <c r="PE29" s="11"/>
      <c r="PF29" s="11"/>
      <c r="PG29" s="11"/>
      <c r="PH29" s="11"/>
      <c r="PI29" s="11"/>
      <c r="PJ29" s="11"/>
      <c r="PK29" s="11"/>
      <c r="PL29" s="11"/>
      <c r="PM29" s="11"/>
      <c r="PN29" s="11"/>
      <c r="PO29" s="11"/>
      <c r="PP29" s="11"/>
      <c r="PQ29" s="11"/>
      <c r="PR29" s="11"/>
      <c r="PS29" s="11"/>
      <c r="PT29" s="11"/>
      <c r="PU29" s="11"/>
      <c r="PV29" s="11"/>
      <c r="PW29" s="11"/>
      <c r="PX29" s="11"/>
      <c r="PY29" s="11"/>
      <c r="PZ29" s="11"/>
      <c r="QA29" s="11"/>
      <c r="QB29" s="11"/>
      <c r="QC29" s="11"/>
      <c r="QD29" s="11"/>
      <c r="QE29" s="11"/>
      <c r="QF29" s="11"/>
      <c r="QG29" s="11"/>
      <c r="QH29" s="11"/>
      <c r="QI29" s="11"/>
      <c r="QJ29" s="11"/>
      <c r="QK29" s="11"/>
      <c r="QL29" s="11"/>
      <c r="QM29" s="11"/>
      <c r="QN29" s="11"/>
      <c r="QO29" s="11"/>
      <c r="QP29" s="11"/>
      <c r="QQ29" s="11"/>
      <c r="QR29" s="11"/>
      <c r="QS29" s="11"/>
      <c r="QT29" s="11"/>
      <c r="QU29" s="11"/>
      <c r="QV29" s="11"/>
      <c r="QW29" s="11"/>
      <c r="QX29" s="11"/>
      <c r="QY29" s="11"/>
      <c r="QZ29" s="11"/>
      <c r="RA29" s="11"/>
      <c r="RB29" s="11"/>
      <c r="RC29" s="11"/>
      <c r="RD29" s="11"/>
      <c r="RE29" s="11"/>
      <c r="RF29" s="11"/>
      <c r="RG29" s="11"/>
      <c r="RH29" s="11"/>
      <c r="RI29" s="11"/>
      <c r="RJ29" s="11"/>
      <c r="RK29" s="11"/>
      <c r="RL29" s="11"/>
      <c r="RM29" s="11"/>
      <c r="RN29" s="11"/>
      <c r="RO29" s="11"/>
      <c r="RP29" s="11"/>
      <c r="RQ29" s="11"/>
      <c r="RR29" s="11"/>
      <c r="RS29" s="11"/>
      <c r="RT29" s="11"/>
      <c r="RU29" s="11"/>
      <c r="RV29" s="11"/>
      <c r="RW29" s="11"/>
      <c r="RX29" s="11"/>
    </row>
    <row r="30" spans="1:492" s="477" customFormat="1" ht="20.100000000000001" customHeight="1">
      <c r="A30" s="489" t="s">
        <v>456</v>
      </c>
      <c r="B30" s="510" t="s">
        <v>457</v>
      </c>
      <c r="C30" s="474"/>
      <c r="D30" s="474"/>
      <c r="E30" s="474"/>
      <c r="F30" s="474"/>
      <c r="G30" s="474"/>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99">
        <v>310.7</v>
      </c>
      <c r="AN30" s="475">
        <v>334.7</v>
      </c>
      <c r="AO30" s="475">
        <v>312.39999999999998</v>
      </c>
      <c r="AP30" s="475">
        <v>257.10000000000014</v>
      </c>
      <c r="AQ30" s="500">
        <f t="shared" ref="AQ30:AQ37" si="43">SUM(AM30:AP30)</f>
        <v>1214.9000000000001</v>
      </c>
      <c r="AR30" s="475"/>
      <c r="AS30" s="475"/>
      <c r="AT30" s="475"/>
      <c r="AU30" s="475"/>
      <c r="AV30" s="470"/>
      <c r="AW30" s="475">
        <v>360.4</v>
      </c>
      <c r="AX30" s="475">
        <v>376.4</v>
      </c>
      <c r="AY30" s="475">
        <v>377.20000000000005</v>
      </c>
      <c r="AZ30" s="475">
        <v>314.40000000000009</v>
      </c>
      <c r="BA30" s="478">
        <f>SUM(AW30:AZ30)</f>
        <v>1428.4</v>
      </c>
      <c r="BB30" s="499">
        <v>330.2</v>
      </c>
      <c r="BC30" s="475">
        <v>290.7</v>
      </c>
      <c r="BD30" s="475">
        <v>388.1</v>
      </c>
      <c r="BE30" s="475">
        <v>342.5</v>
      </c>
      <c r="BF30" s="500">
        <f>SUM(BB30:BE30)</f>
        <v>1351.5</v>
      </c>
      <c r="BG30" s="475">
        <v>435.8</v>
      </c>
      <c r="BH30" s="475">
        <v>535.90000000000009</v>
      </c>
      <c r="BI30" s="475">
        <v>4040.3</v>
      </c>
      <c r="BJ30" s="475">
        <f>5282.8-SUM(BG30:BI30)</f>
        <v>270.80000000000018</v>
      </c>
      <c r="BK30" s="500">
        <f>SUM(BG30:BJ30)</f>
        <v>5282.8</v>
      </c>
      <c r="BL30" s="475">
        <v>252.4</v>
      </c>
      <c r="BM30" s="469">
        <f>565.5-BL30</f>
        <v>313.10000000000002</v>
      </c>
      <c r="BN30" s="475">
        <f>1018-BM30-BL30</f>
        <v>452.5</v>
      </c>
      <c r="BO30" s="475">
        <f>1210.8-BN30-BM30-BL30</f>
        <v>192.79999999999993</v>
      </c>
      <c r="BP30" s="500">
        <f>SUM(BL30:BO30)</f>
        <v>1210.8</v>
      </c>
      <c r="BQ30" s="475">
        <v>244.6</v>
      </c>
      <c r="BR30" s="469">
        <v>209.79999999999998</v>
      </c>
      <c r="BS30" s="475">
        <v>449.5</v>
      </c>
      <c r="BT30" s="475">
        <v>95.7</v>
      </c>
      <c r="BU30" s="819">
        <f>SUM(BQ30:BT30)</f>
        <v>999.6</v>
      </c>
      <c r="BV30" s="475">
        <v>347.4</v>
      </c>
      <c r="BW30" s="475">
        <v>240.60000000000002</v>
      </c>
      <c r="BX30" s="475">
        <v>395.70000000000005</v>
      </c>
      <c r="BY30" s="475">
        <v>166.59999999999991</v>
      </c>
      <c r="BZ30" s="819">
        <f>SUM(BV30:BY30)</f>
        <v>1150.3</v>
      </c>
      <c r="CA30" s="475">
        <v>289.5</v>
      </c>
      <c r="CB30" s="475">
        <v>254.70000000000005</v>
      </c>
      <c r="CC30" s="475"/>
      <c r="CD30" s="475"/>
      <c r="CE30" s="819">
        <f>SUM(CA30:CD30)</f>
        <v>544.20000000000005</v>
      </c>
      <c r="CF30" s="476"/>
      <c r="CG30" s="476"/>
      <c r="CH30" s="476"/>
      <c r="CI30" s="476"/>
      <c r="CJ30" s="476"/>
      <c r="CK30" s="476"/>
      <c r="CL30" s="476"/>
      <c r="CM30" s="476"/>
      <c r="CN30" s="476"/>
      <c r="CO30" s="476"/>
      <c r="CP30" s="476"/>
      <c r="CQ30" s="476"/>
      <c r="CR30" s="476"/>
      <c r="CS30" s="476"/>
      <c r="CT30" s="476"/>
      <c r="CU30" s="476"/>
      <c r="CV30" s="476"/>
      <c r="CW30" s="476"/>
      <c r="CX30" s="476"/>
      <c r="CY30" s="476"/>
      <c r="CZ30" s="476"/>
      <c r="DA30" s="476"/>
      <c r="DB30" s="476"/>
      <c r="DC30" s="476"/>
      <c r="DD30" s="476"/>
      <c r="DE30" s="476"/>
      <c r="DF30" s="476"/>
      <c r="DG30" s="476"/>
      <c r="DH30" s="476"/>
      <c r="DI30" s="476"/>
      <c r="DJ30" s="476"/>
      <c r="DK30" s="476"/>
      <c r="DL30" s="476"/>
      <c r="DM30" s="476"/>
      <c r="DN30" s="476"/>
      <c r="DO30" s="476"/>
      <c r="DP30" s="476"/>
      <c r="DQ30" s="476"/>
      <c r="DR30" s="476"/>
      <c r="DS30" s="476"/>
      <c r="DT30" s="476"/>
      <c r="DU30" s="476"/>
      <c r="DV30" s="476"/>
      <c r="DW30" s="476"/>
      <c r="DX30" s="476"/>
      <c r="DY30" s="476"/>
      <c r="DZ30" s="476"/>
      <c r="EA30" s="476"/>
      <c r="EB30" s="476"/>
      <c r="EC30" s="476"/>
      <c r="ED30" s="476"/>
      <c r="EE30" s="476"/>
      <c r="EF30" s="476"/>
      <c r="EG30" s="476"/>
      <c r="EH30" s="476"/>
      <c r="EI30" s="476"/>
      <c r="EJ30" s="476"/>
      <c r="EK30" s="476"/>
      <c r="EL30" s="476"/>
      <c r="EM30" s="476"/>
      <c r="EN30" s="476"/>
      <c r="EO30" s="476"/>
      <c r="EP30" s="476"/>
      <c r="EQ30" s="476"/>
      <c r="ER30" s="476"/>
      <c r="ES30" s="476"/>
      <c r="ET30" s="476"/>
      <c r="EU30" s="476"/>
      <c r="EV30" s="476"/>
      <c r="EW30" s="476"/>
      <c r="EX30" s="476"/>
      <c r="EY30" s="476"/>
      <c r="EZ30" s="476"/>
      <c r="FA30" s="476"/>
      <c r="FB30" s="476"/>
      <c r="FC30" s="476"/>
      <c r="FD30" s="476"/>
      <c r="FE30" s="476"/>
      <c r="FF30" s="476"/>
      <c r="FG30" s="476"/>
      <c r="FH30" s="476"/>
      <c r="FI30" s="476"/>
      <c r="FJ30" s="476"/>
      <c r="FK30" s="476"/>
      <c r="FL30" s="476"/>
      <c r="FM30" s="476"/>
      <c r="FN30" s="476"/>
      <c r="FO30" s="476"/>
      <c r="FP30" s="476"/>
      <c r="FQ30" s="476"/>
      <c r="FR30" s="476"/>
      <c r="FS30" s="476"/>
      <c r="FT30" s="476"/>
      <c r="FU30" s="476"/>
      <c r="FV30" s="476"/>
      <c r="FW30" s="476"/>
      <c r="FX30" s="476"/>
      <c r="FY30" s="476"/>
      <c r="FZ30" s="476"/>
      <c r="GA30" s="476"/>
      <c r="GB30" s="476"/>
      <c r="GC30" s="476"/>
      <c r="GD30" s="476"/>
      <c r="GE30" s="476"/>
      <c r="GF30" s="476"/>
      <c r="GG30" s="476"/>
      <c r="GH30" s="476"/>
      <c r="GI30" s="476"/>
      <c r="GJ30" s="476"/>
      <c r="GK30" s="476"/>
      <c r="GL30" s="476"/>
      <c r="GM30" s="476"/>
      <c r="GN30" s="476"/>
      <c r="GO30" s="476"/>
      <c r="GP30" s="476"/>
      <c r="GQ30" s="476"/>
      <c r="GR30" s="476"/>
      <c r="GS30" s="476"/>
      <c r="GT30" s="476"/>
      <c r="GU30" s="476"/>
      <c r="GV30" s="476"/>
      <c r="GW30" s="476"/>
      <c r="GX30" s="476"/>
      <c r="GY30" s="476"/>
      <c r="GZ30" s="476"/>
      <c r="HA30" s="476"/>
      <c r="HB30" s="476"/>
      <c r="HC30" s="476"/>
      <c r="HD30" s="476"/>
      <c r="HE30" s="476"/>
      <c r="HF30" s="476"/>
      <c r="HG30" s="476"/>
      <c r="HH30" s="476"/>
      <c r="HI30" s="476"/>
      <c r="HJ30" s="476"/>
      <c r="HK30" s="476"/>
      <c r="HL30" s="476"/>
      <c r="HM30" s="476"/>
      <c r="HN30" s="476"/>
      <c r="HO30" s="476"/>
      <c r="HP30" s="476"/>
      <c r="HQ30" s="476"/>
      <c r="HR30" s="476"/>
      <c r="HS30" s="476"/>
      <c r="HT30" s="476"/>
      <c r="HU30" s="476"/>
      <c r="HV30" s="476"/>
      <c r="HW30" s="476"/>
      <c r="HX30" s="476"/>
      <c r="HY30" s="476"/>
      <c r="HZ30" s="476"/>
      <c r="IA30" s="476"/>
      <c r="IB30" s="476"/>
      <c r="IC30" s="476"/>
      <c r="ID30" s="476"/>
      <c r="IE30" s="476"/>
      <c r="IF30" s="476"/>
      <c r="IG30" s="476"/>
      <c r="IH30" s="476"/>
      <c r="II30" s="476"/>
      <c r="IJ30" s="476"/>
      <c r="IK30" s="476"/>
      <c r="IL30" s="476"/>
      <c r="IM30" s="476"/>
      <c r="IN30" s="476"/>
      <c r="IO30" s="476"/>
      <c r="IP30" s="476"/>
      <c r="IQ30" s="476"/>
      <c r="IR30" s="476"/>
      <c r="IS30" s="476"/>
      <c r="IT30" s="476"/>
      <c r="IU30" s="476"/>
      <c r="IV30" s="476"/>
      <c r="IW30" s="476"/>
      <c r="IX30" s="476"/>
      <c r="IY30" s="476"/>
      <c r="IZ30" s="476"/>
      <c r="JA30" s="476"/>
      <c r="JB30" s="476"/>
      <c r="JC30" s="476"/>
      <c r="JD30" s="476"/>
      <c r="JE30" s="476"/>
      <c r="JF30" s="476"/>
      <c r="JG30" s="476"/>
      <c r="JH30" s="476"/>
      <c r="JI30" s="476"/>
      <c r="JJ30" s="476"/>
      <c r="JK30" s="476"/>
      <c r="JL30" s="476"/>
      <c r="JM30" s="476"/>
      <c r="JN30" s="476"/>
      <c r="JO30" s="476"/>
      <c r="JP30" s="476"/>
      <c r="JQ30" s="476"/>
      <c r="JR30" s="476"/>
      <c r="JS30" s="476"/>
      <c r="JT30" s="476"/>
      <c r="JU30" s="476"/>
      <c r="JV30" s="476"/>
      <c r="JW30" s="476"/>
      <c r="JX30" s="476"/>
      <c r="JY30" s="476"/>
      <c r="JZ30" s="476"/>
      <c r="KA30" s="476"/>
      <c r="KB30" s="476"/>
      <c r="KC30" s="476"/>
      <c r="KD30" s="476"/>
      <c r="KE30" s="476"/>
      <c r="KF30" s="476"/>
      <c r="KG30" s="476"/>
      <c r="KH30" s="476"/>
      <c r="KI30" s="476"/>
      <c r="KJ30" s="476"/>
      <c r="KK30" s="476"/>
      <c r="KL30" s="476"/>
      <c r="KM30" s="476"/>
      <c r="KN30" s="476"/>
      <c r="KO30" s="476"/>
      <c r="KP30" s="476"/>
      <c r="KQ30" s="476"/>
      <c r="KR30" s="476"/>
      <c r="KS30" s="476"/>
      <c r="KT30" s="476"/>
      <c r="KU30" s="476"/>
      <c r="KV30" s="476"/>
      <c r="KW30" s="476"/>
      <c r="KX30" s="476"/>
      <c r="KY30" s="476"/>
      <c r="KZ30" s="476"/>
      <c r="LA30" s="476"/>
      <c r="LB30" s="476"/>
      <c r="LC30" s="476"/>
      <c r="LD30" s="476"/>
      <c r="LE30" s="476"/>
      <c r="LF30" s="476"/>
      <c r="LG30" s="476"/>
      <c r="LH30" s="476"/>
      <c r="LI30" s="476"/>
      <c r="LJ30" s="476"/>
      <c r="LK30" s="476"/>
      <c r="LL30" s="476"/>
      <c r="LM30" s="476"/>
      <c r="LN30" s="476"/>
      <c r="LO30" s="476"/>
      <c r="LP30" s="476"/>
      <c r="LQ30" s="476"/>
      <c r="LR30" s="476"/>
      <c r="LS30" s="476"/>
      <c r="LT30" s="476"/>
      <c r="LU30" s="476"/>
      <c r="LV30" s="476"/>
      <c r="LW30" s="476"/>
      <c r="LX30" s="476"/>
      <c r="LY30" s="476"/>
      <c r="LZ30" s="476"/>
      <c r="MA30" s="476"/>
      <c r="MB30" s="476"/>
      <c r="MC30" s="476"/>
      <c r="MD30" s="476"/>
      <c r="ME30" s="476"/>
      <c r="MF30" s="476"/>
      <c r="MG30" s="476"/>
      <c r="MH30" s="476"/>
      <c r="MI30" s="476"/>
      <c r="MJ30" s="476"/>
      <c r="MK30" s="476"/>
      <c r="ML30" s="476"/>
      <c r="MM30" s="476"/>
      <c r="MN30" s="476"/>
      <c r="MO30" s="476"/>
      <c r="MP30" s="476"/>
      <c r="MQ30" s="476"/>
      <c r="MR30" s="476"/>
      <c r="MS30" s="476"/>
      <c r="MT30" s="476"/>
      <c r="MU30" s="476"/>
      <c r="MV30" s="476"/>
      <c r="MW30" s="476"/>
      <c r="MX30" s="476"/>
      <c r="MY30" s="476"/>
      <c r="MZ30" s="476"/>
      <c r="NA30" s="476"/>
      <c r="NB30" s="476"/>
      <c r="NC30" s="476"/>
      <c r="ND30" s="476"/>
      <c r="NE30" s="476"/>
      <c r="NF30" s="476"/>
      <c r="NG30" s="476"/>
      <c r="NH30" s="476"/>
      <c r="NI30" s="476"/>
      <c r="NJ30" s="476"/>
      <c r="NK30" s="476"/>
      <c r="NL30" s="476"/>
      <c r="NM30" s="476"/>
      <c r="NN30" s="476"/>
      <c r="NO30" s="476"/>
      <c r="NP30" s="476"/>
      <c r="NQ30" s="476"/>
      <c r="NR30" s="476"/>
      <c r="NS30" s="476"/>
      <c r="NT30" s="476"/>
      <c r="NU30" s="476"/>
      <c r="NV30" s="476"/>
      <c r="NW30" s="476"/>
      <c r="NX30" s="476"/>
      <c r="NY30" s="476"/>
      <c r="NZ30" s="476"/>
      <c r="OA30" s="476"/>
      <c r="OB30" s="476"/>
      <c r="OC30" s="476"/>
      <c r="OD30" s="476"/>
      <c r="OE30" s="476"/>
      <c r="OF30" s="476"/>
      <c r="OG30" s="476"/>
      <c r="OH30" s="476"/>
      <c r="OI30" s="476"/>
      <c r="OJ30" s="476"/>
      <c r="OK30" s="476"/>
      <c r="OL30" s="476"/>
      <c r="OM30" s="476"/>
      <c r="ON30" s="476"/>
      <c r="OO30" s="476"/>
      <c r="OP30" s="476"/>
      <c r="OQ30" s="476"/>
      <c r="OR30" s="476"/>
      <c r="OS30" s="476"/>
      <c r="OT30" s="476"/>
      <c r="OU30" s="476"/>
      <c r="OV30" s="476"/>
      <c r="OW30" s="476"/>
      <c r="OX30" s="476"/>
      <c r="OY30" s="476"/>
      <c r="OZ30" s="476"/>
      <c r="PA30" s="476"/>
      <c r="PB30" s="476"/>
      <c r="PC30" s="476"/>
      <c r="PD30" s="476"/>
      <c r="PE30" s="476"/>
      <c r="PF30" s="476"/>
      <c r="PG30" s="476"/>
      <c r="PH30" s="476"/>
      <c r="PI30" s="476"/>
      <c r="PJ30" s="476"/>
      <c r="PK30" s="476"/>
      <c r="PL30" s="476"/>
      <c r="PM30" s="476"/>
      <c r="PN30" s="476"/>
      <c r="PO30" s="476"/>
      <c r="PP30" s="476"/>
      <c r="PQ30" s="476"/>
      <c r="PR30" s="476"/>
      <c r="PS30" s="476"/>
      <c r="PT30" s="476"/>
      <c r="PU30" s="476"/>
      <c r="PV30" s="476"/>
      <c r="PW30" s="476"/>
      <c r="PX30" s="476"/>
      <c r="PY30" s="476"/>
      <c r="PZ30" s="476"/>
      <c r="QA30" s="476"/>
      <c r="QB30" s="476"/>
      <c r="QC30" s="476"/>
      <c r="QD30" s="476"/>
      <c r="QE30" s="476"/>
      <c r="QF30" s="476"/>
      <c r="QG30" s="476"/>
      <c r="QH30" s="476"/>
      <c r="QI30" s="476"/>
      <c r="QJ30" s="476"/>
      <c r="QK30" s="476"/>
      <c r="QL30" s="476"/>
      <c r="QM30" s="476"/>
      <c r="QN30" s="476"/>
      <c r="QO30" s="476"/>
      <c r="QP30" s="476"/>
      <c r="QQ30" s="476"/>
      <c r="QR30" s="476"/>
      <c r="QS30" s="476"/>
      <c r="QT30" s="476"/>
      <c r="QU30" s="476"/>
      <c r="QV30" s="476"/>
      <c r="QW30" s="476"/>
      <c r="QX30" s="476"/>
      <c r="QY30" s="476"/>
      <c r="QZ30" s="476"/>
      <c r="RA30" s="476"/>
      <c r="RB30" s="476"/>
      <c r="RC30" s="476"/>
      <c r="RD30" s="476"/>
      <c r="RE30" s="476"/>
      <c r="RF30" s="476"/>
      <c r="RG30" s="476"/>
      <c r="RH30" s="476"/>
      <c r="RI30" s="476"/>
      <c r="RJ30" s="476"/>
      <c r="RK30" s="476"/>
      <c r="RL30" s="476"/>
      <c r="RM30" s="476"/>
      <c r="RN30" s="476"/>
      <c r="RO30" s="476"/>
      <c r="RP30" s="476"/>
      <c r="RQ30" s="476"/>
      <c r="RR30" s="476"/>
      <c r="RS30" s="476"/>
      <c r="RT30" s="476"/>
      <c r="RU30" s="476"/>
      <c r="RV30" s="476"/>
      <c r="RW30" s="476"/>
      <c r="RX30" s="476"/>
    </row>
    <row r="31" spans="1:492" s="477" customFormat="1" ht="20.100000000000001" customHeight="1">
      <c r="A31" s="489" t="s">
        <v>458</v>
      </c>
      <c r="B31" s="510" t="s">
        <v>459</v>
      </c>
      <c r="C31" s="474"/>
      <c r="D31" s="474"/>
      <c r="E31" s="474"/>
      <c r="F31" s="474"/>
      <c r="G31" s="474"/>
      <c r="H31" s="474"/>
      <c r="I31" s="474"/>
      <c r="J31" s="474"/>
      <c r="K31" s="474"/>
      <c r="L31" s="474"/>
      <c r="M31" s="474"/>
      <c r="N31" s="474"/>
      <c r="O31" s="474"/>
      <c r="P31" s="474"/>
      <c r="Q31" s="474"/>
      <c r="R31" s="474"/>
      <c r="S31" s="474"/>
      <c r="T31" s="474"/>
      <c r="U31" s="474"/>
      <c r="V31" s="474"/>
      <c r="W31" s="474"/>
      <c r="X31" s="474"/>
      <c r="Y31" s="474"/>
      <c r="Z31" s="474"/>
      <c r="AA31" s="474"/>
      <c r="AB31" s="474"/>
      <c r="AC31" s="474"/>
      <c r="AD31" s="474"/>
      <c r="AE31" s="474"/>
      <c r="AF31" s="474"/>
      <c r="AG31" s="474"/>
      <c r="AH31" s="474"/>
      <c r="AI31" s="474"/>
      <c r="AJ31" s="474"/>
      <c r="AK31" s="474"/>
      <c r="AL31" s="474"/>
      <c r="AM31" s="499">
        <v>124.8</v>
      </c>
      <c r="AN31" s="475">
        <v>140.89999999999998</v>
      </c>
      <c r="AO31" s="475">
        <v>84.100000000000023</v>
      </c>
      <c r="AP31" s="475">
        <v>162.30000000000001</v>
      </c>
      <c r="AQ31" s="500">
        <f t="shared" si="43"/>
        <v>512.1</v>
      </c>
      <c r="AR31" s="475"/>
      <c r="AS31" s="475"/>
      <c r="AT31" s="475"/>
      <c r="AU31" s="475"/>
      <c r="AV31" s="470"/>
      <c r="AW31" s="475">
        <v>130.80000000000001</v>
      </c>
      <c r="AX31" s="475">
        <v>146.09999999999997</v>
      </c>
      <c r="AY31" s="475">
        <v>81.800000000000011</v>
      </c>
      <c r="AZ31" s="475">
        <v>179.90000000000003</v>
      </c>
      <c r="BA31" s="478">
        <f>SUM(AW31:AZ31)</f>
        <v>538.6</v>
      </c>
      <c r="BB31" s="499">
        <v>132</v>
      </c>
      <c r="BC31" s="475">
        <v>103.4</v>
      </c>
      <c r="BD31" s="475">
        <v>117.79999999999998</v>
      </c>
      <c r="BE31" s="475">
        <v>181.50000000000006</v>
      </c>
      <c r="BF31" s="500">
        <f>SUM(BB31:BE31)</f>
        <v>534.70000000000005</v>
      </c>
      <c r="BG31" s="475">
        <v>125.7</v>
      </c>
      <c r="BH31" s="475">
        <v>147.80000000000001</v>
      </c>
      <c r="BI31" s="475">
        <v>91.100000000000009</v>
      </c>
      <c r="BJ31" s="475">
        <f>513.6-SUM(BG31:BI31)</f>
        <v>149</v>
      </c>
      <c r="BK31" s="500">
        <f>SUM(BG31:BJ31)</f>
        <v>513.6</v>
      </c>
      <c r="BL31" s="475">
        <v>67.900000000000006</v>
      </c>
      <c r="BM31" s="469">
        <f>182.7-BL31</f>
        <v>114.79999999999998</v>
      </c>
      <c r="BN31" s="475">
        <f>232.4-BM31-BL31</f>
        <v>49.700000000000017</v>
      </c>
      <c r="BO31" s="475">
        <f>395.2-BN31-BM31-BL31</f>
        <v>162.80000000000001</v>
      </c>
      <c r="BP31" s="500">
        <f>SUM(BL31:BO31)</f>
        <v>395.20000000000005</v>
      </c>
      <c r="BQ31" s="475">
        <v>53.9</v>
      </c>
      <c r="BR31" s="469">
        <v>118.5</v>
      </c>
      <c r="BS31" s="475">
        <v>43.500000000000007</v>
      </c>
      <c r="BT31" s="475">
        <v>100.8</v>
      </c>
      <c r="BU31" s="819">
        <f>SUM(BQ31:BT31)</f>
        <v>316.7</v>
      </c>
      <c r="BV31" s="475">
        <v>72.599999999999994</v>
      </c>
      <c r="BW31" s="475">
        <v>106.20000000000002</v>
      </c>
      <c r="BX31" s="475">
        <v>105.89999999999998</v>
      </c>
      <c r="BY31" s="475">
        <v>57.900000000000034</v>
      </c>
      <c r="BZ31" s="819">
        <f>SUM(BV31:BY31)</f>
        <v>342.6</v>
      </c>
      <c r="CA31" s="475">
        <v>85.9</v>
      </c>
      <c r="CB31" s="475">
        <v>103.29999999999998</v>
      </c>
      <c r="CC31" s="475"/>
      <c r="CD31" s="475"/>
      <c r="CE31" s="819">
        <f>SUM(CA31:CD31)</f>
        <v>189.2</v>
      </c>
      <c r="CF31" s="476"/>
      <c r="CG31" s="476"/>
      <c r="CH31" s="476"/>
      <c r="CI31" s="476"/>
      <c r="CJ31" s="476"/>
      <c r="CK31" s="476"/>
      <c r="CL31" s="476"/>
      <c r="CM31" s="476"/>
      <c r="CN31" s="476"/>
      <c r="CO31" s="476"/>
      <c r="CP31" s="476"/>
      <c r="CQ31" s="476"/>
      <c r="CR31" s="476"/>
      <c r="CS31" s="476"/>
      <c r="CT31" s="476"/>
      <c r="CU31" s="476"/>
      <c r="CV31" s="476"/>
      <c r="CW31" s="476"/>
      <c r="CX31" s="476"/>
      <c r="CY31" s="476"/>
      <c r="CZ31" s="476"/>
      <c r="DA31" s="476"/>
      <c r="DB31" s="476"/>
      <c r="DC31" s="476"/>
      <c r="DD31" s="476"/>
      <c r="DE31" s="476"/>
      <c r="DF31" s="476"/>
      <c r="DG31" s="476"/>
      <c r="DH31" s="476"/>
      <c r="DI31" s="476"/>
      <c r="DJ31" s="476"/>
      <c r="DK31" s="476"/>
      <c r="DL31" s="476"/>
      <c r="DM31" s="476"/>
      <c r="DN31" s="476"/>
      <c r="DO31" s="476"/>
      <c r="DP31" s="476"/>
      <c r="DQ31" s="476"/>
      <c r="DR31" s="476"/>
      <c r="DS31" s="476"/>
      <c r="DT31" s="476"/>
      <c r="DU31" s="476"/>
      <c r="DV31" s="476"/>
      <c r="DW31" s="476"/>
      <c r="DX31" s="476"/>
      <c r="DY31" s="476"/>
      <c r="DZ31" s="476"/>
      <c r="EA31" s="476"/>
      <c r="EB31" s="476"/>
      <c r="EC31" s="476"/>
      <c r="ED31" s="476"/>
      <c r="EE31" s="476"/>
      <c r="EF31" s="476"/>
      <c r="EG31" s="476"/>
      <c r="EH31" s="476"/>
      <c r="EI31" s="476"/>
      <c r="EJ31" s="476"/>
      <c r="EK31" s="476"/>
      <c r="EL31" s="476"/>
      <c r="EM31" s="476"/>
      <c r="EN31" s="476"/>
      <c r="EO31" s="476"/>
      <c r="EP31" s="476"/>
      <c r="EQ31" s="476"/>
      <c r="ER31" s="476"/>
      <c r="ES31" s="476"/>
      <c r="ET31" s="476"/>
      <c r="EU31" s="476"/>
      <c r="EV31" s="476"/>
      <c r="EW31" s="476"/>
      <c r="EX31" s="476"/>
      <c r="EY31" s="476"/>
      <c r="EZ31" s="476"/>
      <c r="FA31" s="476"/>
      <c r="FB31" s="476"/>
      <c r="FC31" s="476"/>
      <c r="FD31" s="476"/>
      <c r="FE31" s="476"/>
      <c r="FF31" s="476"/>
      <c r="FG31" s="476"/>
      <c r="FH31" s="476"/>
      <c r="FI31" s="476"/>
      <c r="FJ31" s="476"/>
      <c r="FK31" s="476"/>
      <c r="FL31" s="476"/>
      <c r="FM31" s="476"/>
      <c r="FN31" s="476"/>
      <c r="FO31" s="476"/>
      <c r="FP31" s="476"/>
      <c r="FQ31" s="476"/>
      <c r="FR31" s="476"/>
      <c r="FS31" s="476"/>
      <c r="FT31" s="476"/>
      <c r="FU31" s="476"/>
      <c r="FV31" s="476"/>
      <c r="FW31" s="476"/>
      <c r="FX31" s="476"/>
      <c r="FY31" s="476"/>
      <c r="FZ31" s="476"/>
      <c r="GA31" s="476"/>
      <c r="GB31" s="476"/>
      <c r="GC31" s="476"/>
      <c r="GD31" s="476"/>
      <c r="GE31" s="476"/>
      <c r="GF31" s="476"/>
      <c r="GG31" s="476"/>
      <c r="GH31" s="476"/>
      <c r="GI31" s="476"/>
      <c r="GJ31" s="476"/>
      <c r="GK31" s="476"/>
      <c r="GL31" s="476"/>
      <c r="GM31" s="476"/>
      <c r="GN31" s="476"/>
      <c r="GO31" s="476"/>
      <c r="GP31" s="476"/>
      <c r="GQ31" s="476"/>
      <c r="GR31" s="476"/>
      <c r="GS31" s="476"/>
      <c r="GT31" s="476"/>
      <c r="GU31" s="476"/>
      <c r="GV31" s="476"/>
      <c r="GW31" s="476"/>
      <c r="GX31" s="476"/>
      <c r="GY31" s="476"/>
      <c r="GZ31" s="476"/>
      <c r="HA31" s="476"/>
      <c r="HB31" s="476"/>
      <c r="HC31" s="476"/>
      <c r="HD31" s="476"/>
      <c r="HE31" s="476"/>
      <c r="HF31" s="476"/>
      <c r="HG31" s="476"/>
      <c r="HH31" s="476"/>
      <c r="HI31" s="476"/>
      <c r="HJ31" s="476"/>
      <c r="HK31" s="476"/>
      <c r="HL31" s="476"/>
      <c r="HM31" s="476"/>
      <c r="HN31" s="476"/>
      <c r="HO31" s="476"/>
      <c r="HP31" s="476"/>
      <c r="HQ31" s="476"/>
      <c r="HR31" s="476"/>
      <c r="HS31" s="476"/>
      <c r="HT31" s="476"/>
      <c r="HU31" s="476"/>
      <c r="HV31" s="476"/>
      <c r="HW31" s="476"/>
      <c r="HX31" s="476"/>
      <c r="HY31" s="476"/>
      <c r="HZ31" s="476"/>
      <c r="IA31" s="476"/>
      <c r="IB31" s="476"/>
      <c r="IC31" s="476"/>
      <c r="ID31" s="476"/>
      <c r="IE31" s="476"/>
      <c r="IF31" s="476"/>
      <c r="IG31" s="476"/>
      <c r="IH31" s="476"/>
      <c r="II31" s="476"/>
      <c r="IJ31" s="476"/>
      <c r="IK31" s="476"/>
      <c r="IL31" s="476"/>
      <c r="IM31" s="476"/>
      <c r="IN31" s="476"/>
      <c r="IO31" s="476"/>
      <c r="IP31" s="476"/>
      <c r="IQ31" s="476"/>
      <c r="IR31" s="476"/>
      <c r="IS31" s="476"/>
      <c r="IT31" s="476"/>
      <c r="IU31" s="476"/>
      <c r="IV31" s="476"/>
      <c r="IW31" s="476"/>
      <c r="IX31" s="476"/>
      <c r="IY31" s="476"/>
      <c r="IZ31" s="476"/>
      <c r="JA31" s="476"/>
      <c r="JB31" s="476"/>
      <c r="JC31" s="476"/>
      <c r="JD31" s="476"/>
      <c r="JE31" s="476"/>
      <c r="JF31" s="476"/>
      <c r="JG31" s="476"/>
      <c r="JH31" s="476"/>
      <c r="JI31" s="476"/>
      <c r="JJ31" s="476"/>
      <c r="JK31" s="476"/>
      <c r="JL31" s="476"/>
      <c r="JM31" s="476"/>
      <c r="JN31" s="476"/>
      <c r="JO31" s="476"/>
      <c r="JP31" s="476"/>
      <c r="JQ31" s="476"/>
      <c r="JR31" s="476"/>
      <c r="JS31" s="476"/>
      <c r="JT31" s="476"/>
      <c r="JU31" s="476"/>
      <c r="JV31" s="476"/>
      <c r="JW31" s="476"/>
      <c r="JX31" s="476"/>
      <c r="JY31" s="476"/>
      <c r="JZ31" s="476"/>
      <c r="KA31" s="476"/>
      <c r="KB31" s="476"/>
      <c r="KC31" s="476"/>
      <c r="KD31" s="476"/>
      <c r="KE31" s="476"/>
      <c r="KF31" s="476"/>
      <c r="KG31" s="476"/>
      <c r="KH31" s="476"/>
      <c r="KI31" s="476"/>
      <c r="KJ31" s="476"/>
      <c r="KK31" s="476"/>
      <c r="KL31" s="476"/>
      <c r="KM31" s="476"/>
      <c r="KN31" s="476"/>
      <c r="KO31" s="476"/>
      <c r="KP31" s="476"/>
      <c r="KQ31" s="476"/>
      <c r="KR31" s="476"/>
      <c r="KS31" s="476"/>
      <c r="KT31" s="476"/>
      <c r="KU31" s="476"/>
      <c r="KV31" s="476"/>
      <c r="KW31" s="476"/>
      <c r="KX31" s="476"/>
      <c r="KY31" s="476"/>
      <c r="KZ31" s="476"/>
      <c r="LA31" s="476"/>
      <c r="LB31" s="476"/>
      <c r="LC31" s="476"/>
      <c r="LD31" s="476"/>
      <c r="LE31" s="476"/>
      <c r="LF31" s="476"/>
      <c r="LG31" s="476"/>
      <c r="LH31" s="476"/>
      <c r="LI31" s="476"/>
      <c r="LJ31" s="476"/>
      <c r="LK31" s="476"/>
      <c r="LL31" s="476"/>
      <c r="LM31" s="476"/>
      <c r="LN31" s="476"/>
      <c r="LO31" s="476"/>
      <c r="LP31" s="476"/>
      <c r="LQ31" s="476"/>
      <c r="LR31" s="476"/>
      <c r="LS31" s="476"/>
      <c r="LT31" s="476"/>
      <c r="LU31" s="476"/>
      <c r="LV31" s="476"/>
      <c r="LW31" s="476"/>
      <c r="LX31" s="476"/>
      <c r="LY31" s="476"/>
      <c r="LZ31" s="476"/>
      <c r="MA31" s="476"/>
      <c r="MB31" s="476"/>
      <c r="MC31" s="476"/>
      <c r="MD31" s="476"/>
      <c r="ME31" s="476"/>
      <c r="MF31" s="476"/>
      <c r="MG31" s="476"/>
      <c r="MH31" s="476"/>
      <c r="MI31" s="476"/>
      <c r="MJ31" s="476"/>
      <c r="MK31" s="476"/>
      <c r="ML31" s="476"/>
      <c r="MM31" s="476"/>
      <c r="MN31" s="476"/>
      <c r="MO31" s="476"/>
      <c r="MP31" s="476"/>
      <c r="MQ31" s="476"/>
      <c r="MR31" s="476"/>
      <c r="MS31" s="476"/>
      <c r="MT31" s="476"/>
      <c r="MU31" s="476"/>
      <c r="MV31" s="476"/>
      <c r="MW31" s="476"/>
      <c r="MX31" s="476"/>
      <c r="MY31" s="476"/>
      <c r="MZ31" s="476"/>
      <c r="NA31" s="476"/>
      <c r="NB31" s="476"/>
      <c r="NC31" s="476"/>
      <c r="ND31" s="476"/>
      <c r="NE31" s="476"/>
      <c r="NF31" s="476"/>
      <c r="NG31" s="476"/>
      <c r="NH31" s="476"/>
      <c r="NI31" s="476"/>
      <c r="NJ31" s="476"/>
      <c r="NK31" s="476"/>
      <c r="NL31" s="476"/>
      <c r="NM31" s="476"/>
      <c r="NN31" s="476"/>
      <c r="NO31" s="476"/>
      <c r="NP31" s="476"/>
      <c r="NQ31" s="476"/>
      <c r="NR31" s="476"/>
      <c r="NS31" s="476"/>
      <c r="NT31" s="476"/>
      <c r="NU31" s="476"/>
      <c r="NV31" s="476"/>
      <c r="NW31" s="476"/>
      <c r="NX31" s="476"/>
      <c r="NY31" s="476"/>
      <c r="NZ31" s="476"/>
      <c r="OA31" s="476"/>
      <c r="OB31" s="476"/>
      <c r="OC31" s="476"/>
      <c r="OD31" s="476"/>
      <c r="OE31" s="476"/>
      <c r="OF31" s="476"/>
      <c r="OG31" s="476"/>
      <c r="OH31" s="476"/>
      <c r="OI31" s="476"/>
      <c r="OJ31" s="476"/>
      <c r="OK31" s="476"/>
      <c r="OL31" s="476"/>
      <c r="OM31" s="476"/>
      <c r="ON31" s="476"/>
      <c r="OO31" s="476"/>
      <c r="OP31" s="476"/>
      <c r="OQ31" s="476"/>
      <c r="OR31" s="476"/>
      <c r="OS31" s="476"/>
      <c r="OT31" s="476"/>
      <c r="OU31" s="476"/>
      <c r="OV31" s="476"/>
      <c r="OW31" s="476"/>
      <c r="OX31" s="476"/>
      <c r="OY31" s="476"/>
      <c r="OZ31" s="476"/>
      <c r="PA31" s="476"/>
      <c r="PB31" s="476"/>
      <c r="PC31" s="476"/>
      <c r="PD31" s="476"/>
      <c r="PE31" s="476"/>
      <c r="PF31" s="476"/>
      <c r="PG31" s="476"/>
      <c r="PH31" s="476"/>
      <c r="PI31" s="476"/>
      <c r="PJ31" s="476"/>
      <c r="PK31" s="476"/>
      <c r="PL31" s="476"/>
      <c r="PM31" s="476"/>
      <c r="PN31" s="476"/>
      <c r="PO31" s="476"/>
      <c r="PP31" s="476"/>
      <c r="PQ31" s="476"/>
      <c r="PR31" s="476"/>
      <c r="PS31" s="476"/>
      <c r="PT31" s="476"/>
      <c r="PU31" s="476"/>
      <c r="PV31" s="476"/>
      <c r="PW31" s="476"/>
      <c r="PX31" s="476"/>
      <c r="PY31" s="476"/>
      <c r="PZ31" s="476"/>
      <c r="QA31" s="476"/>
      <c r="QB31" s="476"/>
      <c r="QC31" s="476"/>
      <c r="QD31" s="476"/>
      <c r="QE31" s="476"/>
      <c r="QF31" s="476"/>
      <c r="QG31" s="476"/>
      <c r="QH31" s="476"/>
      <c r="QI31" s="476"/>
      <c r="QJ31" s="476"/>
      <c r="QK31" s="476"/>
      <c r="QL31" s="476"/>
      <c r="QM31" s="476"/>
      <c r="QN31" s="476"/>
      <c r="QO31" s="476"/>
      <c r="QP31" s="476"/>
      <c r="QQ31" s="476"/>
      <c r="QR31" s="476"/>
      <c r="QS31" s="476"/>
      <c r="QT31" s="476"/>
      <c r="QU31" s="476"/>
      <c r="QV31" s="476"/>
      <c r="QW31" s="476"/>
      <c r="QX31" s="476"/>
      <c r="QY31" s="476"/>
      <c r="QZ31" s="476"/>
      <c r="RA31" s="476"/>
      <c r="RB31" s="476"/>
      <c r="RC31" s="476"/>
      <c r="RD31" s="476"/>
      <c r="RE31" s="476"/>
      <c r="RF31" s="476"/>
      <c r="RG31" s="476"/>
      <c r="RH31" s="476"/>
      <c r="RI31" s="476"/>
      <c r="RJ31" s="476"/>
      <c r="RK31" s="476"/>
      <c r="RL31" s="476"/>
      <c r="RM31" s="476"/>
      <c r="RN31" s="476"/>
      <c r="RO31" s="476"/>
      <c r="RP31" s="476"/>
      <c r="RQ31" s="476"/>
      <c r="RR31" s="476"/>
      <c r="RS31" s="476"/>
      <c r="RT31" s="476"/>
      <c r="RU31" s="476"/>
      <c r="RV31" s="476"/>
      <c r="RW31" s="476"/>
      <c r="RX31" s="476"/>
    </row>
    <row r="32" spans="1:492" s="477" customFormat="1" ht="20.100000000000001" customHeight="1">
      <c r="A32" s="489" t="s">
        <v>468</v>
      </c>
      <c r="B32" s="510" t="s">
        <v>461</v>
      </c>
      <c r="C32" s="474"/>
      <c r="D32" s="474"/>
      <c r="E32" s="474"/>
      <c r="F32" s="474"/>
      <c r="G32" s="474"/>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99"/>
      <c r="AN32" s="475"/>
      <c r="AO32" s="475"/>
      <c r="AP32" s="475"/>
      <c r="AQ32" s="500"/>
      <c r="AR32" s="475"/>
      <c r="AS32" s="475"/>
      <c r="AT32" s="475"/>
      <c r="AU32" s="475"/>
      <c r="AV32" s="470"/>
      <c r="AW32" s="475"/>
      <c r="AX32" s="475"/>
      <c r="AY32" s="475"/>
      <c r="AZ32" s="475"/>
      <c r="BA32" s="478"/>
      <c r="BB32" s="499"/>
      <c r="BC32" s="475"/>
      <c r="BD32" s="475"/>
      <c r="BE32" s="475"/>
      <c r="BF32" s="500"/>
      <c r="BG32" s="475"/>
      <c r="BH32" s="475"/>
      <c r="BI32" s="475"/>
      <c r="BJ32" s="475"/>
      <c r="BK32" s="500"/>
      <c r="BL32" s="475"/>
      <c r="BM32" s="469">
        <v>0.1</v>
      </c>
      <c r="BN32" s="475">
        <f>4.5-BM32-BL32</f>
        <v>4.4000000000000004</v>
      </c>
      <c r="BO32" s="475">
        <f>41.3-BN32-BM32</f>
        <v>36.799999999999997</v>
      </c>
      <c r="BP32" s="500">
        <f t="shared" ref="BP32:BP34" si="44">SUM(BL32:BO32)</f>
        <v>41.3</v>
      </c>
      <c r="BQ32" s="475">
        <v>1.7</v>
      </c>
      <c r="BR32" s="469">
        <v>0.7</v>
      </c>
      <c r="BS32" s="475">
        <v>3.5</v>
      </c>
      <c r="BT32" s="669">
        <v>-1.4</v>
      </c>
      <c r="BU32" s="819">
        <f t="shared" ref="BU32:BU34" si="45">SUM(BQ32:BT32)</f>
        <v>4.5</v>
      </c>
      <c r="BV32" s="475">
        <v>2.4</v>
      </c>
      <c r="BW32" s="669">
        <v>-2.1999999999999997</v>
      </c>
      <c r="BX32" s="475">
        <v>7.1</v>
      </c>
      <c r="BY32" s="475">
        <v>74</v>
      </c>
      <c r="BZ32" s="819">
        <f t="shared" ref="BZ32:BZ34" si="46">SUM(BV32:BY32)</f>
        <v>81.3</v>
      </c>
      <c r="CA32" s="475">
        <v>15.5</v>
      </c>
      <c r="CB32" s="964">
        <v>-1</v>
      </c>
      <c r="CC32" s="475"/>
      <c r="CD32" s="475"/>
      <c r="CE32" s="819">
        <f t="shared" ref="CE32:CE34" si="47">SUM(CA32:CD32)</f>
        <v>14.5</v>
      </c>
      <c r="CF32" s="476"/>
      <c r="CG32" s="476"/>
      <c r="CH32" s="476"/>
      <c r="CI32" s="476"/>
      <c r="CJ32" s="476"/>
      <c r="CK32" s="476"/>
      <c r="CL32" s="476"/>
      <c r="CM32" s="476"/>
      <c r="CN32" s="476"/>
      <c r="CO32" s="476"/>
      <c r="CP32" s="476"/>
      <c r="CQ32" s="476"/>
      <c r="CR32" s="476"/>
      <c r="CS32" s="476"/>
      <c r="CT32" s="476"/>
      <c r="CU32" s="476"/>
      <c r="CV32" s="476"/>
      <c r="CW32" s="476"/>
      <c r="CX32" s="476"/>
      <c r="CY32" s="476"/>
      <c r="CZ32" s="476"/>
      <c r="DA32" s="476"/>
      <c r="DB32" s="476"/>
      <c r="DC32" s="476"/>
      <c r="DD32" s="476"/>
      <c r="DE32" s="476"/>
      <c r="DF32" s="476"/>
      <c r="DG32" s="476"/>
      <c r="DH32" s="476"/>
      <c r="DI32" s="476"/>
      <c r="DJ32" s="476"/>
      <c r="DK32" s="476"/>
      <c r="DL32" s="476"/>
      <c r="DM32" s="476"/>
      <c r="DN32" s="476"/>
      <c r="DO32" s="476"/>
      <c r="DP32" s="476"/>
      <c r="DQ32" s="476"/>
      <c r="DR32" s="476"/>
      <c r="DS32" s="476"/>
      <c r="DT32" s="476"/>
      <c r="DU32" s="476"/>
      <c r="DV32" s="476"/>
      <c r="DW32" s="476"/>
      <c r="DX32" s="476"/>
      <c r="DY32" s="476"/>
      <c r="DZ32" s="476"/>
      <c r="EA32" s="476"/>
      <c r="EB32" s="476"/>
      <c r="EC32" s="476"/>
      <c r="ED32" s="476"/>
      <c r="EE32" s="476"/>
      <c r="EF32" s="476"/>
      <c r="EG32" s="476"/>
      <c r="EH32" s="476"/>
      <c r="EI32" s="476"/>
      <c r="EJ32" s="476"/>
      <c r="EK32" s="476"/>
      <c r="EL32" s="476"/>
      <c r="EM32" s="476"/>
      <c r="EN32" s="476"/>
      <c r="EO32" s="476"/>
      <c r="EP32" s="476"/>
      <c r="EQ32" s="476"/>
      <c r="ER32" s="476"/>
      <c r="ES32" s="476"/>
      <c r="ET32" s="476"/>
      <c r="EU32" s="476"/>
      <c r="EV32" s="476"/>
      <c r="EW32" s="476"/>
      <c r="EX32" s="476"/>
      <c r="EY32" s="476"/>
      <c r="EZ32" s="476"/>
      <c r="FA32" s="476"/>
      <c r="FB32" s="476"/>
      <c r="FC32" s="476"/>
      <c r="FD32" s="476"/>
      <c r="FE32" s="476"/>
      <c r="FF32" s="476"/>
      <c r="FG32" s="476"/>
      <c r="FH32" s="476"/>
      <c r="FI32" s="476"/>
      <c r="FJ32" s="476"/>
      <c r="FK32" s="476"/>
      <c r="FL32" s="476"/>
      <c r="FM32" s="476"/>
      <c r="FN32" s="476"/>
      <c r="FO32" s="476"/>
      <c r="FP32" s="476"/>
      <c r="FQ32" s="476"/>
      <c r="FR32" s="476"/>
      <c r="FS32" s="476"/>
      <c r="FT32" s="476"/>
      <c r="FU32" s="476"/>
      <c r="FV32" s="476"/>
      <c r="FW32" s="476"/>
      <c r="FX32" s="476"/>
      <c r="FY32" s="476"/>
      <c r="FZ32" s="476"/>
      <c r="GA32" s="476"/>
      <c r="GB32" s="476"/>
      <c r="GC32" s="476"/>
      <c r="GD32" s="476"/>
      <c r="GE32" s="476"/>
      <c r="GF32" s="476"/>
      <c r="GG32" s="476"/>
      <c r="GH32" s="476"/>
      <c r="GI32" s="476"/>
      <c r="GJ32" s="476"/>
      <c r="GK32" s="476"/>
      <c r="GL32" s="476"/>
      <c r="GM32" s="476"/>
      <c r="GN32" s="476"/>
      <c r="GO32" s="476"/>
      <c r="GP32" s="476"/>
      <c r="GQ32" s="476"/>
      <c r="GR32" s="476"/>
      <c r="GS32" s="476"/>
      <c r="GT32" s="476"/>
      <c r="GU32" s="476"/>
      <c r="GV32" s="476"/>
      <c r="GW32" s="476"/>
      <c r="GX32" s="476"/>
      <c r="GY32" s="476"/>
      <c r="GZ32" s="476"/>
      <c r="HA32" s="476"/>
      <c r="HB32" s="476"/>
      <c r="HC32" s="476"/>
      <c r="HD32" s="476"/>
      <c r="HE32" s="476"/>
      <c r="HF32" s="476"/>
      <c r="HG32" s="476"/>
      <c r="HH32" s="476"/>
      <c r="HI32" s="476"/>
      <c r="HJ32" s="476"/>
      <c r="HK32" s="476"/>
      <c r="HL32" s="476"/>
      <c r="HM32" s="476"/>
      <c r="HN32" s="476"/>
      <c r="HO32" s="476"/>
      <c r="HP32" s="476"/>
      <c r="HQ32" s="476"/>
      <c r="HR32" s="476"/>
      <c r="HS32" s="476"/>
      <c r="HT32" s="476"/>
      <c r="HU32" s="476"/>
      <c r="HV32" s="476"/>
      <c r="HW32" s="476"/>
      <c r="HX32" s="476"/>
      <c r="HY32" s="476"/>
      <c r="HZ32" s="476"/>
      <c r="IA32" s="476"/>
      <c r="IB32" s="476"/>
      <c r="IC32" s="476"/>
      <c r="ID32" s="476"/>
      <c r="IE32" s="476"/>
      <c r="IF32" s="476"/>
      <c r="IG32" s="476"/>
      <c r="IH32" s="476"/>
      <c r="II32" s="476"/>
      <c r="IJ32" s="476"/>
      <c r="IK32" s="476"/>
      <c r="IL32" s="476"/>
      <c r="IM32" s="476"/>
      <c r="IN32" s="476"/>
      <c r="IO32" s="476"/>
      <c r="IP32" s="476"/>
      <c r="IQ32" s="476"/>
      <c r="IR32" s="476"/>
      <c r="IS32" s="476"/>
      <c r="IT32" s="476"/>
      <c r="IU32" s="476"/>
      <c r="IV32" s="476"/>
      <c r="IW32" s="476"/>
      <c r="IX32" s="476"/>
      <c r="IY32" s="476"/>
      <c r="IZ32" s="476"/>
      <c r="JA32" s="476"/>
      <c r="JB32" s="476"/>
      <c r="JC32" s="476"/>
      <c r="JD32" s="476"/>
      <c r="JE32" s="476"/>
      <c r="JF32" s="476"/>
      <c r="JG32" s="476"/>
      <c r="JH32" s="476"/>
      <c r="JI32" s="476"/>
      <c r="JJ32" s="476"/>
      <c r="JK32" s="476"/>
      <c r="JL32" s="476"/>
      <c r="JM32" s="476"/>
      <c r="JN32" s="476"/>
      <c r="JO32" s="476"/>
      <c r="JP32" s="476"/>
      <c r="JQ32" s="476"/>
      <c r="JR32" s="476"/>
      <c r="JS32" s="476"/>
      <c r="JT32" s="476"/>
      <c r="JU32" s="476"/>
      <c r="JV32" s="476"/>
      <c r="JW32" s="476"/>
      <c r="JX32" s="476"/>
      <c r="JY32" s="476"/>
      <c r="JZ32" s="476"/>
      <c r="KA32" s="476"/>
      <c r="KB32" s="476"/>
      <c r="KC32" s="476"/>
      <c r="KD32" s="476"/>
      <c r="KE32" s="476"/>
      <c r="KF32" s="476"/>
      <c r="KG32" s="476"/>
      <c r="KH32" s="476"/>
      <c r="KI32" s="476"/>
      <c r="KJ32" s="476"/>
      <c r="KK32" s="476"/>
      <c r="KL32" s="476"/>
      <c r="KM32" s="476"/>
      <c r="KN32" s="476"/>
      <c r="KO32" s="476"/>
      <c r="KP32" s="476"/>
      <c r="KQ32" s="476"/>
      <c r="KR32" s="476"/>
      <c r="KS32" s="476"/>
      <c r="KT32" s="476"/>
      <c r="KU32" s="476"/>
      <c r="KV32" s="476"/>
      <c r="KW32" s="476"/>
      <c r="KX32" s="476"/>
      <c r="KY32" s="476"/>
      <c r="KZ32" s="476"/>
      <c r="LA32" s="476"/>
      <c r="LB32" s="476"/>
      <c r="LC32" s="476"/>
      <c r="LD32" s="476"/>
      <c r="LE32" s="476"/>
      <c r="LF32" s="476"/>
      <c r="LG32" s="476"/>
      <c r="LH32" s="476"/>
      <c r="LI32" s="476"/>
      <c r="LJ32" s="476"/>
      <c r="LK32" s="476"/>
      <c r="LL32" s="476"/>
      <c r="LM32" s="476"/>
      <c r="LN32" s="476"/>
      <c r="LO32" s="476"/>
      <c r="LP32" s="476"/>
      <c r="LQ32" s="476"/>
      <c r="LR32" s="476"/>
      <c r="LS32" s="476"/>
      <c r="LT32" s="476"/>
      <c r="LU32" s="476"/>
      <c r="LV32" s="476"/>
      <c r="LW32" s="476"/>
      <c r="LX32" s="476"/>
      <c r="LY32" s="476"/>
      <c r="LZ32" s="476"/>
      <c r="MA32" s="476"/>
      <c r="MB32" s="476"/>
      <c r="MC32" s="476"/>
      <c r="MD32" s="476"/>
      <c r="ME32" s="476"/>
      <c r="MF32" s="476"/>
      <c r="MG32" s="476"/>
      <c r="MH32" s="476"/>
      <c r="MI32" s="476"/>
      <c r="MJ32" s="476"/>
      <c r="MK32" s="476"/>
      <c r="ML32" s="476"/>
      <c r="MM32" s="476"/>
      <c r="MN32" s="476"/>
      <c r="MO32" s="476"/>
      <c r="MP32" s="476"/>
      <c r="MQ32" s="476"/>
      <c r="MR32" s="476"/>
      <c r="MS32" s="476"/>
      <c r="MT32" s="476"/>
      <c r="MU32" s="476"/>
      <c r="MV32" s="476"/>
      <c r="MW32" s="476"/>
      <c r="MX32" s="476"/>
      <c r="MY32" s="476"/>
      <c r="MZ32" s="476"/>
      <c r="NA32" s="476"/>
      <c r="NB32" s="476"/>
      <c r="NC32" s="476"/>
      <c r="ND32" s="476"/>
      <c r="NE32" s="476"/>
      <c r="NF32" s="476"/>
      <c r="NG32" s="476"/>
      <c r="NH32" s="476"/>
      <c r="NI32" s="476"/>
      <c r="NJ32" s="476"/>
      <c r="NK32" s="476"/>
      <c r="NL32" s="476"/>
      <c r="NM32" s="476"/>
      <c r="NN32" s="476"/>
      <c r="NO32" s="476"/>
      <c r="NP32" s="476"/>
      <c r="NQ32" s="476"/>
      <c r="NR32" s="476"/>
      <c r="NS32" s="476"/>
      <c r="NT32" s="476"/>
      <c r="NU32" s="476"/>
      <c r="NV32" s="476"/>
      <c r="NW32" s="476"/>
      <c r="NX32" s="476"/>
      <c r="NY32" s="476"/>
      <c r="NZ32" s="476"/>
      <c r="OA32" s="476"/>
      <c r="OB32" s="476"/>
      <c r="OC32" s="476"/>
      <c r="OD32" s="476"/>
      <c r="OE32" s="476"/>
      <c r="OF32" s="476"/>
      <c r="OG32" s="476"/>
      <c r="OH32" s="476"/>
      <c r="OI32" s="476"/>
      <c r="OJ32" s="476"/>
      <c r="OK32" s="476"/>
      <c r="OL32" s="476"/>
      <c r="OM32" s="476"/>
      <c r="ON32" s="476"/>
      <c r="OO32" s="476"/>
      <c r="OP32" s="476"/>
      <c r="OQ32" s="476"/>
      <c r="OR32" s="476"/>
      <c r="OS32" s="476"/>
      <c r="OT32" s="476"/>
      <c r="OU32" s="476"/>
      <c r="OV32" s="476"/>
      <c r="OW32" s="476"/>
      <c r="OX32" s="476"/>
      <c r="OY32" s="476"/>
      <c r="OZ32" s="476"/>
      <c r="PA32" s="476"/>
      <c r="PB32" s="476"/>
      <c r="PC32" s="476"/>
      <c r="PD32" s="476"/>
      <c r="PE32" s="476"/>
      <c r="PF32" s="476"/>
      <c r="PG32" s="476"/>
      <c r="PH32" s="476"/>
      <c r="PI32" s="476"/>
      <c r="PJ32" s="476"/>
      <c r="PK32" s="476"/>
      <c r="PL32" s="476"/>
      <c r="PM32" s="476"/>
      <c r="PN32" s="476"/>
      <c r="PO32" s="476"/>
      <c r="PP32" s="476"/>
      <c r="PQ32" s="476"/>
      <c r="PR32" s="476"/>
      <c r="PS32" s="476"/>
      <c r="PT32" s="476"/>
      <c r="PU32" s="476"/>
      <c r="PV32" s="476"/>
      <c r="PW32" s="476"/>
      <c r="PX32" s="476"/>
      <c r="PY32" s="476"/>
      <c r="PZ32" s="476"/>
      <c r="QA32" s="476"/>
      <c r="QB32" s="476"/>
      <c r="QC32" s="476"/>
      <c r="QD32" s="476"/>
      <c r="QE32" s="476"/>
      <c r="QF32" s="476"/>
      <c r="QG32" s="476"/>
      <c r="QH32" s="476"/>
      <c r="QI32" s="476"/>
      <c r="QJ32" s="476"/>
      <c r="QK32" s="476"/>
      <c r="QL32" s="476"/>
      <c r="QM32" s="476"/>
      <c r="QN32" s="476"/>
      <c r="QO32" s="476"/>
      <c r="QP32" s="476"/>
      <c r="QQ32" s="476"/>
      <c r="QR32" s="476"/>
      <c r="QS32" s="476"/>
      <c r="QT32" s="476"/>
      <c r="QU32" s="476"/>
      <c r="QV32" s="476"/>
      <c r="QW32" s="476"/>
      <c r="QX32" s="476"/>
      <c r="QY32" s="476"/>
      <c r="QZ32" s="476"/>
      <c r="RA32" s="476"/>
      <c r="RB32" s="476"/>
      <c r="RC32" s="476"/>
      <c r="RD32" s="476"/>
      <c r="RE32" s="476"/>
      <c r="RF32" s="476"/>
      <c r="RG32" s="476"/>
      <c r="RH32" s="476"/>
      <c r="RI32" s="476"/>
      <c r="RJ32" s="476"/>
      <c r="RK32" s="476"/>
      <c r="RL32" s="476"/>
      <c r="RM32" s="476"/>
      <c r="RN32" s="476"/>
      <c r="RO32" s="476"/>
      <c r="RP32" s="476"/>
      <c r="RQ32" s="476"/>
      <c r="RR32" s="476"/>
      <c r="RS32" s="476"/>
      <c r="RT32" s="476"/>
      <c r="RU32" s="476"/>
      <c r="RV32" s="476"/>
      <c r="RW32" s="476"/>
      <c r="RX32" s="476"/>
    </row>
    <row r="33" spans="1:492" s="477" customFormat="1" ht="20.100000000000001" customHeight="1">
      <c r="A33" s="489" t="s">
        <v>462</v>
      </c>
      <c r="B33" s="510" t="s">
        <v>463</v>
      </c>
      <c r="C33" s="474"/>
      <c r="D33" s="474"/>
      <c r="E33" s="474"/>
      <c r="F33" s="474"/>
      <c r="G33" s="474"/>
      <c r="H33" s="474"/>
      <c r="I33" s="474"/>
      <c r="J33" s="474"/>
      <c r="K33" s="474"/>
      <c r="L33" s="474"/>
      <c r="M33" s="474"/>
      <c r="N33" s="474"/>
      <c r="O33" s="474"/>
      <c r="P33" s="474"/>
      <c r="Q33" s="474"/>
      <c r="R33" s="474"/>
      <c r="S33" s="474"/>
      <c r="T33" s="474"/>
      <c r="U33" s="474"/>
      <c r="V33" s="474"/>
      <c r="W33" s="474"/>
      <c r="X33" s="474"/>
      <c r="Y33" s="474"/>
      <c r="Z33" s="474"/>
      <c r="AA33" s="474"/>
      <c r="AB33" s="474"/>
      <c r="AC33" s="474"/>
      <c r="AD33" s="474"/>
      <c r="AE33" s="474"/>
      <c r="AF33" s="474"/>
      <c r="AG33" s="474"/>
      <c r="AH33" s="474"/>
      <c r="AI33" s="474"/>
      <c r="AJ33" s="474"/>
      <c r="AK33" s="474"/>
      <c r="AL33" s="474"/>
      <c r="AM33" s="499"/>
      <c r="AN33" s="475"/>
      <c r="AO33" s="475"/>
      <c r="AP33" s="475"/>
      <c r="AQ33" s="500"/>
      <c r="AR33" s="475"/>
      <c r="AS33" s="475"/>
      <c r="AT33" s="475"/>
      <c r="AU33" s="475"/>
      <c r="AV33" s="470"/>
      <c r="AW33" s="475"/>
      <c r="AX33" s="475"/>
      <c r="AY33" s="475"/>
      <c r="AZ33" s="475"/>
      <c r="BA33" s="478"/>
      <c r="BB33" s="499"/>
      <c r="BC33" s="475"/>
      <c r="BD33" s="475"/>
      <c r="BE33" s="475"/>
      <c r="BF33" s="500"/>
      <c r="BG33" s="475"/>
      <c r="BH33" s="475"/>
      <c r="BI33" s="475"/>
      <c r="BJ33" s="475"/>
      <c r="BK33" s="500"/>
      <c r="BL33" s="475"/>
      <c r="BM33" s="469"/>
      <c r="BN33" s="475"/>
      <c r="BO33" s="475"/>
      <c r="BP33" s="500"/>
      <c r="BQ33" s="475"/>
      <c r="BR33" s="469"/>
      <c r="BS33" s="475">
        <v>15.7</v>
      </c>
      <c r="BT33" s="669">
        <v>-19.8</v>
      </c>
      <c r="BU33" s="822">
        <f t="shared" si="45"/>
        <v>-4.1000000000000014</v>
      </c>
      <c r="BV33" s="475">
        <v>30.3</v>
      </c>
      <c r="BW33" s="475">
        <v>51.400000000000006</v>
      </c>
      <c r="BX33" s="475">
        <v>60.8</v>
      </c>
      <c r="BY33" s="475">
        <v>49.5</v>
      </c>
      <c r="BZ33" s="819">
        <f t="shared" si="46"/>
        <v>192</v>
      </c>
      <c r="CA33" s="475">
        <v>19.399999999999999</v>
      </c>
      <c r="CB33" s="475">
        <v>27.300000000000004</v>
      </c>
      <c r="CC33" s="475"/>
      <c r="CD33" s="475"/>
      <c r="CE33" s="819">
        <f t="shared" si="47"/>
        <v>46.7</v>
      </c>
      <c r="CF33" s="476"/>
      <c r="CG33" s="476"/>
      <c r="CH33" s="476"/>
      <c r="CI33" s="476"/>
      <c r="CJ33" s="476"/>
      <c r="CK33" s="476"/>
      <c r="CL33" s="476"/>
      <c r="CM33" s="476"/>
      <c r="CN33" s="476"/>
      <c r="CO33" s="476"/>
      <c r="CP33" s="476"/>
      <c r="CQ33" s="476"/>
      <c r="CR33" s="476"/>
      <c r="CS33" s="476"/>
      <c r="CT33" s="476"/>
      <c r="CU33" s="476"/>
      <c r="CV33" s="476"/>
      <c r="CW33" s="476"/>
      <c r="CX33" s="476"/>
      <c r="CY33" s="476"/>
      <c r="CZ33" s="476"/>
      <c r="DA33" s="476"/>
      <c r="DB33" s="476"/>
      <c r="DC33" s="476"/>
      <c r="DD33" s="476"/>
      <c r="DE33" s="476"/>
      <c r="DF33" s="476"/>
      <c r="DG33" s="476"/>
      <c r="DH33" s="476"/>
      <c r="DI33" s="476"/>
      <c r="DJ33" s="476"/>
      <c r="DK33" s="476"/>
      <c r="DL33" s="476"/>
      <c r="DM33" s="476"/>
      <c r="DN33" s="476"/>
      <c r="DO33" s="476"/>
      <c r="DP33" s="476"/>
      <c r="DQ33" s="476"/>
      <c r="DR33" s="476"/>
      <c r="DS33" s="476"/>
      <c r="DT33" s="476"/>
      <c r="DU33" s="476"/>
      <c r="DV33" s="476"/>
      <c r="DW33" s="476"/>
      <c r="DX33" s="476"/>
      <c r="DY33" s="476"/>
      <c r="DZ33" s="476"/>
      <c r="EA33" s="476"/>
      <c r="EB33" s="476"/>
      <c r="EC33" s="476"/>
      <c r="ED33" s="476"/>
      <c r="EE33" s="476"/>
      <c r="EF33" s="476"/>
      <c r="EG33" s="476"/>
      <c r="EH33" s="476"/>
      <c r="EI33" s="476"/>
      <c r="EJ33" s="476"/>
      <c r="EK33" s="476"/>
      <c r="EL33" s="476"/>
      <c r="EM33" s="476"/>
      <c r="EN33" s="476"/>
      <c r="EO33" s="476"/>
      <c r="EP33" s="476"/>
      <c r="EQ33" s="476"/>
      <c r="ER33" s="476"/>
      <c r="ES33" s="476"/>
      <c r="ET33" s="476"/>
      <c r="EU33" s="476"/>
      <c r="EV33" s="476"/>
      <c r="EW33" s="476"/>
      <c r="EX33" s="476"/>
      <c r="EY33" s="476"/>
      <c r="EZ33" s="476"/>
      <c r="FA33" s="476"/>
      <c r="FB33" s="476"/>
      <c r="FC33" s="476"/>
      <c r="FD33" s="476"/>
      <c r="FE33" s="476"/>
      <c r="FF33" s="476"/>
      <c r="FG33" s="476"/>
      <c r="FH33" s="476"/>
      <c r="FI33" s="476"/>
      <c r="FJ33" s="476"/>
      <c r="FK33" s="476"/>
      <c r="FL33" s="476"/>
      <c r="FM33" s="476"/>
      <c r="FN33" s="476"/>
      <c r="FO33" s="476"/>
      <c r="FP33" s="476"/>
      <c r="FQ33" s="476"/>
      <c r="FR33" s="476"/>
      <c r="FS33" s="476"/>
      <c r="FT33" s="476"/>
      <c r="FU33" s="476"/>
      <c r="FV33" s="476"/>
      <c r="FW33" s="476"/>
      <c r="FX33" s="476"/>
      <c r="FY33" s="476"/>
      <c r="FZ33" s="476"/>
      <c r="GA33" s="476"/>
      <c r="GB33" s="476"/>
      <c r="GC33" s="476"/>
      <c r="GD33" s="476"/>
      <c r="GE33" s="476"/>
      <c r="GF33" s="476"/>
      <c r="GG33" s="476"/>
      <c r="GH33" s="476"/>
      <c r="GI33" s="476"/>
      <c r="GJ33" s="476"/>
      <c r="GK33" s="476"/>
      <c r="GL33" s="476"/>
      <c r="GM33" s="476"/>
      <c r="GN33" s="476"/>
      <c r="GO33" s="476"/>
      <c r="GP33" s="476"/>
      <c r="GQ33" s="476"/>
      <c r="GR33" s="476"/>
      <c r="GS33" s="476"/>
      <c r="GT33" s="476"/>
      <c r="GU33" s="476"/>
      <c r="GV33" s="476"/>
      <c r="GW33" s="476"/>
      <c r="GX33" s="476"/>
      <c r="GY33" s="476"/>
      <c r="GZ33" s="476"/>
      <c r="HA33" s="476"/>
      <c r="HB33" s="476"/>
      <c r="HC33" s="476"/>
      <c r="HD33" s="476"/>
      <c r="HE33" s="476"/>
      <c r="HF33" s="476"/>
      <c r="HG33" s="476"/>
      <c r="HH33" s="476"/>
      <c r="HI33" s="476"/>
      <c r="HJ33" s="476"/>
      <c r="HK33" s="476"/>
      <c r="HL33" s="476"/>
      <c r="HM33" s="476"/>
      <c r="HN33" s="476"/>
      <c r="HO33" s="476"/>
      <c r="HP33" s="476"/>
      <c r="HQ33" s="476"/>
      <c r="HR33" s="476"/>
      <c r="HS33" s="476"/>
      <c r="HT33" s="476"/>
      <c r="HU33" s="476"/>
      <c r="HV33" s="476"/>
      <c r="HW33" s="476"/>
      <c r="HX33" s="476"/>
      <c r="HY33" s="476"/>
      <c r="HZ33" s="476"/>
      <c r="IA33" s="476"/>
      <c r="IB33" s="476"/>
      <c r="IC33" s="476"/>
      <c r="ID33" s="476"/>
      <c r="IE33" s="476"/>
      <c r="IF33" s="476"/>
      <c r="IG33" s="476"/>
      <c r="IH33" s="476"/>
      <c r="II33" s="476"/>
      <c r="IJ33" s="476"/>
      <c r="IK33" s="476"/>
      <c r="IL33" s="476"/>
      <c r="IM33" s="476"/>
      <c r="IN33" s="476"/>
      <c r="IO33" s="476"/>
      <c r="IP33" s="476"/>
      <c r="IQ33" s="476"/>
      <c r="IR33" s="476"/>
      <c r="IS33" s="476"/>
      <c r="IT33" s="476"/>
      <c r="IU33" s="476"/>
      <c r="IV33" s="476"/>
      <c r="IW33" s="476"/>
      <c r="IX33" s="476"/>
      <c r="IY33" s="476"/>
      <c r="IZ33" s="476"/>
      <c r="JA33" s="476"/>
      <c r="JB33" s="476"/>
      <c r="JC33" s="476"/>
      <c r="JD33" s="476"/>
      <c r="JE33" s="476"/>
      <c r="JF33" s="476"/>
      <c r="JG33" s="476"/>
      <c r="JH33" s="476"/>
      <c r="JI33" s="476"/>
      <c r="JJ33" s="476"/>
      <c r="JK33" s="476"/>
      <c r="JL33" s="476"/>
      <c r="JM33" s="476"/>
      <c r="JN33" s="476"/>
      <c r="JO33" s="476"/>
      <c r="JP33" s="476"/>
      <c r="JQ33" s="476"/>
      <c r="JR33" s="476"/>
      <c r="JS33" s="476"/>
      <c r="JT33" s="476"/>
      <c r="JU33" s="476"/>
      <c r="JV33" s="476"/>
      <c r="JW33" s="476"/>
      <c r="JX33" s="476"/>
      <c r="JY33" s="476"/>
      <c r="JZ33" s="476"/>
      <c r="KA33" s="476"/>
      <c r="KB33" s="476"/>
      <c r="KC33" s="476"/>
      <c r="KD33" s="476"/>
      <c r="KE33" s="476"/>
      <c r="KF33" s="476"/>
      <c r="KG33" s="476"/>
      <c r="KH33" s="476"/>
      <c r="KI33" s="476"/>
      <c r="KJ33" s="476"/>
      <c r="KK33" s="476"/>
      <c r="KL33" s="476"/>
      <c r="KM33" s="476"/>
      <c r="KN33" s="476"/>
      <c r="KO33" s="476"/>
      <c r="KP33" s="476"/>
      <c r="KQ33" s="476"/>
      <c r="KR33" s="476"/>
      <c r="KS33" s="476"/>
      <c r="KT33" s="476"/>
      <c r="KU33" s="476"/>
      <c r="KV33" s="476"/>
      <c r="KW33" s="476"/>
      <c r="KX33" s="476"/>
      <c r="KY33" s="476"/>
      <c r="KZ33" s="476"/>
      <c r="LA33" s="476"/>
      <c r="LB33" s="476"/>
      <c r="LC33" s="476"/>
      <c r="LD33" s="476"/>
      <c r="LE33" s="476"/>
      <c r="LF33" s="476"/>
      <c r="LG33" s="476"/>
      <c r="LH33" s="476"/>
      <c r="LI33" s="476"/>
      <c r="LJ33" s="476"/>
      <c r="LK33" s="476"/>
      <c r="LL33" s="476"/>
      <c r="LM33" s="476"/>
      <c r="LN33" s="476"/>
      <c r="LO33" s="476"/>
      <c r="LP33" s="476"/>
      <c r="LQ33" s="476"/>
      <c r="LR33" s="476"/>
      <c r="LS33" s="476"/>
      <c r="LT33" s="476"/>
      <c r="LU33" s="476"/>
      <c r="LV33" s="476"/>
      <c r="LW33" s="476"/>
      <c r="LX33" s="476"/>
      <c r="LY33" s="476"/>
      <c r="LZ33" s="476"/>
      <c r="MA33" s="476"/>
      <c r="MB33" s="476"/>
      <c r="MC33" s="476"/>
      <c r="MD33" s="476"/>
      <c r="ME33" s="476"/>
      <c r="MF33" s="476"/>
      <c r="MG33" s="476"/>
      <c r="MH33" s="476"/>
      <c r="MI33" s="476"/>
      <c r="MJ33" s="476"/>
      <c r="MK33" s="476"/>
      <c r="ML33" s="476"/>
      <c r="MM33" s="476"/>
      <c r="MN33" s="476"/>
      <c r="MO33" s="476"/>
      <c r="MP33" s="476"/>
      <c r="MQ33" s="476"/>
      <c r="MR33" s="476"/>
      <c r="MS33" s="476"/>
      <c r="MT33" s="476"/>
      <c r="MU33" s="476"/>
      <c r="MV33" s="476"/>
      <c r="MW33" s="476"/>
      <c r="MX33" s="476"/>
      <c r="MY33" s="476"/>
      <c r="MZ33" s="476"/>
      <c r="NA33" s="476"/>
      <c r="NB33" s="476"/>
      <c r="NC33" s="476"/>
      <c r="ND33" s="476"/>
      <c r="NE33" s="476"/>
      <c r="NF33" s="476"/>
      <c r="NG33" s="476"/>
      <c r="NH33" s="476"/>
      <c r="NI33" s="476"/>
      <c r="NJ33" s="476"/>
      <c r="NK33" s="476"/>
      <c r="NL33" s="476"/>
      <c r="NM33" s="476"/>
      <c r="NN33" s="476"/>
      <c r="NO33" s="476"/>
      <c r="NP33" s="476"/>
      <c r="NQ33" s="476"/>
      <c r="NR33" s="476"/>
      <c r="NS33" s="476"/>
      <c r="NT33" s="476"/>
      <c r="NU33" s="476"/>
      <c r="NV33" s="476"/>
      <c r="NW33" s="476"/>
      <c r="NX33" s="476"/>
      <c r="NY33" s="476"/>
      <c r="NZ33" s="476"/>
      <c r="OA33" s="476"/>
      <c r="OB33" s="476"/>
      <c r="OC33" s="476"/>
      <c r="OD33" s="476"/>
      <c r="OE33" s="476"/>
      <c r="OF33" s="476"/>
      <c r="OG33" s="476"/>
      <c r="OH33" s="476"/>
      <c r="OI33" s="476"/>
      <c r="OJ33" s="476"/>
      <c r="OK33" s="476"/>
      <c r="OL33" s="476"/>
      <c r="OM33" s="476"/>
      <c r="ON33" s="476"/>
      <c r="OO33" s="476"/>
      <c r="OP33" s="476"/>
      <c r="OQ33" s="476"/>
      <c r="OR33" s="476"/>
      <c r="OS33" s="476"/>
      <c r="OT33" s="476"/>
      <c r="OU33" s="476"/>
      <c r="OV33" s="476"/>
      <c r="OW33" s="476"/>
      <c r="OX33" s="476"/>
      <c r="OY33" s="476"/>
      <c r="OZ33" s="476"/>
      <c r="PA33" s="476"/>
      <c r="PB33" s="476"/>
      <c r="PC33" s="476"/>
      <c r="PD33" s="476"/>
      <c r="PE33" s="476"/>
      <c r="PF33" s="476"/>
      <c r="PG33" s="476"/>
      <c r="PH33" s="476"/>
      <c r="PI33" s="476"/>
      <c r="PJ33" s="476"/>
      <c r="PK33" s="476"/>
      <c r="PL33" s="476"/>
      <c r="PM33" s="476"/>
      <c r="PN33" s="476"/>
      <c r="PO33" s="476"/>
      <c r="PP33" s="476"/>
      <c r="PQ33" s="476"/>
      <c r="PR33" s="476"/>
      <c r="PS33" s="476"/>
      <c r="PT33" s="476"/>
      <c r="PU33" s="476"/>
      <c r="PV33" s="476"/>
      <c r="PW33" s="476"/>
      <c r="PX33" s="476"/>
      <c r="PY33" s="476"/>
      <c r="PZ33" s="476"/>
      <c r="QA33" s="476"/>
      <c r="QB33" s="476"/>
      <c r="QC33" s="476"/>
      <c r="QD33" s="476"/>
      <c r="QE33" s="476"/>
      <c r="QF33" s="476"/>
      <c r="QG33" s="476"/>
      <c r="QH33" s="476"/>
      <c r="QI33" s="476"/>
      <c r="QJ33" s="476"/>
      <c r="QK33" s="476"/>
      <c r="QL33" s="476"/>
      <c r="QM33" s="476"/>
      <c r="QN33" s="476"/>
      <c r="QO33" s="476"/>
      <c r="QP33" s="476"/>
      <c r="QQ33" s="476"/>
      <c r="QR33" s="476"/>
      <c r="QS33" s="476"/>
      <c r="QT33" s="476"/>
      <c r="QU33" s="476"/>
      <c r="QV33" s="476"/>
      <c r="QW33" s="476"/>
      <c r="QX33" s="476"/>
      <c r="QY33" s="476"/>
      <c r="QZ33" s="476"/>
      <c r="RA33" s="476"/>
      <c r="RB33" s="476"/>
      <c r="RC33" s="476"/>
      <c r="RD33" s="476"/>
      <c r="RE33" s="476"/>
      <c r="RF33" s="476"/>
      <c r="RG33" s="476"/>
      <c r="RH33" s="476"/>
      <c r="RI33" s="476"/>
      <c r="RJ33" s="476"/>
      <c r="RK33" s="476"/>
      <c r="RL33" s="476"/>
      <c r="RM33" s="476"/>
      <c r="RN33" s="476"/>
      <c r="RO33" s="476"/>
      <c r="RP33" s="476"/>
      <c r="RQ33" s="476"/>
      <c r="RR33" s="476"/>
      <c r="RS33" s="476"/>
      <c r="RT33" s="476"/>
      <c r="RU33" s="476"/>
      <c r="RV33" s="476"/>
      <c r="RW33" s="476"/>
      <c r="RX33" s="476"/>
    </row>
    <row r="34" spans="1:492" s="477" customFormat="1" ht="20.100000000000001" customHeight="1" thickBot="1">
      <c r="A34" s="489" t="s">
        <v>464</v>
      </c>
      <c r="B34" s="510" t="s">
        <v>465</v>
      </c>
      <c r="C34" s="474"/>
      <c r="D34" s="474"/>
      <c r="E34" s="474"/>
      <c r="F34" s="474"/>
      <c r="G34" s="474"/>
      <c r="H34" s="474"/>
      <c r="I34" s="474"/>
      <c r="J34" s="474"/>
      <c r="K34" s="474"/>
      <c r="L34" s="474"/>
      <c r="M34" s="474"/>
      <c r="N34" s="474"/>
      <c r="O34" s="474"/>
      <c r="P34" s="474"/>
      <c r="Q34" s="474"/>
      <c r="R34" s="474"/>
      <c r="S34" s="474"/>
      <c r="T34" s="474"/>
      <c r="U34" s="474"/>
      <c r="V34" s="474"/>
      <c r="W34" s="474"/>
      <c r="X34" s="474"/>
      <c r="Y34" s="474"/>
      <c r="Z34" s="474"/>
      <c r="AA34" s="474"/>
      <c r="AB34" s="474"/>
      <c r="AC34" s="474"/>
      <c r="AD34" s="474"/>
      <c r="AE34" s="474"/>
      <c r="AF34" s="474"/>
      <c r="AG34" s="474"/>
      <c r="AH34" s="474"/>
      <c r="AI34" s="474"/>
      <c r="AJ34" s="474"/>
      <c r="AK34" s="474"/>
      <c r="AL34" s="474"/>
      <c r="AM34" s="499"/>
      <c r="AN34" s="475"/>
      <c r="AO34" s="475"/>
      <c r="AP34" s="475"/>
      <c r="AQ34" s="500"/>
      <c r="AR34" s="475"/>
      <c r="AS34" s="475"/>
      <c r="AT34" s="475"/>
      <c r="AU34" s="475"/>
      <c r="AV34" s="470"/>
      <c r="AW34" s="475"/>
      <c r="AX34" s="475"/>
      <c r="AY34" s="475"/>
      <c r="AZ34" s="475"/>
      <c r="BA34" s="478"/>
      <c r="BB34" s="499"/>
      <c r="BC34" s="475"/>
      <c r="BD34" s="475"/>
      <c r="BE34" s="475"/>
      <c r="BF34" s="500"/>
      <c r="BG34" s="475"/>
      <c r="BH34" s="475"/>
      <c r="BI34" s="475"/>
      <c r="BJ34" s="475"/>
      <c r="BK34" s="500"/>
      <c r="BL34" s="475"/>
      <c r="BM34" s="669">
        <v>-2.2000000000000002</v>
      </c>
      <c r="BN34" s="669">
        <f>-7.9-BM34-BL34</f>
        <v>-5.7</v>
      </c>
      <c r="BO34" s="475">
        <f>-5.1-BN34-BM34</f>
        <v>2.8000000000000007</v>
      </c>
      <c r="BP34" s="515">
        <f t="shared" si="44"/>
        <v>-5.0999999999999996</v>
      </c>
      <c r="BQ34" s="669">
        <v>-1.5</v>
      </c>
      <c r="BR34" s="669">
        <v>0.8</v>
      </c>
      <c r="BS34" s="669">
        <v>-1.2999999999999998</v>
      </c>
      <c r="BT34" s="669">
        <v>-3.1</v>
      </c>
      <c r="BU34" s="822">
        <f t="shared" si="45"/>
        <v>-5.0999999999999996</v>
      </c>
      <c r="BV34" s="669"/>
      <c r="BW34" s="669"/>
      <c r="BX34" s="669"/>
      <c r="BY34" s="669"/>
      <c r="BZ34" s="822">
        <f t="shared" si="46"/>
        <v>0</v>
      </c>
      <c r="CA34" s="669"/>
      <c r="CB34" s="669"/>
      <c r="CC34" s="669"/>
      <c r="CD34" s="669"/>
      <c r="CE34" s="822">
        <f t="shared" si="47"/>
        <v>0</v>
      </c>
      <c r="CF34" s="476"/>
      <c r="CG34" s="476"/>
      <c r="CH34" s="476"/>
      <c r="CI34" s="476"/>
      <c r="CJ34" s="476"/>
      <c r="CK34" s="476"/>
      <c r="CL34" s="476"/>
      <c r="CM34" s="476"/>
      <c r="CN34" s="476"/>
      <c r="CO34" s="476"/>
      <c r="CP34" s="476"/>
      <c r="CQ34" s="476"/>
      <c r="CR34" s="476"/>
      <c r="CS34" s="476"/>
      <c r="CT34" s="476"/>
      <c r="CU34" s="476"/>
      <c r="CV34" s="476"/>
      <c r="CW34" s="476"/>
      <c r="CX34" s="476"/>
      <c r="CY34" s="476"/>
      <c r="CZ34" s="476"/>
      <c r="DA34" s="476"/>
      <c r="DB34" s="476"/>
      <c r="DC34" s="476"/>
      <c r="DD34" s="476"/>
      <c r="DE34" s="476"/>
      <c r="DF34" s="476"/>
      <c r="DG34" s="476"/>
      <c r="DH34" s="476"/>
      <c r="DI34" s="476"/>
      <c r="DJ34" s="476"/>
      <c r="DK34" s="476"/>
      <c r="DL34" s="476"/>
      <c r="DM34" s="476"/>
      <c r="DN34" s="476"/>
      <c r="DO34" s="476"/>
      <c r="DP34" s="476"/>
      <c r="DQ34" s="476"/>
      <c r="DR34" s="476"/>
      <c r="DS34" s="476"/>
      <c r="DT34" s="476"/>
      <c r="DU34" s="476"/>
      <c r="DV34" s="476"/>
      <c r="DW34" s="476"/>
      <c r="DX34" s="476"/>
      <c r="DY34" s="476"/>
      <c r="DZ34" s="476"/>
      <c r="EA34" s="476"/>
      <c r="EB34" s="476"/>
      <c r="EC34" s="476"/>
      <c r="ED34" s="476"/>
      <c r="EE34" s="476"/>
      <c r="EF34" s="476"/>
      <c r="EG34" s="476"/>
      <c r="EH34" s="476"/>
      <c r="EI34" s="476"/>
      <c r="EJ34" s="476"/>
      <c r="EK34" s="476"/>
      <c r="EL34" s="476"/>
      <c r="EM34" s="476"/>
      <c r="EN34" s="476"/>
      <c r="EO34" s="476"/>
      <c r="EP34" s="476"/>
      <c r="EQ34" s="476"/>
      <c r="ER34" s="476"/>
      <c r="ES34" s="476"/>
      <c r="ET34" s="476"/>
      <c r="EU34" s="476"/>
      <c r="EV34" s="476"/>
      <c r="EW34" s="476"/>
      <c r="EX34" s="476"/>
      <c r="EY34" s="476"/>
      <c r="EZ34" s="476"/>
      <c r="FA34" s="476"/>
      <c r="FB34" s="476"/>
      <c r="FC34" s="476"/>
      <c r="FD34" s="476"/>
      <c r="FE34" s="476"/>
      <c r="FF34" s="476"/>
      <c r="FG34" s="476"/>
      <c r="FH34" s="476"/>
      <c r="FI34" s="476"/>
      <c r="FJ34" s="476"/>
      <c r="FK34" s="476"/>
      <c r="FL34" s="476"/>
      <c r="FM34" s="476"/>
      <c r="FN34" s="476"/>
      <c r="FO34" s="476"/>
      <c r="FP34" s="476"/>
      <c r="FQ34" s="476"/>
      <c r="FR34" s="476"/>
      <c r="FS34" s="476"/>
      <c r="FT34" s="476"/>
      <c r="FU34" s="476"/>
      <c r="FV34" s="476"/>
      <c r="FW34" s="476"/>
      <c r="FX34" s="476"/>
      <c r="FY34" s="476"/>
      <c r="FZ34" s="476"/>
      <c r="GA34" s="476"/>
      <c r="GB34" s="476"/>
      <c r="GC34" s="476"/>
      <c r="GD34" s="476"/>
      <c r="GE34" s="476"/>
      <c r="GF34" s="476"/>
      <c r="GG34" s="476"/>
      <c r="GH34" s="476"/>
      <c r="GI34" s="476"/>
      <c r="GJ34" s="476"/>
      <c r="GK34" s="476"/>
      <c r="GL34" s="476"/>
      <c r="GM34" s="476"/>
      <c r="GN34" s="476"/>
      <c r="GO34" s="476"/>
      <c r="GP34" s="476"/>
      <c r="GQ34" s="476"/>
      <c r="GR34" s="476"/>
      <c r="GS34" s="476"/>
      <c r="GT34" s="476"/>
      <c r="GU34" s="476"/>
      <c r="GV34" s="476"/>
      <c r="GW34" s="476"/>
      <c r="GX34" s="476"/>
      <c r="GY34" s="476"/>
      <c r="GZ34" s="476"/>
      <c r="HA34" s="476"/>
      <c r="HB34" s="476"/>
      <c r="HC34" s="476"/>
      <c r="HD34" s="476"/>
      <c r="HE34" s="476"/>
      <c r="HF34" s="476"/>
      <c r="HG34" s="476"/>
      <c r="HH34" s="476"/>
      <c r="HI34" s="476"/>
      <c r="HJ34" s="476"/>
      <c r="HK34" s="476"/>
      <c r="HL34" s="476"/>
      <c r="HM34" s="476"/>
      <c r="HN34" s="476"/>
      <c r="HO34" s="476"/>
      <c r="HP34" s="476"/>
      <c r="HQ34" s="476"/>
      <c r="HR34" s="476"/>
      <c r="HS34" s="476"/>
      <c r="HT34" s="476"/>
      <c r="HU34" s="476"/>
      <c r="HV34" s="476"/>
      <c r="HW34" s="476"/>
      <c r="HX34" s="476"/>
      <c r="HY34" s="476"/>
      <c r="HZ34" s="476"/>
      <c r="IA34" s="476"/>
      <c r="IB34" s="476"/>
      <c r="IC34" s="476"/>
      <c r="ID34" s="476"/>
      <c r="IE34" s="476"/>
      <c r="IF34" s="476"/>
      <c r="IG34" s="476"/>
      <c r="IH34" s="476"/>
      <c r="II34" s="476"/>
      <c r="IJ34" s="476"/>
      <c r="IK34" s="476"/>
      <c r="IL34" s="476"/>
      <c r="IM34" s="476"/>
      <c r="IN34" s="476"/>
      <c r="IO34" s="476"/>
      <c r="IP34" s="476"/>
      <c r="IQ34" s="476"/>
      <c r="IR34" s="476"/>
      <c r="IS34" s="476"/>
      <c r="IT34" s="476"/>
      <c r="IU34" s="476"/>
      <c r="IV34" s="476"/>
      <c r="IW34" s="476"/>
      <c r="IX34" s="476"/>
      <c r="IY34" s="476"/>
      <c r="IZ34" s="476"/>
      <c r="JA34" s="476"/>
      <c r="JB34" s="476"/>
      <c r="JC34" s="476"/>
      <c r="JD34" s="476"/>
      <c r="JE34" s="476"/>
      <c r="JF34" s="476"/>
      <c r="JG34" s="476"/>
      <c r="JH34" s="476"/>
      <c r="JI34" s="476"/>
      <c r="JJ34" s="476"/>
      <c r="JK34" s="476"/>
      <c r="JL34" s="476"/>
      <c r="JM34" s="476"/>
      <c r="JN34" s="476"/>
      <c r="JO34" s="476"/>
      <c r="JP34" s="476"/>
      <c r="JQ34" s="476"/>
      <c r="JR34" s="476"/>
      <c r="JS34" s="476"/>
      <c r="JT34" s="476"/>
      <c r="JU34" s="476"/>
      <c r="JV34" s="476"/>
      <c r="JW34" s="476"/>
      <c r="JX34" s="476"/>
      <c r="JY34" s="476"/>
      <c r="JZ34" s="476"/>
      <c r="KA34" s="476"/>
      <c r="KB34" s="476"/>
      <c r="KC34" s="476"/>
      <c r="KD34" s="476"/>
      <c r="KE34" s="476"/>
      <c r="KF34" s="476"/>
      <c r="KG34" s="476"/>
      <c r="KH34" s="476"/>
      <c r="KI34" s="476"/>
      <c r="KJ34" s="476"/>
      <c r="KK34" s="476"/>
      <c r="KL34" s="476"/>
      <c r="KM34" s="476"/>
      <c r="KN34" s="476"/>
      <c r="KO34" s="476"/>
      <c r="KP34" s="476"/>
      <c r="KQ34" s="476"/>
      <c r="KR34" s="476"/>
      <c r="KS34" s="476"/>
      <c r="KT34" s="476"/>
      <c r="KU34" s="476"/>
      <c r="KV34" s="476"/>
      <c r="KW34" s="476"/>
      <c r="KX34" s="476"/>
      <c r="KY34" s="476"/>
      <c r="KZ34" s="476"/>
      <c r="LA34" s="476"/>
      <c r="LB34" s="476"/>
      <c r="LC34" s="476"/>
      <c r="LD34" s="476"/>
      <c r="LE34" s="476"/>
      <c r="LF34" s="476"/>
      <c r="LG34" s="476"/>
      <c r="LH34" s="476"/>
      <c r="LI34" s="476"/>
      <c r="LJ34" s="476"/>
      <c r="LK34" s="476"/>
      <c r="LL34" s="476"/>
      <c r="LM34" s="476"/>
      <c r="LN34" s="476"/>
      <c r="LO34" s="476"/>
      <c r="LP34" s="476"/>
      <c r="LQ34" s="476"/>
      <c r="LR34" s="476"/>
      <c r="LS34" s="476"/>
      <c r="LT34" s="476"/>
      <c r="LU34" s="476"/>
      <c r="LV34" s="476"/>
      <c r="LW34" s="476"/>
      <c r="LX34" s="476"/>
      <c r="LY34" s="476"/>
      <c r="LZ34" s="476"/>
      <c r="MA34" s="476"/>
      <c r="MB34" s="476"/>
      <c r="MC34" s="476"/>
      <c r="MD34" s="476"/>
      <c r="ME34" s="476"/>
      <c r="MF34" s="476"/>
      <c r="MG34" s="476"/>
      <c r="MH34" s="476"/>
      <c r="MI34" s="476"/>
      <c r="MJ34" s="476"/>
      <c r="MK34" s="476"/>
      <c r="ML34" s="476"/>
      <c r="MM34" s="476"/>
      <c r="MN34" s="476"/>
      <c r="MO34" s="476"/>
      <c r="MP34" s="476"/>
      <c r="MQ34" s="476"/>
      <c r="MR34" s="476"/>
      <c r="MS34" s="476"/>
      <c r="MT34" s="476"/>
      <c r="MU34" s="476"/>
      <c r="MV34" s="476"/>
      <c r="MW34" s="476"/>
      <c r="MX34" s="476"/>
      <c r="MY34" s="476"/>
      <c r="MZ34" s="476"/>
      <c r="NA34" s="476"/>
      <c r="NB34" s="476"/>
      <c r="NC34" s="476"/>
      <c r="ND34" s="476"/>
      <c r="NE34" s="476"/>
      <c r="NF34" s="476"/>
      <c r="NG34" s="476"/>
      <c r="NH34" s="476"/>
      <c r="NI34" s="476"/>
      <c r="NJ34" s="476"/>
      <c r="NK34" s="476"/>
      <c r="NL34" s="476"/>
      <c r="NM34" s="476"/>
      <c r="NN34" s="476"/>
      <c r="NO34" s="476"/>
      <c r="NP34" s="476"/>
      <c r="NQ34" s="476"/>
      <c r="NR34" s="476"/>
      <c r="NS34" s="476"/>
      <c r="NT34" s="476"/>
      <c r="NU34" s="476"/>
      <c r="NV34" s="476"/>
      <c r="NW34" s="476"/>
      <c r="NX34" s="476"/>
      <c r="NY34" s="476"/>
      <c r="NZ34" s="476"/>
      <c r="OA34" s="476"/>
      <c r="OB34" s="476"/>
      <c r="OC34" s="476"/>
      <c r="OD34" s="476"/>
      <c r="OE34" s="476"/>
      <c r="OF34" s="476"/>
      <c r="OG34" s="476"/>
      <c r="OH34" s="476"/>
      <c r="OI34" s="476"/>
      <c r="OJ34" s="476"/>
      <c r="OK34" s="476"/>
      <c r="OL34" s="476"/>
      <c r="OM34" s="476"/>
      <c r="ON34" s="476"/>
      <c r="OO34" s="476"/>
      <c r="OP34" s="476"/>
      <c r="OQ34" s="476"/>
      <c r="OR34" s="476"/>
      <c r="OS34" s="476"/>
      <c r="OT34" s="476"/>
      <c r="OU34" s="476"/>
      <c r="OV34" s="476"/>
      <c r="OW34" s="476"/>
      <c r="OX34" s="476"/>
      <c r="OY34" s="476"/>
      <c r="OZ34" s="476"/>
      <c r="PA34" s="476"/>
      <c r="PB34" s="476"/>
      <c r="PC34" s="476"/>
      <c r="PD34" s="476"/>
      <c r="PE34" s="476"/>
      <c r="PF34" s="476"/>
      <c r="PG34" s="476"/>
      <c r="PH34" s="476"/>
      <c r="PI34" s="476"/>
      <c r="PJ34" s="476"/>
      <c r="PK34" s="476"/>
      <c r="PL34" s="476"/>
      <c r="PM34" s="476"/>
      <c r="PN34" s="476"/>
      <c r="PO34" s="476"/>
      <c r="PP34" s="476"/>
      <c r="PQ34" s="476"/>
      <c r="PR34" s="476"/>
      <c r="PS34" s="476"/>
      <c r="PT34" s="476"/>
      <c r="PU34" s="476"/>
      <c r="PV34" s="476"/>
      <c r="PW34" s="476"/>
      <c r="PX34" s="476"/>
      <c r="PY34" s="476"/>
      <c r="PZ34" s="476"/>
      <c r="QA34" s="476"/>
      <c r="QB34" s="476"/>
      <c r="QC34" s="476"/>
      <c r="QD34" s="476"/>
      <c r="QE34" s="476"/>
      <c r="QF34" s="476"/>
      <c r="QG34" s="476"/>
      <c r="QH34" s="476"/>
      <c r="QI34" s="476"/>
      <c r="QJ34" s="476"/>
      <c r="QK34" s="476"/>
      <c r="QL34" s="476"/>
      <c r="QM34" s="476"/>
      <c r="QN34" s="476"/>
      <c r="QO34" s="476"/>
      <c r="QP34" s="476"/>
      <c r="QQ34" s="476"/>
      <c r="QR34" s="476"/>
      <c r="QS34" s="476"/>
      <c r="QT34" s="476"/>
      <c r="QU34" s="476"/>
      <c r="QV34" s="476"/>
      <c r="QW34" s="476"/>
      <c r="QX34" s="476"/>
      <c r="QY34" s="476"/>
      <c r="QZ34" s="476"/>
      <c r="RA34" s="476"/>
      <c r="RB34" s="476"/>
      <c r="RC34" s="476"/>
      <c r="RD34" s="476"/>
      <c r="RE34" s="476"/>
      <c r="RF34" s="476"/>
      <c r="RG34" s="476"/>
      <c r="RH34" s="476"/>
      <c r="RI34" s="476"/>
      <c r="RJ34" s="476"/>
      <c r="RK34" s="476"/>
      <c r="RL34" s="476"/>
      <c r="RM34" s="476"/>
      <c r="RN34" s="476"/>
      <c r="RO34" s="476"/>
      <c r="RP34" s="476"/>
      <c r="RQ34" s="476"/>
      <c r="RR34" s="476"/>
      <c r="RS34" s="476"/>
      <c r="RT34" s="476"/>
      <c r="RU34" s="476"/>
      <c r="RV34" s="476"/>
      <c r="RW34" s="476"/>
      <c r="RX34" s="476"/>
    </row>
    <row r="35" spans="1:492" s="59" customFormat="1" ht="31.2" thickBot="1">
      <c r="A35" s="490" t="s">
        <v>473</v>
      </c>
      <c r="B35" s="511" t="s">
        <v>474</v>
      </c>
      <c r="C35" s="391"/>
      <c r="D35" s="391"/>
      <c r="E35" s="391"/>
      <c r="F35" s="391"/>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c r="AD35" s="391"/>
      <c r="AE35" s="391"/>
      <c r="AF35" s="391"/>
      <c r="AG35" s="391"/>
      <c r="AH35" s="391"/>
      <c r="AI35" s="391"/>
      <c r="AJ35" s="391"/>
      <c r="AK35" s="391"/>
      <c r="AL35" s="391"/>
      <c r="AM35" s="502">
        <f>AM36+AM37</f>
        <v>174.39999999999998</v>
      </c>
      <c r="AN35" s="392">
        <f>AN36+AN37</f>
        <v>176.20000000000005</v>
      </c>
      <c r="AO35" s="392">
        <f>AO36+AO37</f>
        <v>282.79999999999995</v>
      </c>
      <c r="AP35" s="392">
        <f>AP36+AP37</f>
        <v>295</v>
      </c>
      <c r="AQ35" s="503">
        <f t="shared" si="43"/>
        <v>928.4</v>
      </c>
      <c r="AR35" s="392"/>
      <c r="AS35" s="392"/>
      <c r="AT35" s="392"/>
      <c r="AU35" s="392"/>
      <c r="AV35" s="393"/>
      <c r="AW35" s="392">
        <f>AW36+AW37</f>
        <v>359.9</v>
      </c>
      <c r="AX35" s="392">
        <f>AX36+AX37</f>
        <v>276.39999999999998</v>
      </c>
      <c r="AY35" s="392">
        <f>AY36+AY37</f>
        <v>318.29999999999995</v>
      </c>
      <c r="AZ35" s="392">
        <f>AZ36+AZ37</f>
        <v>277</v>
      </c>
      <c r="BA35" s="494">
        <f>SUM(AW35:AZ35)</f>
        <v>1231.5999999999999</v>
      </c>
      <c r="BB35" s="502">
        <f t="shared" ref="BB35:BK35" si="48">BB36+BB37</f>
        <v>307.39999999999998</v>
      </c>
      <c r="BC35" s="392">
        <f t="shared" si="48"/>
        <v>228.30000000000007</v>
      </c>
      <c r="BD35" s="392">
        <f t="shared" si="48"/>
        <v>251.99999999999989</v>
      </c>
      <c r="BE35" s="392">
        <f t="shared" si="48"/>
        <v>430.20000000000016</v>
      </c>
      <c r="BF35" s="503">
        <f t="shared" si="48"/>
        <v>1217.9000000000001</v>
      </c>
      <c r="BG35" s="392">
        <f t="shared" si="48"/>
        <v>335.5</v>
      </c>
      <c r="BH35" s="392">
        <f t="shared" si="48"/>
        <v>334.49999999999994</v>
      </c>
      <c r="BI35" s="392">
        <f t="shared" si="48"/>
        <v>231.8</v>
      </c>
      <c r="BJ35" s="392">
        <f>BJ36+BJ37</f>
        <v>256.99999999999994</v>
      </c>
      <c r="BK35" s="503">
        <f t="shared" si="48"/>
        <v>1158.8</v>
      </c>
      <c r="BL35" s="392">
        <f>BL36+BL37+BL38</f>
        <v>324.89999999999998</v>
      </c>
      <c r="BM35" s="670">
        <f t="shared" ref="BM35:BP35" si="49">BM36+BM37+BM38</f>
        <v>262</v>
      </c>
      <c r="BN35" s="392">
        <f t="shared" si="49"/>
        <v>225.30000000000004</v>
      </c>
      <c r="BO35" s="392">
        <f t="shared" si="49"/>
        <v>302.20000000000016</v>
      </c>
      <c r="BP35" s="503">
        <f t="shared" si="49"/>
        <v>1114.4000000000003</v>
      </c>
      <c r="BQ35" s="392">
        <f>BQ36+BQ37+BQ38+BQ39</f>
        <v>295.20000000000005</v>
      </c>
      <c r="BR35" s="392">
        <f t="shared" ref="BR35:BT35" si="50">BR36+BR37+BR38+BR39</f>
        <v>215.79999999999998</v>
      </c>
      <c r="BS35" s="392">
        <f t="shared" si="50"/>
        <v>493.50000000000011</v>
      </c>
      <c r="BT35" s="392">
        <f t="shared" si="50"/>
        <v>597.4</v>
      </c>
      <c r="BU35" s="821">
        <f>BU36+BU37+BU38+BU39</f>
        <v>1601.9</v>
      </c>
      <c r="BV35" s="392">
        <f>BV36+BV37+BV38+BV39</f>
        <v>335.6</v>
      </c>
      <c r="BW35" s="392">
        <f t="shared" ref="BW35:BY35" si="51">BW36+BW37+BW38+BW39</f>
        <v>358.1</v>
      </c>
      <c r="BX35" s="392">
        <f t="shared" si="51"/>
        <v>480.49999999999989</v>
      </c>
      <c r="BY35" s="392">
        <f t="shared" si="51"/>
        <v>610</v>
      </c>
      <c r="BZ35" s="821">
        <f>BZ36+BZ37+BZ38+BZ39</f>
        <v>1784.2</v>
      </c>
      <c r="CA35" s="392">
        <f>CA36+CA37+CA38+CA39</f>
        <v>489.6</v>
      </c>
      <c r="CB35" s="392">
        <f>CB36+CB37+CB38+CB39</f>
        <v>400</v>
      </c>
      <c r="CC35" s="392"/>
      <c r="CD35" s="392"/>
      <c r="CE35" s="821">
        <f>CE36+CE37+CE38+CE39</f>
        <v>889.60000000000014</v>
      </c>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c r="IY35" s="11"/>
      <c r="IZ35" s="11"/>
      <c r="JA35" s="11"/>
      <c r="JB35" s="11"/>
      <c r="JC35" s="11"/>
      <c r="JD35" s="11"/>
      <c r="JE35" s="11"/>
      <c r="JF35" s="11"/>
      <c r="JG35" s="11"/>
      <c r="JH35" s="11"/>
      <c r="JI35" s="11"/>
      <c r="JJ35" s="11"/>
      <c r="JK35" s="11"/>
      <c r="JL35" s="11"/>
      <c r="JM35" s="11"/>
      <c r="JN35" s="11"/>
      <c r="JO35" s="11"/>
      <c r="JP35" s="11"/>
      <c r="JQ35" s="11"/>
      <c r="JR35" s="11"/>
      <c r="JS35" s="11"/>
      <c r="JT35" s="11"/>
      <c r="JU35" s="11"/>
      <c r="JV35" s="11"/>
      <c r="JW35" s="11"/>
      <c r="JX35" s="11"/>
      <c r="JY35" s="11"/>
      <c r="JZ35" s="11"/>
      <c r="KA35" s="11"/>
      <c r="KB35" s="11"/>
      <c r="KC35" s="11"/>
      <c r="KD35" s="11"/>
      <c r="KE35" s="11"/>
      <c r="KF35" s="11"/>
      <c r="KG35" s="11"/>
      <c r="KH35" s="11"/>
      <c r="KI35" s="11"/>
      <c r="KJ35" s="11"/>
      <c r="KK35" s="11"/>
      <c r="KL35" s="11"/>
      <c r="KM35" s="11"/>
      <c r="KN35" s="11"/>
      <c r="KO35" s="11"/>
      <c r="KP35" s="11"/>
      <c r="KQ35" s="11"/>
      <c r="KR35" s="11"/>
      <c r="KS35" s="11"/>
      <c r="KT35" s="11"/>
      <c r="KU35" s="11"/>
      <c r="KV35" s="11"/>
      <c r="KW35" s="11"/>
      <c r="KX35" s="11"/>
      <c r="KY35" s="11"/>
      <c r="KZ35" s="11"/>
      <c r="LA35" s="11"/>
      <c r="LB35" s="11"/>
      <c r="LC35" s="11"/>
      <c r="LD35" s="11"/>
      <c r="LE35" s="11"/>
      <c r="LF35" s="11"/>
      <c r="LG35" s="11"/>
      <c r="LH35" s="11"/>
      <c r="LI35" s="11"/>
      <c r="LJ35" s="11"/>
      <c r="LK35" s="11"/>
      <c r="LL35" s="11"/>
      <c r="LM35" s="11"/>
      <c r="LN35" s="11"/>
      <c r="LO35" s="11"/>
      <c r="LP35" s="11"/>
      <c r="LQ35" s="11"/>
      <c r="LR35" s="11"/>
      <c r="LS35" s="11"/>
      <c r="LT35" s="11"/>
      <c r="LU35" s="11"/>
      <c r="LV35" s="11"/>
      <c r="LW35" s="11"/>
      <c r="LX35" s="11"/>
      <c r="LY35" s="11"/>
      <c r="LZ35" s="11"/>
      <c r="MA35" s="11"/>
      <c r="MB35" s="11"/>
      <c r="MC35" s="11"/>
      <c r="MD35" s="11"/>
      <c r="ME35" s="11"/>
      <c r="MF35" s="11"/>
      <c r="MG35" s="11"/>
      <c r="MH35" s="11"/>
      <c r="MI35" s="11"/>
      <c r="MJ35" s="11"/>
      <c r="MK35" s="11"/>
      <c r="ML35" s="11"/>
      <c r="MM35" s="11"/>
      <c r="MN35" s="11"/>
      <c r="MO35" s="11"/>
      <c r="MP35" s="11"/>
      <c r="MQ35" s="11"/>
      <c r="MR35" s="11"/>
      <c r="MS35" s="11"/>
      <c r="MT35" s="11"/>
      <c r="MU35" s="11"/>
      <c r="MV35" s="11"/>
      <c r="MW35" s="11"/>
      <c r="MX35" s="11"/>
      <c r="MY35" s="11"/>
      <c r="MZ35" s="11"/>
      <c r="NA35" s="11"/>
      <c r="NB35" s="11"/>
      <c r="NC35" s="11"/>
      <c r="ND35" s="11"/>
      <c r="NE35" s="11"/>
      <c r="NF35" s="11"/>
      <c r="NG35" s="11"/>
      <c r="NH35" s="11"/>
      <c r="NI35" s="11"/>
      <c r="NJ35" s="11"/>
      <c r="NK35" s="11"/>
      <c r="NL35" s="11"/>
      <c r="NM35" s="11"/>
      <c r="NN35" s="11"/>
      <c r="NO35" s="11"/>
      <c r="NP35" s="11"/>
      <c r="NQ35" s="11"/>
      <c r="NR35" s="11"/>
      <c r="NS35" s="11"/>
      <c r="NT35" s="11"/>
      <c r="NU35" s="11"/>
      <c r="NV35" s="11"/>
      <c r="NW35" s="11"/>
      <c r="NX35" s="11"/>
      <c r="NY35" s="11"/>
      <c r="NZ35" s="11"/>
      <c r="OA35" s="11"/>
      <c r="OB35" s="11"/>
      <c r="OC35" s="11"/>
      <c r="OD35" s="11"/>
      <c r="OE35" s="11"/>
      <c r="OF35" s="11"/>
      <c r="OG35" s="11"/>
      <c r="OH35" s="11"/>
      <c r="OI35" s="11"/>
      <c r="OJ35" s="11"/>
      <c r="OK35" s="11"/>
      <c r="OL35" s="11"/>
      <c r="OM35" s="11"/>
      <c r="ON35" s="11"/>
      <c r="OO35" s="11"/>
      <c r="OP35" s="11"/>
      <c r="OQ35" s="11"/>
      <c r="OR35" s="11"/>
      <c r="OS35" s="11"/>
      <c r="OT35" s="11"/>
      <c r="OU35" s="11"/>
      <c r="OV35" s="11"/>
      <c r="OW35" s="11"/>
      <c r="OX35" s="11"/>
      <c r="OY35" s="11"/>
      <c r="OZ35" s="11"/>
      <c r="PA35" s="11"/>
      <c r="PB35" s="11"/>
      <c r="PC35" s="11"/>
      <c r="PD35" s="11"/>
      <c r="PE35" s="11"/>
      <c r="PF35" s="11"/>
      <c r="PG35" s="11"/>
      <c r="PH35" s="11"/>
      <c r="PI35" s="11"/>
      <c r="PJ35" s="11"/>
      <c r="PK35" s="11"/>
      <c r="PL35" s="11"/>
      <c r="PM35" s="11"/>
      <c r="PN35" s="11"/>
      <c r="PO35" s="11"/>
      <c r="PP35" s="11"/>
      <c r="PQ35" s="11"/>
      <c r="PR35" s="11"/>
      <c r="PS35" s="11"/>
      <c r="PT35" s="11"/>
      <c r="PU35" s="11"/>
      <c r="PV35" s="11"/>
      <c r="PW35" s="11"/>
      <c r="PX35" s="11"/>
      <c r="PY35" s="11"/>
      <c r="PZ35" s="11"/>
      <c r="QA35" s="11"/>
      <c r="QB35" s="11"/>
      <c r="QC35" s="11"/>
      <c r="QD35" s="11"/>
      <c r="QE35" s="11"/>
      <c r="QF35" s="11"/>
      <c r="QG35" s="11"/>
      <c r="QH35" s="11"/>
      <c r="QI35" s="11"/>
      <c r="QJ35" s="11"/>
      <c r="QK35" s="11"/>
      <c r="QL35" s="11"/>
      <c r="QM35" s="11"/>
      <c r="QN35" s="11"/>
      <c r="QO35" s="11"/>
      <c r="QP35" s="11"/>
      <c r="QQ35" s="11"/>
      <c r="QR35" s="11"/>
      <c r="QS35" s="11"/>
      <c r="QT35" s="11"/>
      <c r="QU35" s="11"/>
      <c r="QV35" s="11"/>
      <c r="QW35" s="11"/>
      <c r="QX35" s="11"/>
      <c r="QY35" s="11"/>
      <c r="QZ35" s="11"/>
      <c r="RA35" s="11"/>
      <c r="RB35" s="11"/>
      <c r="RC35" s="11"/>
      <c r="RD35" s="11"/>
      <c r="RE35" s="11"/>
      <c r="RF35" s="11"/>
      <c r="RG35" s="11"/>
      <c r="RH35" s="11"/>
      <c r="RI35" s="11"/>
      <c r="RJ35" s="11"/>
      <c r="RK35" s="11"/>
      <c r="RL35" s="11"/>
      <c r="RM35" s="11"/>
      <c r="RN35" s="11"/>
      <c r="RO35" s="11"/>
      <c r="RP35" s="11"/>
      <c r="RQ35" s="11"/>
      <c r="RR35" s="11"/>
      <c r="RS35" s="11"/>
      <c r="RT35" s="11"/>
      <c r="RU35" s="11"/>
      <c r="RV35" s="11"/>
      <c r="RW35" s="11"/>
      <c r="RX35" s="11"/>
    </row>
    <row r="36" spans="1:492" s="471" customFormat="1" ht="20.100000000000001" customHeight="1">
      <c r="A36" s="491" t="s">
        <v>456</v>
      </c>
      <c r="B36" s="512" t="s">
        <v>475</v>
      </c>
      <c r="C36" s="468"/>
      <c r="D36" s="468"/>
      <c r="E36" s="468"/>
      <c r="F36" s="468"/>
      <c r="G36" s="468"/>
      <c r="H36" s="468"/>
      <c r="I36" s="468"/>
      <c r="J36" s="468"/>
      <c r="K36" s="468"/>
      <c r="L36" s="468"/>
      <c r="M36" s="468"/>
      <c r="N36" s="468"/>
      <c r="O36" s="468"/>
      <c r="P36" s="468"/>
      <c r="Q36" s="468"/>
      <c r="R36" s="468"/>
      <c r="S36" s="468"/>
      <c r="T36" s="468"/>
      <c r="U36" s="468"/>
      <c r="V36" s="468"/>
      <c r="W36" s="468"/>
      <c r="X36" s="468"/>
      <c r="Y36" s="468"/>
      <c r="Z36" s="468"/>
      <c r="AA36" s="468"/>
      <c r="AB36" s="468"/>
      <c r="AC36" s="468"/>
      <c r="AD36" s="468"/>
      <c r="AE36" s="468"/>
      <c r="AF36" s="468"/>
      <c r="AG36" s="468"/>
      <c r="AH36" s="468"/>
      <c r="AI36" s="468"/>
      <c r="AJ36" s="468"/>
      <c r="AK36" s="468"/>
      <c r="AL36" s="468"/>
      <c r="AM36" s="504">
        <v>164.99999999999997</v>
      </c>
      <c r="AN36" s="469">
        <v>165.60000000000005</v>
      </c>
      <c r="AO36" s="469">
        <v>259.39999999999998</v>
      </c>
      <c r="AP36" s="469">
        <v>285.7</v>
      </c>
      <c r="AQ36" s="500">
        <f t="shared" si="43"/>
        <v>875.7</v>
      </c>
      <c r="AR36" s="469"/>
      <c r="AS36" s="469"/>
      <c r="AT36" s="469"/>
      <c r="AU36" s="469"/>
      <c r="AV36" s="470"/>
      <c r="AW36" s="469">
        <v>350.9</v>
      </c>
      <c r="AX36" s="469">
        <v>266</v>
      </c>
      <c r="AY36" s="469">
        <v>312.59999999999997</v>
      </c>
      <c r="AZ36" s="469">
        <v>258.39999999999998</v>
      </c>
      <c r="BA36" s="478">
        <f t="shared" ref="BA36" si="52">SUM(AW36:AZ36)</f>
        <v>1187.9000000000001</v>
      </c>
      <c r="BB36" s="504">
        <v>283.7</v>
      </c>
      <c r="BC36" s="469">
        <v>214.10000000000008</v>
      </c>
      <c r="BD36" s="469">
        <v>232.09999999999988</v>
      </c>
      <c r="BE36" s="469">
        <v>382.50000000000017</v>
      </c>
      <c r="BF36" s="500">
        <f>SUM(BB36:BE36)</f>
        <v>1112.4000000000001</v>
      </c>
      <c r="BG36" s="469">
        <v>295.3</v>
      </c>
      <c r="BH36" s="485">
        <v>315.59999999999997</v>
      </c>
      <c r="BI36" s="485">
        <v>205.10000000000002</v>
      </c>
      <c r="BJ36" s="469">
        <f>1049.3-SUM(BG36:BI36)</f>
        <v>233.29999999999995</v>
      </c>
      <c r="BK36" s="500">
        <f>SUM(BG36:BJ36)</f>
        <v>1049.3</v>
      </c>
      <c r="BL36" s="469">
        <v>257.89999999999998</v>
      </c>
      <c r="BM36" s="485">
        <f>497.2-BL36</f>
        <v>239.3</v>
      </c>
      <c r="BN36" s="485">
        <f>692.2-BM36-BL36</f>
        <v>195.00000000000006</v>
      </c>
      <c r="BO36" s="469">
        <f>964.2-BN36-BM36-BL36</f>
        <v>272.00000000000011</v>
      </c>
      <c r="BP36" s="500">
        <f>SUM(BL36:BO36)</f>
        <v>964.20000000000016</v>
      </c>
      <c r="BQ36" s="469">
        <v>269.60000000000002</v>
      </c>
      <c r="BR36" s="485">
        <f>467.5-BQ36</f>
        <v>197.89999999999998</v>
      </c>
      <c r="BS36" s="475">
        <f>619.2-BR36-BQ36</f>
        <v>151.70000000000005</v>
      </c>
      <c r="BT36" s="469">
        <v>173.5</v>
      </c>
      <c r="BU36" s="819">
        <f>SUM(BQ36:BT36)</f>
        <v>792.7</v>
      </c>
      <c r="BV36" s="469">
        <v>217.2</v>
      </c>
      <c r="BW36" s="485">
        <v>175.3</v>
      </c>
      <c r="BX36" s="475">
        <v>180.89999999999998</v>
      </c>
      <c r="BY36" s="469">
        <v>182.5</v>
      </c>
      <c r="BZ36" s="819">
        <f>SUM(BV36:BY36)</f>
        <v>755.9</v>
      </c>
      <c r="CA36" s="469">
        <v>310.3</v>
      </c>
      <c r="CB36" s="485">
        <v>221.2</v>
      </c>
      <c r="CC36" s="475"/>
      <c r="CD36" s="469"/>
      <c r="CE36" s="819">
        <f>SUM(CA36:CD36)</f>
        <v>531.5</v>
      </c>
      <c r="CF36" s="935"/>
      <c r="CG36" s="935"/>
    </row>
    <row r="37" spans="1:492" s="471" customFormat="1" ht="20.100000000000001" customHeight="1">
      <c r="A37" s="491" t="s">
        <v>458</v>
      </c>
      <c r="B37" s="512" t="s">
        <v>459</v>
      </c>
      <c r="C37" s="472"/>
      <c r="D37" s="472"/>
      <c r="E37" s="472"/>
      <c r="F37" s="472"/>
      <c r="G37" s="472"/>
      <c r="H37" s="472"/>
      <c r="I37" s="472"/>
      <c r="J37" s="472"/>
      <c r="K37" s="472"/>
      <c r="L37" s="472"/>
      <c r="M37" s="472"/>
      <c r="N37" s="472"/>
      <c r="O37" s="472"/>
      <c r="P37" s="472"/>
      <c r="Q37" s="472"/>
      <c r="R37" s="472"/>
      <c r="S37" s="472"/>
      <c r="T37" s="472"/>
      <c r="U37" s="472"/>
      <c r="V37" s="472"/>
      <c r="W37" s="472"/>
      <c r="X37" s="472"/>
      <c r="Y37" s="472"/>
      <c r="Z37" s="472"/>
      <c r="AA37" s="472"/>
      <c r="AB37" s="472"/>
      <c r="AC37" s="472"/>
      <c r="AD37" s="472"/>
      <c r="AE37" s="472"/>
      <c r="AF37" s="472"/>
      <c r="AG37" s="472"/>
      <c r="AH37" s="472"/>
      <c r="AI37" s="472"/>
      <c r="AJ37" s="472"/>
      <c r="AK37" s="472"/>
      <c r="AL37" s="472"/>
      <c r="AM37" s="505">
        <v>9.4</v>
      </c>
      <c r="AN37" s="473">
        <v>10.6</v>
      </c>
      <c r="AO37" s="473">
        <v>23.4</v>
      </c>
      <c r="AP37" s="473">
        <v>9.3000000000000043</v>
      </c>
      <c r="AQ37" s="500">
        <f t="shared" si="43"/>
        <v>52.7</v>
      </c>
      <c r="AR37" s="473"/>
      <c r="AS37" s="473"/>
      <c r="AT37" s="473"/>
      <c r="AU37" s="473"/>
      <c r="AV37" s="470"/>
      <c r="AW37" s="473">
        <v>9</v>
      </c>
      <c r="AX37" s="473">
        <v>10.399999999999999</v>
      </c>
      <c r="AY37" s="473">
        <v>5.7000000000000028</v>
      </c>
      <c r="AZ37" s="473">
        <v>18.600000000000001</v>
      </c>
      <c r="BA37" s="478">
        <f>SUM(AW37:AZ37)</f>
        <v>43.7</v>
      </c>
      <c r="BB37" s="505">
        <v>23.7</v>
      </c>
      <c r="BC37" s="473">
        <v>14.2</v>
      </c>
      <c r="BD37" s="473">
        <v>19.899999999999999</v>
      </c>
      <c r="BE37" s="473">
        <v>47.7</v>
      </c>
      <c r="BF37" s="500">
        <f>SUM(BB37:BE37)</f>
        <v>105.5</v>
      </c>
      <c r="BG37" s="473">
        <v>40.200000000000003</v>
      </c>
      <c r="BH37" s="486">
        <v>18.899999999999999</v>
      </c>
      <c r="BI37" s="486">
        <v>26.700000000000003</v>
      </c>
      <c r="BJ37" s="473">
        <f>109.5-SUM(BG37:BI37)</f>
        <v>23.699999999999989</v>
      </c>
      <c r="BK37" s="500">
        <f>SUM(BG37:BJ37)</f>
        <v>109.5</v>
      </c>
      <c r="BL37" s="473">
        <v>67</v>
      </c>
      <c r="BM37" s="486">
        <f>81.7-BL37</f>
        <v>14.700000000000003</v>
      </c>
      <c r="BN37" s="486">
        <f>97.9-BM37-BL37</f>
        <v>16.200000000000003</v>
      </c>
      <c r="BO37" s="473">
        <f>117-BN37-BM37-BL37</f>
        <v>19.099999999999994</v>
      </c>
      <c r="BP37" s="500">
        <f>SUM(BL37:BO37)</f>
        <v>117</v>
      </c>
      <c r="BQ37" s="473">
        <v>22.3</v>
      </c>
      <c r="BR37" s="486">
        <f>31.3-BQ37</f>
        <v>9</v>
      </c>
      <c r="BS37" s="475">
        <v>31.3</v>
      </c>
      <c r="BT37" s="469">
        <v>11.399999999999999</v>
      </c>
      <c r="BU37" s="819">
        <f>SUM(BQ37:BT37)</f>
        <v>74</v>
      </c>
      <c r="BV37" s="473">
        <v>26.3</v>
      </c>
      <c r="BW37" s="486">
        <v>13.599999999999998</v>
      </c>
      <c r="BX37" s="475">
        <v>18.399999999999999</v>
      </c>
      <c r="BY37" s="469">
        <v>19.7</v>
      </c>
      <c r="BZ37" s="819">
        <f>SUM(BV37:BY37)</f>
        <v>78</v>
      </c>
      <c r="CA37" s="473">
        <v>13.3</v>
      </c>
      <c r="CB37" s="486">
        <v>13.399999999999999</v>
      </c>
      <c r="CC37" s="475"/>
      <c r="CD37" s="469"/>
      <c r="CE37" s="819">
        <f>SUM(CA37:CD37)</f>
        <v>26.7</v>
      </c>
      <c r="CF37" s="935"/>
    </row>
    <row r="38" spans="1:492" s="471" customFormat="1" ht="20.100000000000001" customHeight="1">
      <c r="A38" s="491" t="s">
        <v>468</v>
      </c>
      <c r="B38" s="512" t="s">
        <v>461</v>
      </c>
      <c r="C38" s="472"/>
      <c r="D38" s="472"/>
      <c r="E38" s="472"/>
      <c r="F38" s="472"/>
      <c r="G38" s="472"/>
      <c r="H38" s="472"/>
      <c r="I38" s="472"/>
      <c r="J38" s="472"/>
      <c r="K38" s="472"/>
      <c r="L38" s="472"/>
      <c r="M38" s="472"/>
      <c r="N38" s="472"/>
      <c r="O38" s="472"/>
      <c r="P38" s="472"/>
      <c r="Q38" s="472"/>
      <c r="R38" s="472"/>
      <c r="S38" s="472"/>
      <c r="T38" s="472"/>
      <c r="U38" s="472"/>
      <c r="V38" s="472"/>
      <c r="W38" s="472"/>
      <c r="X38" s="472"/>
      <c r="Y38" s="472"/>
      <c r="Z38" s="472"/>
      <c r="AA38" s="472"/>
      <c r="AB38" s="472"/>
      <c r="AC38" s="472"/>
      <c r="AD38" s="472"/>
      <c r="AE38" s="472"/>
      <c r="AF38" s="472"/>
      <c r="AG38" s="472"/>
      <c r="AH38" s="472"/>
      <c r="AI38" s="472"/>
      <c r="AJ38" s="472"/>
      <c r="AK38" s="472"/>
      <c r="AL38" s="472"/>
      <c r="AM38" s="505"/>
      <c r="AN38" s="473"/>
      <c r="AO38" s="473"/>
      <c r="AP38" s="473"/>
      <c r="AQ38" s="500"/>
      <c r="AR38" s="473"/>
      <c r="AS38" s="473"/>
      <c r="AT38" s="473"/>
      <c r="AU38" s="473"/>
      <c r="AV38" s="470"/>
      <c r="AW38" s="473"/>
      <c r="AX38" s="473"/>
      <c r="AY38" s="473"/>
      <c r="AZ38" s="473"/>
      <c r="BA38" s="478"/>
      <c r="BB38" s="505"/>
      <c r="BC38" s="473"/>
      <c r="BD38" s="473"/>
      <c r="BE38" s="473"/>
      <c r="BF38" s="500"/>
      <c r="BG38" s="473"/>
      <c r="BH38" s="486"/>
      <c r="BI38" s="486"/>
      <c r="BJ38" s="473"/>
      <c r="BK38" s="500"/>
      <c r="BL38" s="473"/>
      <c r="BM38" s="486">
        <v>8</v>
      </c>
      <c r="BN38" s="486">
        <f>22.1-BM38-BL38</f>
        <v>14.100000000000001</v>
      </c>
      <c r="BO38" s="473">
        <f>33.2-BN38-BM38</f>
        <v>11.100000000000001</v>
      </c>
      <c r="BP38" s="500">
        <f>SUM(BL38:BO38)</f>
        <v>33.200000000000003</v>
      </c>
      <c r="BQ38" s="473">
        <v>3.3</v>
      </c>
      <c r="BR38" s="486">
        <f>12.2-BQ38</f>
        <v>8.8999999999999986</v>
      </c>
      <c r="BS38" s="475">
        <v>8.9000000000000021</v>
      </c>
      <c r="BT38" s="469">
        <v>3.5</v>
      </c>
      <c r="BU38" s="819">
        <f>SUM(BQ38:BT38)</f>
        <v>24.6</v>
      </c>
      <c r="BV38" s="473">
        <v>5.0999999999999996</v>
      </c>
      <c r="BW38" s="486">
        <v>1.4000000000000004</v>
      </c>
      <c r="BX38" s="475">
        <v>4.1999999999999993</v>
      </c>
      <c r="BY38" s="469">
        <v>14</v>
      </c>
      <c r="BZ38" s="819">
        <f>SUM(BV38:BY38)</f>
        <v>24.7</v>
      </c>
      <c r="CA38" s="473">
        <v>9.1999999999999993</v>
      </c>
      <c r="CB38" s="486">
        <v>15</v>
      </c>
      <c r="CC38" s="475"/>
      <c r="CD38" s="469"/>
      <c r="CE38" s="819">
        <f>SUM(CA38:CD38)</f>
        <v>24.2</v>
      </c>
      <c r="CF38" s="935"/>
    </row>
    <row r="39" spans="1:492" s="471" customFormat="1" ht="20.100000000000001" customHeight="1" thickBot="1">
      <c r="A39" s="489" t="s">
        <v>462</v>
      </c>
      <c r="B39" s="512" t="s">
        <v>463</v>
      </c>
      <c r="C39" s="472"/>
      <c r="D39" s="472"/>
      <c r="E39" s="472"/>
      <c r="F39" s="472"/>
      <c r="G39" s="472"/>
      <c r="H39" s="472"/>
      <c r="I39" s="472"/>
      <c r="J39" s="472"/>
      <c r="K39" s="472"/>
      <c r="L39" s="472"/>
      <c r="M39" s="472"/>
      <c r="N39" s="472"/>
      <c r="O39" s="472"/>
      <c r="P39" s="472"/>
      <c r="Q39" s="472"/>
      <c r="R39" s="472"/>
      <c r="S39" s="472"/>
      <c r="T39" s="472"/>
      <c r="U39" s="472"/>
      <c r="V39" s="472"/>
      <c r="W39" s="472"/>
      <c r="X39" s="472"/>
      <c r="Y39" s="472"/>
      <c r="Z39" s="472"/>
      <c r="AA39" s="472"/>
      <c r="AB39" s="472"/>
      <c r="AC39" s="472"/>
      <c r="AD39" s="472"/>
      <c r="AE39" s="472"/>
      <c r="AF39" s="472"/>
      <c r="AG39" s="472"/>
      <c r="AH39" s="472"/>
      <c r="AI39" s="472"/>
      <c r="AJ39" s="472"/>
      <c r="AK39" s="472"/>
      <c r="AL39" s="472"/>
      <c r="AM39" s="505"/>
      <c r="AN39" s="473"/>
      <c r="AO39" s="473"/>
      <c r="AP39" s="473"/>
      <c r="AQ39" s="500"/>
      <c r="AR39" s="473"/>
      <c r="AS39" s="473"/>
      <c r="AT39" s="473"/>
      <c r="AU39" s="473"/>
      <c r="AV39" s="470"/>
      <c r="AW39" s="473"/>
      <c r="AX39" s="473"/>
      <c r="AY39" s="473"/>
      <c r="AZ39" s="473"/>
      <c r="BA39" s="478"/>
      <c r="BB39" s="505"/>
      <c r="BC39" s="473"/>
      <c r="BD39" s="473"/>
      <c r="BE39" s="473"/>
      <c r="BF39" s="500"/>
      <c r="BG39" s="473"/>
      <c r="BH39" s="486"/>
      <c r="BI39" s="486"/>
      <c r="BJ39" s="473"/>
      <c r="BK39" s="500"/>
      <c r="BL39" s="473"/>
      <c r="BM39" s="486"/>
      <c r="BN39" s="486"/>
      <c r="BO39" s="473"/>
      <c r="BP39" s="500"/>
      <c r="BQ39" s="473"/>
      <c r="BR39" s="486"/>
      <c r="BS39" s="475">
        <v>301.60000000000002</v>
      </c>
      <c r="BT39" s="469">
        <v>409</v>
      </c>
      <c r="BU39" s="819">
        <f>SUM(BQ39:BT39)</f>
        <v>710.6</v>
      </c>
      <c r="BV39" s="473">
        <v>87</v>
      </c>
      <c r="BW39" s="486">
        <v>167.8</v>
      </c>
      <c r="BX39" s="475">
        <v>276.99999999999994</v>
      </c>
      <c r="BY39" s="469">
        <v>393.80000000000007</v>
      </c>
      <c r="BZ39" s="819">
        <f>SUM(BV39:BY39)</f>
        <v>925.6</v>
      </c>
      <c r="CA39" s="473">
        <v>156.80000000000001</v>
      </c>
      <c r="CB39" s="486">
        <v>150.39999999999998</v>
      </c>
      <c r="CC39" s="475"/>
      <c r="CD39" s="469"/>
      <c r="CE39" s="819">
        <f>SUM(CA39:CD39)</f>
        <v>307.2</v>
      </c>
      <c r="CF39" s="935"/>
    </row>
    <row r="40" spans="1:492" s="59" customFormat="1" ht="29.4" thickBot="1">
      <c r="A40" s="492" t="s">
        <v>476</v>
      </c>
      <c r="B40" s="513" t="s">
        <v>477</v>
      </c>
      <c r="C40" s="397"/>
      <c r="D40" s="397"/>
      <c r="E40" s="397"/>
      <c r="F40" s="397"/>
      <c r="G40" s="397"/>
      <c r="H40" s="397"/>
      <c r="I40" s="397"/>
      <c r="J40" s="397"/>
      <c r="K40" s="397"/>
      <c r="L40" s="397"/>
      <c r="M40" s="397"/>
      <c r="N40" s="397"/>
      <c r="O40" s="397"/>
      <c r="P40" s="397"/>
      <c r="Q40" s="397"/>
      <c r="R40" s="397"/>
      <c r="S40" s="397"/>
      <c r="T40" s="397"/>
      <c r="U40" s="397"/>
      <c r="V40" s="397"/>
      <c r="W40" s="397"/>
      <c r="X40" s="397"/>
      <c r="Y40" s="397"/>
      <c r="Z40" s="397"/>
      <c r="AA40" s="397"/>
      <c r="AB40" s="397"/>
      <c r="AC40" s="397"/>
      <c r="AD40" s="397"/>
      <c r="AE40" s="397"/>
      <c r="AF40" s="397"/>
      <c r="AG40" s="397"/>
      <c r="AH40" s="397"/>
      <c r="AI40" s="397"/>
      <c r="AJ40" s="397"/>
      <c r="AK40" s="397"/>
      <c r="AL40" s="397"/>
      <c r="AM40" s="506">
        <f t="shared" ref="AM40:CB40" si="53">AM35/AM5</f>
        <v>7.4342469840999181E-2</v>
      </c>
      <c r="AN40" s="398">
        <f t="shared" si="53"/>
        <v>6.7685925015365744E-2</v>
      </c>
      <c r="AO40" s="398">
        <f t="shared" si="53"/>
        <v>0.10340036563071296</v>
      </c>
      <c r="AP40" s="398">
        <f t="shared" si="53"/>
        <v>9.826782145236504E-2</v>
      </c>
      <c r="AQ40" s="507">
        <f t="shared" si="53"/>
        <v>8.6879216926661729E-2</v>
      </c>
      <c r="AR40" s="398" t="e">
        <f t="shared" si="53"/>
        <v>#DIV/0!</v>
      </c>
      <c r="AS40" s="398" t="e">
        <f t="shared" si="53"/>
        <v>#DIV/0!</v>
      </c>
      <c r="AT40" s="398" t="e">
        <f t="shared" si="53"/>
        <v>#DIV/0!</v>
      </c>
      <c r="AU40" s="398" t="e">
        <f t="shared" si="53"/>
        <v>#DIV/0!</v>
      </c>
      <c r="AV40" s="399" t="e">
        <f t="shared" si="53"/>
        <v>#DIV/0!</v>
      </c>
      <c r="AW40" s="398">
        <f t="shared" si="53"/>
        <v>0.12892248173090701</v>
      </c>
      <c r="AX40" s="398">
        <f t="shared" si="53"/>
        <v>9.4560383167978102E-2</v>
      </c>
      <c r="AY40" s="398">
        <f t="shared" si="53"/>
        <v>0.11004701977596458</v>
      </c>
      <c r="AZ40" s="398">
        <f t="shared" si="53"/>
        <v>9.0254471995047422E-2</v>
      </c>
      <c r="BA40" s="495">
        <f t="shared" si="53"/>
        <v>0.10548042582711693</v>
      </c>
      <c r="BB40" s="506">
        <f t="shared" si="53"/>
        <v>0.10791644725294014</v>
      </c>
      <c r="BC40" s="398">
        <f t="shared" si="53"/>
        <v>7.974988647081431E-2</v>
      </c>
      <c r="BD40" s="398">
        <f t="shared" si="53"/>
        <v>8.3902114200099839E-2</v>
      </c>
      <c r="BE40" s="398">
        <f t="shared" si="53"/>
        <v>0.13244258358475466</v>
      </c>
      <c r="BF40" s="507">
        <f t="shared" si="53"/>
        <v>0.10180641817619475</v>
      </c>
      <c r="BG40" s="398">
        <f t="shared" si="53"/>
        <v>0.11230501439378725</v>
      </c>
      <c r="BH40" s="398">
        <f t="shared" si="53"/>
        <v>0.10586448080513972</v>
      </c>
      <c r="BI40" s="398">
        <f t="shared" si="53"/>
        <v>7.6453708895412115E-2</v>
      </c>
      <c r="BJ40" s="398">
        <f t="shared" si="53"/>
        <v>7.8713629402756474E-2</v>
      </c>
      <c r="BK40" s="516">
        <f t="shared" si="53"/>
        <v>9.312118289938924E-2</v>
      </c>
      <c r="BL40" s="398">
        <f t="shared" si="53"/>
        <v>0.10878226805504401</v>
      </c>
      <c r="BM40" s="398">
        <f t="shared" si="53"/>
        <v>8.1162293609243819E-2</v>
      </c>
      <c r="BN40" s="398">
        <f t="shared" si="53"/>
        <v>6.888012473631111E-2</v>
      </c>
      <c r="BO40" s="398">
        <f t="shared" si="53"/>
        <v>8.8115232097037602E-2</v>
      </c>
      <c r="BP40" s="516">
        <f t="shared" si="53"/>
        <v>8.628525856929381E-2</v>
      </c>
      <c r="BQ40" s="398">
        <f t="shared" si="53"/>
        <v>9.227018410277249E-2</v>
      </c>
      <c r="BR40" s="398">
        <f t="shared" si="53"/>
        <v>6.5596692808073426E-2</v>
      </c>
      <c r="BS40" s="398">
        <f t="shared" si="53"/>
        <v>0.14280753537633478</v>
      </c>
      <c r="BT40" s="398">
        <f t="shared" si="53"/>
        <v>0.16227081352709491</v>
      </c>
      <c r="BU40" s="823">
        <f t="shared" si="53"/>
        <v>0.11755942552270242</v>
      </c>
      <c r="BV40" s="398">
        <f t="shared" si="53"/>
        <v>9.8560939794419974E-2</v>
      </c>
      <c r="BW40" s="398">
        <f t="shared" si="53"/>
        <v>0.10366789219234</v>
      </c>
      <c r="BX40" s="398">
        <f t="shared" si="53"/>
        <v>0.13423662522698698</v>
      </c>
      <c r="BY40" s="398">
        <f t="shared" si="53"/>
        <v>0.1593896161584489</v>
      </c>
      <c r="BZ40" s="823">
        <f t="shared" si="53"/>
        <v>0.12506746857891896</v>
      </c>
      <c r="CA40" s="398">
        <f t="shared" si="53"/>
        <v>0.13868902611750042</v>
      </c>
      <c r="CB40" s="398">
        <f t="shared" si="53"/>
        <v>0.11140819964349376</v>
      </c>
      <c r="CC40" s="398"/>
      <c r="CD40" s="398"/>
      <c r="CE40" s="823">
        <f>CE35/CE5</f>
        <v>0.12493329213830298</v>
      </c>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c r="EA40" s="11"/>
      <c r="EB40" s="11"/>
      <c r="EC40" s="11"/>
      <c r="ED40" s="11"/>
      <c r="EE40" s="11"/>
      <c r="EF40" s="11"/>
      <c r="EG40" s="11"/>
      <c r="EH40" s="11"/>
      <c r="EI40" s="11"/>
      <c r="EJ40" s="11"/>
      <c r="EK40" s="11"/>
      <c r="EL40" s="11"/>
      <c r="EM40" s="11"/>
      <c r="EN40" s="11"/>
      <c r="EO40" s="11"/>
      <c r="EP40" s="11"/>
      <c r="EQ40" s="11"/>
      <c r="ER40" s="11"/>
      <c r="ES40" s="11"/>
      <c r="ET40" s="11"/>
      <c r="EU40" s="11"/>
      <c r="EV40" s="11"/>
      <c r="EW40" s="11"/>
      <c r="EX40" s="11"/>
      <c r="EY40" s="11"/>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c r="IS40" s="11"/>
      <c r="IT40" s="11"/>
      <c r="IU40" s="11"/>
      <c r="IV40" s="11"/>
      <c r="IW40" s="11"/>
      <c r="IX40" s="11"/>
      <c r="IY40" s="11"/>
      <c r="IZ40" s="11"/>
      <c r="JA40" s="11"/>
      <c r="JB40" s="11"/>
      <c r="JC40" s="11"/>
      <c r="JD40" s="11"/>
      <c r="JE40" s="11"/>
      <c r="JF40" s="11"/>
      <c r="JG40" s="11"/>
      <c r="JH40" s="11"/>
      <c r="JI40" s="11"/>
      <c r="JJ40" s="11"/>
      <c r="JK40" s="11"/>
      <c r="JL40" s="11"/>
      <c r="JM40" s="11"/>
      <c r="JN40" s="11"/>
      <c r="JO40" s="11"/>
      <c r="JP40" s="11"/>
      <c r="JQ40" s="11"/>
      <c r="JR40" s="11"/>
      <c r="JS40" s="11"/>
      <c r="JT40" s="11"/>
      <c r="JU40" s="11"/>
      <c r="JV40" s="11"/>
      <c r="JW40" s="11"/>
      <c r="JX40" s="11"/>
      <c r="JY40" s="11"/>
      <c r="JZ40" s="11"/>
      <c r="KA40" s="11"/>
      <c r="KB40" s="11"/>
      <c r="KC40" s="11"/>
      <c r="KD40" s="11"/>
      <c r="KE40" s="11"/>
      <c r="KF40" s="11"/>
      <c r="KG40" s="11"/>
      <c r="KH40" s="11"/>
      <c r="KI40" s="11"/>
      <c r="KJ40" s="11"/>
      <c r="KK40" s="11"/>
      <c r="KL40" s="11"/>
      <c r="KM40" s="11"/>
      <c r="KN40" s="11"/>
      <c r="KO40" s="11"/>
      <c r="KP40" s="11"/>
      <c r="KQ40" s="11"/>
      <c r="KR40" s="11"/>
      <c r="KS40" s="11"/>
      <c r="KT40" s="11"/>
      <c r="KU40" s="11"/>
      <c r="KV40" s="11"/>
      <c r="KW40" s="11"/>
      <c r="KX40" s="11"/>
      <c r="KY40" s="11"/>
      <c r="KZ40" s="11"/>
      <c r="LA40" s="11"/>
      <c r="LB40" s="11"/>
      <c r="LC40" s="11"/>
      <c r="LD40" s="11"/>
      <c r="LE40" s="11"/>
      <c r="LF40" s="11"/>
      <c r="LG40" s="11"/>
      <c r="LH40" s="11"/>
      <c r="LI40" s="11"/>
      <c r="LJ40" s="11"/>
      <c r="LK40" s="11"/>
      <c r="LL40" s="11"/>
      <c r="LM40" s="11"/>
      <c r="LN40" s="11"/>
      <c r="LO40" s="11"/>
      <c r="LP40" s="11"/>
      <c r="LQ40" s="11"/>
      <c r="LR40" s="11"/>
      <c r="LS40" s="11"/>
      <c r="LT40" s="11"/>
      <c r="LU40" s="11"/>
      <c r="LV40" s="11"/>
      <c r="LW40" s="11"/>
      <c r="LX40" s="11"/>
      <c r="LY40" s="11"/>
      <c r="LZ40" s="11"/>
      <c r="MA40" s="11"/>
      <c r="MB40" s="11"/>
      <c r="MC40" s="11"/>
      <c r="MD40" s="11"/>
      <c r="ME40" s="11"/>
      <c r="MF40" s="11"/>
      <c r="MG40" s="11"/>
      <c r="MH40" s="11"/>
      <c r="MI40" s="11"/>
      <c r="MJ40" s="11"/>
      <c r="MK40" s="11"/>
      <c r="ML40" s="11"/>
      <c r="MM40" s="11"/>
      <c r="MN40" s="11"/>
      <c r="MO40" s="11"/>
      <c r="MP40" s="11"/>
      <c r="MQ40" s="11"/>
      <c r="MR40" s="11"/>
      <c r="MS40" s="11"/>
      <c r="MT40" s="11"/>
      <c r="MU40" s="11"/>
      <c r="MV40" s="11"/>
      <c r="MW40" s="11"/>
      <c r="MX40" s="11"/>
      <c r="MY40" s="11"/>
      <c r="MZ40" s="11"/>
      <c r="NA40" s="11"/>
      <c r="NB40" s="11"/>
      <c r="NC40" s="11"/>
      <c r="ND40" s="11"/>
      <c r="NE40" s="11"/>
      <c r="NF40" s="11"/>
      <c r="NG40" s="11"/>
      <c r="NH40" s="11"/>
      <c r="NI40" s="11"/>
      <c r="NJ40" s="11"/>
      <c r="NK40" s="11"/>
      <c r="NL40" s="11"/>
      <c r="NM40" s="11"/>
      <c r="NN40" s="11"/>
      <c r="NO40" s="11"/>
      <c r="NP40" s="11"/>
      <c r="NQ40" s="11"/>
      <c r="NR40" s="11"/>
      <c r="NS40" s="11"/>
      <c r="NT40" s="11"/>
      <c r="NU40" s="11"/>
      <c r="NV40" s="11"/>
      <c r="NW40" s="11"/>
      <c r="NX40" s="11"/>
      <c r="NY40" s="11"/>
      <c r="NZ40" s="11"/>
      <c r="OA40" s="11"/>
      <c r="OB40" s="11"/>
      <c r="OC40" s="11"/>
      <c r="OD40" s="11"/>
      <c r="OE40" s="11"/>
      <c r="OF40" s="11"/>
      <c r="OG40" s="11"/>
      <c r="OH40" s="11"/>
      <c r="OI40" s="11"/>
      <c r="OJ40" s="11"/>
      <c r="OK40" s="11"/>
      <c r="OL40" s="11"/>
      <c r="OM40" s="11"/>
      <c r="ON40" s="11"/>
      <c r="OO40" s="11"/>
      <c r="OP40" s="11"/>
      <c r="OQ40" s="11"/>
      <c r="OR40" s="11"/>
      <c r="OS40" s="11"/>
      <c r="OT40" s="11"/>
      <c r="OU40" s="11"/>
      <c r="OV40" s="11"/>
      <c r="OW40" s="11"/>
      <c r="OX40" s="11"/>
      <c r="OY40" s="11"/>
      <c r="OZ40" s="11"/>
      <c r="PA40" s="11"/>
      <c r="PB40" s="11"/>
      <c r="PC40" s="11"/>
      <c r="PD40" s="11"/>
      <c r="PE40" s="11"/>
      <c r="PF40" s="11"/>
      <c r="PG40" s="11"/>
      <c r="PH40" s="11"/>
      <c r="PI40" s="11"/>
      <c r="PJ40" s="11"/>
      <c r="PK40" s="11"/>
      <c r="PL40" s="11"/>
      <c r="PM40" s="11"/>
      <c r="PN40" s="11"/>
      <c r="PO40" s="11"/>
      <c r="PP40" s="11"/>
      <c r="PQ40" s="11"/>
      <c r="PR40" s="11"/>
      <c r="PS40" s="11"/>
      <c r="PT40" s="11"/>
      <c r="PU40" s="11"/>
      <c r="PV40" s="11"/>
      <c r="PW40" s="11"/>
      <c r="PX40" s="11"/>
      <c r="PY40" s="11"/>
      <c r="PZ40" s="11"/>
      <c r="QA40" s="11"/>
      <c r="QB40" s="11"/>
      <c r="QC40" s="11"/>
      <c r="QD40" s="11"/>
      <c r="QE40" s="11"/>
      <c r="QF40" s="11"/>
      <c r="QG40" s="11"/>
      <c r="QH40" s="11"/>
      <c r="QI40" s="11"/>
      <c r="QJ40" s="11"/>
      <c r="QK40" s="11"/>
      <c r="QL40" s="11"/>
      <c r="QM40" s="11"/>
      <c r="QN40" s="11"/>
      <c r="QO40" s="11"/>
      <c r="QP40" s="11"/>
      <c r="QQ40" s="11"/>
      <c r="QR40" s="11"/>
      <c r="QS40" s="11"/>
      <c r="QT40" s="11"/>
      <c r="QU40" s="11"/>
      <c r="QV40" s="11"/>
      <c r="QW40" s="11"/>
      <c r="QX40" s="11"/>
      <c r="QY40" s="11"/>
      <c r="QZ40" s="11"/>
      <c r="RA40" s="11"/>
      <c r="RB40" s="11"/>
      <c r="RC40" s="11"/>
      <c r="RD40" s="11"/>
      <c r="RE40" s="11"/>
      <c r="RF40" s="11"/>
      <c r="RG40" s="11"/>
      <c r="RH40" s="11"/>
      <c r="RI40" s="11"/>
      <c r="RJ40" s="11"/>
      <c r="RK40" s="11"/>
      <c r="RL40" s="11"/>
      <c r="RM40" s="11"/>
      <c r="RN40" s="11"/>
      <c r="RO40" s="11"/>
      <c r="RP40" s="11"/>
      <c r="RQ40" s="11"/>
      <c r="RR40" s="11"/>
      <c r="RS40" s="11"/>
      <c r="RT40" s="11"/>
      <c r="RU40" s="11"/>
      <c r="RV40" s="11"/>
      <c r="RW40" s="11"/>
      <c r="RX40" s="11"/>
    </row>
    <row r="41" spans="1:492" s="143" customFormat="1" ht="30" customHeight="1">
      <c r="A41" s="780"/>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3"/>
      <c r="AK41" s="103"/>
      <c r="AL41" s="103"/>
      <c r="AM41" s="781"/>
      <c r="AN41" s="781"/>
      <c r="AO41" s="781"/>
      <c r="AP41" s="781"/>
      <c r="AQ41" s="781"/>
      <c r="AR41" s="782"/>
      <c r="AS41" s="782"/>
      <c r="AT41" s="782"/>
      <c r="AU41" s="782"/>
      <c r="AV41" s="782"/>
      <c r="AW41" s="781"/>
      <c r="AX41" s="781"/>
      <c r="AY41" s="781"/>
      <c r="AZ41" s="781"/>
      <c r="BA41" s="146"/>
      <c r="BB41" s="146"/>
      <c r="BC41" s="146"/>
      <c r="BD41" s="146"/>
      <c r="BE41" s="146"/>
      <c r="BF41" s="146"/>
      <c r="BG41" s="146"/>
      <c r="BH41" s="146"/>
      <c r="BI41" s="146"/>
      <c r="BJ41" s="146"/>
      <c r="BK41" s="146"/>
      <c r="BL41" s="146"/>
      <c r="BM41" s="737"/>
      <c r="BN41" s="146"/>
      <c r="BO41" s="146"/>
      <c r="BP41" s="146"/>
      <c r="BQ41" s="146"/>
      <c r="BR41" s="737"/>
      <c r="BS41" s="146"/>
      <c r="BT41" s="146"/>
      <c r="BU41" s="146"/>
      <c r="BV41" s="146"/>
      <c r="BW41" s="737"/>
      <c r="BX41" s="146"/>
      <c r="BY41" s="146"/>
      <c r="BZ41" s="146"/>
      <c r="CA41" s="779"/>
      <c r="CB41" s="894"/>
      <c r="CC41" s="895"/>
      <c r="CD41" s="779"/>
      <c r="CE41" s="779"/>
      <c r="CF41" s="779"/>
      <c r="CG41" s="779"/>
      <c r="CH41" s="779"/>
      <c r="CI41" s="779"/>
      <c r="CJ41" s="779"/>
      <c r="CK41" s="779"/>
      <c r="CL41" s="779"/>
      <c r="CM41" s="779"/>
      <c r="CN41" s="779"/>
      <c r="CO41" s="779"/>
      <c r="CP41" s="779"/>
      <c r="CQ41" s="779"/>
      <c r="CR41" s="779"/>
      <c r="CS41" s="779"/>
      <c r="CT41" s="779"/>
      <c r="CU41" s="779"/>
      <c r="CV41" s="779"/>
      <c r="CW41" s="779"/>
      <c r="CX41" s="779"/>
      <c r="CY41" s="779"/>
      <c r="CZ41" s="779"/>
      <c r="DA41" s="779"/>
      <c r="DB41" s="779"/>
      <c r="DC41" s="779"/>
      <c r="DD41" s="779"/>
      <c r="DE41" s="779"/>
      <c r="DF41" s="779"/>
      <c r="DG41" s="779"/>
      <c r="DH41" s="779"/>
      <c r="DI41" s="779"/>
      <c r="DJ41" s="779"/>
      <c r="DK41" s="779"/>
      <c r="DL41" s="779"/>
      <c r="DM41" s="779"/>
      <c r="DN41" s="779"/>
      <c r="DO41" s="779"/>
      <c r="DP41" s="779"/>
      <c r="DQ41" s="779"/>
      <c r="DR41" s="779"/>
      <c r="DS41" s="779"/>
      <c r="DT41" s="779"/>
      <c r="DU41" s="779"/>
      <c r="DV41" s="779"/>
      <c r="DW41" s="779"/>
      <c r="DX41" s="779"/>
      <c r="DY41" s="779"/>
      <c r="DZ41" s="779"/>
      <c r="EA41" s="779"/>
      <c r="EB41" s="779"/>
      <c r="EC41" s="779"/>
      <c r="ED41" s="779"/>
      <c r="EE41" s="779"/>
      <c r="EF41" s="779"/>
      <c r="EG41" s="779"/>
      <c r="EH41" s="779"/>
      <c r="EI41" s="779"/>
      <c r="EJ41" s="779"/>
      <c r="EK41" s="779"/>
      <c r="EL41" s="779"/>
      <c r="EM41" s="779"/>
      <c r="EN41" s="779"/>
      <c r="EO41" s="779"/>
      <c r="EP41" s="779"/>
      <c r="EQ41" s="779"/>
      <c r="ER41" s="779"/>
      <c r="ES41" s="779"/>
      <c r="ET41" s="779"/>
      <c r="EU41" s="779"/>
      <c r="EV41" s="779"/>
      <c r="EW41" s="779"/>
      <c r="EX41" s="779"/>
      <c r="EY41" s="779"/>
      <c r="EZ41" s="779"/>
      <c r="FA41" s="779"/>
      <c r="FB41" s="779"/>
      <c r="FC41" s="779"/>
      <c r="FD41" s="779"/>
      <c r="FE41" s="779"/>
      <c r="FF41" s="779"/>
      <c r="FG41" s="779"/>
      <c r="FH41" s="779"/>
      <c r="FI41" s="779"/>
      <c r="FJ41" s="779"/>
      <c r="FK41" s="779"/>
      <c r="FL41" s="779"/>
      <c r="FM41" s="779"/>
      <c r="FN41" s="779"/>
      <c r="FO41" s="779"/>
      <c r="FP41" s="779"/>
      <c r="FQ41" s="779"/>
      <c r="FR41" s="779"/>
      <c r="FS41" s="779"/>
      <c r="FT41" s="779"/>
      <c r="FU41" s="779"/>
      <c r="FV41" s="779"/>
      <c r="FW41" s="779"/>
      <c r="FX41" s="779"/>
      <c r="FY41" s="779"/>
      <c r="FZ41" s="779"/>
      <c r="GA41" s="779"/>
      <c r="GB41" s="779"/>
      <c r="GC41" s="779"/>
      <c r="GD41" s="779"/>
      <c r="GE41" s="779"/>
      <c r="GF41" s="779"/>
      <c r="GG41" s="779"/>
      <c r="GH41" s="779"/>
      <c r="GI41" s="779"/>
      <c r="GJ41" s="779"/>
      <c r="GK41" s="779"/>
      <c r="GL41" s="779"/>
      <c r="GM41" s="779"/>
      <c r="GN41" s="779"/>
      <c r="GO41" s="779"/>
      <c r="GP41" s="779"/>
      <c r="GQ41" s="779"/>
      <c r="GR41" s="779"/>
      <c r="GS41" s="779"/>
      <c r="GT41" s="779"/>
      <c r="GU41" s="779"/>
      <c r="GV41" s="779"/>
      <c r="GW41" s="779"/>
      <c r="GX41" s="779"/>
      <c r="GY41" s="779"/>
      <c r="GZ41" s="779"/>
      <c r="HA41" s="779"/>
      <c r="HB41" s="779"/>
      <c r="HC41" s="779"/>
      <c r="HD41" s="779"/>
      <c r="HE41" s="779"/>
      <c r="HF41" s="779"/>
      <c r="HG41" s="779"/>
      <c r="HH41" s="779"/>
      <c r="HI41" s="779"/>
      <c r="HJ41" s="779"/>
      <c r="HK41" s="779"/>
      <c r="HL41" s="779"/>
      <c r="HM41" s="779"/>
      <c r="HN41" s="779"/>
      <c r="HO41" s="779"/>
      <c r="HP41" s="779"/>
      <c r="HQ41" s="779"/>
      <c r="HR41" s="779"/>
      <c r="HS41" s="779"/>
      <c r="HT41" s="779"/>
      <c r="HU41" s="779"/>
      <c r="HV41" s="779"/>
      <c r="HW41" s="779"/>
      <c r="HX41" s="779"/>
      <c r="HY41" s="779"/>
      <c r="HZ41" s="779"/>
      <c r="IA41" s="779"/>
      <c r="IB41" s="779"/>
      <c r="IC41" s="779"/>
      <c r="ID41" s="779"/>
      <c r="IE41" s="779"/>
      <c r="IF41" s="779"/>
      <c r="IG41" s="779"/>
      <c r="IH41" s="779"/>
      <c r="II41" s="779"/>
      <c r="IJ41" s="779"/>
      <c r="IK41" s="779"/>
      <c r="IL41" s="779"/>
      <c r="IM41" s="779"/>
      <c r="IN41" s="779"/>
      <c r="IO41" s="779"/>
      <c r="IP41" s="779"/>
      <c r="IQ41" s="779"/>
      <c r="IR41" s="779"/>
      <c r="IS41" s="779"/>
      <c r="IT41" s="779"/>
      <c r="IU41" s="779"/>
      <c r="IV41" s="779"/>
      <c r="IW41" s="779"/>
      <c r="IX41" s="779"/>
      <c r="IY41" s="779"/>
      <c r="IZ41" s="779"/>
      <c r="JA41" s="779"/>
      <c r="JB41" s="779"/>
      <c r="JC41" s="779"/>
      <c r="JD41" s="779"/>
      <c r="JE41" s="779"/>
      <c r="JF41" s="779"/>
      <c r="JG41" s="779"/>
      <c r="JH41" s="779"/>
      <c r="JI41" s="779"/>
      <c r="JJ41" s="779"/>
      <c r="JK41" s="779"/>
      <c r="JL41" s="779"/>
      <c r="JM41" s="779"/>
      <c r="JN41" s="779"/>
      <c r="JO41" s="779"/>
      <c r="JP41" s="779"/>
      <c r="JQ41" s="779"/>
      <c r="JR41" s="779"/>
      <c r="JS41" s="779"/>
      <c r="JT41" s="779"/>
      <c r="JU41" s="779"/>
      <c r="JV41" s="779"/>
      <c r="JW41" s="779"/>
      <c r="JX41" s="779"/>
      <c r="JY41" s="779"/>
      <c r="JZ41" s="779"/>
      <c r="KA41" s="779"/>
      <c r="KB41" s="779"/>
      <c r="KC41" s="779"/>
      <c r="KD41" s="779"/>
      <c r="KE41" s="779"/>
      <c r="KF41" s="779"/>
      <c r="KG41" s="779"/>
      <c r="KH41" s="779"/>
      <c r="KI41" s="779"/>
      <c r="KJ41" s="779"/>
      <c r="KK41" s="779"/>
      <c r="KL41" s="779"/>
      <c r="KM41" s="779"/>
      <c r="KN41" s="779"/>
      <c r="KO41" s="779"/>
      <c r="KP41" s="779"/>
      <c r="KQ41" s="779"/>
      <c r="KR41" s="779"/>
      <c r="KS41" s="779"/>
      <c r="KT41" s="779"/>
      <c r="KU41" s="779"/>
      <c r="KV41" s="779"/>
      <c r="KW41" s="779"/>
      <c r="KX41" s="779"/>
      <c r="KY41" s="779"/>
      <c r="KZ41" s="779"/>
      <c r="LA41" s="779"/>
      <c r="LB41" s="779"/>
      <c r="LC41" s="779"/>
      <c r="LD41" s="779"/>
      <c r="LE41" s="779"/>
      <c r="LF41" s="779"/>
      <c r="LG41" s="779"/>
      <c r="LH41" s="779"/>
      <c r="LI41" s="779"/>
      <c r="LJ41" s="779"/>
      <c r="LK41" s="779"/>
      <c r="LL41" s="779"/>
      <c r="LM41" s="779"/>
      <c r="LN41" s="779"/>
      <c r="LO41" s="779"/>
      <c r="LP41" s="779"/>
      <c r="LQ41" s="779"/>
      <c r="LR41" s="779"/>
      <c r="LS41" s="779"/>
      <c r="LT41" s="779"/>
      <c r="LU41" s="779"/>
      <c r="LV41" s="779"/>
      <c r="LW41" s="779"/>
      <c r="LX41" s="779"/>
      <c r="LY41" s="779"/>
      <c r="LZ41" s="779"/>
      <c r="MA41" s="779"/>
      <c r="MB41" s="779"/>
      <c r="MC41" s="779"/>
      <c r="MD41" s="779"/>
      <c r="ME41" s="779"/>
      <c r="MF41" s="779"/>
      <c r="MG41" s="779"/>
      <c r="MH41" s="779"/>
      <c r="MI41" s="779"/>
      <c r="MJ41" s="779"/>
      <c r="MK41" s="779"/>
      <c r="ML41" s="779"/>
      <c r="MM41" s="779"/>
      <c r="MN41" s="779"/>
      <c r="MO41" s="779"/>
      <c r="MP41" s="779"/>
      <c r="MQ41" s="779"/>
      <c r="MR41" s="779"/>
      <c r="MS41" s="779"/>
      <c r="MT41" s="779"/>
      <c r="MU41" s="779"/>
      <c r="MV41" s="779"/>
      <c r="MW41" s="779"/>
      <c r="MX41" s="779"/>
      <c r="MY41" s="779"/>
      <c r="MZ41" s="779"/>
      <c r="NA41" s="779"/>
      <c r="NB41" s="779"/>
      <c r="NC41" s="779"/>
      <c r="ND41" s="779"/>
      <c r="NE41" s="779"/>
      <c r="NF41" s="779"/>
      <c r="NG41" s="779"/>
      <c r="NH41" s="779"/>
      <c r="NI41" s="779"/>
      <c r="NJ41" s="779"/>
      <c r="NK41" s="779"/>
      <c r="NL41" s="779"/>
      <c r="NM41" s="779"/>
      <c r="NN41" s="779"/>
      <c r="NO41" s="779"/>
      <c r="NP41" s="779"/>
      <c r="NQ41" s="779"/>
      <c r="NR41" s="779"/>
      <c r="NS41" s="779"/>
      <c r="NT41" s="779"/>
      <c r="NU41" s="779"/>
      <c r="NV41" s="779"/>
      <c r="NW41" s="779"/>
      <c r="NX41" s="779"/>
      <c r="NY41" s="779"/>
      <c r="NZ41" s="779"/>
      <c r="OA41" s="779"/>
      <c r="OB41" s="779"/>
      <c r="OC41" s="779"/>
      <c r="OD41" s="779"/>
      <c r="OE41" s="779"/>
      <c r="OF41" s="779"/>
      <c r="OG41" s="779"/>
      <c r="OH41" s="779"/>
      <c r="OI41" s="779"/>
      <c r="OJ41" s="779"/>
      <c r="OK41" s="779"/>
      <c r="OL41" s="779"/>
      <c r="OM41" s="779"/>
      <c r="ON41" s="779"/>
      <c r="OO41" s="779"/>
      <c r="OP41" s="779"/>
      <c r="OQ41" s="779"/>
      <c r="OR41" s="779"/>
      <c r="OS41" s="779"/>
      <c r="OT41" s="779"/>
      <c r="OU41" s="779"/>
      <c r="OV41" s="779"/>
      <c r="OW41" s="779"/>
      <c r="OX41" s="779"/>
      <c r="OY41" s="779"/>
      <c r="OZ41" s="779"/>
      <c r="PA41" s="779"/>
      <c r="PB41" s="779"/>
      <c r="PC41" s="779"/>
      <c r="PD41" s="779"/>
      <c r="PE41" s="779"/>
      <c r="PF41" s="779"/>
      <c r="PG41" s="779"/>
      <c r="PH41" s="779"/>
      <c r="PI41" s="779"/>
      <c r="PJ41" s="779"/>
      <c r="PK41" s="779"/>
      <c r="PL41" s="779"/>
      <c r="PM41" s="779"/>
      <c r="PN41" s="779"/>
      <c r="PO41" s="779"/>
      <c r="PP41" s="779"/>
      <c r="PQ41" s="779"/>
      <c r="PR41" s="779"/>
      <c r="PS41" s="779"/>
      <c r="PT41" s="779"/>
      <c r="PU41" s="779"/>
      <c r="PV41" s="779"/>
      <c r="PW41" s="779"/>
      <c r="PX41" s="779"/>
      <c r="PY41" s="779"/>
      <c r="PZ41" s="779"/>
      <c r="QA41" s="779"/>
      <c r="QB41" s="779"/>
      <c r="QC41" s="779"/>
      <c r="QD41" s="779"/>
      <c r="QE41" s="779"/>
      <c r="QF41" s="779"/>
      <c r="QG41" s="779"/>
      <c r="QH41" s="779"/>
      <c r="QI41" s="779"/>
      <c r="QJ41" s="779"/>
      <c r="QK41" s="779"/>
      <c r="QL41" s="779"/>
      <c r="QM41" s="779"/>
      <c r="QN41" s="779"/>
      <c r="QO41" s="779"/>
      <c r="QP41" s="779"/>
      <c r="QQ41" s="779"/>
      <c r="QR41" s="779"/>
      <c r="QS41" s="779"/>
      <c r="QT41" s="779"/>
      <c r="QU41" s="779"/>
      <c r="QV41" s="779"/>
      <c r="QW41" s="779"/>
      <c r="QX41" s="779"/>
      <c r="QY41" s="779"/>
      <c r="QZ41" s="779"/>
      <c r="RA41" s="779"/>
      <c r="RB41" s="779"/>
      <c r="RC41" s="779"/>
      <c r="RD41" s="779"/>
      <c r="RE41" s="779"/>
      <c r="RF41" s="779"/>
      <c r="RG41" s="779"/>
      <c r="RH41" s="779"/>
      <c r="RI41" s="779"/>
      <c r="RJ41" s="779"/>
      <c r="RK41" s="779"/>
      <c r="RL41" s="779"/>
      <c r="RM41" s="779"/>
      <c r="RN41" s="779"/>
      <c r="RO41" s="779"/>
      <c r="RP41" s="779"/>
      <c r="RQ41" s="779"/>
      <c r="RR41" s="779"/>
      <c r="RS41" s="779"/>
      <c r="RT41" s="779"/>
      <c r="RU41" s="779"/>
      <c r="RV41" s="779"/>
      <c r="RW41" s="779"/>
      <c r="RX41" s="779"/>
    </row>
    <row r="42" spans="1:492" s="145" customFormat="1" ht="28.5" customHeight="1">
      <c r="A42" s="96" t="s">
        <v>478</v>
      </c>
      <c r="B42" s="96" t="s">
        <v>479</v>
      </c>
      <c r="C42" s="96"/>
      <c r="D42" s="96"/>
      <c r="E42" s="96"/>
      <c r="F42" s="96"/>
      <c r="G42" s="96"/>
      <c r="H42" s="96"/>
      <c r="I42" s="96"/>
      <c r="J42" s="96"/>
      <c r="K42" s="96"/>
      <c r="L42" s="96"/>
      <c r="M42" s="96"/>
      <c r="N42" s="96"/>
      <c r="O42" s="96"/>
      <c r="P42" s="96"/>
      <c r="Q42" s="96"/>
      <c r="R42" s="96"/>
      <c r="S42" s="96"/>
      <c r="T42" s="96"/>
      <c r="U42" s="96"/>
      <c r="V42" s="96"/>
      <c r="W42" s="96"/>
      <c r="X42" s="96"/>
      <c r="Y42" s="96"/>
      <c r="Z42" s="96"/>
      <c r="AA42" s="96"/>
      <c r="AB42" s="96"/>
      <c r="AC42" s="96"/>
      <c r="AD42" s="96"/>
      <c r="AE42" s="96"/>
      <c r="AF42" s="96"/>
      <c r="AG42" s="96"/>
      <c r="AH42" s="96"/>
      <c r="AI42" s="96"/>
      <c r="AJ42" s="96"/>
      <c r="AK42" s="96"/>
      <c r="AL42" s="96"/>
      <c r="AM42" s="783"/>
      <c r="AN42" s="783"/>
      <c r="AO42" s="783"/>
      <c r="AP42" s="783"/>
      <c r="AQ42" s="784"/>
      <c r="AR42" s="785"/>
      <c r="AS42" s="785"/>
      <c r="AT42" s="785"/>
      <c r="AU42" s="785"/>
      <c r="AV42" s="785"/>
      <c r="AW42" s="783"/>
      <c r="AX42" s="783"/>
      <c r="AY42" s="783"/>
      <c r="AZ42" s="783"/>
      <c r="BA42" s="147"/>
      <c r="BB42" s="785"/>
      <c r="BC42" s="785"/>
      <c r="BD42" s="785"/>
      <c r="BE42" s="148"/>
      <c r="BF42" s="784"/>
      <c r="BG42" s="785"/>
      <c r="BH42" s="785"/>
      <c r="BI42" s="785"/>
      <c r="BJ42" s="148"/>
      <c r="BK42" s="469"/>
      <c r="BL42" s="785"/>
      <c r="BM42" s="785"/>
      <c r="BN42" s="764"/>
      <c r="BO42" s="764"/>
      <c r="BP42" s="469"/>
      <c r="BQ42" s="785"/>
      <c r="BR42" s="785"/>
      <c r="BS42" s="785"/>
      <c r="BT42" s="764"/>
      <c r="BU42" s="469"/>
      <c r="BV42" s="785"/>
      <c r="BW42" s="785"/>
      <c r="BX42" s="785"/>
      <c r="BY42" s="764"/>
      <c r="BZ42" s="469"/>
      <c r="CA42" s="896"/>
      <c r="CB42" s="948"/>
      <c r="CC42" s="786"/>
      <c r="CD42" s="786"/>
      <c r="CE42" s="786"/>
      <c r="CF42" s="786"/>
      <c r="CG42" s="786"/>
      <c r="CH42" s="786"/>
      <c r="CI42" s="786"/>
      <c r="CJ42" s="786"/>
      <c r="CK42" s="786"/>
      <c r="CL42" s="786"/>
      <c r="CM42" s="786"/>
      <c r="CN42" s="786"/>
      <c r="CO42" s="786"/>
      <c r="CP42" s="786"/>
      <c r="CQ42" s="786"/>
      <c r="CR42" s="786"/>
      <c r="CS42" s="786"/>
      <c r="CT42" s="786"/>
      <c r="CU42" s="786"/>
      <c r="CV42" s="786"/>
      <c r="CW42" s="786"/>
      <c r="CX42" s="786"/>
      <c r="CY42" s="786"/>
      <c r="CZ42" s="786"/>
      <c r="DA42" s="786"/>
      <c r="DB42" s="786"/>
      <c r="DC42" s="786"/>
      <c r="DD42" s="786"/>
      <c r="DE42" s="786"/>
      <c r="DF42" s="786"/>
      <c r="DG42" s="786"/>
      <c r="DH42" s="786"/>
      <c r="DI42" s="786"/>
      <c r="DJ42" s="786"/>
      <c r="DK42" s="786"/>
      <c r="DL42" s="786"/>
      <c r="DM42" s="786"/>
      <c r="DN42" s="786"/>
      <c r="DO42" s="786"/>
      <c r="DP42" s="786"/>
      <c r="DQ42" s="786"/>
      <c r="DR42" s="786"/>
      <c r="DS42" s="786"/>
      <c r="DT42" s="786"/>
      <c r="DU42" s="786"/>
      <c r="DV42" s="786"/>
      <c r="DW42" s="786"/>
      <c r="DX42" s="786"/>
      <c r="DY42" s="786"/>
      <c r="DZ42" s="786"/>
      <c r="EA42" s="786"/>
      <c r="EB42" s="786"/>
      <c r="EC42" s="786"/>
      <c r="ED42" s="786"/>
      <c r="EE42" s="786"/>
      <c r="EF42" s="786"/>
      <c r="EG42" s="786"/>
      <c r="EH42" s="786"/>
      <c r="EI42" s="786"/>
      <c r="EJ42" s="786"/>
      <c r="EK42" s="786"/>
      <c r="EL42" s="786"/>
      <c r="EM42" s="786"/>
      <c r="EN42" s="786"/>
      <c r="EO42" s="786"/>
      <c r="EP42" s="786"/>
      <c r="EQ42" s="786"/>
      <c r="ER42" s="786"/>
      <c r="ES42" s="786"/>
      <c r="ET42" s="786"/>
      <c r="EU42" s="786"/>
      <c r="EV42" s="786"/>
      <c r="EW42" s="786"/>
      <c r="EX42" s="786"/>
      <c r="EY42" s="786"/>
      <c r="EZ42" s="786"/>
      <c r="FA42" s="786"/>
      <c r="FB42" s="786"/>
      <c r="FC42" s="786"/>
      <c r="FD42" s="786"/>
      <c r="FE42" s="786"/>
      <c r="FF42" s="786"/>
      <c r="FG42" s="786"/>
      <c r="FH42" s="786"/>
      <c r="FI42" s="786"/>
      <c r="FJ42" s="786"/>
      <c r="FK42" s="786"/>
      <c r="FL42" s="786"/>
      <c r="FM42" s="786"/>
      <c r="FN42" s="786"/>
      <c r="FO42" s="786"/>
      <c r="FP42" s="786"/>
      <c r="FQ42" s="786"/>
      <c r="FR42" s="786"/>
      <c r="FS42" s="786"/>
      <c r="FT42" s="786"/>
      <c r="FU42" s="786"/>
      <c r="FV42" s="786"/>
      <c r="FW42" s="786"/>
      <c r="FX42" s="786"/>
      <c r="FY42" s="786"/>
      <c r="FZ42" s="786"/>
      <c r="GA42" s="786"/>
      <c r="GB42" s="786"/>
      <c r="GC42" s="786"/>
      <c r="GD42" s="786"/>
      <c r="GE42" s="786"/>
      <c r="GF42" s="786"/>
      <c r="GG42" s="786"/>
      <c r="GH42" s="786"/>
      <c r="GI42" s="786"/>
      <c r="GJ42" s="786"/>
      <c r="GK42" s="786"/>
      <c r="GL42" s="786"/>
      <c r="GM42" s="786"/>
      <c r="GN42" s="786"/>
      <c r="GO42" s="786"/>
      <c r="GP42" s="786"/>
      <c r="GQ42" s="786"/>
      <c r="GR42" s="786"/>
      <c r="GS42" s="786"/>
      <c r="GT42" s="786"/>
      <c r="GU42" s="786"/>
      <c r="GV42" s="786"/>
      <c r="GW42" s="786"/>
      <c r="GX42" s="786"/>
      <c r="GY42" s="786"/>
      <c r="GZ42" s="786"/>
      <c r="HA42" s="786"/>
      <c r="HB42" s="786"/>
      <c r="HC42" s="786"/>
      <c r="HD42" s="786"/>
      <c r="HE42" s="786"/>
      <c r="HF42" s="786"/>
      <c r="HG42" s="786"/>
      <c r="HH42" s="786"/>
      <c r="HI42" s="786"/>
      <c r="HJ42" s="786"/>
      <c r="HK42" s="786"/>
      <c r="HL42" s="786"/>
      <c r="HM42" s="786"/>
      <c r="HN42" s="786"/>
      <c r="HO42" s="786"/>
      <c r="HP42" s="786"/>
      <c r="HQ42" s="786"/>
      <c r="HR42" s="786"/>
      <c r="HS42" s="786"/>
      <c r="HT42" s="786"/>
      <c r="HU42" s="786"/>
      <c r="HV42" s="786"/>
      <c r="HW42" s="786"/>
      <c r="HX42" s="786"/>
      <c r="HY42" s="786"/>
      <c r="HZ42" s="786"/>
      <c r="IA42" s="786"/>
      <c r="IB42" s="786"/>
      <c r="IC42" s="786"/>
      <c r="ID42" s="786"/>
      <c r="IE42" s="786"/>
      <c r="IF42" s="786"/>
      <c r="IG42" s="786"/>
      <c r="IH42" s="786"/>
      <c r="II42" s="786"/>
      <c r="IJ42" s="786"/>
      <c r="IK42" s="786"/>
      <c r="IL42" s="786"/>
      <c r="IM42" s="786"/>
      <c r="IN42" s="786"/>
      <c r="IO42" s="786"/>
      <c r="IP42" s="786"/>
      <c r="IQ42" s="786"/>
      <c r="IR42" s="786"/>
      <c r="IS42" s="786"/>
      <c r="IT42" s="786"/>
      <c r="IU42" s="786"/>
      <c r="IV42" s="786"/>
      <c r="IW42" s="786"/>
      <c r="IX42" s="786"/>
      <c r="IY42" s="786"/>
      <c r="IZ42" s="786"/>
      <c r="JA42" s="786"/>
      <c r="JB42" s="786"/>
      <c r="JC42" s="786"/>
      <c r="JD42" s="786"/>
      <c r="JE42" s="786"/>
      <c r="JF42" s="786"/>
      <c r="JG42" s="786"/>
      <c r="JH42" s="786"/>
      <c r="JI42" s="786"/>
      <c r="JJ42" s="786"/>
      <c r="JK42" s="786"/>
      <c r="JL42" s="786"/>
      <c r="JM42" s="786"/>
      <c r="JN42" s="786"/>
      <c r="JO42" s="786"/>
      <c r="JP42" s="786"/>
      <c r="JQ42" s="786"/>
      <c r="JR42" s="786"/>
      <c r="JS42" s="786"/>
      <c r="JT42" s="786"/>
      <c r="JU42" s="786"/>
      <c r="JV42" s="786"/>
      <c r="JW42" s="786"/>
      <c r="JX42" s="786"/>
      <c r="JY42" s="786"/>
      <c r="JZ42" s="786"/>
      <c r="KA42" s="786"/>
      <c r="KB42" s="786"/>
      <c r="KC42" s="786"/>
      <c r="KD42" s="786"/>
      <c r="KE42" s="786"/>
      <c r="KF42" s="786"/>
      <c r="KG42" s="786"/>
      <c r="KH42" s="786"/>
      <c r="KI42" s="786"/>
      <c r="KJ42" s="786"/>
      <c r="KK42" s="786"/>
      <c r="KL42" s="786"/>
      <c r="KM42" s="786"/>
      <c r="KN42" s="786"/>
      <c r="KO42" s="786"/>
      <c r="KP42" s="786"/>
      <c r="KQ42" s="786"/>
      <c r="KR42" s="786"/>
      <c r="KS42" s="786"/>
      <c r="KT42" s="786"/>
      <c r="KU42" s="786"/>
      <c r="KV42" s="786"/>
      <c r="KW42" s="786"/>
      <c r="KX42" s="786"/>
      <c r="KY42" s="786"/>
      <c r="KZ42" s="786"/>
      <c r="LA42" s="786"/>
      <c r="LB42" s="786"/>
      <c r="LC42" s="786"/>
      <c r="LD42" s="786"/>
      <c r="LE42" s="786"/>
      <c r="LF42" s="786"/>
      <c r="LG42" s="786"/>
      <c r="LH42" s="786"/>
      <c r="LI42" s="786"/>
      <c r="LJ42" s="786"/>
      <c r="LK42" s="786"/>
      <c r="LL42" s="786"/>
      <c r="LM42" s="786"/>
      <c r="LN42" s="786"/>
      <c r="LO42" s="786"/>
      <c r="LP42" s="786"/>
      <c r="LQ42" s="786"/>
      <c r="LR42" s="786"/>
      <c r="LS42" s="786"/>
      <c r="LT42" s="786"/>
      <c r="LU42" s="786"/>
      <c r="LV42" s="786"/>
      <c r="LW42" s="786"/>
      <c r="LX42" s="786"/>
      <c r="LY42" s="786"/>
      <c r="LZ42" s="786"/>
      <c r="MA42" s="786"/>
      <c r="MB42" s="786"/>
      <c r="MC42" s="786"/>
      <c r="MD42" s="786"/>
      <c r="ME42" s="786"/>
      <c r="MF42" s="786"/>
      <c r="MG42" s="786"/>
      <c r="MH42" s="786"/>
      <c r="MI42" s="786"/>
      <c r="MJ42" s="786"/>
      <c r="MK42" s="786"/>
      <c r="ML42" s="786"/>
      <c r="MM42" s="786"/>
      <c r="MN42" s="786"/>
      <c r="MO42" s="786"/>
      <c r="MP42" s="786"/>
      <c r="MQ42" s="786"/>
      <c r="MR42" s="786"/>
      <c r="MS42" s="786"/>
      <c r="MT42" s="786"/>
      <c r="MU42" s="786"/>
      <c r="MV42" s="786"/>
      <c r="MW42" s="786"/>
      <c r="MX42" s="786"/>
      <c r="MY42" s="786"/>
      <c r="MZ42" s="786"/>
      <c r="NA42" s="786"/>
      <c r="NB42" s="786"/>
      <c r="NC42" s="786"/>
      <c r="ND42" s="786"/>
      <c r="NE42" s="786"/>
      <c r="NF42" s="786"/>
      <c r="NG42" s="786"/>
      <c r="NH42" s="786"/>
      <c r="NI42" s="786"/>
      <c r="NJ42" s="786"/>
      <c r="NK42" s="786"/>
      <c r="NL42" s="786"/>
      <c r="NM42" s="786"/>
      <c r="NN42" s="786"/>
      <c r="NO42" s="786"/>
      <c r="NP42" s="786"/>
      <c r="NQ42" s="786"/>
      <c r="NR42" s="786"/>
      <c r="NS42" s="786"/>
      <c r="NT42" s="786"/>
      <c r="NU42" s="786"/>
      <c r="NV42" s="786"/>
      <c r="NW42" s="786"/>
      <c r="NX42" s="786"/>
      <c r="NY42" s="786"/>
      <c r="NZ42" s="786"/>
      <c r="OA42" s="786"/>
      <c r="OB42" s="786"/>
      <c r="OC42" s="786"/>
      <c r="OD42" s="786"/>
      <c r="OE42" s="786"/>
      <c r="OF42" s="786"/>
      <c r="OG42" s="786"/>
      <c r="OH42" s="786"/>
      <c r="OI42" s="786"/>
      <c r="OJ42" s="786"/>
      <c r="OK42" s="786"/>
      <c r="OL42" s="786"/>
      <c r="OM42" s="786"/>
      <c r="ON42" s="786"/>
      <c r="OO42" s="786"/>
      <c r="OP42" s="786"/>
      <c r="OQ42" s="786"/>
      <c r="OR42" s="786"/>
      <c r="OS42" s="786"/>
      <c r="OT42" s="786"/>
      <c r="OU42" s="786"/>
      <c r="OV42" s="786"/>
      <c r="OW42" s="786"/>
      <c r="OX42" s="786"/>
      <c r="OY42" s="786"/>
      <c r="OZ42" s="786"/>
      <c r="PA42" s="786"/>
      <c r="PB42" s="786"/>
      <c r="PC42" s="786"/>
      <c r="PD42" s="786"/>
      <c r="PE42" s="786"/>
      <c r="PF42" s="786"/>
      <c r="PG42" s="786"/>
      <c r="PH42" s="786"/>
      <c r="PI42" s="786"/>
      <c r="PJ42" s="786"/>
      <c r="PK42" s="786"/>
      <c r="PL42" s="786"/>
      <c r="PM42" s="786"/>
      <c r="PN42" s="786"/>
      <c r="PO42" s="786"/>
      <c r="PP42" s="786"/>
      <c r="PQ42" s="786"/>
      <c r="PR42" s="786"/>
      <c r="PS42" s="786"/>
      <c r="PT42" s="786"/>
      <c r="PU42" s="786"/>
      <c r="PV42" s="786"/>
      <c r="PW42" s="786"/>
      <c r="PX42" s="786"/>
      <c r="PY42" s="786"/>
      <c r="PZ42" s="786"/>
      <c r="QA42" s="786"/>
      <c r="QB42" s="786"/>
      <c r="QC42" s="786"/>
      <c r="QD42" s="786"/>
      <c r="QE42" s="786"/>
      <c r="QF42" s="786"/>
      <c r="QG42" s="786"/>
      <c r="QH42" s="786"/>
      <c r="QI42" s="786"/>
      <c r="QJ42" s="786"/>
      <c r="QK42" s="786"/>
      <c r="QL42" s="786"/>
      <c r="QM42" s="786"/>
      <c r="QN42" s="786"/>
      <c r="QO42" s="786"/>
      <c r="QP42" s="786"/>
      <c r="QQ42" s="786"/>
      <c r="QR42" s="786"/>
      <c r="QS42" s="786"/>
      <c r="QT42" s="786"/>
      <c r="QU42" s="786"/>
      <c r="QV42" s="786"/>
      <c r="QW42" s="786"/>
      <c r="QX42" s="786"/>
      <c r="QY42" s="786"/>
      <c r="QZ42" s="786"/>
      <c r="RA42" s="786"/>
      <c r="RB42" s="786"/>
      <c r="RC42" s="786"/>
      <c r="RD42" s="786"/>
      <c r="RE42" s="786"/>
      <c r="RF42" s="786"/>
      <c r="RG42" s="786"/>
      <c r="RH42" s="786"/>
      <c r="RI42" s="786"/>
      <c r="RJ42" s="786"/>
      <c r="RK42" s="786"/>
      <c r="RL42" s="786"/>
      <c r="RM42" s="786"/>
      <c r="RN42" s="786"/>
      <c r="RO42" s="786"/>
      <c r="RP42" s="786"/>
      <c r="RQ42" s="786"/>
      <c r="RR42" s="786"/>
      <c r="RS42" s="786"/>
      <c r="RT42" s="786"/>
      <c r="RU42" s="786"/>
      <c r="RV42" s="786"/>
      <c r="RW42" s="786"/>
      <c r="RX42" s="786"/>
    </row>
    <row r="43" spans="1:492" s="145" customFormat="1" ht="28.5" customHeight="1">
      <c r="A43" s="126" t="s">
        <v>480</v>
      </c>
      <c r="B43" s="126" t="s">
        <v>481</v>
      </c>
      <c r="C43" s="96"/>
      <c r="D43" s="96"/>
      <c r="E43" s="96"/>
      <c r="F43" s="96"/>
      <c r="G43" s="96"/>
      <c r="H43" s="96"/>
      <c r="I43" s="96"/>
      <c r="J43" s="96"/>
      <c r="K43" s="96"/>
      <c r="L43" s="96"/>
      <c r="M43" s="96"/>
      <c r="N43" s="96"/>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783"/>
      <c r="AN43" s="783"/>
      <c r="AO43" s="783"/>
      <c r="AP43" s="783"/>
      <c r="AQ43" s="784"/>
      <c r="AR43" s="785"/>
      <c r="AS43" s="785"/>
      <c r="AT43" s="785"/>
      <c r="AU43" s="785"/>
      <c r="AV43" s="785"/>
      <c r="AW43" s="783"/>
      <c r="AX43" s="783"/>
      <c r="AY43" s="783"/>
      <c r="AZ43" s="783"/>
      <c r="BA43" s="147"/>
      <c r="BB43" s="785"/>
      <c r="BC43" s="785"/>
      <c r="BD43" s="785"/>
      <c r="BE43" s="148"/>
      <c r="BF43" s="784"/>
      <c r="BG43" s="785"/>
      <c r="BH43" s="785"/>
      <c r="BI43" s="785"/>
      <c r="BJ43" s="148"/>
      <c r="BK43" s="469"/>
      <c r="BL43" s="785"/>
      <c r="BM43" s="785"/>
      <c r="BN43" s="785"/>
      <c r="BO43" s="148"/>
      <c r="BP43" s="469"/>
      <c r="BQ43" s="785"/>
      <c r="BR43" s="785"/>
      <c r="BS43" s="785"/>
      <c r="BT43" s="148"/>
      <c r="BU43" s="469"/>
      <c r="BV43" s="785"/>
      <c r="BW43" s="785"/>
      <c r="BX43" s="785"/>
      <c r="BY43" s="148"/>
      <c r="BZ43" s="896"/>
      <c r="CA43" s="786"/>
      <c r="CB43" s="786"/>
      <c r="CC43" s="786"/>
      <c r="CD43" s="786"/>
      <c r="CE43" s="786"/>
      <c r="CF43" s="786"/>
      <c r="CG43" s="786"/>
      <c r="CH43" s="786"/>
      <c r="CI43" s="786"/>
      <c r="CJ43" s="786"/>
      <c r="CK43" s="786"/>
      <c r="CL43" s="786"/>
      <c r="CM43" s="786"/>
      <c r="CN43" s="786"/>
      <c r="CO43" s="786"/>
      <c r="CP43" s="786"/>
      <c r="CQ43" s="786"/>
      <c r="CR43" s="786"/>
      <c r="CS43" s="786"/>
      <c r="CT43" s="786"/>
      <c r="CU43" s="786"/>
      <c r="CV43" s="786"/>
      <c r="CW43" s="786"/>
      <c r="CX43" s="786"/>
      <c r="CY43" s="786"/>
      <c r="CZ43" s="786"/>
      <c r="DA43" s="786"/>
      <c r="DB43" s="786"/>
      <c r="DC43" s="786"/>
      <c r="DD43" s="786"/>
      <c r="DE43" s="786"/>
      <c r="DF43" s="786"/>
      <c r="DG43" s="786"/>
      <c r="DH43" s="786"/>
      <c r="DI43" s="786"/>
      <c r="DJ43" s="786"/>
      <c r="DK43" s="786"/>
      <c r="DL43" s="786"/>
      <c r="DM43" s="786"/>
      <c r="DN43" s="786"/>
      <c r="DO43" s="786"/>
      <c r="DP43" s="786"/>
      <c r="DQ43" s="786"/>
      <c r="DR43" s="786"/>
      <c r="DS43" s="786"/>
      <c r="DT43" s="786"/>
      <c r="DU43" s="786"/>
      <c r="DV43" s="786"/>
      <c r="DW43" s="786"/>
      <c r="DX43" s="786"/>
      <c r="DY43" s="786"/>
      <c r="DZ43" s="786"/>
      <c r="EA43" s="786"/>
      <c r="EB43" s="786"/>
      <c r="EC43" s="786"/>
      <c r="ED43" s="786"/>
      <c r="EE43" s="786"/>
      <c r="EF43" s="786"/>
      <c r="EG43" s="786"/>
      <c r="EH43" s="786"/>
      <c r="EI43" s="786"/>
      <c r="EJ43" s="786"/>
      <c r="EK43" s="786"/>
      <c r="EL43" s="786"/>
      <c r="EM43" s="786"/>
      <c r="EN43" s="786"/>
      <c r="EO43" s="786"/>
      <c r="EP43" s="786"/>
      <c r="EQ43" s="786"/>
      <c r="ER43" s="786"/>
      <c r="ES43" s="786"/>
      <c r="ET43" s="786"/>
      <c r="EU43" s="786"/>
      <c r="EV43" s="786"/>
      <c r="EW43" s="786"/>
      <c r="EX43" s="786"/>
      <c r="EY43" s="786"/>
      <c r="EZ43" s="786"/>
      <c r="FA43" s="786"/>
      <c r="FB43" s="786"/>
      <c r="FC43" s="786"/>
      <c r="FD43" s="786"/>
      <c r="FE43" s="786"/>
      <c r="FF43" s="786"/>
      <c r="FG43" s="786"/>
      <c r="FH43" s="786"/>
      <c r="FI43" s="786"/>
      <c r="FJ43" s="786"/>
      <c r="FK43" s="786"/>
      <c r="FL43" s="786"/>
      <c r="FM43" s="786"/>
      <c r="FN43" s="786"/>
      <c r="FO43" s="786"/>
      <c r="FP43" s="786"/>
      <c r="FQ43" s="786"/>
      <c r="FR43" s="786"/>
      <c r="FS43" s="786"/>
      <c r="FT43" s="786"/>
      <c r="FU43" s="786"/>
      <c r="FV43" s="786"/>
      <c r="FW43" s="786"/>
      <c r="FX43" s="786"/>
      <c r="FY43" s="786"/>
      <c r="FZ43" s="786"/>
      <c r="GA43" s="786"/>
      <c r="GB43" s="786"/>
      <c r="GC43" s="786"/>
      <c r="GD43" s="786"/>
      <c r="GE43" s="786"/>
      <c r="GF43" s="786"/>
      <c r="GG43" s="786"/>
      <c r="GH43" s="786"/>
      <c r="GI43" s="786"/>
      <c r="GJ43" s="786"/>
      <c r="GK43" s="786"/>
      <c r="GL43" s="786"/>
      <c r="GM43" s="786"/>
      <c r="GN43" s="786"/>
      <c r="GO43" s="786"/>
      <c r="GP43" s="786"/>
      <c r="GQ43" s="786"/>
      <c r="GR43" s="786"/>
      <c r="GS43" s="786"/>
      <c r="GT43" s="786"/>
      <c r="GU43" s="786"/>
      <c r="GV43" s="786"/>
      <c r="GW43" s="786"/>
      <c r="GX43" s="786"/>
      <c r="GY43" s="786"/>
      <c r="GZ43" s="786"/>
      <c r="HA43" s="786"/>
      <c r="HB43" s="786"/>
      <c r="HC43" s="786"/>
      <c r="HD43" s="786"/>
      <c r="HE43" s="786"/>
      <c r="HF43" s="786"/>
      <c r="HG43" s="786"/>
      <c r="HH43" s="786"/>
      <c r="HI43" s="786"/>
      <c r="HJ43" s="786"/>
      <c r="HK43" s="786"/>
      <c r="HL43" s="786"/>
      <c r="HM43" s="786"/>
      <c r="HN43" s="786"/>
      <c r="HO43" s="786"/>
      <c r="HP43" s="786"/>
      <c r="HQ43" s="786"/>
      <c r="HR43" s="786"/>
      <c r="HS43" s="786"/>
      <c r="HT43" s="786"/>
      <c r="HU43" s="786"/>
      <c r="HV43" s="786"/>
      <c r="HW43" s="786"/>
      <c r="HX43" s="786"/>
      <c r="HY43" s="786"/>
      <c r="HZ43" s="786"/>
      <c r="IA43" s="786"/>
      <c r="IB43" s="786"/>
      <c r="IC43" s="786"/>
      <c r="ID43" s="786"/>
      <c r="IE43" s="786"/>
      <c r="IF43" s="786"/>
      <c r="IG43" s="786"/>
      <c r="IH43" s="786"/>
      <c r="II43" s="786"/>
      <c r="IJ43" s="786"/>
      <c r="IK43" s="786"/>
      <c r="IL43" s="786"/>
      <c r="IM43" s="786"/>
      <c r="IN43" s="786"/>
      <c r="IO43" s="786"/>
      <c r="IP43" s="786"/>
      <c r="IQ43" s="786"/>
      <c r="IR43" s="786"/>
      <c r="IS43" s="786"/>
      <c r="IT43" s="786"/>
      <c r="IU43" s="786"/>
      <c r="IV43" s="786"/>
      <c r="IW43" s="786"/>
      <c r="IX43" s="786"/>
      <c r="IY43" s="786"/>
      <c r="IZ43" s="786"/>
      <c r="JA43" s="786"/>
      <c r="JB43" s="786"/>
      <c r="JC43" s="786"/>
      <c r="JD43" s="786"/>
      <c r="JE43" s="786"/>
      <c r="JF43" s="786"/>
      <c r="JG43" s="786"/>
      <c r="JH43" s="786"/>
      <c r="JI43" s="786"/>
      <c r="JJ43" s="786"/>
      <c r="JK43" s="786"/>
      <c r="JL43" s="786"/>
      <c r="JM43" s="786"/>
      <c r="JN43" s="786"/>
      <c r="JO43" s="786"/>
      <c r="JP43" s="786"/>
      <c r="JQ43" s="786"/>
      <c r="JR43" s="786"/>
      <c r="JS43" s="786"/>
      <c r="JT43" s="786"/>
      <c r="JU43" s="786"/>
      <c r="JV43" s="786"/>
      <c r="JW43" s="786"/>
      <c r="JX43" s="786"/>
      <c r="JY43" s="786"/>
      <c r="JZ43" s="786"/>
      <c r="KA43" s="786"/>
      <c r="KB43" s="786"/>
      <c r="KC43" s="786"/>
      <c r="KD43" s="786"/>
      <c r="KE43" s="786"/>
      <c r="KF43" s="786"/>
      <c r="KG43" s="786"/>
      <c r="KH43" s="786"/>
      <c r="KI43" s="786"/>
      <c r="KJ43" s="786"/>
      <c r="KK43" s="786"/>
      <c r="KL43" s="786"/>
      <c r="KM43" s="786"/>
      <c r="KN43" s="786"/>
      <c r="KO43" s="786"/>
      <c r="KP43" s="786"/>
      <c r="KQ43" s="786"/>
      <c r="KR43" s="786"/>
      <c r="KS43" s="786"/>
      <c r="KT43" s="786"/>
      <c r="KU43" s="786"/>
      <c r="KV43" s="786"/>
      <c r="KW43" s="786"/>
      <c r="KX43" s="786"/>
      <c r="KY43" s="786"/>
      <c r="KZ43" s="786"/>
      <c r="LA43" s="786"/>
      <c r="LB43" s="786"/>
      <c r="LC43" s="786"/>
      <c r="LD43" s="786"/>
      <c r="LE43" s="786"/>
      <c r="LF43" s="786"/>
      <c r="LG43" s="786"/>
      <c r="LH43" s="786"/>
      <c r="LI43" s="786"/>
      <c r="LJ43" s="786"/>
      <c r="LK43" s="786"/>
      <c r="LL43" s="786"/>
      <c r="LM43" s="786"/>
      <c r="LN43" s="786"/>
      <c r="LO43" s="786"/>
      <c r="LP43" s="786"/>
      <c r="LQ43" s="786"/>
      <c r="LR43" s="786"/>
      <c r="LS43" s="786"/>
      <c r="LT43" s="786"/>
      <c r="LU43" s="786"/>
      <c r="LV43" s="786"/>
      <c r="LW43" s="786"/>
      <c r="LX43" s="786"/>
      <c r="LY43" s="786"/>
      <c r="LZ43" s="786"/>
      <c r="MA43" s="786"/>
      <c r="MB43" s="786"/>
      <c r="MC43" s="786"/>
      <c r="MD43" s="786"/>
      <c r="ME43" s="786"/>
      <c r="MF43" s="786"/>
      <c r="MG43" s="786"/>
      <c r="MH43" s="786"/>
      <c r="MI43" s="786"/>
      <c r="MJ43" s="786"/>
      <c r="MK43" s="786"/>
      <c r="ML43" s="786"/>
      <c r="MM43" s="786"/>
      <c r="MN43" s="786"/>
      <c r="MO43" s="786"/>
      <c r="MP43" s="786"/>
      <c r="MQ43" s="786"/>
      <c r="MR43" s="786"/>
      <c r="MS43" s="786"/>
      <c r="MT43" s="786"/>
      <c r="MU43" s="786"/>
      <c r="MV43" s="786"/>
      <c r="MW43" s="786"/>
      <c r="MX43" s="786"/>
      <c r="MY43" s="786"/>
      <c r="MZ43" s="786"/>
      <c r="NA43" s="786"/>
      <c r="NB43" s="786"/>
      <c r="NC43" s="786"/>
      <c r="ND43" s="786"/>
      <c r="NE43" s="786"/>
      <c r="NF43" s="786"/>
      <c r="NG43" s="786"/>
      <c r="NH43" s="786"/>
      <c r="NI43" s="786"/>
      <c r="NJ43" s="786"/>
      <c r="NK43" s="786"/>
      <c r="NL43" s="786"/>
      <c r="NM43" s="786"/>
      <c r="NN43" s="786"/>
      <c r="NO43" s="786"/>
      <c r="NP43" s="786"/>
      <c r="NQ43" s="786"/>
      <c r="NR43" s="786"/>
      <c r="NS43" s="786"/>
      <c r="NT43" s="786"/>
      <c r="NU43" s="786"/>
      <c r="NV43" s="786"/>
      <c r="NW43" s="786"/>
      <c r="NX43" s="786"/>
      <c r="NY43" s="786"/>
      <c r="NZ43" s="786"/>
      <c r="OA43" s="786"/>
      <c r="OB43" s="786"/>
      <c r="OC43" s="786"/>
      <c r="OD43" s="786"/>
      <c r="OE43" s="786"/>
      <c r="OF43" s="786"/>
      <c r="OG43" s="786"/>
      <c r="OH43" s="786"/>
      <c r="OI43" s="786"/>
      <c r="OJ43" s="786"/>
      <c r="OK43" s="786"/>
      <c r="OL43" s="786"/>
      <c r="OM43" s="786"/>
      <c r="ON43" s="786"/>
      <c r="OO43" s="786"/>
      <c r="OP43" s="786"/>
      <c r="OQ43" s="786"/>
      <c r="OR43" s="786"/>
      <c r="OS43" s="786"/>
      <c r="OT43" s="786"/>
      <c r="OU43" s="786"/>
      <c r="OV43" s="786"/>
      <c r="OW43" s="786"/>
      <c r="OX43" s="786"/>
      <c r="OY43" s="786"/>
      <c r="OZ43" s="786"/>
      <c r="PA43" s="786"/>
      <c r="PB43" s="786"/>
      <c r="PC43" s="786"/>
      <c r="PD43" s="786"/>
      <c r="PE43" s="786"/>
      <c r="PF43" s="786"/>
      <c r="PG43" s="786"/>
      <c r="PH43" s="786"/>
      <c r="PI43" s="786"/>
      <c r="PJ43" s="786"/>
      <c r="PK43" s="786"/>
      <c r="PL43" s="786"/>
      <c r="PM43" s="786"/>
      <c r="PN43" s="786"/>
      <c r="PO43" s="786"/>
      <c r="PP43" s="786"/>
      <c r="PQ43" s="786"/>
      <c r="PR43" s="786"/>
      <c r="PS43" s="786"/>
      <c r="PT43" s="786"/>
      <c r="PU43" s="786"/>
      <c r="PV43" s="786"/>
      <c r="PW43" s="786"/>
      <c r="PX43" s="786"/>
      <c r="PY43" s="786"/>
      <c r="PZ43" s="786"/>
      <c r="QA43" s="786"/>
      <c r="QB43" s="786"/>
      <c r="QC43" s="786"/>
      <c r="QD43" s="786"/>
      <c r="QE43" s="786"/>
      <c r="QF43" s="786"/>
      <c r="QG43" s="786"/>
      <c r="QH43" s="786"/>
      <c r="QI43" s="786"/>
      <c r="QJ43" s="786"/>
      <c r="QK43" s="786"/>
      <c r="QL43" s="786"/>
      <c r="QM43" s="786"/>
      <c r="QN43" s="786"/>
      <c r="QO43" s="786"/>
      <c r="QP43" s="786"/>
      <c r="QQ43" s="786"/>
      <c r="QR43" s="786"/>
      <c r="QS43" s="786"/>
      <c r="QT43" s="786"/>
      <c r="QU43" s="786"/>
      <c r="QV43" s="786"/>
      <c r="QW43" s="786"/>
      <c r="QX43" s="786"/>
      <c r="QY43" s="786"/>
      <c r="QZ43" s="786"/>
      <c r="RA43" s="786"/>
      <c r="RB43" s="786"/>
      <c r="RC43" s="786"/>
      <c r="RD43" s="786"/>
      <c r="RE43" s="786"/>
      <c r="RF43" s="786"/>
      <c r="RG43" s="786"/>
      <c r="RH43" s="786"/>
      <c r="RI43" s="786"/>
      <c r="RJ43" s="786"/>
      <c r="RK43" s="786"/>
      <c r="RL43" s="786"/>
      <c r="RM43" s="786"/>
      <c r="RN43" s="786"/>
      <c r="RO43" s="786"/>
      <c r="RP43" s="786"/>
      <c r="RQ43" s="786"/>
      <c r="RR43" s="786"/>
      <c r="RS43" s="786"/>
      <c r="RT43" s="786"/>
      <c r="RU43" s="786"/>
      <c r="RV43" s="786"/>
      <c r="RW43" s="786"/>
      <c r="RX43" s="786"/>
    </row>
    <row r="44" spans="1:492" s="143" customFormat="1" ht="60">
      <c r="A44" s="153" t="s">
        <v>482</v>
      </c>
      <c r="B44" s="163" t="s">
        <v>483</v>
      </c>
      <c r="C44" s="103"/>
      <c r="D44" s="103"/>
      <c r="E44" s="103"/>
      <c r="F44" s="103"/>
      <c r="G44" s="103"/>
      <c r="H44" s="103"/>
      <c r="I44" s="103"/>
      <c r="J44" s="103"/>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3"/>
      <c r="AK44" s="103"/>
      <c r="AL44" s="103"/>
      <c r="AM44" s="787"/>
      <c r="AN44" s="787"/>
      <c r="AO44" s="787"/>
      <c r="AP44" s="787"/>
      <c r="AQ44" s="782"/>
      <c r="AR44" s="787"/>
      <c r="AS44" s="787"/>
      <c r="AT44" s="787"/>
      <c r="AU44" s="787"/>
      <c r="AV44" s="787"/>
      <c r="AW44" s="787"/>
      <c r="AX44" s="787"/>
      <c r="AY44" s="787"/>
      <c r="AZ44" s="787"/>
      <c r="BA44" s="787"/>
      <c r="BB44" s="787"/>
      <c r="BC44" s="787"/>
      <c r="BD44" s="787"/>
      <c r="BE44" s="149"/>
      <c r="BF44" s="782"/>
      <c r="BG44" s="787"/>
      <c r="BH44" s="787"/>
      <c r="BI44" s="483"/>
      <c r="BJ44" s="484"/>
      <c r="BK44" s="782"/>
      <c r="BL44" s="787"/>
      <c r="BM44" s="787"/>
      <c r="BN44" s="483"/>
      <c r="BO44" s="484"/>
      <c r="BP44" s="782"/>
      <c r="BQ44" s="787"/>
      <c r="BR44" s="787"/>
      <c r="BS44" s="483"/>
      <c r="BT44" s="484"/>
      <c r="BU44" s="782"/>
      <c r="BV44" s="787"/>
      <c r="BW44" s="787"/>
      <c r="BX44" s="483"/>
      <c r="BY44" s="484"/>
      <c r="BZ44" s="782"/>
      <c r="CA44" s="779"/>
      <c r="CB44" s="779"/>
      <c r="CC44" s="779"/>
      <c r="CD44" s="779"/>
      <c r="CE44" s="779"/>
      <c r="CF44" s="779"/>
      <c r="CG44" s="779"/>
      <c r="CH44" s="779"/>
      <c r="CI44" s="779"/>
      <c r="CJ44" s="779"/>
      <c r="CK44" s="779"/>
      <c r="CL44" s="779"/>
      <c r="CM44" s="779"/>
      <c r="CN44" s="779"/>
      <c r="CO44" s="779"/>
      <c r="CP44" s="779"/>
      <c r="CQ44" s="779"/>
      <c r="CR44" s="779"/>
      <c r="CS44" s="779"/>
      <c r="CT44" s="779"/>
      <c r="CU44" s="779"/>
      <c r="CV44" s="779"/>
      <c r="CW44" s="779"/>
      <c r="CX44" s="779"/>
      <c r="CY44" s="779"/>
      <c r="CZ44" s="779"/>
      <c r="DA44" s="779"/>
      <c r="DB44" s="779"/>
      <c r="DC44" s="779"/>
      <c r="DD44" s="779"/>
      <c r="DE44" s="779"/>
      <c r="DF44" s="779"/>
      <c r="DG44" s="779"/>
      <c r="DH44" s="779"/>
      <c r="DI44" s="779"/>
      <c r="DJ44" s="779"/>
      <c r="DK44" s="779"/>
      <c r="DL44" s="779"/>
      <c r="DM44" s="779"/>
      <c r="DN44" s="779"/>
      <c r="DO44" s="779"/>
      <c r="DP44" s="779"/>
      <c r="DQ44" s="779"/>
      <c r="DR44" s="779"/>
      <c r="DS44" s="779"/>
      <c r="DT44" s="779"/>
      <c r="DU44" s="779"/>
      <c r="DV44" s="779"/>
      <c r="DW44" s="779"/>
      <c r="DX44" s="779"/>
      <c r="DY44" s="779"/>
      <c r="DZ44" s="779"/>
      <c r="EA44" s="779"/>
      <c r="EB44" s="779"/>
      <c r="EC44" s="779"/>
      <c r="ED44" s="779"/>
      <c r="EE44" s="779"/>
      <c r="EF44" s="779"/>
      <c r="EG44" s="779"/>
      <c r="EH44" s="779"/>
      <c r="EI44" s="779"/>
      <c r="EJ44" s="779"/>
      <c r="EK44" s="779"/>
      <c r="EL44" s="779"/>
      <c r="EM44" s="779"/>
      <c r="EN44" s="779"/>
      <c r="EO44" s="779"/>
      <c r="EP44" s="779"/>
      <c r="EQ44" s="779"/>
      <c r="ER44" s="779"/>
      <c r="ES44" s="779"/>
      <c r="ET44" s="779"/>
      <c r="EU44" s="779"/>
      <c r="EV44" s="779"/>
      <c r="EW44" s="779"/>
      <c r="EX44" s="779"/>
      <c r="EY44" s="779"/>
      <c r="EZ44" s="779"/>
      <c r="FA44" s="779"/>
      <c r="FB44" s="779"/>
      <c r="FC44" s="779"/>
      <c r="FD44" s="779"/>
      <c r="FE44" s="779"/>
      <c r="FF44" s="779"/>
      <c r="FG44" s="779"/>
      <c r="FH44" s="779"/>
      <c r="FI44" s="779"/>
      <c r="FJ44" s="779"/>
      <c r="FK44" s="779"/>
      <c r="FL44" s="779"/>
      <c r="FM44" s="779"/>
      <c r="FN44" s="779"/>
      <c r="FO44" s="779"/>
      <c r="FP44" s="779"/>
      <c r="FQ44" s="779"/>
      <c r="FR44" s="779"/>
      <c r="FS44" s="779"/>
      <c r="FT44" s="779"/>
      <c r="FU44" s="779"/>
      <c r="FV44" s="779"/>
      <c r="FW44" s="779"/>
      <c r="FX44" s="779"/>
      <c r="FY44" s="779"/>
      <c r="FZ44" s="779"/>
      <c r="GA44" s="779"/>
      <c r="GB44" s="779"/>
      <c r="GC44" s="779"/>
      <c r="GD44" s="779"/>
      <c r="GE44" s="779"/>
      <c r="GF44" s="779"/>
      <c r="GG44" s="779"/>
      <c r="GH44" s="779"/>
      <c r="GI44" s="779"/>
      <c r="GJ44" s="779"/>
      <c r="GK44" s="779"/>
      <c r="GL44" s="779"/>
      <c r="GM44" s="779"/>
      <c r="GN44" s="779"/>
      <c r="GO44" s="779"/>
      <c r="GP44" s="779"/>
      <c r="GQ44" s="779"/>
      <c r="GR44" s="779"/>
      <c r="GS44" s="779"/>
      <c r="GT44" s="779"/>
      <c r="GU44" s="779"/>
      <c r="GV44" s="779"/>
      <c r="GW44" s="779"/>
      <c r="GX44" s="779"/>
      <c r="GY44" s="779"/>
      <c r="GZ44" s="779"/>
      <c r="HA44" s="779"/>
      <c r="HB44" s="779"/>
      <c r="HC44" s="779"/>
      <c r="HD44" s="779"/>
      <c r="HE44" s="779"/>
      <c r="HF44" s="779"/>
      <c r="HG44" s="779"/>
      <c r="HH44" s="779"/>
      <c r="HI44" s="779"/>
      <c r="HJ44" s="779"/>
      <c r="HK44" s="779"/>
      <c r="HL44" s="779"/>
      <c r="HM44" s="779"/>
      <c r="HN44" s="779"/>
      <c r="HO44" s="779"/>
      <c r="HP44" s="779"/>
      <c r="HQ44" s="779"/>
      <c r="HR44" s="779"/>
      <c r="HS44" s="779"/>
      <c r="HT44" s="779"/>
      <c r="HU44" s="779"/>
      <c r="HV44" s="779"/>
      <c r="HW44" s="779"/>
      <c r="HX44" s="779"/>
      <c r="HY44" s="779"/>
      <c r="HZ44" s="779"/>
      <c r="IA44" s="779"/>
      <c r="IB44" s="779"/>
      <c r="IC44" s="779"/>
      <c r="ID44" s="779"/>
      <c r="IE44" s="779"/>
      <c r="IF44" s="779"/>
      <c r="IG44" s="779"/>
      <c r="IH44" s="779"/>
      <c r="II44" s="779"/>
      <c r="IJ44" s="779"/>
      <c r="IK44" s="779"/>
      <c r="IL44" s="779"/>
      <c r="IM44" s="779"/>
      <c r="IN44" s="779"/>
      <c r="IO44" s="779"/>
      <c r="IP44" s="779"/>
      <c r="IQ44" s="779"/>
      <c r="IR44" s="779"/>
      <c r="IS44" s="779"/>
      <c r="IT44" s="779"/>
      <c r="IU44" s="779"/>
      <c r="IV44" s="779"/>
      <c r="IW44" s="779"/>
      <c r="IX44" s="779"/>
      <c r="IY44" s="779"/>
      <c r="IZ44" s="779"/>
      <c r="JA44" s="779"/>
      <c r="JB44" s="779"/>
      <c r="JC44" s="779"/>
      <c r="JD44" s="779"/>
      <c r="JE44" s="779"/>
      <c r="JF44" s="779"/>
      <c r="JG44" s="779"/>
      <c r="JH44" s="779"/>
      <c r="JI44" s="779"/>
      <c r="JJ44" s="779"/>
      <c r="JK44" s="779"/>
      <c r="JL44" s="779"/>
      <c r="JM44" s="779"/>
      <c r="JN44" s="779"/>
      <c r="JO44" s="779"/>
      <c r="JP44" s="779"/>
      <c r="JQ44" s="779"/>
      <c r="JR44" s="779"/>
      <c r="JS44" s="779"/>
      <c r="JT44" s="779"/>
      <c r="JU44" s="779"/>
      <c r="JV44" s="779"/>
      <c r="JW44" s="779"/>
      <c r="JX44" s="779"/>
      <c r="JY44" s="779"/>
      <c r="JZ44" s="779"/>
      <c r="KA44" s="779"/>
      <c r="KB44" s="779"/>
      <c r="KC44" s="779"/>
      <c r="KD44" s="779"/>
      <c r="KE44" s="779"/>
      <c r="KF44" s="779"/>
      <c r="KG44" s="779"/>
      <c r="KH44" s="779"/>
      <c r="KI44" s="779"/>
      <c r="KJ44" s="779"/>
      <c r="KK44" s="779"/>
      <c r="KL44" s="779"/>
      <c r="KM44" s="779"/>
      <c r="KN44" s="779"/>
      <c r="KO44" s="779"/>
      <c r="KP44" s="779"/>
      <c r="KQ44" s="779"/>
      <c r="KR44" s="779"/>
      <c r="KS44" s="779"/>
      <c r="KT44" s="779"/>
      <c r="KU44" s="779"/>
      <c r="KV44" s="779"/>
      <c r="KW44" s="779"/>
      <c r="KX44" s="779"/>
      <c r="KY44" s="779"/>
      <c r="KZ44" s="779"/>
      <c r="LA44" s="779"/>
      <c r="LB44" s="779"/>
      <c r="LC44" s="779"/>
      <c r="LD44" s="779"/>
      <c r="LE44" s="779"/>
      <c r="LF44" s="779"/>
      <c r="LG44" s="779"/>
      <c r="LH44" s="779"/>
      <c r="LI44" s="779"/>
      <c r="LJ44" s="779"/>
      <c r="LK44" s="779"/>
      <c r="LL44" s="779"/>
      <c r="LM44" s="779"/>
      <c r="LN44" s="779"/>
      <c r="LO44" s="779"/>
      <c r="LP44" s="779"/>
      <c r="LQ44" s="779"/>
      <c r="LR44" s="779"/>
      <c r="LS44" s="779"/>
      <c r="LT44" s="779"/>
      <c r="LU44" s="779"/>
      <c r="LV44" s="779"/>
      <c r="LW44" s="779"/>
      <c r="LX44" s="779"/>
      <c r="LY44" s="779"/>
      <c r="LZ44" s="779"/>
      <c r="MA44" s="779"/>
      <c r="MB44" s="779"/>
      <c r="MC44" s="779"/>
      <c r="MD44" s="779"/>
      <c r="ME44" s="779"/>
      <c r="MF44" s="779"/>
      <c r="MG44" s="779"/>
      <c r="MH44" s="779"/>
      <c r="MI44" s="779"/>
      <c r="MJ44" s="779"/>
      <c r="MK44" s="779"/>
      <c r="ML44" s="779"/>
      <c r="MM44" s="779"/>
      <c r="MN44" s="779"/>
      <c r="MO44" s="779"/>
      <c r="MP44" s="779"/>
      <c r="MQ44" s="779"/>
      <c r="MR44" s="779"/>
      <c r="MS44" s="779"/>
      <c r="MT44" s="779"/>
      <c r="MU44" s="779"/>
      <c r="MV44" s="779"/>
      <c r="MW44" s="779"/>
      <c r="MX44" s="779"/>
      <c r="MY44" s="779"/>
      <c r="MZ44" s="779"/>
      <c r="NA44" s="779"/>
      <c r="NB44" s="779"/>
      <c r="NC44" s="779"/>
      <c r="ND44" s="779"/>
      <c r="NE44" s="779"/>
      <c r="NF44" s="779"/>
      <c r="NG44" s="779"/>
      <c r="NH44" s="779"/>
      <c r="NI44" s="779"/>
      <c r="NJ44" s="779"/>
      <c r="NK44" s="779"/>
      <c r="NL44" s="779"/>
      <c r="NM44" s="779"/>
      <c r="NN44" s="779"/>
      <c r="NO44" s="779"/>
      <c r="NP44" s="779"/>
      <c r="NQ44" s="779"/>
      <c r="NR44" s="779"/>
      <c r="NS44" s="779"/>
      <c r="NT44" s="779"/>
      <c r="NU44" s="779"/>
      <c r="NV44" s="779"/>
      <c r="NW44" s="779"/>
      <c r="NX44" s="779"/>
      <c r="NY44" s="779"/>
      <c r="NZ44" s="779"/>
      <c r="OA44" s="779"/>
      <c r="OB44" s="779"/>
      <c r="OC44" s="779"/>
      <c r="OD44" s="779"/>
      <c r="OE44" s="779"/>
      <c r="OF44" s="779"/>
      <c r="OG44" s="779"/>
      <c r="OH44" s="779"/>
      <c r="OI44" s="779"/>
      <c r="OJ44" s="779"/>
      <c r="OK44" s="779"/>
      <c r="OL44" s="779"/>
      <c r="OM44" s="779"/>
      <c r="ON44" s="779"/>
      <c r="OO44" s="779"/>
      <c r="OP44" s="779"/>
      <c r="OQ44" s="779"/>
      <c r="OR44" s="779"/>
      <c r="OS44" s="779"/>
      <c r="OT44" s="779"/>
      <c r="OU44" s="779"/>
      <c r="OV44" s="779"/>
      <c r="OW44" s="779"/>
      <c r="OX44" s="779"/>
      <c r="OY44" s="779"/>
      <c r="OZ44" s="779"/>
      <c r="PA44" s="779"/>
      <c r="PB44" s="779"/>
      <c r="PC44" s="779"/>
      <c r="PD44" s="779"/>
      <c r="PE44" s="779"/>
      <c r="PF44" s="779"/>
      <c r="PG44" s="779"/>
      <c r="PH44" s="779"/>
      <c r="PI44" s="779"/>
      <c r="PJ44" s="779"/>
      <c r="PK44" s="779"/>
      <c r="PL44" s="779"/>
      <c r="PM44" s="779"/>
      <c r="PN44" s="779"/>
      <c r="PO44" s="779"/>
      <c r="PP44" s="779"/>
      <c r="PQ44" s="779"/>
      <c r="PR44" s="779"/>
      <c r="PS44" s="779"/>
      <c r="PT44" s="779"/>
      <c r="PU44" s="779"/>
      <c r="PV44" s="779"/>
      <c r="PW44" s="779"/>
      <c r="PX44" s="779"/>
      <c r="PY44" s="779"/>
      <c r="PZ44" s="779"/>
      <c r="QA44" s="779"/>
      <c r="QB44" s="779"/>
      <c r="QC44" s="779"/>
      <c r="QD44" s="779"/>
      <c r="QE44" s="779"/>
      <c r="QF44" s="779"/>
      <c r="QG44" s="779"/>
      <c r="QH44" s="779"/>
      <c r="QI44" s="779"/>
      <c r="QJ44" s="779"/>
      <c r="QK44" s="779"/>
      <c r="QL44" s="779"/>
      <c r="QM44" s="779"/>
      <c r="QN44" s="779"/>
      <c r="QO44" s="779"/>
      <c r="QP44" s="779"/>
      <c r="QQ44" s="779"/>
      <c r="QR44" s="779"/>
      <c r="QS44" s="779"/>
      <c r="QT44" s="779"/>
      <c r="QU44" s="779"/>
      <c r="QV44" s="779"/>
      <c r="QW44" s="779"/>
      <c r="QX44" s="779"/>
      <c r="QY44" s="779"/>
      <c r="QZ44" s="779"/>
      <c r="RA44" s="779"/>
      <c r="RB44" s="779"/>
      <c r="RC44" s="779"/>
      <c r="RD44" s="779"/>
      <c r="RE44" s="779"/>
      <c r="RF44" s="779"/>
      <c r="RG44" s="779"/>
      <c r="RH44" s="779"/>
      <c r="RI44" s="779"/>
      <c r="RJ44" s="779"/>
      <c r="RK44" s="779"/>
      <c r="RL44" s="779"/>
      <c r="RM44" s="779"/>
      <c r="RN44" s="779"/>
      <c r="RO44" s="779"/>
      <c r="RP44" s="779"/>
      <c r="RQ44" s="779"/>
      <c r="RR44" s="779"/>
      <c r="RS44" s="779"/>
      <c r="RT44" s="779"/>
      <c r="RU44" s="779"/>
      <c r="RV44" s="779"/>
      <c r="RW44" s="779"/>
      <c r="RX44" s="779"/>
    </row>
    <row r="45" spans="1:492" s="143" customFormat="1">
      <c r="A45" s="126"/>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782"/>
      <c r="AN45" s="782"/>
      <c r="AO45" s="782"/>
      <c r="AP45" s="782"/>
      <c r="AQ45" s="782"/>
      <c r="AR45" s="782"/>
      <c r="AS45" s="782"/>
      <c r="AT45" s="782"/>
      <c r="AU45" s="782"/>
      <c r="AV45" s="782"/>
      <c r="AW45" s="782"/>
      <c r="AX45" s="782"/>
      <c r="AY45" s="782"/>
      <c r="AZ45" s="782"/>
      <c r="BA45" s="782"/>
      <c r="BB45" s="782"/>
      <c r="BC45" s="787"/>
      <c r="BD45" s="787"/>
      <c r="BE45" s="149"/>
      <c r="BF45" s="782"/>
      <c r="BG45" s="782"/>
      <c r="BH45" s="787"/>
      <c r="BI45" s="483"/>
      <c r="BJ45" s="149"/>
      <c r="BK45" s="782"/>
      <c r="BL45" s="782"/>
      <c r="BM45" s="787"/>
      <c r="BN45" s="483"/>
      <c r="BO45" s="149"/>
      <c r="BP45" s="782"/>
      <c r="BQ45" s="782"/>
      <c r="BR45" s="787"/>
      <c r="BS45" s="483"/>
      <c r="BT45" s="149"/>
      <c r="BU45" s="782"/>
      <c r="BV45" s="782"/>
      <c r="BW45" s="787"/>
      <c r="BX45" s="483"/>
      <c r="BY45" s="149"/>
      <c r="BZ45" s="782"/>
      <c r="CA45" s="779"/>
      <c r="CB45" s="779"/>
      <c r="CC45" s="779"/>
      <c r="CD45" s="779"/>
      <c r="CE45" s="779"/>
      <c r="CF45" s="779"/>
      <c r="CG45" s="779"/>
      <c r="CH45" s="779"/>
      <c r="CI45" s="779"/>
      <c r="CJ45" s="779"/>
      <c r="CK45" s="779"/>
      <c r="CL45" s="779"/>
      <c r="CM45" s="779"/>
      <c r="CN45" s="779"/>
      <c r="CO45" s="779"/>
      <c r="CP45" s="779"/>
      <c r="CQ45" s="779"/>
      <c r="CR45" s="779"/>
      <c r="CS45" s="779"/>
      <c r="CT45" s="779"/>
      <c r="CU45" s="779"/>
      <c r="CV45" s="779"/>
      <c r="CW45" s="779"/>
      <c r="CX45" s="779"/>
      <c r="CY45" s="779"/>
      <c r="CZ45" s="779"/>
      <c r="DA45" s="779"/>
      <c r="DB45" s="779"/>
      <c r="DC45" s="779"/>
      <c r="DD45" s="779"/>
      <c r="DE45" s="779"/>
      <c r="DF45" s="779"/>
      <c r="DG45" s="779"/>
      <c r="DH45" s="779"/>
      <c r="DI45" s="779"/>
      <c r="DJ45" s="779"/>
      <c r="DK45" s="779"/>
      <c r="DL45" s="779"/>
      <c r="DM45" s="779"/>
      <c r="DN45" s="779"/>
      <c r="DO45" s="779"/>
      <c r="DP45" s="779"/>
      <c r="DQ45" s="779"/>
      <c r="DR45" s="779"/>
      <c r="DS45" s="779"/>
      <c r="DT45" s="779"/>
      <c r="DU45" s="779"/>
      <c r="DV45" s="779"/>
      <c r="DW45" s="779"/>
      <c r="DX45" s="779"/>
      <c r="DY45" s="779"/>
      <c r="DZ45" s="779"/>
      <c r="EA45" s="779"/>
      <c r="EB45" s="779"/>
      <c r="EC45" s="779"/>
      <c r="ED45" s="779"/>
      <c r="EE45" s="779"/>
      <c r="EF45" s="779"/>
      <c r="EG45" s="779"/>
      <c r="EH45" s="779"/>
      <c r="EI45" s="779"/>
      <c r="EJ45" s="779"/>
      <c r="EK45" s="779"/>
      <c r="EL45" s="779"/>
      <c r="EM45" s="779"/>
      <c r="EN45" s="779"/>
      <c r="EO45" s="779"/>
      <c r="EP45" s="779"/>
      <c r="EQ45" s="779"/>
      <c r="ER45" s="779"/>
      <c r="ES45" s="779"/>
      <c r="ET45" s="779"/>
      <c r="EU45" s="779"/>
      <c r="EV45" s="779"/>
      <c r="EW45" s="779"/>
      <c r="EX45" s="779"/>
      <c r="EY45" s="779"/>
      <c r="EZ45" s="779"/>
      <c r="FA45" s="779"/>
      <c r="FB45" s="779"/>
      <c r="FC45" s="779"/>
      <c r="FD45" s="779"/>
      <c r="FE45" s="779"/>
      <c r="FF45" s="779"/>
      <c r="FG45" s="779"/>
      <c r="FH45" s="779"/>
      <c r="FI45" s="779"/>
      <c r="FJ45" s="779"/>
      <c r="FK45" s="779"/>
      <c r="FL45" s="779"/>
      <c r="FM45" s="779"/>
      <c r="FN45" s="779"/>
      <c r="FO45" s="779"/>
      <c r="FP45" s="779"/>
      <c r="FQ45" s="779"/>
      <c r="FR45" s="779"/>
      <c r="FS45" s="779"/>
      <c r="FT45" s="779"/>
      <c r="FU45" s="779"/>
      <c r="FV45" s="779"/>
      <c r="FW45" s="779"/>
      <c r="FX45" s="779"/>
      <c r="FY45" s="779"/>
      <c r="FZ45" s="779"/>
      <c r="GA45" s="779"/>
      <c r="GB45" s="779"/>
      <c r="GC45" s="779"/>
      <c r="GD45" s="779"/>
      <c r="GE45" s="779"/>
      <c r="GF45" s="779"/>
      <c r="GG45" s="779"/>
      <c r="GH45" s="779"/>
      <c r="GI45" s="779"/>
      <c r="GJ45" s="779"/>
      <c r="GK45" s="779"/>
      <c r="GL45" s="779"/>
      <c r="GM45" s="779"/>
      <c r="GN45" s="779"/>
      <c r="GO45" s="779"/>
      <c r="GP45" s="779"/>
      <c r="GQ45" s="779"/>
      <c r="GR45" s="779"/>
      <c r="GS45" s="779"/>
      <c r="GT45" s="779"/>
      <c r="GU45" s="779"/>
      <c r="GV45" s="779"/>
      <c r="GW45" s="779"/>
      <c r="GX45" s="779"/>
      <c r="GY45" s="779"/>
      <c r="GZ45" s="779"/>
      <c r="HA45" s="779"/>
      <c r="HB45" s="779"/>
      <c r="HC45" s="779"/>
      <c r="HD45" s="779"/>
      <c r="HE45" s="779"/>
      <c r="HF45" s="779"/>
      <c r="HG45" s="779"/>
      <c r="HH45" s="779"/>
      <c r="HI45" s="779"/>
      <c r="HJ45" s="779"/>
      <c r="HK45" s="779"/>
      <c r="HL45" s="779"/>
      <c r="HM45" s="779"/>
      <c r="HN45" s="779"/>
      <c r="HO45" s="779"/>
      <c r="HP45" s="779"/>
      <c r="HQ45" s="779"/>
      <c r="HR45" s="779"/>
      <c r="HS45" s="779"/>
      <c r="HT45" s="779"/>
      <c r="HU45" s="779"/>
      <c r="HV45" s="779"/>
      <c r="HW45" s="779"/>
      <c r="HX45" s="779"/>
      <c r="HY45" s="779"/>
      <c r="HZ45" s="779"/>
      <c r="IA45" s="779"/>
      <c r="IB45" s="779"/>
      <c r="IC45" s="779"/>
      <c r="ID45" s="779"/>
      <c r="IE45" s="779"/>
      <c r="IF45" s="779"/>
      <c r="IG45" s="779"/>
      <c r="IH45" s="779"/>
      <c r="II45" s="779"/>
      <c r="IJ45" s="779"/>
      <c r="IK45" s="779"/>
      <c r="IL45" s="779"/>
      <c r="IM45" s="779"/>
      <c r="IN45" s="779"/>
      <c r="IO45" s="779"/>
      <c r="IP45" s="779"/>
      <c r="IQ45" s="779"/>
      <c r="IR45" s="779"/>
      <c r="IS45" s="779"/>
      <c r="IT45" s="779"/>
      <c r="IU45" s="779"/>
      <c r="IV45" s="779"/>
      <c r="IW45" s="779"/>
      <c r="IX45" s="779"/>
      <c r="IY45" s="779"/>
      <c r="IZ45" s="779"/>
      <c r="JA45" s="779"/>
      <c r="JB45" s="779"/>
      <c r="JC45" s="779"/>
      <c r="JD45" s="779"/>
      <c r="JE45" s="779"/>
      <c r="JF45" s="779"/>
      <c r="JG45" s="779"/>
      <c r="JH45" s="779"/>
      <c r="JI45" s="779"/>
      <c r="JJ45" s="779"/>
      <c r="JK45" s="779"/>
      <c r="JL45" s="779"/>
      <c r="JM45" s="779"/>
      <c r="JN45" s="779"/>
      <c r="JO45" s="779"/>
      <c r="JP45" s="779"/>
      <c r="JQ45" s="779"/>
      <c r="JR45" s="779"/>
      <c r="JS45" s="779"/>
      <c r="JT45" s="779"/>
      <c r="JU45" s="779"/>
      <c r="JV45" s="779"/>
      <c r="JW45" s="779"/>
      <c r="JX45" s="779"/>
      <c r="JY45" s="779"/>
      <c r="JZ45" s="779"/>
      <c r="KA45" s="779"/>
      <c r="KB45" s="779"/>
      <c r="KC45" s="779"/>
      <c r="KD45" s="779"/>
      <c r="KE45" s="779"/>
      <c r="KF45" s="779"/>
      <c r="KG45" s="779"/>
      <c r="KH45" s="779"/>
      <c r="KI45" s="779"/>
      <c r="KJ45" s="779"/>
      <c r="KK45" s="779"/>
      <c r="KL45" s="779"/>
      <c r="KM45" s="779"/>
      <c r="KN45" s="779"/>
      <c r="KO45" s="779"/>
      <c r="KP45" s="779"/>
      <c r="KQ45" s="779"/>
      <c r="KR45" s="779"/>
      <c r="KS45" s="779"/>
      <c r="KT45" s="779"/>
      <c r="KU45" s="779"/>
      <c r="KV45" s="779"/>
      <c r="KW45" s="779"/>
      <c r="KX45" s="779"/>
      <c r="KY45" s="779"/>
      <c r="KZ45" s="779"/>
      <c r="LA45" s="779"/>
      <c r="LB45" s="779"/>
      <c r="LC45" s="779"/>
      <c r="LD45" s="779"/>
      <c r="LE45" s="779"/>
      <c r="LF45" s="779"/>
      <c r="LG45" s="779"/>
      <c r="LH45" s="779"/>
      <c r="LI45" s="779"/>
      <c r="LJ45" s="779"/>
      <c r="LK45" s="779"/>
      <c r="LL45" s="779"/>
      <c r="LM45" s="779"/>
      <c r="LN45" s="779"/>
      <c r="LO45" s="779"/>
      <c r="LP45" s="779"/>
      <c r="LQ45" s="779"/>
      <c r="LR45" s="779"/>
      <c r="LS45" s="779"/>
      <c r="LT45" s="779"/>
      <c r="LU45" s="779"/>
      <c r="LV45" s="779"/>
      <c r="LW45" s="779"/>
      <c r="LX45" s="779"/>
      <c r="LY45" s="779"/>
      <c r="LZ45" s="779"/>
      <c r="MA45" s="779"/>
      <c r="MB45" s="779"/>
      <c r="MC45" s="779"/>
      <c r="MD45" s="779"/>
      <c r="ME45" s="779"/>
      <c r="MF45" s="779"/>
      <c r="MG45" s="779"/>
      <c r="MH45" s="779"/>
      <c r="MI45" s="779"/>
      <c r="MJ45" s="779"/>
      <c r="MK45" s="779"/>
      <c r="ML45" s="779"/>
      <c r="MM45" s="779"/>
      <c r="MN45" s="779"/>
      <c r="MO45" s="779"/>
      <c r="MP45" s="779"/>
      <c r="MQ45" s="779"/>
      <c r="MR45" s="779"/>
      <c r="MS45" s="779"/>
      <c r="MT45" s="779"/>
      <c r="MU45" s="779"/>
      <c r="MV45" s="779"/>
      <c r="MW45" s="779"/>
      <c r="MX45" s="779"/>
      <c r="MY45" s="779"/>
      <c r="MZ45" s="779"/>
      <c r="NA45" s="779"/>
      <c r="NB45" s="779"/>
      <c r="NC45" s="779"/>
      <c r="ND45" s="779"/>
      <c r="NE45" s="779"/>
      <c r="NF45" s="779"/>
      <c r="NG45" s="779"/>
      <c r="NH45" s="779"/>
      <c r="NI45" s="779"/>
      <c r="NJ45" s="779"/>
      <c r="NK45" s="779"/>
      <c r="NL45" s="779"/>
      <c r="NM45" s="779"/>
      <c r="NN45" s="779"/>
      <c r="NO45" s="779"/>
      <c r="NP45" s="779"/>
      <c r="NQ45" s="779"/>
      <c r="NR45" s="779"/>
      <c r="NS45" s="779"/>
      <c r="NT45" s="779"/>
      <c r="NU45" s="779"/>
      <c r="NV45" s="779"/>
      <c r="NW45" s="779"/>
      <c r="NX45" s="779"/>
      <c r="NY45" s="779"/>
      <c r="NZ45" s="779"/>
      <c r="OA45" s="779"/>
      <c r="OB45" s="779"/>
      <c r="OC45" s="779"/>
      <c r="OD45" s="779"/>
      <c r="OE45" s="779"/>
      <c r="OF45" s="779"/>
      <c r="OG45" s="779"/>
      <c r="OH45" s="779"/>
      <c r="OI45" s="779"/>
      <c r="OJ45" s="779"/>
      <c r="OK45" s="779"/>
      <c r="OL45" s="779"/>
      <c r="OM45" s="779"/>
      <c r="ON45" s="779"/>
      <c r="OO45" s="779"/>
      <c r="OP45" s="779"/>
      <c r="OQ45" s="779"/>
      <c r="OR45" s="779"/>
      <c r="OS45" s="779"/>
      <c r="OT45" s="779"/>
      <c r="OU45" s="779"/>
      <c r="OV45" s="779"/>
      <c r="OW45" s="779"/>
      <c r="OX45" s="779"/>
      <c r="OY45" s="779"/>
      <c r="OZ45" s="779"/>
      <c r="PA45" s="779"/>
      <c r="PB45" s="779"/>
      <c r="PC45" s="779"/>
      <c r="PD45" s="779"/>
      <c r="PE45" s="779"/>
      <c r="PF45" s="779"/>
      <c r="PG45" s="779"/>
      <c r="PH45" s="779"/>
      <c r="PI45" s="779"/>
      <c r="PJ45" s="779"/>
      <c r="PK45" s="779"/>
      <c r="PL45" s="779"/>
      <c r="PM45" s="779"/>
      <c r="PN45" s="779"/>
      <c r="PO45" s="779"/>
      <c r="PP45" s="779"/>
      <c r="PQ45" s="779"/>
      <c r="PR45" s="779"/>
      <c r="PS45" s="779"/>
      <c r="PT45" s="779"/>
      <c r="PU45" s="779"/>
      <c r="PV45" s="779"/>
      <c r="PW45" s="779"/>
      <c r="PX45" s="779"/>
      <c r="PY45" s="779"/>
      <c r="PZ45" s="779"/>
      <c r="QA45" s="779"/>
      <c r="QB45" s="779"/>
      <c r="QC45" s="779"/>
      <c r="QD45" s="779"/>
      <c r="QE45" s="779"/>
      <c r="QF45" s="779"/>
      <c r="QG45" s="779"/>
      <c r="QH45" s="779"/>
      <c r="QI45" s="779"/>
      <c r="QJ45" s="779"/>
      <c r="QK45" s="779"/>
      <c r="QL45" s="779"/>
      <c r="QM45" s="779"/>
      <c r="QN45" s="779"/>
      <c r="QO45" s="779"/>
      <c r="QP45" s="779"/>
      <c r="QQ45" s="779"/>
      <c r="QR45" s="779"/>
      <c r="QS45" s="779"/>
      <c r="QT45" s="779"/>
      <c r="QU45" s="779"/>
      <c r="QV45" s="779"/>
      <c r="QW45" s="779"/>
      <c r="QX45" s="779"/>
      <c r="QY45" s="779"/>
      <c r="QZ45" s="779"/>
      <c r="RA45" s="779"/>
      <c r="RB45" s="779"/>
      <c r="RC45" s="779"/>
      <c r="RD45" s="779"/>
      <c r="RE45" s="779"/>
      <c r="RF45" s="779"/>
      <c r="RG45" s="779"/>
      <c r="RH45" s="779"/>
      <c r="RI45" s="779"/>
      <c r="RJ45" s="779"/>
      <c r="RK45" s="779"/>
      <c r="RL45" s="779"/>
      <c r="RM45" s="779"/>
      <c r="RN45" s="779"/>
      <c r="RO45" s="779"/>
      <c r="RP45" s="779"/>
      <c r="RQ45" s="779"/>
      <c r="RR45" s="779"/>
      <c r="RS45" s="779"/>
      <c r="RT45" s="779"/>
      <c r="RU45" s="779"/>
      <c r="RV45" s="779"/>
      <c r="RW45" s="779"/>
      <c r="RX45" s="779"/>
    </row>
    <row r="46" spans="1:492" s="143" customFormat="1">
      <c r="A46" s="779"/>
      <c r="B46" s="779"/>
      <c r="C46" s="779"/>
      <c r="D46" s="779"/>
      <c r="E46" s="779"/>
      <c r="F46" s="779"/>
      <c r="G46" s="779"/>
      <c r="H46" s="779"/>
      <c r="I46" s="779"/>
      <c r="J46" s="779"/>
      <c r="K46" s="779"/>
      <c r="L46" s="779"/>
      <c r="M46" s="779"/>
      <c r="N46" s="779"/>
      <c r="O46" s="779"/>
      <c r="P46" s="779"/>
      <c r="Q46" s="779"/>
      <c r="R46" s="779"/>
      <c r="S46" s="779"/>
      <c r="T46" s="779"/>
      <c r="U46" s="779"/>
      <c r="V46" s="779"/>
      <c r="W46" s="779"/>
      <c r="X46" s="779"/>
      <c r="Y46" s="779"/>
      <c r="Z46" s="779"/>
      <c r="AA46" s="779"/>
      <c r="AB46" s="779"/>
      <c r="AC46" s="779"/>
      <c r="AD46" s="779"/>
      <c r="AE46" s="779"/>
      <c r="AF46" s="779"/>
      <c r="AG46" s="779"/>
      <c r="AH46" s="779"/>
      <c r="AI46" s="779"/>
      <c r="AJ46" s="779"/>
      <c r="AK46" s="779"/>
      <c r="AL46" s="779"/>
      <c r="AM46" s="787"/>
      <c r="AN46" s="787"/>
      <c r="AO46" s="787"/>
      <c r="AP46" s="150"/>
      <c r="AQ46" s="782"/>
      <c r="AR46" s="782"/>
      <c r="AS46" s="782"/>
      <c r="AT46" s="782"/>
      <c r="AU46" s="782"/>
      <c r="AV46" s="782"/>
      <c r="AW46" s="787"/>
      <c r="AX46" s="787"/>
      <c r="AY46" s="787"/>
      <c r="AZ46" s="787"/>
      <c r="BA46" s="782"/>
      <c r="BB46" s="782"/>
      <c r="BC46" s="782"/>
      <c r="BD46" s="782"/>
      <c r="BE46" s="782"/>
      <c r="BF46" s="782"/>
      <c r="BG46" s="782"/>
      <c r="BH46" s="782"/>
      <c r="BI46" s="782"/>
      <c r="BJ46" s="782"/>
      <c r="BK46" s="782"/>
      <c r="BL46" s="782"/>
      <c r="BM46" s="782"/>
      <c r="BN46" s="782"/>
      <c r="BO46" s="782"/>
      <c r="BP46" s="782"/>
      <c r="BQ46" s="782"/>
      <c r="BR46" s="782"/>
      <c r="BS46" s="782"/>
      <c r="BT46" s="782"/>
      <c r="BU46" s="782"/>
      <c r="BV46" s="782"/>
      <c r="BW46" s="782"/>
      <c r="BX46" s="782"/>
      <c r="BY46" s="782"/>
      <c r="BZ46" s="782"/>
      <c r="CA46" s="779"/>
      <c r="CB46" s="779"/>
      <c r="CC46" s="779"/>
      <c r="CD46" s="779"/>
      <c r="CE46" s="779"/>
      <c r="CF46" s="779"/>
      <c r="CG46" s="779"/>
      <c r="CH46" s="779"/>
      <c r="CI46" s="779"/>
      <c r="CJ46" s="779"/>
      <c r="CK46" s="779"/>
      <c r="CL46" s="779"/>
      <c r="CM46" s="779"/>
      <c r="CN46" s="779"/>
      <c r="CO46" s="779"/>
      <c r="CP46" s="779"/>
      <c r="CQ46" s="779"/>
      <c r="CR46" s="779"/>
      <c r="CS46" s="779"/>
      <c r="CT46" s="779"/>
      <c r="CU46" s="779"/>
      <c r="CV46" s="779"/>
      <c r="CW46" s="779"/>
      <c r="CX46" s="779"/>
      <c r="CY46" s="779"/>
      <c r="CZ46" s="779"/>
      <c r="DA46" s="779"/>
      <c r="DB46" s="779"/>
      <c r="DC46" s="779"/>
      <c r="DD46" s="779"/>
      <c r="DE46" s="779"/>
      <c r="DF46" s="779"/>
      <c r="DG46" s="779"/>
      <c r="DH46" s="779"/>
      <c r="DI46" s="779"/>
      <c r="DJ46" s="779"/>
      <c r="DK46" s="779"/>
      <c r="DL46" s="779"/>
      <c r="DM46" s="779"/>
      <c r="DN46" s="779"/>
      <c r="DO46" s="779"/>
      <c r="DP46" s="779"/>
      <c r="DQ46" s="779"/>
      <c r="DR46" s="779"/>
      <c r="DS46" s="779"/>
      <c r="DT46" s="779"/>
      <c r="DU46" s="779"/>
      <c r="DV46" s="779"/>
      <c r="DW46" s="779"/>
      <c r="DX46" s="779"/>
      <c r="DY46" s="779"/>
      <c r="DZ46" s="779"/>
      <c r="EA46" s="779"/>
      <c r="EB46" s="779"/>
      <c r="EC46" s="779"/>
      <c r="ED46" s="779"/>
      <c r="EE46" s="779"/>
      <c r="EF46" s="779"/>
      <c r="EG46" s="779"/>
      <c r="EH46" s="779"/>
      <c r="EI46" s="779"/>
      <c r="EJ46" s="779"/>
      <c r="EK46" s="779"/>
      <c r="EL46" s="779"/>
      <c r="EM46" s="779"/>
      <c r="EN46" s="779"/>
      <c r="EO46" s="779"/>
      <c r="EP46" s="779"/>
      <c r="EQ46" s="779"/>
      <c r="ER46" s="779"/>
      <c r="ES46" s="779"/>
      <c r="ET46" s="779"/>
      <c r="EU46" s="779"/>
      <c r="EV46" s="779"/>
      <c r="EW46" s="779"/>
      <c r="EX46" s="779"/>
      <c r="EY46" s="779"/>
      <c r="EZ46" s="779"/>
      <c r="FA46" s="779"/>
      <c r="FB46" s="779"/>
      <c r="FC46" s="779"/>
      <c r="FD46" s="779"/>
      <c r="FE46" s="779"/>
      <c r="FF46" s="779"/>
      <c r="FG46" s="779"/>
      <c r="FH46" s="779"/>
      <c r="FI46" s="779"/>
      <c r="FJ46" s="779"/>
      <c r="FK46" s="779"/>
      <c r="FL46" s="779"/>
      <c r="FM46" s="779"/>
      <c r="FN46" s="779"/>
      <c r="FO46" s="779"/>
      <c r="FP46" s="779"/>
      <c r="FQ46" s="779"/>
      <c r="FR46" s="779"/>
      <c r="FS46" s="779"/>
      <c r="FT46" s="779"/>
      <c r="FU46" s="779"/>
      <c r="FV46" s="779"/>
      <c r="FW46" s="779"/>
      <c r="FX46" s="779"/>
      <c r="FY46" s="779"/>
      <c r="FZ46" s="779"/>
      <c r="GA46" s="779"/>
      <c r="GB46" s="779"/>
      <c r="GC46" s="779"/>
      <c r="GD46" s="779"/>
      <c r="GE46" s="779"/>
      <c r="GF46" s="779"/>
      <c r="GG46" s="779"/>
      <c r="GH46" s="779"/>
      <c r="GI46" s="779"/>
      <c r="GJ46" s="779"/>
      <c r="GK46" s="779"/>
      <c r="GL46" s="779"/>
      <c r="GM46" s="779"/>
      <c r="GN46" s="779"/>
      <c r="GO46" s="779"/>
      <c r="GP46" s="779"/>
      <c r="GQ46" s="779"/>
      <c r="GR46" s="779"/>
      <c r="GS46" s="779"/>
      <c r="GT46" s="779"/>
      <c r="GU46" s="779"/>
      <c r="GV46" s="779"/>
      <c r="GW46" s="779"/>
      <c r="GX46" s="779"/>
      <c r="GY46" s="779"/>
      <c r="GZ46" s="779"/>
      <c r="HA46" s="779"/>
      <c r="HB46" s="779"/>
      <c r="HC46" s="779"/>
      <c r="HD46" s="779"/>
      <c r="HE46" s="779"/>
      <c r="HF46" s="779"/>
      <c r="HG46" s="779"/>
      <c r="HH46" s="779"/>
      <c r="HI46" s="779"/>
      <c r="HJ46" s="779"/>
      <c r="HK46" s="779"/>
      <c r="HL46" s="779"/>
      <c r="HM46" s="779"/>
      <c r="HN46" s="779"/>
      <c r="HO46" s="779"/>
      <c r="HP46" s="779"/>
      <c r="HQ46" s="779"/>
      <c r="HR46" s="779"/>
      <c r="HS46" s="779"/>
      <c r="HT46" s="779"/>
      <c r="HU46" s="779"/>
      <c r="HV46" s="779"/>
      <c r="HW46" s="779"/>
      <c r="HX46" s="779"/>
      <c r="HY46" s="779"/>
      <c r="HZ46" s="779"/>
      <c r="IA46" s="779"/>
      <c r="IB46" s="779"/>
      <c r="IC46" s="779"/>
      <c r="ID46" s="779"/>
      <c r="IE46" s="779"/>
      <c r="IF46" s="779"/>
      <c r="IG46" s="779"/>
      <c r="IH46" s="779"/>
      <c r="II46" s="779"/>
      <c r="IJ46" s="779"/>
      <c r="IK46" s="779"/>
      <c r="IL46" s="779"/>
      <c r="IM46" s="779"/>
      <c r="IN46" s="779"/>
      <c r="IO46" s="779"/>
      <c r="IP46" s="779"/>
      <c r="IQ46" s="779"/>
      <c r="IR46" s="779"/>
      <c r="IS46" s="779"/>
      <c r="IT46" s="779"/>
      <c r="IU46" s="779"/>
      <c r="IV46" s="779"/>
      <c r="IW46" s="779"/>
      <c r="IX46" s="779"/>
      <c r="IY46" s="779"/>
      <c r="IZ46" s="779"/>
      <c r="JA46" s="779"/>
      <c r="JB46" s="779"/>
      <c r="JC46" s="779"/>
      <c r="JD46" s="779"/>
      <c r="JE46" s="779"/>
      <c r="JF46" s="779"/>
      <c r="JG46" s="779"/>
      <c r="JH46" s="779"/>
      <c r="JI46" s="779"/>
      <c r="JJ46" s="779"/>
      <c r="JK46" s="779"/>
      <c r="JL46" s="779"/>
      <c r="JM46" s="779"/>
      <c r="JN46" s="779"/>
      <c r="JO46" s="779"/>
      <c r="JP46" s="779"/>
      <c r="JQ46" s="779"/>
      <c r="JR46" s="779"/>
      <c r="JS46" s="779"/>
      <c r="JT46" s="779"/>
      <c r="JU46" s="779"/>
      <c r="JV46" s="779"/>
      <c r="JW46" s="779"/>
      <c r="JX46" s="779"/>
      <c r="JY46" s="779"/>
      <c r="JZ46" s="779"/>
      <c r="KA46" s="779"/>
      <c r="KB46" s="779"/>
      <c r="KC46" s="779"/>
      <c r="KD46" s="779"/>
      <c r="KE46" s="779"/>
      <c r="KF46" s="779"/>
      <c r="KG46" s="779"/>
      <c r="KH46" s="779"/>
      <c r="KI46" s="779"/>
      <c r="KJ46" s="779"/>
      <c r="KK46" s="779"/>
      <c r="KL46" s="779"/>
      <c r="KM46" s="779"/>
      <c r="KN46" s="779"/>
      <c r="KO46" s="779"/>
      <c r="KP46" s="779"/>
      <c r="KQ46" s="779"/>
      <c r="KR46" s="779"/>
      <c r="KS46" s="779"/>
      <c r="KT46" s="779"/>
      <c r="KU46" s="779"/>
      <c r="KV46" s="779"/>
      <c r="KW46" s="779"/>
      <c r="KX46" s="779"/>
      <c r="KY46" s="779"/>
      <c r="KZ46" s="779"/>
      <c r="LA46" s="779"/>
      <c r="LB46" s="779"/>
      <c r="LC46" s="779"/>
      <c r="LD46" s="779"/>
      <c r="LE46" s="779"/>
      <c r="LF46" s="779"/>
      <c r="LG46" s="779"/>
      <c r="LH46" s="779"/>
      <c r="LI46" s="779"/>
      <c r="LJ46" s="779"/>
      <c r="LK46" s="779"/>
      <c r="LL46" s="779"/>
      <c r="LM46" s="779"/>
      <c r="LN46" s="779"/>
      <c r="LO46" s="779"/>
      <c r="LP46" s="779"/>
      <c r="LQ46" s="779"/>
      <c r="LR46" s="779"/>
      <c r="LS46" s="779"/>
      <c r="LT46" s="779"/>
      <c r="LU46" s="779"/>
      <c r="LV46" s="779"/>
      <c r="LW46" s="779"/>
      <c r="LX46" s="779"/>
      <c r="LY46" s="779"/>
      <c r="LZ46" s="779"/>
      <c r="MA46" s="779"/>
      <c r="MB46" s="779"/>
      <c r="MC46" s="779"/>
      <c r="MD46" s="779"/>
      <c r="ME46" s="779"/>
      <c r="MF46" s="779"/>
      <c r="MG46" s="779"/>
      <c r="MH46" s="779"/>
      <c r="MI46" s="779"/>
      <c r="MJ46" s="779"/>
      <c r="MK46" s="779"/>
      <c r="ML46" s="779"/>
      <c r="MM46" s="779"/>
      <c r="MN46" s="779"/>
      <c r="MO46" s="779"/>
      <c r="MP46" s="779"/>
      <c r="MQ46" s="779"/>
      <c r="MR46" s="779"/>
      <c r="MS46" s="779"/>
      <c r="MT46" s="779"/>
      <c r="MU46" s="779"/>
      <c r="MV46" s="779"/>
      <c r="MW46" s="779"/>
      <c r="MX46" s="779"/>
      <c r="MY46" s="779"/>
      <c r="MZ46" s="779"/>
      <c r="NA46" s="779"/>
      <c r="NB46" s="779"/>
      <c r="NC46" s="779"/>
      <c r="ND46" s="779"/>
      <c r="NE46" s="779"/>
      <c r="NF46" s="779"/>
      <c r="NG46" s="779"/>
      <c r="NH46" s="779"/>
      <c r="NI46" s="779"/>
      <c r="NJ46" s="779"/>
      <c r="NK46" s="779"/>
      <c r="NL46" s="779"/>
      <c r="NM46" s="779"/>
      <c r="NN46" s="779"/>
      <c r="NO46" s="779"/>
      <c r="NP46" s="779"/>
      <c r="NQ46" s="779"/>
      <c r="NR46" s="779"/>
      <c r="NS46" s="779"/>
      <c r="NT46" s="779"/>
      <c r="NU46" s="779"/>
      <c r="NV46" s="779"/>
      <c r="NW46" s="779"/>
      <c r="NX46" s="779"/>
      <c r="NY46" s="779"/>
      <c r="NZ46" s="779"/>
      <c r="OA46" s="779"/>
      <c r="OB46" s="779"/>
      <c r="OC46" s="779"/>
      <c r="OD46" s="779"/>
      <c r="OE46" s="779"/>
      <c r="OF46" s="779"/>
      <c r="OG46" s="779"/>
      <c r="OH46" s="779"/>
      <c r="OI46" s="779"/>
      <c r="OJ46" s="779"/>
      <c r="OK46" s="779"/>
      <c r="OL46" s="779"/>
      <c r="OM46" s="779"/>
      <c r="ON46" s="779"/>
      <c r="OO46" s="779"/>
      <c r="OP46" s="779"/>
      <c r="OQ46" s="779"/>
      <c r="OR46" s="779"/>
      <c r="OS46" s="779"/>
      <c r="OT46" s="779"/>
      <c r="OU46" s="779"/>
      <c r="OV46" s="779"/>
      <c r="OW46" s="779"/>
      <c r="OX46" s="779"/>
      <c r="OY46" s="779"/>
      <c r="OZ46" s="779"/>
      <c r="PA46" s="779"/>
      <c r="PB46" s="779"/>
      <c r="PC46" s="779"/>
      <c r="PD46" s="779"/>
      <c r="PE46" s="779"/>
      <c r="PF46" s="779"/>
      <c r="PG46" s="779"/>
      <c r="PH46" s="779"/>
      <c r="PI46" s="779"/>
      <c r="PJ46" s="779"/>
      <c r="PK46" s="779"/>
      <c r="PL46" s="779"/>
      <c r="PM46" s="779"/>
      <c r="PN46" s="779"/>
      <c r="PO46" s="779"/>
      <c r="PP46" s="779"/>
      <c r="PQ46" s="779"/>
      <c r="PR46" s="779"/>
      <c r="PS46" s="779"/>
      <c r="PT46" s="779"/>
      <c r="PU46" s="779"/>
      <c r="PV46" s="779"/>
      <c r="PW46" s="779"/>
      <c r="PX46" s="779"/>
      <c r="PY46" s="779"/>
      <c r="PZ46" s="779"/>
      <c r="QA46" s="779"/>
      <c r="QB46" s="779"/>
      <c r="QC46" s="779"/>
      <c r="QD46" s="779"/>
      <c r="QE46" s="779"/>
      <c r="QF46" s="779"/>
      <c r="QG46" s="779"/>
      <c r="QH46" s="779"/>
      <c r="QI46" s="779"/>
      <c r="QJ46" s="779"/>
      <c r="QK46" s="779"/>
      <c r="QL46" s="779"/>
      <c r="QM46" s="779"/>
      <c r="QN46" s="779"/>
      <c r="QO46" s="779"/>
      <c r="QP46" s="779"/>
      <c r="QQ46" s="779"/>
      <c r="QR46" s="779"/>
      <c r="QS46" s="779"/>
      <c r="QT46" s="779"/>
      <c r="QU46" s="779"/>
      <c r="QV46" s="779"/>
      <c r="QW46" s="779"/>
      <c r="QX46" s="779"/>
      <c r="QY46" s="779"/>
      <c r="QZ46" s="779"/>
      <c r="RA46" s="779"/>
      <c r="RB46" s="779"/>
      <c r="RC46" s="779"/>
      <c r="RD46" s="779"/>
      <c r="RE46" s="779"/>
      <c r="RF46" s="779"/>
      <c r="RG46" s="779"/>
      <c r="RH46" s="779"/>
      <c r="RI46" s="779"/>
      <c r="RJ46" s="779"/>
      <c r="RK46" s="779"/>
      <c r="RL46" s="779"/>
      <c r="RM46" s="779"/>
      <c r="RN46" s="779"/>
      <c r="RO46" s="779"/>
      <c r="RP46" s="779"/>
      <c r="RQ46" s="779"/>
      <c r="RR46" s="779"/>
      <c r="RS46" s="779"/>
      <c r="RT46" s="779"/>
      <c r="RU46" s="779"/>
      <c r="RV46" s="779"/>
      <c r="RW46" s="779"/>
      <c r="RX46" s="779"/>
    </row>
    <row r="47" spans="1:492" s="143" customFormat="1">
      <c r="A47" s="779"/>
      <c r="B47" s="779"/>
      <c r="C47" s="779"/>
      <c r="D47" s="779"/>
      <c r="E47" s="779"/>
      <c r="F47" s="779"/>
      <c r="G47" s="779"/>
      <c r="H47" s="779"/>
      <c r="I47" s="779"/>
      <c r="J47" s="779"/>
      <c r="K47" s="779"/>
      <c r="L47" s="779"/>
      <c r="M47" s="779"/>
      <c r="N47" s="779"/>
      <c r="O47" s="779"/>
      <c r="P47" s="779"/>
      <c r="Q47" s="779"/>
      <c r="R47" s="779"/>
      <c r="S47" s="779"/>
      <c r="T47" s="779"/>
      <c r="U47" s="779"/>
      <c r="V47" s="779"/>
      <c r="W47" s="779"/>
      <c r="X47" s="779"/>
      <c r="Y47" s="779"/>
      <c r="Z47" s="779"/>
      <c r="AA47" s="779"/>
      <c r="AB47" s="779"/>
      <c r="AC47" s="779"/>
      <c r="AD47" s="779"/>
      <c r="AE47" s="779"/>
      <c r="AF47" s="779"/>
      <c r="AG47" s="779"/>
      <c r="AH47" s="779"/>
      <c r="AI47" s="779"/>
      <c r="AJ47" s="779"/>
      <c r="AK47" s="779"/>
      <c r="AL47" s="779"/>
      <c r="AM47" s="787"/>
      <c r="AN47" s="787"/>
      <c r="AO47" s="787"/>
      <c r="AP47" s="150"/>
      <c r="AQ47" s="782"/>
      <c r="AR47" s="782"/>
      <c r="AS47" s="782"/>
      <c r="AT47" s="782"/>
      <c r="AU47" s="782"/>
      <c r="AV47" s="782"/>
      <c r="AW47" s="787"/>
      <c r="AX47" s="787"/>
      <c r="AY47" s="787"/>
      <c r="AZ47" s="151"/>
      <c r="BA47" s="782"/>
      <c r="BB47" s="782"/>
      <c r="BC47" s="782"/>
      <c r="BD47" s="782"/>
      <c r="BE47" s="782"/>
      <c r="BF47" s="782"/>
      <c r="BG47" s="782"/>
      <c r="BH47" s="782"/>
      <c r="BI47" s="782"/>
      <c r="BJ47" s="782"/>
      <c r="BK47" s="782"/>
      <c r="BL47" s="782"/>
      <c r="BM47" s="782"/>
      <c r="BN47" s="782"/>
      <c r="BO47" s="782"/>
      <c r="BP47" s="782"/>
      <c r="BQ47" s="782"/>
      <c r="BR47" s="782"/>
      <c r="BS47" s="782"/>
      <c r="BT47" s="782"/>
      <c r="BU47" s="782"/>
      <c r="BV47" s="782"/>
      <c r="BW47" s="782"/>
      <c r="BX47" s="782"/>
      <c r="BY47" s="782"/>
      <c r="BZ47" s="782"/>
      <c r="CA47" s="779"/>
      <c r="CB47" s="779"/>
      <c r="CC47" s="779"/>
      <c r="CD47" s="779"/>
      <c r="CE47" s="779"/>
      <c r="CF47" s="779"/>
      <c r="CG47" s="779"/>
      <c r="CH47" s="779"/>
      <c r="CI47" s="779"/>
      <c r="CJ47" s="779"/>
      <c r="CK47" s="779"/>
      <c r="CL47" s="779"/>
      <c r="CM47" s="779"/>
      <c r="CN47" s="779"/>
      <c r="CO47" s="779"/>
      <c r="CP47" s="779"/>
      <c r="CQ47" s="779"/>
      <c r="CR47" s="779"/>
      <c r="CS47" s="779"/>
      <c r="CT47" s="779"/>
      <c r="CU47" s="779"/>
      <c r="CV47" s="779"/>
      <c r="CW47" s="779"/>
      <c r="CX47" s="779"/>
      <c r="CY47" s="779"/>
      <c r="CZ47" s="779"/>
      <c r="DA47" s="779"/>
      <c r="DB47" s="779"/>
      <c r="DC47" s="779"/>
      <c r="DD47" s="779"/>
      <c r="DE47" s="779"/>
      <c r="DF47" s="779"/>
      <c r="DG47" s="779"/>
      <c r="DH47" s="779"/>
      <c r="DI47" s="779"/>
      <c r="DJ47" s="779"/>
      <c r="DK47" s="779"/>
      <c r="DL47" s="779"/>
      <c r="DM47" s="779"/>
      <c r="DN47" s="779"/>
      <c r="DO47" s="779"/>
      <c r="DP47" s="779"/>
      <c r="DQ47" s="779"/>
      <c r="DR47" s="779"/>
      <c r="DS47" s="779"/>
      <c r="DT47" s="779"/>
      <c r="DU47" s="779"/>
      <c r="DV47" s="779"/>
      <c r="DW47" s="779"/>
      <c r="DX47" s="779"/>
      <c r="DY47" s="779"/>
      <c r="DZ47" s="779"/>
      <c r="EA47" s="779"/>
      <c r="EB47" s="779"/>
      <c r="EC47" s="779"/>
      <c r="ED47" s="779"/>
      <c r="EE47" s="779"/>
      <c r="EF47" s="779"/>
      <c r="EG47" s="779"/>
      <c r="EH47" s="779"/>
      <c r="EI47" s="779"/>
      <c r="EJ47" s="779"/>
      <c r="EK47" s="779"/>
      <c r="EL47" s="779"/>
      <c r="EM47" s="779"/>
      <c r="EN47" s="779"/>
      <c r="EO47" s="779"/>
      <c r="EP47" s="779"/>
      <c r="EQ47" s="779"/>
      <c r="ER47" s="779"/>
      <c r="ES47" s="779"/>
      <c r="ET47" s="779"/>
      <c r="EU47" s="779"/>
      <c r="EV47" s="779"/>
      <c r="EW47" s="779"/>
      <c r="EX47" s="779"/>
      <c r="EY47" s="779"/>
      <c r="EZ47" s="779"/>
      <c r="FA47" s="779"/>
      <c r="FB47" s="779"/>
      <c r="FC47" s="779"/>
      <c r="FD47" s="779"/>
      <c r="FE47" s="779"/>
      <c r="FF47" s="779"/>
      <c r="FG47" s="779"/>
      <c r="FH47" s="779"/>
      <c r="FI47" s="779"/>
      <c r="FJ47" s="779"/>
      <c r="FK47" s="779"/>
      <c r="FL47" s="779"/>
      <c r="FM47" s="779"/>
      <c r="FN47" s="779"/>
      <c r="FO47" s="779"/>
      <c r="FP47" s="779"/>
      <c r="FQ47" s="779"/>
      <c r="FR47" s="779"/>
      <c r="FS47" s="779"/>
      <c r="FT47" s="779"/>
      <c r="FU47" s="779"/>
      <c r="FV47" s="779"/>
      <c r="FW47" s="779"/>
      <c r="FX47" s="779"/>
      <c r="FY47" s="779"/>
      <c r="FZ47" s="779"/>
      <c r="GA47" s="779"/>
      <c r="GB47" s="779"/>
      <c r="GC47" s="779"/>
      <c r="GD47" s="779"/>
      <c r="GE47" s="779"/>
      <c r="GF47" s="779"/>
      <c r="GG47" s="779"/>
      <c r="GH47" s="779"/>
      <c r="GI47" s="779"/>
      <c r="GJ47" s="779"/>
      <c r="GK47" s="779"/>
      <c r="GL47" s="779"/>
      <c r="GM47" s="779"/>
      <c r="GN47" s="779"/>
      <c r="GO47" s="779"/>
      <c r="GP47" s="779"/>
      <c r="GQ47" s="779"/>
      <c r="GR47" s="779"/>
      <c r="GS47" s="779"/>
      <c r="GT47" s="779"/>
      <c r="GU47" s="779"/>
      <c r="GV47" s="779"/>
      <c r="GW47" s="779"/>
      <c r="GX47" s="779"/>
      <c r="GY47" s="779"/>
      <c r="GZ47" s="779"/>
      <c r="HA47" s="779"/>
      <c r="HB47" s="779"/>
      <c r="HC47" s="779"/>
      <c r="HD47" s="779"/>
      <c r="HE47" s="779"/>
      <c r="HF47" s="779"/>
      <c r="HG47" s="779"/>
      <c r="HH47" s="779"/>
      <c r="HI47" s="779"/>
      <c r="HJ47" s="779"/>
      <c r="HK47" s="779"/>
      <c r="HL47" s="779"/>
      <c r="HM47" s="779"/>
      <c r="HN47" s="779"/>
      <c r="HO47" s="779"/>
      <c r="HP47" s="779"/>
      <c r="HQ47" s="779"/>
      <c r="HR47" s="779"/>
      <c r="HS47" s="779"/>
      <c r="HT47" s="779"/>
      <c r="HU47" s="779"/>
      <c r="HV47" s="779"/>
      <c r="HW47" s="779"/>
      <c r="HX47" s="779"/>
      <c r="HY47" s="779"/>
      <c r="HZ47" s="779"/>
      <c r="IA47" s="779"/>
      <c r="IB47" s="779"/>
      <c r="IC47" s="779"/>
      <c r="ID47" s="779"/>
      <c r="IE47" s="779"/>
      <c r="IF47" s="779"/>
      <c r="IG47" s="779"/>
      <c r="IH47" s="779"/>
      <c r="II47" s="779"/>
      <c r="IJ47" s="779"/>
      <c r="IK47" s="779"/>
      <c r="IL47" s="779"/>
      <c r="IM47" s="779"/>
      <c r="IN47" s="779"/>
      <c r="IO47" s="779"/>
      <c r="IP47" s="779"/>
      <c r="IQ47" s="779"/>
      <c r="IR47" s="779"/>
      <c r="IS47" s="779"/>
      <c r="IT47" s="779"/>
      <c r="IU47" s="779"/>
      <c r="IV47" s="779"/>
      <c r="IW47" s="779"/>
      <c r="IX47" s="779"/>
      <c r="IY47" s="779"/>
      <c r="IZ47" s="779"/>
      <c r="JA47" s="779"/>
      <c r="JB47" s="779"/>
      <c r="JC47" s="779"/>
      <c r="JD47" s="779"/>
      <c r="JE47" s="779"/>
      <c r="JF47" s="779"/>
      <c r="JG47" s="779"/>
      <c r="JH47" s="779"/>
      <c r="JI47" s="779"/>
      <c r="JJ47" s="779"/>
      <c r="JK47" s="779"/>
      <c r="JL47" s="779"/>
      <c r="JM47" s="779"/>
      <c r="JN47" s="779"/>
      <c r="JO47" s="779"/>
      <c r="JP47" s="779"/>
      <c r="JQ47" s="779"/>
      <c r="JR47" s="779"/>
      <c r="JS47" s="779"/>
      <c r="JT47" s="779"/>
      <c r="JU47" s="779"/>
      <c r="JV47" s="779"/>
      <c r="JW47" s="779"/>
      <c r="JX47" s="779"/>
      <c r="JY47" s="779"/>
      <c r="JZ47" s="779"/>
      <c r="KA47" s="779"/>
      <c r="KB47" s="779"/>
      <c r="KC47" s="779"/>
      <c r="KD47" s="779"/>
      <c r="KE47" s="779"/>
      <c r="KF47" s="779"/>
      <c r="KG47" s="779"/>
      <c r="KH47" s="779"/>
      <c r="KI47" s="779"/>
      <c r="KJ47" s="779"/>
      <c r="KK47" s="779"/>
      <c r="KL47" s="779"/>
      <c r="KM47" s="779"/>
      <c r="KN47" s="779"/>
      <c r="KO47" s="779"/>
      <c r="KP47" s="779"/>
      <c r="KQ47" s="779"/>
      <c r="KR47" s="779"/>
      <c r="KS47" s="779"/>
      <c r="KT47" s="779"/>
      <c r="KU47" s="779"/>
      <c r="KV47" s="779"/>
      <c r="KW47" s="779"/>
      <c r="KX47" s="779"/>
      <c r="KY47" s="779"/>
      <c r="KZ47" s="779"/>
      <c r="LA47" s="779"/>
      <c r="LB47" s="779"/>
      <c r="LC47" s="779"/>
      <c r="LD47" s="779"/>
      <c r="LE47" s="779"/>
      <c r="LF47" s="779"/>
      <c r="LG47" s="779"/>
      <c r="LH47" s="779"/>
      <c r="LI47" s="779"/>
      <c r="LJ47" s="779"/>
      <c r="LK47" s="779"/>
      <c r="LL47" s="779"/>
      <c r="LM47" s="779"/>
      <c r="LN47" s="779"/>
      <c r="LO47" s="779"/>
      <c r="LP47" s="779"/>
      <c r="LQ47" s="779"/>
      <c r="LR47" s="779"/>
      <c r="LS47" s="779"/>
      <c r="LT47" s="779"/>
      <c r="LU47" s="779"/>
      <c r="LV47" s="779"/>
      <c r="LW47" s="779"/>
      <c r="LX47" s="779"/>
      <c r="LY47" s="779"/>
      <c r="LZ47" s="779"/>
      <c r="MA47" s="779"/>
      <c r="MB47" s="779"/>
      <c r="MC47" s="779"/>
      <c r="MD47" s="779"/>
      <c r="ME47" s="779"/>
      <c r="MF47" s="779"/>
      <c r="MG47" s="779"/>
      <c r="MH47" s="779"/>
      <c r="MI47" s="779"/>
      <c r="MJ47" s="779"/>
      <c r="MK47" s="779"/>
      <c r="ML47" s="779"/>
      <c r="MM47" s="779"/>
      <c r="MN47" s="779"/>
      <c r="MO47" s="779"/>
      <c r="MP47" s="779"/>
      <c r="MQ47" s="779"/>
      <c r="MR47" s="779"/>
      <c r="MS47" s="779"/>
      <c r="MT47" s="779"/>
      <c r="MU47" s="779"/>
      <c r="MV47" s="779"/>
      <c r="MW47" s="779"/>
      <c r="MX47" s="779"/>
      <c r="MY47" s="779"/>
      <c r="MZ47" s="779"/>
      <c r="NA47" s="779"/>
      <c r="NB47" s="779"/>
      <c r="NC47" s="779"/>
      <c r="ND47" s="779"/>
      <c r="NE47" s="779"/>
      <c r="NF47" s="779"/>
      <c r="NG47" s="779"/>
      <c r="NH47" s="779"/>
      <c r="NI47" s="779"/>
      <c r="NJ47" s="779"/>
      <c r="NK47" s="779"/>
      <c r="NL47" s="779"/>
      <c r="NM47" s="779"/>
      <c r="NN47" s="779"/>
      <c r="NO47" s="779"/>
      <c r="NP47" s="779"/>
      <c r="NQ47" s="779"/>
      <c r="NR47" s="779"/>
      <c r="NS47" s="779"/>
      <c r="NT47" s="779"/>
      <c r="NU47" s="779"/>
      <c r="NV47" s="779"/>
      <c r="NW47" s="779"/>
      <c r="NX47" s="779"/>
      <c r="NY47" s="779"/>
      <c r="NZ47" s="779"/>
      <c r="OA47" s="779"/>
      <c r="OB47" s="779"/>
      <c r="OC47" s="779"/>
      <c r="OD47" s="779"/>
      <c r="OE47" s="779"/>
      <c r="OF47" s="779"/>
      <c r="OG47" s="779"/>
      <c r="OH47" s="779"/>
      <c r="OI47" s="779"/>
      <c r="OJ47" s="779"/>
      <c r="OK47" s="779"/>
      <c r="OL47" s="779"/>
      <c r="OM47" s="779"/>
      <c r="ON47" s="779"/>
      <c r="OO47" s="779"/>
      <c r="OP47" s="779"/>
      <c r="OQ47" s="779"/>
      <c r="OR47" s="779"/>
      <c r="OS47" s="779"/>
      <c r="OT47" s="779"/>
      <c r="OU47" s="779"/>
      <c r="OV47" s="779"/>
      <c r="OW47" s="779"/>
      <c r="OX47" s="779"/>
      <c r="OY47" s="779"/>
      <c r="OZ47" s="779"/>
      <c r="PA47" s="779"/>
      <c r="PB47" s="779"/>
      <c r="PC47" s="779"/>
      <c r="PD47" s="779"/>
      <c r="PE47" s="779"/>
      <c r="PF47" s="779"/>
      <c r="PG47" s="779"/>
      <c r="PH47" s="779"/>
      <c r="PI47" s="779"/>
      <c r="PJ47" s="779"/>
      <c r="PK47" s="779"/>
      <c r="PL47" s="779"/>
      <c r="PM47" s="779"/>
      <c r="PN47" s="779"/>
      <c r="PO47" s="779"/>
      <c r="PP47" s="779"/>
      <c r="PQ47" s="779"/>
      <c r="PR47" s="779"/>
      <c r="PS47" s="779"/>
      <c r="PT47" s="779"/>
      <c r="PU47" s="779"/>
      <c r="PV47" s="779"/>
      <c r="PW47" s="779"/>
      <c r="PX47" s="779"/>
      <c r="PY47" s="779"/>
      <c r="PZ47" s="779"/>
      <c r="QA47" s="779"/>
      <c r="QB47" s="779"/>
      <c r="QC47" s="779"/>
      <c r="QD47" s="779"/>
      <c r="QE47" s="779"/>
      <c r="QF47" s="779"/>
      <c r="QG47" s="779"/>
      <c r="QH47" s="779"/>
      <c r="QI47" s="779"/>
      <c r="QJ47" s="779"/>
      <c r="QK47" s="779"/>
      <c r="QL47" s="779"/>
      <c r="QM47" s="779"/>
      <c r="QN47" s="779"/>
      <c r="QO47" s="779"/>
      <c r="QP47" s="779"/>
      <c r="QQ47" s="779"/>
      <c r="QR47" s="779"/>
      <c r="QS47" s="779"/>
      <c r="QT47" s="779"/>
      <c r="QU47" s="779"/>
      <c r="QV47" s="779"/>
      <c r="QW47" s="779"/>
      <c r="QX47" s="779"/>
      <c r="QY47" s="779"/>
      <c r="QZ47" s="779"/>
      <c r="RA47" s="779"/>
      <c r="RB47" s="779"/>
      <c r="RC47" s="779"/>
      <c r="RD47" s="779"/>
      <c r="RE47" s="779"/>
      <c r="RF47" s="779"/>
      <c r="RG47" s="779"/>
      <c r="RH47" s="779"/>
      <c r="RI47" s="779"/>
      <c r="RJ47" s="779"/>
      <c r="RK47" s="779"/>
      <c r="RL47" s="779"/>
      <c r="RM47" s="779"/>
      <c r="RN47" s="779"/>
      <c r="RO47" s="779"/>
      <c r="RP47" s="779"/>
      <c r="RQ47" s="779"/>
      <c r="RR47" s="779"/>
      <c r="RS47" s="779"/>
      <c r="RT47" s="779"/>
      <c r="RU47" s="779"/>
      <c r="RV47" s="779"/>
      <c r="RW47" s="779"/>
      <c r="RX47" s="779"/>
    </row>
    <row r="48" spans="1:492" s="143" customFormat="1">
      <c r="A48" s="779"/>
      <c r="B48" s="779"/>
      <c r="C48" s="779"/>
      <c r="D48" s="779"/>
      <c r="E48" s="779"/>
      <c r="F48" s="779"/>
      <c r="G48" s="779"/>
      <c r="H48" s="779"/>
      <c r="I48" s="779"/>
      <c r="J48" s="779"/>
      <c r="K48" s="779"/>
      <c r="L48" s="779"/>
      <c r="M48" s="779"/>
      <c r="N48" s="779"/>
      <c r="O48" s="779"/>
      <c r="P48" s="779"/>
      <c r="Q48" s="779"/>
      <c r="R48" s="779"/>
      <c r="S48" s="779"/>
      <c r="T48" s="779"/>
      <c r="U48" s="779"/>
      <c r="V48" s="779"/>
      <c r="W48" s="779"/>
      <c r="X48" s="779"/>
      <c r="Y48" s="779"/>
      <c r="Z48" s="779"/>
      <c r="AA48" s="779"/>
      <c r="AB48" s="779"/>
      <c r="AC48" s="779"/>
      <c r="AD48" s="779"/>
      <c r="AE48" s="779"/>
      <c r="AF48" s="779"/>
      <c r="AG48" s="779"/>
      <c r="AH48" s="779"/>
      <c r="AI48" s="779"/>
      <c r="AJ48" s="779"/>
      <c r="AK48" s="779"/>
      <c r="AL48" s="779"/>
      <c r="AM48" s="787"/>
      <c r="AN48" s="787"/>
      <c r="AO48" s="787"/>
      <c r="AP48" s="150"/>
      <c r="AQ48" s="782"/>
      <c r="AR48" s="782"/>
      <c r="AS48" s="782"/>
      <c r="AT48" s="782"/>
      <c r="AU48" s="782"/>
      <c r="AV48" s="782"/>
      <c r="AW48" s="787"/>
      <c r="AX48" s="787"/>
      <c r="AY48" s="787"/>
      <c r="AZ48" s="151"/>
      <c r="BA48" s="782"/>
      <c r="BB48" s="787"/>
      <c r="BC48" s="787"/>
      <c r="BD48" s="152"/>
      <c r="BE48" s="152"/>
      <c r="BF48" s="782"/>
      <c r="BG48" s="787"/>
      <c r="BH48" s="787"/>
      <c r="BI48" s="152"/>
      <c r="BJ48" s="152"/>
      <c r="BK48" s="782"/>
      <c r="BL48" s="787"/>
      <c r="BM48" s="787"/>
      <c r="BN48" s="152"/>
      <c r="BO48" s="152"/>
      <c r="BP48" s="782"/>
      <c r="BQ48" s="787"/>
      <c r="BR48" s="787"/>
      <c r="BS48" s="152"/>
      <c r="BT48" s="152"/>
      <c r="BU48" s="782"/>
      <c r="BV48" s="787"/>
      <c r="BW48" s="787"/>
      <c r="BX48" s="152"/>
      <c r="BY48" s="152"/>
      <c r="BZ48" s="782"/>
      <c r="CA48" s="779"/>
      <c r="CB48" s="779"/>
      <c r="CC48" s="779"/>
      <c r="CD48" s="779"/>
      <c r="CE48" s="779"/>
      <c r="CF48" s="779"/>
      <c r="CG48" s="779"/>
      <c r="CH48" s="779"/>
      <c r="CI48" s="779"/>
      <c r="CJ48" s="779"/>
      <c r="CK48" s="779"/>
      <c r="CL48" s="779"/>
      <c r="CM48" s="779"/>
      <c r="CN48" s="779"/>
      <c r="CO48" s="779"/>
      <c r="CP48" s="779"/>
      <c r="CQ48" s="779"/>
      <c r="CR48" s="779"/>
      <c r="CS48" s="779"/>
      <c r="CT48" s="779"/>
      <c r="CU48" s="779"/>
      <c r="CV48" s="779"/>
      <c r="CW48" s="779"/>
      <c r="CX48" s="779"/>
      <c r="CY48" s="779"/>
      <c r="CZ48" s="779"/>
      <c r="DA48" s="779"/>
      <c r="DB48" s="779"/>
      <c r="DC48" s="779"/>
      <c r="DD48" s="779"/>
      <c r="DE48" s="779"/>
      <c r="DF48" s="779"/>
      <c r="DG48" s="779"/>
      <c r="DH48" s="779"/>
      <c r="DI48" s="779"/>
      <c r="DJ48" s="779"/>
      <c r="DK48" s="779"/>
      <c r="DL48" s="779"/>
      <c r="DM48" s="779"/>
      <c r="DN48" s="779"/>
      <c r="DO48" s="779"/>
      <c r="DP48" s="779"/>
      <c r="DQ48" s="779"/>
      <c r="DR48" s="779"/>
      <c r="DS48" s="779"/>
      <c r="DT48" s="779"/>
      <c r="DU48" s="779"/>
      <c r="DV48" s="779"/>
      <c r="DW48" s="779"/>
      <c r="DX48" s="779"/>
      <c r="DY48" s="779"/>
      <c r="DZ48" s="779"/>
      <c r="EA48" s="779"/>
      <c r="EB48" s="779"/>
      <c r="EC48" s="779"/>
      <c r="ED48" s="779"/>
      <c r="EE48" s="779"/>
      <c r="EF48" s="779"/>
      <c r="EG48" s="779"/>
      <c r="EH48" s="779"/>
      <c r="EI48" s="779"/>
      <c r="EJ48" s="779"/>
      <c r="EK48" s="779"/>
      <c r="EL48" s="779"/>
      <c r="EM48" s="779"/>
      <c r="EN48" s="779"/>
      <c r="EO48" s="779"/>
      <c r="EP48" s="779"/>
      <c r="EQ48" s="779"/>
      <c r="ER48" s="779"/>
      <c r="ES48" s="779"/>
      <c r="ET48" s="779"/>
      <c r="EU48" s="779"/>
      <c r="EV48" s="779"/>
      <c r="EW48" s="779"/>
      <c r="EX48" s="779"/>
      <c r="EY48" s="779"/>
      <c r="EZ48" s="779"/>
      <c r="FA48" s="779"/>
      <c r="FB48" s="779"/>
      <c r="FC48" s="779"/>
      <c r="FD48" s="779"/>
      <c r="FE48" s="779"/>
      <c r="FF48" s="779"/>
      <c r="FG48" s="779"/>
      <c r="FH48" s="779"/>
      <c r="FI48" s="779"/>
      <c r="FJ48" s="779"/>
      <c r="FK48" s="779"/>
      <c r="FL48" s="779"/>
      <c r="FM48" s="779"/>
      <c r="FN48" s="779"/>
      <c r="FO48" s="779"/>
      <c r="FP48" s="779"/>
      <c r="FQ48" s="779"/>
      <c r="FR48" s="779"/>
      <c r="FS48" s="779"/>
      <c r="FT48" s="779"/>
      <c r="FU48" s="779"/>
      <c r="FV48" s="779"/>
      <c r="FW48" s="779"/>
      <c r="FX48" s="779"/>
      <c r="FY48" s="779"/>
      <c r="FZ48" s="779"/>
      <c r="GA48" s="779"/>
      <c r="GB48" s="779"/>
      <c r="GC48" s="779"/>
      <c r="GD48" s="779"/>
      <c r="GE48" s="779"/>
      <c r="GF48" s="779"/>
      <c r="GG48" s="779"/>
      <c r="GH48" s="779"/>
      <c r="GI48" s="779"/>
      <c r="GJ48" s="779"/>
      <c r="GK48" s="779"/>
      <c r="GL48" s="779"/>
      <c r="GM48" s="779"/>
      <c r="GN48" s="779"/>
      <c r="GO48" s="779"/>
      <c r="GP48" s="779"/>
      <c r="GQ48" s="779"/>
      <c r="GR48" s="779"/>
      <c r="GS48" s="779"/>
      <c r="GT48" s="779"/>
      <c r="GU48" s="779"/>
      <c r="GV48" s="779"/>
      <c r="GW48" s="779"/>
      <c r="GX48" s="779"/>
      <c r="GY48" s="779"/>
      <c r="GZ48" s="779"/>
      <c r="HA48" s="779"/>
      <c r="HB48" s="779"/>
      <c r="HC48" s="779"/>
      <c r="HD48" s="779"/>
      <c r="HE48" s="779"/>
      <c r="HF48" s="779"/>
      <c r="HG48" s="779"/>
      <c r="HH48" s="779"/>
      <c r="HI48" s="779"/>
      <c r="HJ48" s="779"/>
      <c r="HK48" s="779"/>
      <c r="HL48" s="779"/>
      <c r="HM48" s="779"/>
      <c r="HN48" s="779"/>
      <c r="HO48" s="779"/>
      <c r="HP48" s="779"/>
      <c r="HQ48" s="779"/>
      <c r="HR48" s="779"/>
      <c r="HS48" s="779"/>
      <c r="HT48" s="779"/>
      <c r="HU48" s="779"/>
      <c r="HV48" s="779"/>
      <c r="HW48" s="779"/>
      <c r="HX48" s="779"/>
      <c r="HY48" s="779"/>
      <c r="HZ48" s="779"/>
      <c r="IA48" s="779"/>
      <c r="IB48" s="779"/>
      <c r="IC48" s="779"/>
      <c r="ID48" s="779"/>
      <c r="IE48" s="779"/>
      <c r="IF48" s="779"/>
      <c r="IG48" s="779"/>
      <c r="IH48" s="779"/>
      <c r="II48" s="779"/>
      <c r="IJ48" s="779"/>
      <c r="IK48" s="779"/>
      <c r="IL48" s="779"/>
      <c r="IM48" s="779"/>
      <c r="IN48" s="779"/>
      <c r="IO48" s="779"/>
      <c r="IP48" s="779"/>
      <c r="IQ48" s="779"/>
      <c r="IR48" s="779"/>
      <c r="IS48" s="779"/>
      <c r="IT48" s="779"/>
      <c r="IU48" s="779"/>
      <c r="IV48" s="779"/>
      <c r="IW48" s="779"/>
      <c r="IX48" s="779"/>
      <c r="IY48" s="779"/>
      <c r="IZ48" s="779"/>
      <c r="JA48" s="779"/>
      <c r="JB48" s="779"/>
      <c r="JC48" s="779"/>
      <c r="JD48" s="779"/>
      <c r="JE48" s="779"/>
      <c r="JF48" s="779"/>
      <c r="JG48" s="779"/>
      <c r="JH48" s="779"/>
      <c r="JI48" s="779"/>
      <c r="JJ48" s="779"/>
      <c r="JK48" s="779"/>
      <c r="JL48" s="779"/>
      <c r="JM48" s="779"/>
      <c r="JN48" s="779"/>
      <c r="JO48" s="779"/>
      <c r="JP48" s="779"/>
      <c r="JQ48" s="779"/>
      <c r="JR48" s="779"/>
      <c r="JS48" s="779"/>
      <c r="JT48" s="779"/>
      <c r="JU48" s="779"/>
      <c r="JV48" s="779"/>
      <c r="JW48" s="779"/>
      <c r="JX48" s="779"/>
      <c r="JY48" s="779"/>
      <c r="JZ48" s="779"/>
      <c r="KA48" s="779"/>
      <c r="KB48" s="779"/>
      <c r="KC48" s="779"/>
      <c r="KD48" s="779"/>
      <c r="KE48" s="779"/>
      <c r="KF48" s="779"/>
      <c r="KG48" s="779"/>
      <c r="KH48" s="779"/>
      <c r="KI48" s="779"/>
      <c r="KJ48" s="779"/>
      <c r="KK48" s="779"/>
      <c r="KL48" s="779"/>
      <c r="KM48" s="779"/>
      <c r="KN48" s="779"/>
      <c r="KO48" s="779"/>
      <c r="KP48" s="779"/>
      <c r="KQ48" s="779"/>
      <c r="KR48" s="779"/>
      <c r="KS48" s="779"/>
      <c r="KT48" s="779"/>
      <c r="KU48" s="779"/>
      <c r="KV48" s="779"/>
      <c r="KW48" s="779"/>
      <c r="KX48" s="779"/>
      <c r="KY48" s="779"/>
      <c r="KZ48" s="779"/>
      <c r="LA48" s="779"/>
      <c r="LB48" s="779"/>
      <c r="LC48" s="779"/>
      <c r="LD48" s="779"/>
      <c r="LE48" s="779"/>
      <c r="LF48" s="779"/>
      <c r="LG48" s="779"/>
      <c r="LH48" s="779"/>
      <c r="LI48" s="779"/>
      <c r="LJ48" s="779"/>
      <c r="LK48" s="779"/>
      <c r="LL48" s="779"/>
      <c r="LM48" s="779"/>
      <c r="LN48" s="779"/>
      <c r="LO48" s="779"/>
      <c r="LP48" s="779"/>
      <c r="LQ48" s="779"/>
      <c r="LR48" s="779"/>
      <c r="LS48" s="779"/>
      <c r="LT48" s="779"/>
      <c r="LU48" s="779"/>
      <c r="LV48" s="779"/>
      <c r="LW48" s="779"/>
      <c r="LX48" s="779"/>
      <c r="LY48" s="779"/>
      <c r="LZ48" s="779"/>
      <c r="MA48" s="779"/>
      <c r="MB48" s="779"/>
      <c r="MC48" s="779"/>
      <c r="MD48" s="779"/>
      <c r="ME48" s="779"/>
      <c r="MF48" s="779"/>
      <c r="MG48" s="779"/>
      <c r="MH48" s="779"/>
      <c r="MI48" s="779"/>
      <c r="MJ48" s="779"/>
      <c r="MK48" s="779"/>
      <c r="ML48" s="779"/>
      <c r="MM48" s="779"/>
      <c r="MN48" s="779"/>
      <c r="MO48" s="779"/>
      <c r="MP48" s="779"/>
      <c r="MQ48" s="779"/>
      <c r="MR48" s="779"/>
      <c r="MS48" s="779"/>
      <c r="MT48" s="779"/>
      <c r="MU48" s="779"/>
      <c r="MV48" s="779"/>
      <c r="MW48" s="779"/>
      <c r="MX48" s="779"/>
      <c r="MY48" s="779"/>
      <c r="MZ48" s="779"/>
      <c r="NA48" s="779"/>
      <c r="NB48" s="779"/>
      <c r="NC48" s="779"/>
      <c r="ND48" s="779"/>
      <c r="NE48" s="779"/>
      <c r="NF48" s="779"/>
      <c r="NG48" s="779"/>
      <c r="NH48" s="779"/>
      <c r="NI48" s="779"/>
      <c r="NJ48" s="779"/>
      <c r="NK48" s="779"/>
      <c r="NL48" s="779"/>
      <c r="NM48" s="779"/>
      <c r="NN48" s="779"/>
      <c r="NO48" s="779"/>
      <c r="NP48" s="779"/>
      <c r="NQ48" s="779"/>
      <c r="NR48" s="779"/>
      <c r="NS48" s="779"/>
      <c r="NT48" s="779"/>
      <c r="NU48" s="779"/>
      <c r="NV48" s="779"/>
      <c r="NW48" s="779"/>
      <c r="NX48" s="779"/>
      <c r="NY48" s="779"/>
      <c r="NZ48" s="779"/>
      <c r="OA48" s="779"/>
      <c r="OB48" s="779"/>
      <c r="OC48" s="779"/>
      <c r="OD48" s="779"/>
      <c r="OE48" s="779"/>
      <c r="OF48" s="779"/>
      <c r="OG48" s="779"/>
      <c r="OH48" s="779"/>
      <c r="OI48" s="779"/>
      <c r="OJ48" s="779"/>
      <c r="OK48" s="779"/>
      <c r="OL48" s="779"/>
      <c r="OM48" s="779"/>
      <c r="ON48" s="779"/>
      <c r="OO48" s="779"/>
      <c r="OP48" s="779"/>
      <c r="OQ48" s="779"/>
      <c r="OR48" s="779"/>
      <c r="OS48" s="779"/>
      <c r="OT48" s="779"/>
      <c r="OU48" s="779"/>
      <c r="OV48" s="779"/>
      <c r="OW48" s="779"/>
      <c r="OX48" s="779"/>
      <c r="OY48" s="779"/>
      <c r="OZ48" s="779"/>
      <c r="PA48" s="779"/>
      <c r="PB48" s="779"/>
      <c r="PC48" s="779"/>
      <c r="PD48" s="779"/>
      <c r="PE48" s="779"/>
      <c r="PF48" s="779"/>
      <c r="PG48" s="779"/>
      <c r="PH48" s="779"/>
      <c r="PI48" s="779"/>
      <c r="PJ48" s="779"/>
      <c r="PK48" s="779"/>
      <c r="PL48" s="779"/>
      <c r="PM48" s="779"/>
      <c r="PN48" s="779"/>
      <c r="PO48" s="779"/>
      <c r="PP48" s="779"/>
      <c r="PQ48" s="779"/>
      <c r="PR48" s="779"/>
      <c r="PS48" s="779"/>
      <c r="PT48" s="779"/>
      <c r="PU48" s="779"/>
      <c r="PV48" s="779"/>
      <c r="PW48" s="779"/>
      <c r="PX48" s="779"/>
      <c r="PY48" s="779"/>
      <c r="PZ48" s="779"/>
      <c r="QA48" s="779"/>
      <c r="QB48" s="779"/>
      <c r="QC48" s="779"/>
      <c r="QD48" s="779"/>
      <c r="QE48" s="779"/>
      <c r="QF48" s="779"/>
      <c r="QG48" s="779"/>
      <c r="QH48" s="779"/>
      <c r="QI48" s="779"/>
      <c r="QJ48" s="779"/>
      <c r="QK48" s="779"/>
      <c r="QL48" s="779"/>
      <c r="QM48" s="779"/>
      <c r="QN48" s="779"/>
      <c r="QO48" s="779"/>
      <c r="QP48" s="779"/>
      <c r="QQ48" s="779"/>
      <c r="QR48" s="779"/>
      <c r="QS48" s="779"/>
      <c r="QT48" s="779"/>
      <c r="QU48" s="779"/>
      <c r="QV48" s="779"/>
      <c r="QW48" s="779"/>
      <c r="QX48" s="779"/>
      <c r="QY48" s="779"/>
      <c r="QZ48" s="779"/>
      <c r="RA48" s="779"/>
      <c r="RB48" s="779"/>
      <c r="RC48" s="779"/>
      <c r="RD48" s="779"/>
      <c r="RE48" s="779"/>
      <c r="RF48" s="779"/>
      <c r="RG48" s="779"/>
      <c r="RH48" s="779"/>
      <c r="RI48" s="779"/>
      <c r="RJ48" s="779"/>
      <c r="RK48" s="779"/>
      <c r="RL48" s="779"/>
      <c r="RM48" s="779"/>
      <c r="RN48" s="779"/>
      <c r="RO48" s="779"/>
      <c r="RP48" s="779"/>
      <c r="RQ48" s="779"/>
      <c r="RR48" s="779"/>
      <c r="RS48" s="779"/>
      <c r="RT48" s="779"/>
      <c r="RU48" s="779"/>
      <c r="RV48" s="779"/>
      <c r="RW48" s="779"/>
      <c r="RX48" s="779"/>
    </row>
    <row r="49" spans="1:492" s="143" customFormat="1">
      <c r="A49" s="779"/>
      <c r="B49" s="779"/>
      <c r="C49" s="779"/>
      <c r="D49" s="779"/>
      <c r="E49" s="779"/>
      <c r="F49" s="779"/>
      <c r="G49" s="779"/>
      <c r="H49" s="779"/>
      <c r="I49" s="779"/>
      <c r="J49" s="779"/>
      <c r="K49" s="779"/>
      <c r="L49" s="779"/>
      <c r="M49" s="779"/>
      <c r="N49" s="779"/>
      <c r="O49" s="779"/>
      <c r="P49" s="779"/>
      <c r="Q49" s="779"/>
      <c r="R49" s="779"/>
      <c r="S49" s="779"/>
      <c r="T49" s="779"/>
      <c r="U49" s="779"/>
      <c r="V49" s="779"/>
      <c r="W49" s="779"/>
      <c r="X49" s="779"/>
      <c r="Y49" s="779"/>
      <c r="Z49" s="779"/>
      <c r="AA49" s="779"/>
      <c r="AB49" s="779"/>
      <c r="AC49" s="779"/>
      <c r="AD49" s="779"/>
      <c r="AE49" s="779"/>
      <c r="AF49" s="779"/>
      <c r="AG49" s="779"/>
      <c r="AH49" s="779"/>
      <c r="AI49" s="779"/>
      <c r="AJ49" s="779"/>
      <c r="AK49" s="779"/>
      <c r="AL49" s="779"/>
      <c r="AM49" s="787"/>
      <c r="AN49" s="787"/>
      <c r="AO49" s="787"/>
      <c r="AP49" s="787"/>
      <c r="AQ49" s="782"/>
      <c r="AR49" s="782"/>
      <c r="AS49" s="782"/>
      <c r="AT49" s="782"/>
      <c r="AU49" s="782"/>
      <c r="AV49" s="782"/>
      <c r="AW49" s="787"/>
      <c r="AX49" s="787"/>
      <c r="AY49" s="787"/>
      <c r="AZ49" s="787"/>
      <c r="BA49" s="782"/>
      <c r="BB49" s="782"/>
      <c r="BC49" s="788"/>
      <c r="BD49" s="787"/>
      <c r="BE49" s="787"/>
      <c r="BF49" s="782"/>
      <c r="BG49" s="782"/>
      <c r="BH49" s="788"/>
      <c r="BI49" s="787"/>
      <c r="BJ49" s="787"/>
      <c r="BK49" s="782"/>
      <c r="BL49" s="782"/>
      <c r="BM49" s="788"/>
      <c r="BN49" s="787"/>
      <c r="BO49" s="787"/>
      <c r="BP49" s="782"/>
      <c r="BQ49" s="782"/>
      <c r="BR49" s="788"/>
      <c r="BS49" s="787"/>
      <c r="BT49" s="787"/>
      <c r="BU49" s="782"/>
      <c r="BV49" s="782"/>
      <c r="BW49" s="788"/>
      <c r="BX49" s="787"/>
      <c r="BY49" s="787"/>
      <c r="BZ49" s="782"/>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c r="HN49" s="779"/>
      <c r="HO49" s="779"/>
      <c r="HP49" s="779"/>
      <c r="HQ49" s="779"/>
      <c r="HR49" s="779"/>
      <c r="HS49" s="779"/>
      <c r="HT49" s="779"/>
      <c r="HU49" s="779"/>
      <c r="HV49" s="779"/>
      <c r="HW49" s="779"/>
      <c r="HX49" s="779"/>
      <c r="HY49" s="779"/>
      <c r="HZ49" s="779"/>
      <c r="IA49" s="779"/>
      <c r="IB49" s="779"/>
      <c r="IC49" s="779"/>
      <c r="ID49" s="779"/>
      <c r="IE49" s="779"/>
      <c r="IF49" s="779"/>
      <c r="IG49" s="779"/>
      <c r="IH49" s="779"/>
      <c r="II49" s="779"/>
      <c r="IJ49" s="779"/>
      <c r="IK49" s="779"/>
      <c r="IL49" s="779"/>
      <c r="IM49" s="779"/>
      <c r="IN49" s="779"/>
      <c r="IO49" s="779"/>
      <c r="IP49" s="779"/>
      <c r="IQ49" s="779"/>
      <c r="IR49" s="779"/>
      <c r="IS49" s="779"/>
      <c r="IT49" s="779"/>
      <c r="IU49" s="779"/>
      <c r="IV49" s="779"/>
      <c r="IW49" s="779"/>
      <c r="IX49" s="779"/>
      <c r="IY49" s="779"/>
      <c r="IZ49" s="779"/>
      <c r="JA49" s="779"/>
      <c r="JB49" s="779"/>
      <c r="JC49" s="779"/>
      <c r="JD49" s="779"/>
      <c r="JE49" s="779"/>
      <c r="JF49" s="779"/>
      <c r="JG49" s="779"/>
      <c r="JH49" s="779"/>
      <c r="JI49" s="779"/>
      <c r="JJ49" s="779"/>
      <c r="JK49" s="779"/>
      <c r="JL49" s="779"/>
      <c r="JM49" s="779"/>
      <c r="JN49" s="779"/>
      <c r="JO49" s="779"/>
      <c r="JP49" s="779"/>
      <c r="JQ49" s="779"/>
      <c r="JR49" s="779"/>
      <c r="JS49" s="779"/>
      <c r="JT49" s="779"/>
      <c r="JU49" s="779"/>
      <c r="JV49" s="779"/>
      <c r="JW49" s="779"/>
      <c r="JX49" s="779"/>
      <c r="JY49" s="779"/>
      <c r="JZ49" s="779"/>
      <c r="KA49" s="779"/>
      <c r="KB49" s="779"/>
      <c r="KC49" s="779"/>
      <c r="KD49" s="779"/>
      <c r="KE49" s="779"/>
      <c r="KF49" s="779"/>
      <c r="KG49" s="779"/>
      <c r="KH49" s="779"/>
      <c r="KI49" s="779"/>
      <c r="KJ49" s="779"/>
      <c r="KK49" s="779"/>
      <c r="KL49" s="779"/>
      <c r="KM49" s="779"/>
      <c r="KN49" s="779"/>
      <c r="KO49" s="779"/>
      <c r="KP49" s="779"/>
      <c r="KQ49" s="779"/>
      <c r="KR49" s="779"/>
      <c r="KS49" s="779"/>
      <c r="KT49" s="779"/>
      <c r="KU49" s="779"/>
      <c r="KV49" s="779"/>
      <c r="KW49" s="779"/>
      <c r="KX49" s="779"/>
      <c r="KY49" s="779"/>
      <c r="KZ49" s="779"/>
      <c r="LA49" s="779"/>
      <c r="LB49" s="779"/>
      <c r="LC49" s="779"/>
      <c r="LD49" s="779"/>
      <c r="LE49" s="779"/>
      <c r="LF49" s="779"/>
      <c r="LG49" s="779"/>
      <c r="LH49" s="779"/>
      <c r="LI49" s="779"/>
      <c r="LJ49" s="779"/>
      <c r="LK49" s="779"/>
      <c r="LL49" s="779"/>
      <c r="LM49" s="779"/>
      <c r="LN49" s="779"/>
      <c r="LO49" s="779"/>
      <c r="LP49" s="779"/>
      <c r="LQ49" s="779"/>
      <c r="LR49" s="779"/>
      <c r="LS49" s="779"/>
      <c r="LT49" s="779"/>
      <c r="LU49" s="779"/>
      <c r="LV49" s="779"/>
      <c r="LW49" s="779"/>
      <c r="LX49" s="779"/>
      <c r="LY49" s="779"/>
      <c r="LZ49" s="779"/>
      <c r="MA49" s="779"/>
      <c r="MB49" s="779"/>
      <c r="MC49" s="779"/>
      <c r="MD49" s="779"/>
      <c r="ME49" s="779"/>
      <c r="MF49" s="779"/>
      <c r="MG49" s="779"/>
      <c r="MH49" s="779"/>
      <c r="MI49" s="779"/>
      <c r="MJ49" s="779"/>
      <c r="MK49" s="779"/>
      <c r="ML49" s="779"/>
      <c r="MM49" s="779"/>
      <c r="MN49" s="779"/>
      <c r="MO49" s="779"/>
      <c r="MP49" s="779"/>
      <c r="MQ49" s="779"/>
      <c r="MR49" s="779"/>
      <c r="MS49" s="779"/>
      <c r="MT49" s="779"/>
      <c r="MU49" s="779"/>
      <c r="MV49" s="779"/>
      <c r="MW49" s="779"/>
      <c r="MX49" s="779"/>
      <c r="MY49" s="779"/>
      <c r="MZ49" s="779"/>
      <c r="NA49" s="779"/>
      <c r="NB49" s="779"/>
      <c r="NC49" s="779"/>
      <c r="ND49" s="779"/>
      <c r="NE49" s="779"/>
      <c r="NF49" s="779"/>
      <c r="NG49" s="779"/>
      <c r="NH49" s="779"/>
      <c r="NI49" s="779"/>
      <c r="NJ49" s="779"/>
      <c r="NK49" s="779"/>
      <c r="NL49" s="779"/>
      <c r="NM49" s="779"/>
      <c r="NN49" s="779"/>
      <c r="NO49" s="779"/>
      <c r="NP49" s="779"/>
      <c r="NQ49" s="779"/>
      <c r="NR49" s="779"/>
      <c r="NS49" s="779"/>
      <c r="NT49" s="779"/>
      <c r="NU49" s="779"/>
      <c r="NV49" s="779"/>
      <c r="NW49" s="779"/>
      <c r="NX49" s="779"/>
      <c r="NY49" s="779"/>
      <c r="NZ49" s="779"/>
      <c r="OA49" s="779"/>
      <c r="OB49" s="779"/>
      <c r="OC49" s="779"/>
      <c r="OD49" s="779"/>
      <c r="OE49" s="779"/>
      <c r="OF49" s="779"/>
      <c r="OG49" s="779"/>
      <c r="OH49" s="779"/>
      <c r="OI49" s="779"/>
      <c r="OJ49" s="779"/>
      <c r="OK49" s="779"/>
      <c r="OL49" s="779"/>
      <c r="OM49" s="779"/>
      <c r="ON49" s="779"/>
      <c r="OO49" s="779"/>
      <c r="OP49" s="779"/>
      <c r="OQ49" s="779"/>
      <c r="OR49" s="779"/>
      <c r="OS49" s="779"/>
      <c r="OT49" s="779"/>
      <c r="OU49" s="779"/>
      <c r="OV49" s="779"/>
      <c r="OW49" s="779"/>
      <c r="OX49" s="779"/>
      <c r="OY49" s="779"/>
      <c r="OZ49" s="779"/>
      <c r="PA49" s="779"/>
      <c r="PB49" s="779"/>
      <c r="PC49" s="779"/>
      <c r="PD49" s="779"/>
      <c r="PE49" s="779"/>
      <c r="PF49" s="779"/>
      <c r="PG49" s="779"/>
      <c r="PH49" s="779"/>
      <c r="PI49" s="779"/>
      <c r="PJ49" s="779"/>
      <c r="PK49" s="779"/>
      <c r="PL49" s="779"/>
      <c r="PM49" s="779"/>
      <c r="PN49" s="779"/>
      <c r="PO49" s="779"/>
      <c r="PP49" s="779"/>
      <c r="PQ49" s="779"/>
      <c r="PR49" s="779"/>
      <c r="PS49" s="779"/>
      <c r="PT49" s="779"/>
      <c r="PU49" s="779"/>
      <c r="PV49" s="779"/>
      <c r="PW49" s="779"/>
      <c r="PX49" s="779"/>
      <c r="PY49" s="779"/>
      <c r="PZ49" s="779"/>
      <c r="QA49" s="779"/>
      <c r="QB49" s="779"/>
      <c r="QC49" s="779"/>
      <c r="QD49" s="779"/>
      <c r="QE49" s="779"/>
      <c r="QF49" s="779"/>
      <c r="QG49" s="779"/>
      <c r="QH49" s="779"/>
      <c r="QI49" s="779"/>
      <c r="QJ49" s="779"/>
      <c r="QK49" s="779"/>
      <c r="QL49" s="779"/>
      <c r="QM49" s="779"/>
      <c r="QN49" s="779"/>
      <c r="QO49" s="779"/>
      <c r="QP49" s="779"/>
      <c r="QQ49" s="779"/>
      <c r="QR49" s="779"/>
      <c r="QS49" s="779"/>
      <c r="QT49" s="779"/>
      <c r="QU49" s="779"/>
      <c r="QV49" s="779"/>
      <c r="QW49" s="779"/>
      <c r="QX49" s="779"/>
      <c r="QY49" s="779"/>
      <c r="QZ49" s="779"/>
      <c r="RA49" s="779"/>
      <c r="RB49" s="779"/>
      <c r="RC49" s="779"/>
      <c r="RD49" s="779"/>
      <c r="RE49" s="779"/>
      <c r="RF49" s="779"/>
      <c r="RG49" s="779"/>
      <c r="RH49" s="779"/>
      <c r="RI49" s="779"/>
      <c r="RJ49" s="779"/>
      <c r="RK49" s="779"/>
      <c r="RL49" s="779"/>
      <c r="RM49" s="779"/>
      <c r="RN49" s="779"/>
      <c r="RO49" s="779"/>
      <c r="RP49" s="779"/>
      <c r="RQ49" s="779"/>
      <c r="RR49" s="779"/>
      <c r="RS49" s="779"/>
      <c r="RT49" s="779"/>
      <c r="RU49" s="779"/>
      <c r="RV49" s="779"/>
      <c r="RW49" s="779"/>
      <c r="RX49" s="779"/>
    </row>
    <row r="50" spans="1:492" s="143" customFormat="1">
      <c r="A50" s="779"/>
      <c r="B50" s="779"/>
      <c r="C50" s="779"/>
      <c r="D50" s="779"/>
      <c r="E50" s="779"/>
      <c r="F50" s="779"/>
      <c r="G50" s="779"/>
      <c r="H50" s="779"/>
      <c r="I50" s="779"/>
      <c r="J50" s="779"/>
      <c r="K50" s="779"/>
      <c r="L50" s="779"/>
      <c r="M50" s="779"/>
      <c r="N50" s="779"/>
      <c r="O50" s="779"/>
      <c r="P50" s="779"/>
      <c r="Q50" s="779"/>
      <c r="R50" s="779"/>
      <c r="S50" s="779"/>
      <c r="T50" s="779"/>
      <c r="U50" s="779"/>
      <c r="V50" s="779"/>
      <c r="W50" s="779"/>
      <c r="X50" s="779"/>
      <c r="Y50" s="779"/>
      <c r="Z50" s="779"/>
      <c r="AA50" s="779"/>
      <c r="AB50" s="779"/>
      <c r="AC50" s="779"/>
      <c r="AD50" s="779"/>
      <c r="AE50" s="779"/>
      <c r="AF50" s="779"/>
      <c r="AG50" s="779"/>
      <c r="AH50" s="779"/>
      <c r="AI50" s="779"/>
      <c r="AJ50" s="779"/>
      <c r="AK50" s="779"/>
      <c r="AL50" s="779"/>
      <c r="AM50" s="787"/>
      <c r="AN50" s="787"/>
      <c r="AO50" s="787"/>
      <c r="AP50" s="787"/>
      <c r="AQ50" s="782"/>
      <c r="AR50" s="782"/>
      <c r="AS50" s="782"/>
      <c r="AT50" s="782"/>
      <c r="AU50" s="782"/>
      <c r="AV50" s="782"/>
      <c r="AW50" s="787"/>
      <c r="AX50" s="787"/>
      <c r="AY50" s="787"/>
      <c r="AZ50" s="787"/>
      <c r="BA50" s="782"/>
      <c r="BB50" s="782"/>
      <c r="BC50" s="782"/>
      <c r="BD50" s="787"/>
      <c r="BE50" s="782"/>
      <c r="BF50" s="149"/>
      <c r="BG50" s="782"/>
      <c r="BH50" s="782"/>
      <c r="BI50" s="787"/>
      <c r="BJ50" s="782"/>
      <c r="BK50" s="149"/>
      <c r="BL50" s="782"/>
      <c r="BM50" s="782"/>
      <c r="BN50" s="787"/>
      <c r="BO50" s="782"/>
      <c r="BP50" s="149"/>
      <c r="BQ50" s="782"/>
      <c r="BR50" s="782"/>
      <c r="BS50" s="787"/>
      <c r="BT50" s="782"/>
      <c r="BU50" s="149"/>
      <c r="BV50" s="782"/>
      <c r="BW50" s="782"/>
      <c r="BX50" s="787"/>
      <c r="BY50" s="782"/>
      <c r="BZ50" s="14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c r="HN50" s="779"/>
      <c r="HO50" s="779"/>
      <c r="HP50" s="779"/>
      <c r="HQ50" s="779"/>
      <c r="HR50" s="779"/>
      <c r="HS50" s="779"/>
      <c r="HT50" s="779"/>
      <c r="HU50" s="779"/>
      <c r="HV50" s="779"/>
      <c r="HW50" s="779"/>
      <c r="HX50" s="779"/>
      <c r="HY50" s="779"/>
      <c r="HZ50" s="779"/>
      <c r="IA50" s="779"/>
      <c r="IB50" s="779"/>
      <c r="IC50" s="779"/>
      <c r="ID50" s="779"/>
      <c r="IE50" s="779"/>
      <c r="IF50" s="779"/>
      <c r="IG50" s="779"/>
      <c r="IH50" s="779"/>
      <c r="II50" s="779"/>
      <c r="IJ50" s="779"/>
      <c r="IK50" s="779"/>
      <c r="IL50" s="779"/>
      <c r="IM50" s="779"/>
      <c r="IN50" s="779"/>
      <c r="IO50" s="779"/>
      <c r="IP50" s="779"/>
      <c r="IQ50" s="779"/>
      <c r="IR50" s="779"/>
      <c r="IS50" s="779"/>
      <c r="IT50" s="779"/>
      <c r="IU50" s="779"/>
      <c r="IV50" s="779"/>
      <c r="IW50" s="779"/>
      <c r="IX50" s="779"/>
      <c r="IY50" s="779"/>
      <c r="IZ50" s="779"/>
      <c r="JA50" s="779"/>
      <c r="JB50" s="779"/>
      <c r="JC50" s="779"/>
      <c r="JD50" s="779"/>
      <c r="JE50" s="779"/>
      <c r="JF50" s="779"/>
      <c r="JG50" s="779"/>
      <c r="JH50" s="779"/>
      <c r="JI50" s="779"/>
      <c r="JJ50" s="779"/>
      <c r="JK50" s="779"/>
      <c r="JL50" s="779"/>
      <c r="JM50" s="779"/>
      <c r="JN50" s="779"/>
      <c r="JO50" s="779"/>
      <c r="JP50" s="779"/>
      <c r="JQ50" s="779"/>
      <c r="JR50" s="779"/>
      <c r="JS50" s="779"/>
      <c r="JT50" s="779"/>
      <c r="JU50" s="779"/>
      <c r="JV50" s="779"/>
      <c r="JW50" s="779"/>
      <c r="JX50" s="779"/>
      <c r="JY50" s="779"/>
      <c r="JZ50" s="779"/>
      <c r="KA50" s="779"/>
      <c r="KB50" s="779"/>
      <c r="KC50" s="779"/>
      <c r="KD50" s="779"/>
      <c r="KE50" s="779"/>
      <c r="KF50" s="779"/>
      <c r="KG50" s="779"/>
      <c r="KH50" s="779"/>
      <c r="KI50" s="779"/>
      <c r="KJ50" s="779"/>
      <c r="KK50" s="779"/>
      <c r="KL50" s="779"/>
      <c r="KM50" s="779"/>
      <c r="KN50" s="779"/>
      <c r="KO50" s="779"/>
      <c r="KP50" s="779"/>
      <c r="KQ50" s="779"/>
      <c r="KR50" s="779"/>
      <c r="KS50" s="779"/>
      <c r="KT50" s="779"/>
      <c r="KU50" s="779"/>
      <c r="KV50" s="779"/>
      <c r="KW50" s="779"/>
      <c r="KX50" s="779"/>
      <c r="KY50" s="779"/>
      <c r="KZ50" s="779"/>
      <c r="LA50" s="779"/>
      <c r="LB50" s="779"/>
      <c r="LC50" s="779"/>
      <c r="LD50" s="779"/>
      <c r="LE50" s="779"/>
      <c r="LF50" s="779"/>
      <c r="LG50" s="779"/>
      <c r="LH50" s="779"/>
      <c r="LI50" s="779"/>
      <c r="LJ50" s="779"/>
      <c r="LK50" s="779"/>
      <c r="LL50" s="779"/>
      <c r="LM50" s="779"/>
      <c r="LN50" s="779"/>
      <c r="LO50" s="779"/>
      <c r="LP50" s="779"/>
      <c r="LQ50" s="779"/>
      <c r="LR50" s="779"/>
      <c r="LS50" s="779"/>
      <c r="LT50" s="779"/>
      <c r="LU50" s="779"/>
      <c r="LV50" s="779"/>
      <c r="LW50" s="779"/>
      <c r="LX50" s="779"/>
      <c r="LY50" s="779"/>
      <c r="LZ50" s="779"/>
      <c r="MA50" s="779"/>
      <c r="MB50" s="779"/>
      <c r="MC50" s="779"/>
      <c r="MD50" s="779"/>
      <c r="ME50" s="779"/>
      <c r="MF50" s="779"/>
      <c r="MG50" s="779"/>
      <c r="MH50" s="779"/>
      <c r="MI50" s="779"/>
      <c r="MJ50" s="779"/>
      <c r="MK50" s="779"/>
      <c r="ML50" s="779"/>
      <c r="MM50" s="779"/>
      <c r="MN50" s="779"/>
      <c r="MO50" s="779"/>
      <c r="MP50" s="779"/>
      <c r="MQ50" s="779"/>
      <c r="MR50" s="779"/>
      <c r="MS50" s="779"/>
      <c r="MT50" s="779"/>
      <c r="MU50" s="779"/>
      <c r="MV50" s="779"/>
      <c r="MW50" s="779"/>
      <c r="MX50" s="779"/>
      <c r="MY50" s="779"/>
      <c r="MZ50" s="779"/>
      <c r="NA50" s="779"/>
      <c r="NB50" s="779"/>
      <c r="NC50" s="779"/>
      <c r="ND50" s="779"/>
      <c r="NE50" s="779"/>
      <c r="NF50" s="779"/>
      <c r="NG50" s="779"/>
      <c r="NH50" s="779"/>
      <c r="NI50" s="779"/>
      <c r="NJ50" s="779"/>
      <c r="NK50" s="779"/>
      <c r="NL50" s="779"/>
      <c r="NM50" s="779"/>
      <c r="NN50" s="779"/>
      <c r="NO50" s="779"/>
      <c r="NP50" s="779"/>
      <c r="NQ50" s="779"/>
      <c r="NR50" s="779"/>
      <c r="NS50" s="779"/>
      <c r="NT50" s="779"/>
      <c r="NU50" s="779"/>
      <c r="NV50" s="779"/>
      <c r="NW50" s="779"/>
      <c r="NX50" s="779"/>
      <c r="NY50" s="779"/>
      <c r="NZ50" s="779"/>
      <c r="OA50" s="779"/>
      <c r="OB50" s="779"/>
      <c r="OC50" s="779"/>
      <c r="OD50" s="779"/>
      <c r="OE50" s="779"/>
      <c r="OF50" s="779"/>
      <c r="OG50" s="779"/>
      <c r="OH50" s="779"/>
      <c r="OI50" s="779"/>
      <c r="OJ50" s="779"/>
      <c r="OK50" s="779"/>
      <c r="OL50" s="779"/>
      <c r="OM50" s="779"/>
      <c r="ON50" s="779"/>
      <c r="OO50" s="779"/>
      <c r="OP50" s="779"/>
      <c r="OQ50" s="779"/>
      <c r="OR50" s="779"/>
      <c r="OS50" s="779"/>
      <c r="OT50" s="779"/>
      <c r="OU50" s="779"/>
      <c r="OV50" s="779"/>
      <c r="OW50" s="779"/>
      <c r="OX50" s="779"/>
      <c r="OY50" s="779"/>
      <c r="OZ50" s="779"/>
      <c r="PA50" s="779"/>
      <c r="PB50" s="779"/>
      <c r="PC50" s="779"/>
      <c r="PD50" s="779"/>
      <c r="PE50" s="779"/>
      <c r="PF50" s="779"/>
      <c r="PG50" s="779"/>
      <c r="PH50" s="779"/>
      <c r="PI50" s="779"/>
      <c r="PJ50" s="779"/>
      <c r="PK50" s="779"/>
      <c r="PL50" s="779"/>
      <c r="PM50" s="779"/>
      <c r="PN50" s="779"/>
      <c r="PO50" s="779"/>
      <c r="PP50" s="779"/>
      <c r="PQ50" s="779"/>
      <c r="PR50" s="779"/>
      <c r="PS50" s="779"/>
      <c r="PT50" s="779"/>
      <c r="PU50" s="779"/>
      <c r="PV50" s="779"/>
      <c r="PW50" s="779"/>
      <c r="PX50" s="779"/>
      <c r="PY50" s="779"/>
      <c r="PZ50" s="779"/>
      <c r="QA50" s="779"/>
      <c r="QB50" s="779"/>
      <c r="QC50" s="779"/>
      <c r="QD50" s="779"/>
      <c r="QE50" s="779"/>
      <c r="QF50" s="779"/>
      <c r="QG50" s="779"/>
      <c r="QH50" s="779"/>
      <c r="QI50" s="779"/>
      <c r="QJ50" s="779"/>
      <c r="QK50" s="779"/>
      <c r="QL50" s="779"/>
      <c r="QM50" s="779"/>
      <c r="QN50" s="779"/>
      <c r="QO50" s="779"/>
      <c r="QP50" s="779"/>
      <c r="QQ50" s="779"/>
      <c r="QR50" s="779"/>
      <c r="QS50" s="779"/>
      <c r="QT50" s="779"/>
      <c r="QU50" s="779"/>
      <c r="QV50" s="779"/>
      <c r="QW50" s="779"/>
      <c r="QX50" s="779"/>
      <c r="QY50" s="779"/>
      <c r="QZ50" s="779"/>
      <c r="RA50" s="779"/>
      <c r="RB50" s="779"/>
      <c r="RC50" s="779"/>
      <c r="RD50" s="779"/>
      <c r="RE50" s="779"/>
      <c r="RF50" s="779"/>
      <c r="RG50" s="779"/>
      <c r="RH50" s="779"/>
      <c r="RI50" s="779"/>
      <c r="RJ50" s="779"/>
      <c r="RK50" s="779"/>
      <c r="RL50" s="779"/>
      <c r="RM50" s="779"/>
      <c r="RN50" s="779"/>
      <c r="RO50" s="779"/>
      <c r="RP50" s="779"/>
      <c r="RQ50" s="779"/>
      <c r="RR50" s="779"/>
      <c r="RS50" s="779"/>
      <c r="RT50" s="779"/>
      <c r="RU50" s="779"/>
      <c r="RV50" s="779"/>
      <c r="RW50" s="779"/>
      <c r="RX50" s="779"/>
    </row>
    <row r="51" spans="1:492" s="143" customFormat="1">
      <c r="A51" s="779"/>
      <c r="B51" s="779"/>
      <c r="C51" s="779"/>
      <c r="D51" s="779"/>
      <c r="E51" s="779"/>
      <c r="F51" s="779"/>
      <c r="G51" s="779"/>
      <c r="H51" s="779"/>
      <c r="I51" s="779"/>
      <c r="J51" s="779"/>
      <c r="K51" s="779"/>
      <c r="L51" s="779"/>
      <c r="M51" s="779"/>
      <c r="N51" s="779"/>
      <c r="O51" s="779"/>
      <c r="P51" s="779"/>
      <c r="Q51" s="779"/>
      <c r="R51" s="779"/>
      <c r="S51" s="779"/>
      <c r="T51" s="779"/>
      <c r="U51" s="779"/>
      <c r="V51" s="779"/>
      <c r="W51" s="779"/>
      <c r="X51" s="779"/>
      <c r="Y51" s="779"/>
      <c r="Z51" s="779"/>
      <c r="AA51" s="779"/>
      <c r="AB51" s="779"/>
      <c r="AC51" s="779"/>
      <c r="AD51" s="779"/>
      <c r="AE51" s="779"/>
      <c r="AF51" s="779"/>
      <c r="AG51" s="779"/>
      <c r="AH51" s="779"/>
      <c r="AI51" s="779"/>
      <c r="AJ51" s="779"/>
      <c r="AK51" s="779"/>
      <c r="AL51" s="779"/>
      <c r="AM51" s="787"/>
      <c r="AN51" s="787"/>
      <c r="AO51" s="787"/>
      <c r="AP51" s="787"/>
      <c r="AQ51" s="782"/>
      <c r="AR51" s="782"/>
      <c r="AS51" s="782"/>
      <c r="AT51" s="782"/>
      <c r="AU51" s="782"/>
      <c r="AV51" s="782"/>
      <c r="AW51" s="787"/>
      <c r="AX51" s="787"/>
      <c r="AY51" s="787"/>
      <c r="AZ51" s="787"/>
      <c r="BA51" s="782"/>
      <c r="BB51" s="782"/>
      <c r="BC51" s="782"/>
      <c r="BD51" s="151"/>
      <c r="BE51" s="149"/>
      <c r="BF51" s="782"/>
      <c r="BG51" s="782"/>
      <c r="BH51" s="782"/>
      <c r="BI51" s="151"/>
      <c r="BJ51" s="149"/>
      <c r="BK51" s="782"/>
      <c r="BL51" s="782"/>
      <c r="BM51" s="782"/>
      <c r="BN51" s="151"/>
      <c r="BO51" s="149"/>
      <c r="BP51" s="782"/>
      <c r="BQ51" s="782"/>
      <c r="BR51" s="782"/>
      <c r="BS51" s="151"/>
      <c r="BT51" s="149"/>
      <c r="BU51" s="782"/>
      <c r="BV51" s="782"/>
      <c r="BW51" s="782"/>
      <c r="BX51" s="151"/>
      <c r="BY51" s="149"/>
      <c r="BZ51" s="782"/>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c r="HN51" s="779"/>
      <c r="HO51" s="779"/>
      <c r="HP51" s="779"/>
      <c r="HQ51" s="779"/>
      <c r="HR51" s="779"/>
      <c r="HS51" s="779"/>
      <c r="HT51" s="779"/>
      <c r="HU51" s="779"/>
      <c r="HV51" s="779"/>
      <c r="HW51" s="779"/>
      <c r="HX51" s="779"/>
      <c r="HY51" s="779"/>
      <c r="HZ51" s="779"/>
      <c r="IA51" s="779"/>
      <c r="IB51" s="779"/>
      <c r="IC51" s="779"/>
      <c r="ID51" s="779"/>
      <c r="IE51" s="779"/>
      <c r="IF51" s="779"/>
      <c r="IG51" s="779"/>
      <c r="IH51" s="779"/>
      <c r="II51" s="779"/>
      <c r="IJ51" s="779"/>
      <c r="IK51" s="779"/>
      <c r="IL51" s="779"/>
      <c r="IM51" s="779"/>
      <c r="IN51" s="779"/>
      <c r="IO51" s="779"/>
      <c r="IP51" s="779"/>
      <c r="IQ51" s="779"/>
      <c r="IR51" s="779"/>
      <c r="IS51" s="779"/>
      <c r="IT51" s="779"/>
      <c r="IU51" s="779"/>
      <c r="IV51" s="779"/>
      <c r="IW51" s="779"/>
      <c r="IX51" s="779"/>
      <c r="IY51" s="779"/>
      <c r="IZ51" s="779"/>
      <c r="JA51" s="779"/>
      <c r="JB51" s="779"/>
      <c r="JC51" s="779"/>
      <c r="JD51" s="779"/>
      <c r="JE51" s="779"/>
      <c r="JF51" s="779"/>
      <c r="JG51" s="779"/>
      <c r="JH51" s="779"/>
      <c r="JI51" s="779"/>
      <c r="JJ51" s="779"/>
      <c r="JK51" s="779"/>
      <c r="JL51" s="779"/>
      <c r="JM51" s="779"/>
      <c r="JN51" s="779"/>
      <c r="JO51" s="779"/>
      <c r="JP51" s="779"/>
      <c r="JQ51" s="779"/>
      <c r="JR51" s="779"/>
      <c r="JS51" s="779"/>
      <c r="JT51" s="779"/>
      <c r="JU51" s="779"/>
      <c r="JV51" s="779"/>
      <c r="JW51" s="779"/>
      <c r="JX51" s="779"/>
      <c r="JY51" s="779"/>
      <c r="JZ51" s="779"/>
      <c r="KA51" s="779"/>
      <c r="KB51" s="779"/>
      <c r="KC51" s="779"/>
      <c r="KD51" s="779"/>
      <c r="KE51" s="779"/>
      <c r="KF51" s="779"/>
      <c r="KG51" s="779"/>
      <c r="KH51" s="779"/>
      <c r="KI51" s="779"/>
      <c r="KJ51" s="779"/>
      <c r="KK51" s="779"/>
      <c r="KL51" s="779"/>
      <c r="KM51" s="779"/>
      <c r="KN51" s="779"/>
      <c r="KO51" s="779"/>
      <c r="KP51" s="779"/>
      <c r="KQ51" s="779"/>
      <c r="KR51" s="779"/>
      <c r="KS51" s="779"/>
      <c r="KT51" s="779"/>
      <c r="KU51" s="779"/>
      <c r="KV51" s="779"/>
      <c r="KW51" s="779"/>
      <c r="KX51" s="779"/>
      <c r="KY51" s="779"/>
      <c r="KZ51" s="779"/>
      <c r="LA51" s="779"/>
      <c r="LB51" s="779"/>
      <c r="LC51" s="779"/>
      <c r="LD51" s="779"/>
      <c r="LE51" s="779"/>
      <c r="LF51" s="779"/>
      <c r="LG51" s="779"/>
      <c r="LH51" s="779"/>
      <c r="LI51" s="779"/>
      <c r="LJ51" s="779"/>
      <c r="LK51" s="779"/>
      <c r="LL51" s="779"/>
      <c r="LM51" s="779"/>
      <c r="LN51" s="779"/>
      <c r="LO51" s="779"/>
      <c r="LP51" s="779"/>
      <c r="LQ51" s="779"/>
      <c r="LR51" s="779"/>
      <c r="LS51" s="779"/>
      <c r="LT51" s="779"/>
      <c r="LU51" s="779"/>
      <c r="LV51" s="779"/>
      <c r="LW51" s="779"/>
      <c r="LX51" s="779"/>
      <c r="LY51" s="779"/>
      <c r="LZ51" s="779"/>
      <c r="MA51" s="779"/>
      <c r="MB51" s="779"/>
      <c r="MC51" s="779"/>
      <c r="MD51" s="779"/>
      <c r="ME51" s="779"/>
      <c r="MF51" s="779"/>
      <c r="MG51" s="779"/>
      <c r="MH51" s="779"/>
      <c r="MI51" s="779"/>
      <c r="MJ51" s="779"/>
      <c r="MK51" s="779"/>
      <c r="ML51" s="779"/>
      <c r="MM51" s="779"/>
      <c r="MN51" s="779"/>
      <c r="MO51" s="779"/>
      <c r="MP51" s="779"/>
      <c r="MQ51" s="779"/>
      <c r="MR51" s="779"/>
      <c r="MS51" s="779"/>
      <c r="MT51" s="779"/>
      <c r="MU51" s="779"/>
      <c r="MV51" s="779"/>
      <c r="MW51" s="779"/>
      <c r="MX51" s="779"/>
      <c r="MY51" s="779"/>
      <c r="MZ51" s="779"/>
      <c r="NA51" s="779"/>
      <c r="NB51" s="779"/>
      <c r="NC51" s="779"/>
      <c r="ND51" s="779"/>
      <c r="NE51" s="779"/>
      <c r="NF51" s="779"/>
      <c r="NG51" s="779"/>
      <c r="NH51" s="779"/>
      <c r="NI51" s="779"/>
      <c r="NJ51" s="779"/>
      <c r="NK51" s="779"/>
      <c r="NL51" s="779"/>
      <c r="NM51" s="779"/>
      <c r="NN51" s="779"/>
      <c r="NO51" s="779"/>
      <c r="NP51" s="779"/>
      <c r="NQ51" s="779"/>
      <c r="NR51" s="779"/>
      <c r="NS51" s="779"/>
      <c r="NT51" s="779"/>
      <c r="NU51" s="779"/>
      <c r="NV51" s="779"/>
      <c r="NW51" s="779"/>
      <c r="NX51" s="779"/>
      <c r="NY51" s="779"/>
      <c r="NZ51" s="779"/>
      <c r="OA51" s="779"/>
      <c r="OB51" s="779"/>
      <c r="OC51" s="779"/>
      <c r="OD51" s="779"/>
      <c r="OE51" s="779"/>
      <c r="OF51" s="779"/>
      <c r="OG51" s="779"/>
      <c r="OH51" s="779"/>
      <c r="OI51" s="779"/>
      <c r="OJ51" s="779"/>
      <c r="OK51" s="779"/>
      <c r="OL51" s="779"/>
      <c r="OM51" s="779"/>
      <c r="ON51" s="779"/>
      <c r="OO51" s="779"/>
      <c r="OP51" s="779"/>
      <c r="OQ51" s="779"/>
      <c r="OR51" s="779"/>
      <c r="OS51" s="779"/>
      <c r="OT51" s="779"/>
      <c r="OU51" s="779"/>
      <c r="OV51" s="779"/>
      <c r="OW51" s="779"/>
      <c r="OX51" s="779"/>
      <c r="OY51" s="779"/>
      <c r="OZ51" s="779"/>
      <c r="PA51" s="779"/>
      <c r="PB51" s="779"/>
      <c r="PC51" s="779"/>
      <c r="PD51" s="779"/>
      <c r="PE51" s="779"/>
      <c r="PF51" s="779"/>
      <c r="PG51" s="779"/>
      <c r="PH51" s="779"/>
      <c r="PI51" s="779"/>
      <c r="PJ51" s="779"/>
      <c r="PK51" s="779"/>
      <c r="PL51" s="779"/>
      <c r="PM51" s="779"/>
      <c r="PN51" s="779"/>
      <c r="PO51" s="779"/>
      <c r="PP51" s="779"/>
      <c r="PQ51" s="779"/>
      <c r="PR51" s="779"/>
      <c r="PS51" s="779"/>
      <c r="PT51" s="779"/>
      <c r="PU51" s="779"/>
      <c r="PV51" s="779"/>
      <c r="PW51" s="779"/>
      <c r="PX51" s="779"/>
      <c r="PY51" s="779"/>
      <c r="PZ51" s="779"/>
      <c r="QA51" s="779"/>
      <c r="QB51" s="779"/>
      <c r="QC51" s="779"/>
      <c r="QD51" s="779"/>
      <c r="QE51" s="779"/>
      <c r="QF51" s="779"/>
      <c r="QG51" s="779"/>
      <c r="QH51" s="779"/>
      <c r="QI51" s="779"/>
      <c r="QJ51" s="779"/>
      <c r="QK51" s="779"/>
      <c r="QL51" s="779"/>
      <c r="QM51" s="779"/>
      <c r="QN51" s="779"/>
      <c r="QO51" s="779"/>
      <c r="QP51" s="779"/>
      <c r="QQ51" s="779"/>
      <c r="QR51" s="779"/>
      <c r="QS51" s="779"/>
      <c r="QT51" s="779"/>
      <c r="QU51" s="779"/>
      <c r="QV51" s="779"/>
      <c r="QW51" s="779"/>
      <c r="QX51" s="779"/>
      <c r="QY51" s="779"/>
      <c r="QZ51" s="779"/>
      <c r="RA51" s="779"/>
      <c r="RB51" s="779"/>
      <c r="RC51" s="779"/>
      <c r="RD51" s="779"/>
      <c r="RE51" s="779"/>
      <c r="RF51" s="779"/>
      <c r="RG51" s="779"/>
      <c r="RH51" s="779"/>
      <c r="RI51" s="779"/>
      <c r="RJ51" s="779"/>
      <c r="RK51" s="779"/>
      <c r="RL51" s="779"/>
      <c r="RM51" s="779"/>
      <c r="RN51" s="779"/>
      <c r="RO51" s="779"/>
      <c r="RP51" s="779"/>
      <c r="RQ51" s="779"/>
      <c r="RR51" s="779"/>
      <c r="RS51" s="779"/>
      <c r="RT51" s="779"/>
      <c r="RU51" s="779"/>
      <c r="RV51" s="779"/>
      <c r="RW51" s="779"/>
      <c r="RX51" s="779"/>
    </row>
    <row r="52" spans="1:492" s="143" customFormat="1">
      <c r="A52" s="779"/>
      <c r="B52" s="779"/>
      <c r="C52" s="779"/>
      <c r="D52" s="779"/>
      <c r="E52" s="779"/>
      <c r="F52" s="779"/>
      <c r="G52" s="779"/>
      <c r="H52" s="779"/>
      <c r="I52" s="779"/>
      <c r="J52" s="779"/>
      <c r="K52" s="779"/>
      <c r="L52" s="779"/>
      <c r="M52" s="779"/>
      <c r="N52" s="779"/>
      <c r="O52" s="779"/>
      <c r="P52" s="779"/>
      <c r="Q52" s="779"/>
      <c r="R52" s="779"/>
      <c r="S52" s="779"/>
      <c r="T52" s="779"/>
      <c r="U52" s="779"/>
      <c r="V52" s="779"/>
      <c r="W52" s="779"/>
      <c r="X52" s="779"/>
      <c r="Y52" s="779"/>
      <c r="Z52" s="779"/>
      <c r="AA52" s="779"/>
      <c r="AB52" s="779"/>
      <c r="AC52" s="779"/>
      <c r="AD52" s="779"/>
      <c r="AE52" s="779"/>
      <c r="AF52" s="779"/>
      <c r="AG52" s="779"/>
      <c r="AH52" s="779"/>
      <c r="AI52" s="779"/>
      <c r="AJ52" s="779"/>
      <c r="AK52" s="779"/>
      <c r="AL52" s="779"/>
      <c r="AM52" s="782"/>
      <c r="AN52" s="782"/>
      <c r="AO52" s="782"/>
      <c r="AP52" s="782"/>
      <c r="AQ52" s="782"/>
      <c r="AR52" s="782"/>
      <c r="AS52" s="782"/>
      <c r="AT52" s="782"/>
      <c r="AU52" s="782"/>
      <c r="AV52" s="782"/>
      <c r="AW52" s="782"/>
      <c r="AX52" s="782"/>
      <c r="AY52" s="782"/>
      <c r="AZ52" s="782"/>
      <c r="BA52" s="782"/>
      <c r="BB52" s="782"/>
      <c r="BC52" s="782"/>
      <c r="BD52" s="782"/>
      <c r="BE52" s="782"/>
      <c r="BF52" s="782"/>
      <c r="BG52" s="782"/>
      <c r="BH52" s="782"/>
      <c r="BI52" s="782"/>
      <c r="BJ52" s="782"/>
      <c r="BK52" s="782"/>
      <c r="BL52" s="782"/>
      <c r="BM52" s="782"/>
      <c r="BN52" s="782"/>
      <c r="BO52" s="782"/>
      <c r="BP52" s="782"/>
      <c r="BQ52" s="782"/>
      <c r="BR52" s="782"/>
      <c r="BS52" s="782"/>
      <c r="BT52" s="782"/>
      <c r="BU52" s="782"/>
      <c r="BV52" s="782"/>
      <c r="BW52" s="782"/>
      <c r="BX52" s="782"/>
      <c r="BY52" s="782"/>
      <c r="BZ52" s="782"/>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c r="HN52" s="779"/>
      <c r="HO52" s="779"/>
      <c r="HP52" s="779"/>
      <c r="HQ52" s="779"/>
      <c r="HR52" s="779"/>
      <c r="HS52" s="779"/>
      <c r="HT52" s="779"/>
      <c r="HU52" s="779"/>
      <c r="HV52" s="779"/>
      <c r="HW52" s="779"/>
      <c r="HX52" s="779"/>
      <c r="HY52" s="779"/>
      <c r="HZ52" s="779"/>
      <c r="IA52" s="779"/>
      <c r="IB52" s="779"/>
      <c r="IC52" s="779"/>
      <c r="ID52" s="779"/>
      <c r="IE52" s="779"/>
      <c r="IF52" s="779"/>
      <c r="IG52" s="779"/>
      <c r="IH52" s="779"/>
      <c r="II52" s="779"/>
      <c r="IJ52" s="779"/>
      <c r="IK52" s="779"/>
      <c r="IL52" s="779"/>
      <c r="IM52" s="779"/>
      <c r="IN52" s="779"/>
      <c r="IO52" s="779"/>
      <c r="IP52" s="779"/>
      <c r="IQ52" s="779"/>
      <c r="IR52" s="779"/>
      <c r="IS52" s="779"/>
      <c r="IT52" s="779"/>
      <c r="IU52" s="779"/>
      <c r="IV52" s="779"/>
      <c r="IW52" s="779"/>
      <c r="IX52" s="779"/>
      <c r="IY52" s="779"/>
      <c r="IZ52" s="779"/>
      <c r="JA52" s="779"/>
      <c r="JB52" s="779"/>
      <c r="JC52" s="779"/>
      <c r="JD52" s="779"/>
      <c r="JE52" s="779"/>
      <c r="JF52" s="779"/>
      <c r="JG52" s="779"/>
      <c r="JH52" s="779"/>
      <c r="JI52" s="779"/>
      <c r="JJ52" s="779"/>
      <c r="JK52" s="779"/>
      <c r="JL52" s="779"/>
      <c r="JM52" s="779"/>
      <c r="JN52" s="779"/>
      <c r="JO52" s="779"/>
      <c r="JP52" s="779"/>
      <c r="JQ52" s="779"/>
      <c r="JR52" s="779"/>
      <c r="JS52" s="779"/>
      <c r="JT52" s="779"/>
      <c r="JU52" s="779"/>
      <c r="JV52" s="779"/>
      <c r="JW52" s="779"/>
      <c r="JX52" s="779"/>
      <c r="JY52" s="779"/>
      <c r="JZ52" s="779"/>
      <c r="KA52" s="779"/>
      <c r="KB52" s="779"/>
      <c r="KC52" s="779"/>
      <c r="KD52" s="779"/>
      <c r="KE52" s="779"/>
      <c r="KF52" s="779"/>
      <c r="KG52" s="779"/>
      <c r="KH52" s="779"/>
      <c r="KI52" s="779"/>
      <c r="KJ52" s="779"/>
      <c r="KK52" s="779"/>
      <c r="KL52" s="779"/>
      <c r="KM52" s="779"/>
      <c r="KN52" s="779"/>
      <c r="KO52" s="779"/>
      <c r="KP52" s="779"/>
      <c r="KQ52" s="779"/>
      <c r="KR52" s="779"/>
      <c r="KS52" s="779"/>
      <c r="KT52" s="779"/>
      <c r="KU52" s="779"/>
      <c r="KV52" s="779"/>
      <c r="KW52" s="779"/>
      <c r="KX52" s="779"/>
      <c r="KY52" s="779"/>
      <c r="KZ52" s="779"/>
      <c r="LA52" s="779"/>
      <c r="LB52" s="779"/>
      <c r="LC52" s="779"/>
      <c r="LD52" s="779"/>
      <c r="LE52" s="779"/>
      <c r="LF52" s="779"/>
      <c r="LG52" s="779"/>
      <c r="LH52" s="779"/>
      <c r="LI52" s="779"/>
      <c r="LJ52" s="779"/>
      <c r="LK52" s="779"/>
      <c r="LL52" s="779"/>
      <c r="LM52" s="779"/>
      <c r="LN52" s="779"/>
      <c r="LO52" s="779"/>
      <c r="LP52" s="779"/>
      <c r="LQ52" s="779"/>
      <c r="LR52" s="779"/>
      <c r="LS52" s="779"/>
      <c r="LT52" s="779"/>
      <c r="LU52" s="779"/>
      <c r="LV52" s="779"/>
      <c r="LW52" s="779"/>
      <c r="LX52" s="779"/>
      <c r="LY52" s="779"/>
      <c r="LZ52" s="779"/>
      <c r="MA52" s="779"/>
      <c r="MB52" s="779"/>
      <c r="MC52" s="779"/>
      <c r="MD52" s="779"/>
      <c r="ME52" s="779"/>
      <c r="MF52" s="779"/>
      <c r="MG52" s="779"/>
      <c r="MH52" s="779"/>
      <c r="MI52" s="779"/>
      <c r="MJ52" s="779"/>
      <c r="MK52" s="779"/>
      <c r="ML52" s="779"/>
      <c r="MM52" s="779"/>
      <c r="MN52" s="779"/>
      <c r="MO52" s="779"/>
      <c r="MP52" s="779"/>
      <c r="MQ52" s="779"/>
      <c r="MR52" s="779"/>
      <c r="MS52" s="779"/>
      <c r="MT52" s="779"/>
      <c r="MU52" s="779"/>
      <c r="MV52" s="779"/>
      <c r="MW52" s="779"/>
      <c r="MX52" s="779"/>
      <c r="MY52" s="779"/>
      <c r="MZ52" s="779"/>
      <c r="NA52" s="779"/>
      <c r="NB52" s="779"/>
      <c r="NC52" s="779"/>
      <c r="ND52" s="779"/>
      <c r="NE52" s="779"/>
      <c r="NF52" s="779"/>
      <c r="NG52" s="779"/>
      <c r="NH52" s="779"/>
      <c r="NI52" s="779"/>
      <c r="NJ52" s="779"/>
      <c r="NK52" s="779"/>
      <c r="NL52" s="779"/>
      <c r="NM52" s="779"/>
      <c r="NN52" s="779"/>
      <c r="NO52" s="779"/>
      <c r="NP52" s="779"/>
      <c r="NQ52" s="779"/>
      <c r="NR52" s="779"/>
      <c r="NS52" s="779"/>
      <c r="NT52" s="779"/>
      <c r="NU52" s="779"/>
      <c r="NV52" s="779"/>
      <c r="NW52" s="779"/>
      <c r="NX52" s="779"/>
      <c r="NY52" s="779"/>
      <c r="NZ52" s="779"/>
      <c r="OA52" s="779"/>
      <c r="OB52" s="779"/>
      <c r="OC52" s="779"/>
      <c r="OD52" s="779"/>
      <c r="OE52" s="779"/>
      <c r="OF52" s="779"/>
      <c r="OG52" s="779"/>
      <c r="OH52" s="779"/>
      <c r="OI52" s="779"/>
      <c r="OJ52" s="779"/>
      <c r="OK52" s="779"/>
      <c r="OL52" s="779"/>
      <c r="OM52" s="779"/>
      <c r="ON52" s="779"/>
      <c r="OO52" s="779"/>
      <c r="OP52" s="779"/>
      <c r="OQ52" s="779"/>
      <c r="OR52" s="779"/>
      <c r="OS52" s="779"/>
      <c r="OT52" s="779"/>
      <c r="OU52" s="779"/>
      <c r="OV52" s="779"/>
      <c r="OW52" s="779"/>
      <c r="OX52" s="779"/>
      <c r="OY52" s="779"/>
      <c r="OZ52" s="779"/>
      <c r="PA52" s="779"/>
      <c r="PB52" s="779"/>
      <c r="PC52" s="779"/>
      <c r="PD52" s="779"/>
      <c r="PE52" s="779"/>
      <c r="PF52" s="779"/>
      <c r="PG52" s="779"/>
      <c r="PH52" s="779"/>
      <c r="PI52" s="779"/>
      <c r="PJ52" s="779"/>
      <c r="PK52" s="779"/>
      <c r="PL52" s="779"/>
      <c r="PM52" s="779"/>
      <c r="PN52" s="779"/>
      <c r="PO52" s="779"/>
      <c r="PP52" s="779"/>
      <c r="PQ52" s="779"/>
      <c r="PR52" s="779"/>
      <c r="PS52" s="779"/>
      <c r="PT52" s="779"/>
      <c r="PU52" s="779"/>
      <c r="PV52" s="779"/>
      <c r="PW52" s="779"/>
      <c r="PX52" s="779"/>
      <c r="PY52" s="779"/>
      <c r="PZ52" s="779"/>
      <c r="QA52" s="779"/>
      <c r="QB52" s="779"/>
      <c r="QC52" s="779"/>
      <c r="QD52" s="779"/>
      <c r="QE52" s="779"/>
      <c r="QF52" s="779"/>
      <c r="QG52" s="779"/>
      <c r="QH52" s="779"/>
      <c r="QI52" s="779"/>
      <c r="QJ52" s="779"/>
      <c r="QK52" s="779"/>
      <c r="QL52" s="779"/>
      <c r="QM52" s="779"/>
      <c r="QN52" s="779"/>
      <c r="QO52" s="779"/>
      <c r="QP52" s="779"/>
      <c r="QQ52" s="779"/>
      <c r="QR52" s="779"/>
      <c r="QS52" s="779"/>
      <c r="QT52" s="779"/>
      <c r="QU52" s="779"/>
      <c r="QV52" s="779"/>
      <c r="QW52" s="779"/>
      <c r="QX52" s="779"/>
      <c r="QY52" s="779"/>
      <c r="QZ52" s="779"/>
      <c r="RA52" s="779"/>
      <c r="RB52" s="779"/>
      <c r="RC52" s="779"/>
      <c r="RD52" s="779"/>
      <c r="RE52" s="779"/>
      <c r="RF52" s="779"/>
      <c r="RG52" s="779"/>
      <c r="RH52" s="779"/>
      <c r="RI52" s="779"/>
      <c r="RJ52" s="779"/>
      <c r="RK52" s="779"/>
      <c r="RL52" s="779"/>
      <c r="RM52" s="779"/>
      <c r="RN52" s="779"/>
      <c r="RO52" s="779"/>
      <c r="RP52" s="779"/>
      <c r="RQ52" s="779"/>
      <c r="RR52" s="779"/>
      <c r="RS52" s="779"/>
      <c r="RT52" s="779"/>
      <c r="RU52" s="779"/>
      <c r="RV52" s="779"/>
      <c r="RW52" s="779"/>
      <c r="RX52" s="779"/>
    </row>
    <row r="53" spans="1:492" s="143" customFormat="1">
      <c r="A53" s="779"/>
      <c r="B53" s="779"/>
      <c r="C53" s="779"/>
      <c r="D53" s="779"/>
      <c r="E53" s="779"/>
      <c r="F53" s="779"/>
      <c r="G53" s="779"/>
      <c r="H53" s="779"/>
      <c r="I53" s="779"/>
      <c r="J53" s="779"/>
      <c r="K53" s="779"/>
      <c r="L53" s="779"/>
      <c r="M53" s="779"/>
      <c r="N53" s="779"/>
      <c r="O53" s="779"/>
      <c r="P53" s="779"/>
      <c r="Q53" s="779"/>
      <c r="R53" s="779"/>
      <c r="S53" s="779"/>
      <c r="T53" s="779"/>
      <c r="U53" s="779"/>
      <c r="V53" s="779"/>
      <c r="W53" s="779"/>
      <c r="X53" s="779"/>
      <c r="Y53" s="779"/>
      <c r="Z53" s="779"/>
      <c r="AA53" s="779"/>
      <c r="AB53" s="779"/>
      <c r="AC53" s="779"/>
      <c r="AD53" s="779"/>
      <c r="AE53" s="779"/>
      <c r="AF53" s="779"/>
      <c r="AG53" s="779"/>
      <c r="AH53" s="779"/>
      <c r="AI53" s="779"/>
      <c r="AJ53" s="779"/>
      <c r="AK53" s="779"/>
      <c r="AL53" s="779"/>
      <c r="AM53" s="782"/>
      <c r="AN53" s="782"/>
      <c r="AO53" s="782"/>
      <c r="AP53" s="782"/>
      <c r="AQ53" s="782"/>
      <c r="AR53" s="782"/>
      <c r="AS53" s="782"/>
      <c r="AT53" s="782"/>
      <c r="AU53" s="782"/>
      <c r="AV53" s="782"/>
      <c r="AW53" s="782"/>
      <c r="AX53" s="782"/>
      <c r="AY53" s="782"/>
      <c r="AZ53" s="782"/>
      <c r="BA53" s="782"/>
      <c r="BB53" s="782"/>
      <c r="BC53" s="782"/>
      <c r="BD53" s="782"/>
      <c r="BE53" s="782"/>
      <c r="BF53" s="782"/>
      <c r="BG53" s="782"/>
      <c r="BH53" s="782"/>
      <c r="BI53" s="782"/>
      <c r="BJ53" s="782"/>
      <c r="BK53" s="782"/>
      <c r="BL53" s="782"/>
      <c r="BM53" s="782"/>
      <c r="BN53" s="782"/>
      <c r="BO53" s="782"/>
      <c r="BP53" s="782"/>
      <c r="BQ53" s="782"/>
      <c r="BR53" s="782"/>
      <c r="BS53" s="782"/>
      <c r="BT53" s="782"/>
      <c r="BU53" s="782"/>
      <c r="BV53" s="782"/>
      <c r="BW53" s="782"/>
      <c r="BX53" s="782"/>
      <c r="BY53" s="782"/>
      <c r="BZ53" s="782"/>
      <c r="CA53" s="779"/>
      <c r="CB53" s="779"/>
      <c r="CC53" s="779"/>
      <c r="CD53" s="779"/>
      <c r="CE53" s="779"/>
      <c r="CF53" s="779"/>
      <c r="CG53" s="779"/>
      <c r="CH53" s="779"/>
      <c r="CI53" s="779"/>
      <c r="CJ53" s="779"/>
      <c r="CK53" s="779"/>
      <c r="CL53" s="779"/>
      <c r="CM53" s="779"/>
      <c r="CN53" s="779"/>
      <c r="CO53" s="779"/>
      <c r="CP53" s="779"/>
      <c r="CQ53" s="779"/>
      <c r="CR53" s="779"/>
      <c r="CS53" s="779"/>
      <c r="CT53" s="779"/>
      <c r="CU53" s="779"/>
      <c r="CV53" s="779"/>
      <c r="CW53" s="779"/>
      <c r="CX53" s="779"/>
      <c r="CY53" s="779"/>
      <c r="CZ53" s="779"/>
      <c r="DA53" s="779"/>
      <c r="DB53" s="779"/>
      <c r="DC53" s="779"/>
      <c r="DD53" s="779"/>
      <c r="DE53" s="779"/>
      <c r="DF53" s="779"/>
      <c r="DG53" s="779"/>
      <c r="DH53" s="779"/>
      <c r="DI53" s="779"/>
      <c r="DJ53" s="779"/>
      <c r="DK53" s="779"/>
      <c r="DL53" s="779"/>
      <c r="DM53" s="779"/>
      <c r="DN53" s="779"/>
      <c r="DO53" s="779"/>
      <c r="DP53" s="779"/>
      <c r="DQ53" s="779"/>
      <c r="DR53" s="779"/>
      <c r="DS53" s="779"/>
      <c r="DT53" s="779"/>
      <c r="DU53" s="779"/>
      <c r="DV53" s="779"/>
      <c r="DW53" s="779"/>
      <c r="DX53" s="779"/>
      <c r="DY53" s="779"/>
      <c r="DZ53" s="779"/>
      <c r="EA53" s="779"/>
      <c r="EB53" s="779"/>
      <c r="EC53" s="779"/>
      <c r="ED53" s="779"/>
      <c r="EE53" s="779"/>
      <c r="EF53" s="779"/>
      <c r="EG53" s="779"/>
      <c r="EH53" s="779"/>
      <c r="EI53" s="779"/>
      <c r="EJ53" s="779"/>
      <c r="EK53" s="779"/>
      <c r="EL53" s="779"/>
      <c r="EM53" s="779"/>
      <c r="EN53" s="779"/>
      <c r="EO53" s="779"/>
      <c r="EP53" s="779"/>
      <c r="EQ53" s="779"/>
      <c r="ER53" s="779"/>
      <c r="ES53" s="779"/>
      <c r="ET53" s="779"/>
      <c r="EU53" s="779"/>
      <c r="EV53" s="779"/>
      <c r="EW53" s="779"/>
      <c r="EX53" s="779"/>
      <c r="EY53" s="779"/>
      <c r="EZ53" s="779"/>
      <c r="FA53" s="779"/>
      <c r="FB53" s="779"/>
      <c r="FC53" s="779"/>
      <c r="FD53" s="779"/>
      <c r="FE53" s="779"/>
      <c r="FF53" s="779"/>
      <c r="FG53" s="779"/>
      <c r="FH53" s="779"/>
      <c r="FI53" s="779"/>
      <c r="FJ53" s="779"/>
      <c r="FK53" s="779"/>
      <c r="FL53" s="779"/>
      <c r="FM53" s="779"/>
      <c r="FN53" s="779"/>
      <c r="FO53" s="779"/>
      <c r="FP53" s="779"/>
      <c r="FQ53" s="779"/>
      <c r="FR53" s="779"/>
      <c r="FS53" s="779"/>
      <c r="FT53" s="779"/>
      <c r="FU53" s="779"/>
      <c r="FV53" s="779"/>
      <c r="FW53" s="779"/>
      <c r="FX53" s="779"/>
      <c r="FY53" s="779"/>
      <c r="FZ53" s="779"/>
      <c r="GA53" s="779"/>
      <c r="GB53" s="779"/>
      <c r="GC53" s="779"/>
      <c r="GD53" s="779"/>
      <c r="GE53" s="779"/>
      <c r="GF53" s="779"/>
      <c r="GG53" s="779"/>
      <c r="GH53" s="779"/>
      <c r="GI53" s="779"/>
      <c r="GJ53" s="779"/>
      <c r="GK53" s="779"/>
      <c r="GL53" s="779"/>
      <c r="GM53" s="779"/>
      <c r="GN53" s="779"/>
      <c r="GO53" s="779"/>
      <c r="GP53" s="779"/>
      <c r="GQ53" s="779"/>
      <c r="GR53" s="779"/>
      <c r="GS53" s="779"/>
      <c r="GT53" s="779"/>
      <c r="GU53" s="779"/>
      <c r="GV53" s="779"/>
      <c r="GW53" s="779"/>
      <c r="GX53" s="779"/>
      <c r="GY53" s="779"/>
      <c r="GZ53" s="779"/>
      <c r="HA53" s="779"/>
      <c r="HB53" s="779"/>
      <c r="HC53" s="779"/>
      <c r="HD53" s="779"/>
      <c r="HE53" s="779"/>
      <c r="HF53" s="779"/>
      <c r="HG53" s="779"/>
      <c r="HH53" s="779"/>
      <c r="HI53" s="779"/>
      <c r="HJ53" s="779"/>
      <c r="HK53" s="779"/>
      <c r="HL53" s="779"/>
      <c r="HM53" s="779"/>
      <c r="HN53" s="779"/>
      <c r="HO53" s="779"/>
      <c r="HP53" s="779"/>
      <c r="HQ53" s="779"/>
      <c r="HR53" s="779"/>
      <c r="HS53" s="779"/>
      <c r="HT53" s="779"/>
      <c r="HU53" s="779"/>
      <c r="HV53" s="779"/>
      <c r="HW53" s="779"/>
      <c r="HX53" s="779"/>
      <c r="HY53" s="779"/>
      <c r="HZ53" s="779"/>
      <c r="IA53" s="779"/>
      <c r="IB53" s="779"/>
      <c r="IC53" s="779"/>
      <c r="ID53" s="779"/>
      <c r="IE53" s="779"/>
      <c r="IF53" s="779"/>
      <c r="IG53" s="779"/>
      <c r="IH53" s="779"/>
      <c r="II53" s="779"/>
      <c r="IJ53" s="779"/>
      <c r="IK53" s="779"/>
      <c r="IL53" s="779"/>
      <c r="IM53" s="779"/>
      <c r="IN53" s="779"/>
      <c r="IO53" s="779"/>
      <c r="IP53" s="779"/>
      <c r="IQ53" s="779"/>
      <c r="IR53" s="779"/>
      <c r="IS53" s="779"/>
      <c r="IT53" s="779"/>
      <c r="IU53" s="779"/>
      <c r="IV53" s="779"/>
      <c r="IW53" s="779"/>
      <c r="IX53" s="779"/>
      <c r="IY53" s="779"/>
      <c r="IZ53" s="779"/>
      <c r="JA53" s="779"/>
      <c r="JB53" s="779"/>
      <c r="JC53" s="779"/>
      <c r="JD53" s="779"/>
      <c r="JE53" s="779"/>
      <c r="JF53" s="779"/>
      <c r="JG53" s="779"/>
      <c r="JH53" s="779"/>
      <c r="JI53" s="779"/>
      <c r="JJ53" s="779"/>
      <c r="JK53" s="779"/>
      <c r="JL53" s="779"/>
      <c r="JM53" s="779"/>
      <c r="JN53" s="779"/>
      <c r="JO53" s="779"/>
      <c r="JP53" s="779"/>
      <c r="JQ53" s="779"/>
      <c r="JR53" s="779"/>
      <c r="JS53" s="779"/>
      <c r="JT53" s="779"/>
      <c r="JU53" s="779"/>
      <c r="JV53" s="779"/>
      <c r="JW53" s="779"/>
      <c r="JX53" s="779"/>
      <c r="JY53" s="779"/>
      <c r="JZ53" s="779"/>
      <c r="KA53" s="779"/>
      <c r="KB53" s="779"/>
      <c r="KC53" s="779"/>
      <c r="KD53" s="779"/>
      <c r="KE53" s="779"/>
      <c r="KF53" s="779"/>
      <c r="KG53" s="779"/>
      <c r="KH53" s="779"/>
      <c r="KI53" s="779"/>
      <c r="KJ53" s="779"/>
      <c r="KK53" s="779"/>
      <c r="KL53" s="779"/>
      <c r="KM53" s="779"/>
      <c r="KN53" s="779"/>
      <c r="KO53" s="779"/>
      <c r="KP53" s="779"/>
      <c r="KQ53" s="779"/>
      <c r="KR53" s="779"/>
      <c r="KS53" s="779"/>
      <c r="KT53" s="779"/>
      <c r="KU53" s="779"/>
      <c r="KV53" s="779"/>
      <c r="KW53" s="779"/>
      <c r="KX53" s="779"/>
      <c r="KY53" s="779"/>
      <c r="KZ53" s="779"/>
      <c r="LA53" s="779"/>
      <c r="LB53" s="779"/>
      <c r="LC53" s="779"/>
      <c r="LD53" s="779"/>
      <c r="LE53" s="779"/>
      <c r="LF53" s="779"/>
      <c r="LG53" s="779"/>
      <c r="LH53" s="779"/>
      <c r="LI53" s="779"/>
      <c r="LJ53" s="779"/>
      <c r="LK53" s="779"/>
      <c r="LL53" s="779"/>
      <c r="LM53" s="779"/>
      <c r="LN53" s="779"/>
      <c r="LO53" s="779"/>
      <c r="LP53" s="779"/>
      <c r="LQ53" s="779"/>
      <c r="LR53" s="779"/>
      <c r="LS53" s="779"/>
      <c r="LT53" s="779"/>
      <c r="LU53" s="779"/>
      <c r="LV53" s="779"/>
      <c r="LW53" s="779"/>
      <c r="LX53" s="779"/>
      <c r="LY53" s="779"/>
      <c r="LZ53" s="779"/>
      <c r="MA53" s="779"/>
      <c r="MB53" s="779"/>
      <c r="MC53" s="779"/>
      <c r="MD53" s="779"/>
      <c r="ME53" s="779"/>
      <c r="MF53" s="779"/>
      <c r="MG53" s="779"/>
      <c r="MH53" s="779"/>
      <c r="MI53" s="779"/>
      <c r="MJ53" s="779"/>
      <c r="MK53" s="779"/>
      <c r="ML53" s="779"/>
      <c r="MM53" s="779"/>
      <c r="MN53" s="779"/>
      <c r="MO53" s="779"/>
      <c r="MP53" s="779"/>
      <c r="MQ53" s="779"/>
      <c r="MR53" s="779"/>
      <c r="MS53" s="779"/>
      <c r="MT53" s="779"/>
      <c r="MU53" s="779"/>
      <c r="MV53" s="779"/>
      <c r="MW53" s="779"/>
      <c r="MX53" s="779"/>
      <c r="MY53" s="779"/>
      <c r="MZ53" s="779"/>
      <c r="NA53" s="779"/>
      <c r="NB53" s="779"/>
      <c r="NC53" s="779"/>
      <c r="ND53" s="779"/>
      <c r="NE53" s="779"/>
      <c r="NF53" s="779"/>
      <c r="NG53" s="779"/>
      <c r="NH53" s="779"/>
      <c r="NI53" s="779"/>
      <c r="NJ53" s="779"/>
      <c r="NK53" s="779"/>
      <c r="NL53" s="779"/>
      <c r="NM53" s="779"/>
      <c r="NN53" s="779"/>
      <c r="NO53" s="779"/>
      <c r="NP53" s="779"/>
      <c r="NQ53" s="779"/>
      <c r="NR53" s="779"/>
      <c r="NS53" s="779"/>
      <c r="NT53" s="779"/>
      <c r="NU53" s="779"/>
      <c r="NV53" s="779"/>
      <c r="NW53" s="779"/>
      <c r="NX53" s="779"/>
      <c r="NY53" s="779"/>
      <c r="NZ53" s="779"/>
      <c r="OA53" s="779"/>
      <c r="OB53" s="779"/>
      <c r="OC53" s="779"/>
      <c r="OD53" s="779"/>
      <c r="OE53" s="779"/>
      <c r="OF53" s="779"/>
      <c r="OG53" s="779"/>
      <c r="OH53" s="779"/>
      <c r="OI53" s="779"/>
      <c r="OJ53" s="779"/>
      <c r="OK53" s="779"/>
      <c r="OL53" s="779"/>
      <c r="OM53" s="779"/>
      <c r="ON53" s="779"/>
      <c r="OO53" s="779"/>
      <c r="OP53" s="779"/>
      <c r="OQ53" s="779"/>
      <c r="OR53" s="779"/>
      <c r="OS53" s="779"/>
      <c r="OT53" s="779"/>
      <c r="OU53" s="779"/>
      <c r="OV53" s="779"/>
      <c r="OW53" s="779"/>
      <c r="OX53" s="779"/>
      <c r="OY53" s="779"/>
      <c r="OZ53" s="779"/>
      <c r="PA53" s="779"/>
      <c r="PB53" s="779"/>
      <c r="PC53" s="779"/>
      <c r="PD53" s="779"/>
      <c r="PE53" s="779"/>
      <c r="PF53" s="779"/>
      <c r="PG53" s="779"/>
      <c r="PH53" s="779"/>
      <c r="PI53" s="779"/>
      <c r="PJ53" s="779"/>
      <c r="PK53" s="779"/>
      <c r="PL53" s="779"/>
      <c r="PM53" s="779"/>
      <c r="PN53" s="779"/>
      <c r="PO53" s="779"/>
      <c r="PP53" s="779"/>
      <c r="PQ53" s="779"/>
      <c r="PR53" s="779"/>
      <c r="PS53" s="779"/>
      <c r="PT53" s="779"/>
      <c r="PU53" s="779"/>
      <c r="PV53" s="779"/>
      <c r="PW53" s="779"/>
      <c r="PX53" s="779"/>
      <c r="PY53" s="779"/>
      <c r="PZ53" s="779"/>
      <c r="QA53" s="779"/>
      <c r="QB53" s="779"/>
      <c r="QC53" s="779"/>
      <c r="QD53" s="779"/>
      <c r="QE53" s="779"/>
      <c r="QF53" s="779"/>
      <c r="QG53" s="779"/>
      <c r="QH53" s="779"/>
      <c r="QI53" s="779"/>
      <c r="QJ53" s="779"/>
      <c r="QK53" s="779"/>
      <c r="QL53" s="779"/>
      <c r="QM53" s="779"/>
      <c r="QN53" s="779"/>
      <c r="QO53" s="779"/>
      <c r="QP53" s="779"/>
      <c r="QQ53" s="779"/>
      <c r="QR53" s="779"/>
      <c r="QS53" s="779"/>
      <c r="QT53" s="779"/>
      <c r="QU53" s="779"/>
      <c r="QV53" s="779"/>
      <c r="QW53" s="779"/>
      <c r="QX53" s="779"/>
      <c r="QY53" s="779"/>
      <c r="QZ53" s="779"/>
      <c r="RA53" s="779"/>
      <c r="RB53" s="779"/>
      <c r="RC53" s="779"/>
      <c r="RD53" s="779"/>
      <c r="RE53" s="779"/>
      <c r="RF53" s="779"/>
      <c r="RG53" s="779"/>
      <c r="RH53" s="779"/>
      <c r="RI53" s="779"/>
      <c r="RJ53" s="779"/>
      <c r="RK53" s="779"/>
      <c r="RL53" s="779"/>
      <c r="RM53" s="779"/>
      <c r="RN53" s="779"/>
      <c r="RO53" s="779"/>
      <c r="RP53" s="779"/>
      <c r="RQ53" s="779"/>
      <c r="RR53" s="779"/>
      <c r="RS53" s="779"/>
      <c r="RT53" s="779"/>
      <c r="RU53" s="779"/>
      <c r="RV53" s="779"/>
      <c r="RW53" s="779"/>
      <c r="RX53" s="779"/>
    </row>
    <row r="54" spans="1:492" s="143" customFormat="1">
      <c r="A54" s="779"/>
      <c r="B54" s="779"/>
      <c r="C54" s="779"/>
      <c r="D54" s="779"/>
      <c r="E54" s="779"/>
      <c r="F54" s="779"/>
      <c r="G54" s="779"/>
      <c r="H54" s="779"/>
      <c r="I54" s="779"/>
      <c r="J54" s="779"/>
      <c r="K54" s="779"/>
      <c r="L54" s="779"/>
      <c r="M54" s="779"/>
      <c r="N54" s="779"/>
      <c r="O54" s="779"/>
      <c r="P54" s="779"/>
      <c r="Q54" s="779"/>
      <c r="R54" s="779"/>
      <c r="S54" s="779"/>
      <c r="T54" s="779"/>
      <c r="U54" s="779"/>
      <c r="V54" s="779"/>
      <c r="W54" s="779"/>
      <c r="X54" s="779"/>
      <c r="Y54" s="779"/>
      <c r="Z54" s="779"/>
      <c r="AA54" s="779"/>
      <c r="AB54" s="779"/>
      <c r="AC54" s="779"/>
      <c r="AD54" s="779"/>
      <c r="AE54" s="779"/>
      <c r="AF54" s="779"/>
      <c r="AG54" s="779"/>
      <c r="AH54" s="779"/>
      <c r="AI54" s="779"/>
      <c r="AJ54" s="779"/>
      <c r="AK54" s="779"/>
      <c r="AL54" s="779"/>
      <c r="AM54" s="782"/>
      <c r="AN54" s="782"/>
      <c r="AO54" s="782"/>
      <c r="AP54" s="782"/>
      <c r="AQ54" s="782"/>
      <c r="AR54" s="782"/>
      <c r="AS54" s="782"/>
      <c r="AT54" s="782"/>
      <c r="AU54" s="782"/>
      <c r="AV54" s="782"/>
      <c r="AW54" s="787"/>
      <c r="AX54" s="787"/>
      <c r="AY54" s="787"/>
      <c r="AZ54" s="787"/>
      <c r="BA54" s="782"/>
      <c r="BB54" s="782"/>
      <c r="BC54" s="782"/>
      <c r="BD54" s="782"/>
      <c r="BE54" s="782"/>
      <c r="BF54" s="782"/>
      <c r="BG54" s="782"/>
      <c r="BH54" s="782"/>
      <c r="BI54" s="782"/>
      <c r="BJ54" s="782"/>
      <c r="BK54" s="782"/>
      <c r="BL54" s="782"/>
      <c r="BM54" s="782"/>
      <c r="BN54" s="782"/>
      <c r="BO54" s="782"/>
      <c r="BP54" s="782"/>
      <c r="BQ54" s="782"/>
      <c r="BR54" s="782"/>
      <c r="BS54" s="782"/>
      <c r="BT54" s="782"/>
      <c r="BU54" s="782"/>
      <c r="BV54" s="782"/>
      <c r="BW54" s="782"/>
      <c r="BX54" s="782"/>
      <c r="BY54" s="782"/>
      <c r="BZ54" s="782"/>
      <c r="CA54" s="779"/>
      <c r="CB54" s="779"/>
      <c r="CC54" s="779"/>
      <c r="CD54" s="779"/>
      <c r="CE54" s="779"/>
      <c r="CF54" s="779"/>
      <c r="CG54" s="779"/>
      <c r="CH54" s="779"/>
      <c r="CI54" s="779"/>
      <c r="CJ54" s="779"/>
      <c r="CK54" s="779"/>
      <c r="CL54" s="779"/>
      <c r="CM54" s="779"/>
      <c r="CN54" s="779"/>
      <c r="CO54" s="779"/>
      <c r="CP54" s="779"/>
      <c r="CQ54" s="779"/>
      <c r="CR54" s="779"/>
      <c r="CS54" s="779"/>
      <c r="CT54" s="779"/>
      <c r="CU54" s="779"/>
      <c r="CV54" s="779"/>
      <c r="CW54" s="779"/>
      <c r="CX54" s="779"/>
      <c r="CY54" s="779"/>
      <c r="CZ54" s="779"/>
      <c r="DA54" s="779"/>
      <c r="DB54" s="779"/>
      <c r="DC54" s="779"/>
      <c r="DD54" s="779"/>
      <c r="DE54" s="779"/>
      <c r="DF54" s="779"/>
      <c r="DG54" s="779"/>
      <c r="DH54" s="779"/>
      <c r="DI54" s="779"/>
      <c r="DJ54" s="779"/>
      <c r="DK54" s="779"/>
      <c r="DL54" s="779"/>
      <c r="DM54" s="779"/>
      <c r="DN54" s="779"/>
      <c r="DO54" s="779"/>
      <c r="DP54" s="779"/>
      <c r="DQ54" s="779"/>
      <c r="DR54" s="779"/>
      <c r="DS54" s="779"/>
      <c r="DT54" s="779"/>
      <c r="DU54" s="779"/>
      <c r="DV54" s="779"/>
      <c r="DW54" s="779"/>
      <c r="DX54" s="779"/>
      <c r="DY54" s="779"/>
      <c r="DZ54" s="779"/>
      <c r="EA54" s="779"/>
      <c r="EB54" s="779"/>
      <c r="EC54" s="779"/>
      <c r="ED54" s="779"/>
      <c r="EE54" s="779"/>
      <c r="EF54" s="779"/>
      <c r="EG54" s="779"/>
      <c r="EH54" s="779"/>
      <c r="EI54" s="779"/>
      <c r="EJ54" s="779"/>
      <c r="EK54" s="779"/>
      <c r="EL54" s="779"/>
      <c r="EM54" s="779"/>
      <c r="EN54" s="779"/>
      <c r="EO54" s="779"/>
      <c r="EP54" s="779"/>
      <c r="EQ54" s="779"/>
      <c r="ER54" s="779"/>
      <c r="ES54" s="779"/>
      <c r="ET54" s="779"/>
      <c r="EU54" s="779"/>
      <c r="EV54" s="779"/>
      <c r="EW54" s="779"/>
      <c r="EX54" s="779"/>
      <c r="EY54" s="779"/>
      <c r="EZ54" s="779"/>
      <c r="FA54" s="779"/>
      <c r="FB54" s="779"/>
      <c r="FC54" s="779"/>
      <c r="FD54" s="779"/>
      <c r="FE54" s="779"/>
      <c r="FF54" s="779"/>
      <c r="FG54" s="779"/>
      <c r="FH54" s="779"/>
      <c r="FI54" s="779"/>
      <c r="FJ54" s="779"/>
      <c r="FK54" s="779"/>
      <c r="FL54" s="779"/>
      <c r="FM54" s="779"/>
      <c r="FN54" s="779"/>
      <c r="FO54" s="779"/>
      <c r="FP54" s="779"/>
      <c r="FQ54" s="779"/>
      <c r="FR54" s="779"/>
      <c r="FS54" s="779"/>
      <c r="FT54" s="779"/>
      <c r="FU54" s="779"/>
      <c r="FV54" s="779"/>
      <c r="FW54" s="779"/>
      <c r="FX54" s="779"/>
      <c r="FY54" s="779"/>
      <c r="FZ54" s="779"/>
      <c r="GA54" s="779"/>
      <c r="GB54" s="779"/>
      <c r="GC54" s="779"/>
      <c r="GD54" s="779"/>
      <c r="GE54" s="779"/>
      <c r="GF54" s="779"/>
      <c r="GG54" s="779"/>
      <c r="GH54" s="779"/>
      <c r="GI54" s="779"/>
      <c r="GJ54" s="779"/>
      <c r="GK54" s="779"/>
      <c r="GL54" s="779"/>
      <c r="GM54" s="779"/>
      <c r="GN54" s="779"/>
      <c r="GO54" s="779"/>
      <c r="GP54" s="779"/>
      <c r="GQ54" s="779"/>
      <c r="GR54" s="779"/>
      <c r="GS54" s="779"/>
      <c r="GT54" s="779"/>
      <c r="GU54" s="779"/>
      <c r="GV54" s="779"/>
      <c r="GW54" s="779"/>
      <c r="GX54" s="779"/>
      <c r="GY54" s="779"/>
      <c r="GZ54" s="779"/>
      <c r="HA54" s="779"/>
      <c r="HB54" s="779"/>
      <c r="HC54" s="779"/>
      <c r="HD54" s="779"/>
      <c r="HE54" s="779"/>
      <c r="HF54" s="779"/>
      <c r="HG54" s="779"/>
      <c r="HH54" s="779"/>
      <c r="HI54" s="779"/>
      <c r="HJ54" s="779"/>
      <c r="HK54" s="779"/>
      <c r="HL54" s="779"/>
      <c r="HM54" s="779"/>
      <c r="HN54" s="779"/>
      <c r="HO54" s="779"/>
      <c r="HP54" s="779"/>
      <c r="HQ54" s="779"/>
      <c r="HR54" s="779"/>
      <c r="HS54" s="779"/>
      <c r="HT54" s="779"/>
      <c r="HU54" s="779"/>
      <c r="HV54" s="779"/>
      <c r="HW54" s="779"/>
      <c r="HX54" s="779"/>
      <c r="HY54" s="779"/>
      <c r="HZ54" s="779"/>
      <c r="IA54" s="779"/>
      <c r="IB54" s="779"/>
      <c r="IC54" s="779"/>
      <c r="ID54" s="779"/>
      <c r="IE54" s="779"/>
      <c r="IF54" s="779"/>
      <c r="IG54" s="779"/>
      <c r="IH54" s="779"/>
      <c r="II54" s="779"/>
      <c r="IJ54" s="779"/>
      <c r="IK54" s="779"/>
      <c r="IL54" s="779"/>
      <c r="IM54" s="779"/>
      <c r="IN54" s="779"/>
      <c r="IO54" s="779"/>
      <c r="IP54" s="779"/>
      <c r="IQ54" s="779"/>
      <c r="IR54" s="779"/>
      <c r="IS54" s="779"/>
      <c r="IT54" s="779"/>
      <c r="IU54" s="779"/>
      <c r="IV54" s="779"/>
      <c r="IW54" s="779"/>
      <c r="IX54" s="779"/>
      <c r="IY54" s="779"/>
      <c r="IZ54" s="779"/>
      <c r="JA54" s="779"/>
      <c r="JB54" s="779"/>
      <c r="JC54" s="779"/>
      <c r="JD54" s="779"/>
      <c r="JE54" s="779"/>
      <c r="JF54" s="779"/>
      <c r="JG54" s="779"/>
      <c r="JH54" s="779"/>
      <c r="JI54" s="779"/>
      <c r="JJ54" s="779"/>
      <c r="JK54" s="779"/>
      <c r="JL54" s="779"/>
      <c r="JM54" s="779"/>
      <c r="JN54" s="779"/>
      <c r="JO54" s="779"/>
      <c r="JP54" s="779"/>
      <c r="JQ54" s="779"/>
      <c r="JR54" s="779"/>
      <c r="JS54" s="779"/>
      <c r="JT54" s="779"/>
      <c r="JU54" s="779"/>
      <c r="JV54" s="779"/>
      <c r="JW54" s="779"/>
      <c r="JX54" s="779"/>
      <c r="JY54" s="779"/>
      <c r="JZ54" s="779"/>
      <c r="KA54" s="779"/>
      <c r="KB54" s="779"/>
      <c r="KC54" s="779"/>
      <c r="KD54" s="779"/>
      <c r="KE54" s="779"/>
      <c r="KF54" s="779"/>
      <c r="KG54" s="779"/>
      <c r="KH54" s="779"/>
      <c r="KI54" s="779"/>
      <c r="KJ54" s="779"/>
      <c r="KK54" s="779"/>
      <c r="KL54" s="779"/>
      <c r="KM54" s="779"/>
      <c r="KN54" s="779"/>
      <c r="KO54" s="779"/>
      <c r="KP54" s="779"/>
      <c r="KQ54" s="779"/>
      <c r="KR54" s="779"/>
      <c r="KS54" s="779"/>
      <c r="KT54" s="779"/>
      <c r="KU54" s="779"/>
      <c r="KV54" s="779"/>
      <c r="KW54" s="779"/>
      <c r="KX54" s="779"/>
      <c r="KY54" s="779"/>
      <c r="KZ54" s="779"/>
      <c r="LA54" s="779"/>
      <c r="LB54" s="779"/>
      <c r="LC54" s="779"/>
      <c r="LD54" s="779"/>
      <c r="LE54" s="779"/>
      <c r="LF54" s="779"/>
      <c r="LG54" s="779"/>
      <c r="LH54" s="779"/>
      <c r="LI54" s="779"/>
      <c r="LJ54" s="779"/>
      <c r="LK54" s="779"/>
      <c r="LL54" s="779"/>
      <c r="LM54" s="779"/>
      <c r="LN54" s="779"/>
      <c r="LO54" s="779"/>
      <c r="LP54" s="779"/>
      <c r="LQ54" s="779"/>
      <c r="LR54" s="779"/>
      <c r="LS54" s="779"/>
      <c r="LT54" s="779"/>
      <c r="LU54" s="779"/>
      <c r="LV54" s="779"/>
      <c r="LW54" s="779"/>
      <c r="LX54" s="779"/>
      <c r="LY54" s="779"/>
      <c r="LZ54" s="779"/>
      <c r="MA54" s="779"/>
      <c r="MB54" s="779"/>
      <c r="MC54" s="779"/>
      <c r="MD54" s="779"/>
      <c r="ME54" s="779"/>
      <c r="MF54" s="779"/>
      <c r="MG54" s="779"/>
      <c r="MH54" s="779"/>
      <c r="MI54" s="779"/>
      <c r="MJ54" s="779"/>
      <c r="MK54" s="779"/>
      <c r="ML54" s="779"/>
      <c r="MM54" s="779"/>
      <c r="MN54" s="779"/>
      <c r="MO54" s="779"/>
      <c r="MP54" s="779"/>
      <c r="MQ54" s="779"/>
      <c r="MR54" s="779"/>
      <c r="MS54" s="779"/>
      <c r="MT54" s="779"/>
      <c r="MU54" s="779"/>
      <c r="MV54" s="779"/>
      <c r="MW54" s="779"/>
      <c r="MX54" s="779"/>
      <c r="MY54" s="779"/>
      <c r="MZ54" s="779"/>
      <c r="NA54" s="779"/>
      <c r="NB54" s="779"/>
      <c r="NC54" s="779"/>
      <c r="ND54" s="779"/>
      <c r="NE54" s="779"/>
      <c r="NF54" s="779"/>
      <c r="NG54" s="779"/>
      <c r="NH54" s="779"/>
      <c r="NI54" s="779"/>
      <c r="NJ54" s="779"/>
      <c r="NK54" s="779"/>
      <c r="NL54" s="779"/>
      <c r="NM54" s="779"/>
      <c r="NN54" s="779"/>
      <c r="NO54" s="779"/>
      <c r="NP54" s="779"/>
      <c r="NQ54" s="779"/>
      <c r="NR54" s="779"/>
      <c r="NS54" s="779"/>
      <c r="NT54" s="779"/>
      <c r="NU54" s="779"/>
      <c r="NV54" s="779"/>
      <c r="NW54" s="779"/>
      <c r="NX54" s="779"/>
      <c r="NY54" s="779"/>
      <c r="NZ54" s="779"/>
      <c r="OA54" s="779"/>
      <c r="OB54" s="779"/>
      <c r="OC54" s="779"/>
      <c r="OD54" s="779"/>
      <c r="OE54" s="779"/>
      <c r="OF54" s="779"/>
      <c r="OG54" s="779"/>
      <c r="OH54" s="779"/>
      <c r="OI54" s="779"/>
      <c r="OJ54" s="779"/>
      <c r="OK54" s="779"/>
      <c r="OL54" s="779"/>
      <c r="OM54" s="779"/>
      <c r="ON54" s="779"/>
      <c r="OO54" s="779"/>
      <c r="OP54" s="779"/>
      <c r="OQ54" s="779"/>
      <c r="OR54" s="779"/>
      <c r="OS54" s="779"/>
      <c r="OT54" s="779"/>
      <c r="OU54" s="779"/>
      <c r="OV54" s="779"/>
      <c r="OW54" s="779"/>
      <c r="OX54" s="779"/>
      <c r="OY54" s="779"/>
      <c r="OZ54" s="779"/>
      <c r="PA54" s="779"/>
      <c r="PB54" s="779"/>
      <c r="PC54" s="779"/>
      <c r="PD54" s="779"/>
      <c r="PE54" s="779"/>
      <c r="PF54" s="779"/>
      <c r="PG54" s="779"/>
      <c r="PH54" s="779"/>
      <c r="PI54" s="779"/>
      <c r="PJ54" s="779"/>
      <c r="PK54" s="779"/>
      <c r="PL54" s="779"/>
      <c r="PM54" s="779"/>
      <c r="PN54" s="779"/>
      <c r="PO54" s="779"/>
      <c r="PP54" s="779"/>
      <c r="PQ54" s="779"/>
      <c r="PR54" s="779"/>
      <c r="PS54" s="779"/>
      <c r="PT54" s="779"/>
      <c r="PU54" s="779"/>
      <c r="PV54" s="779"/>
      <c r="PW54" s="779"/>
      <c r="PX54" s="779"/>
      <c r="PY54" s="779"/>
      <c r="PZ54" s="779"/>
      <c r="QA54" s="779"/>
      <c r="QB54" s="779"/>
      <c r="QC54" s="779"/>
      <c r="QD54" s="779"/>
      <c r="QE54" s="779"/>
      <c r="QF54" s="779"/>
      <c r="QG54" s="779"/>
      <c r="QH54" s="779"/>
      <c r="QI54" s="779"/>
      <c r="QJ54" s="779"/>
      <c r="QK54" s="779"/>
      <c r="QL54" s="779"/>
      <c r="QM54" s="779"/>
      <c r="QN54" s="779"/>
      <c r="QO54" s="779"/>
      <c r="QP54" s="779"/>
      <c r="QQ54" s="779"/>
      <c r="QR54" s="779"/>
      <c r="QS54" s="779"/>
      <c r="QT54" s="779"/>
      <c r="QU54" s="779"/>
      <c r="QV54" s="779"/>
      <c r="QW54" s="779"/>
      <c r="QX54" s="779"/>
      <c r="QY54" s="779"/>
      <c r="QZ54" s="779"/>
      <c r="RA54" s="779"/>
      <c r="RB54" s="779"/>
      <c r="RC54" s="779"/>
      <c r="RD54" s="779"/>
      <c r="RE54" s="779"/>
      <c r="RF54" s="779"/>
      <c r="RG54" s="779"/>
      <c r="RH54" s="779"/>
      <c r="RI54" s="779"/>
      <c r="RJ54" s="779"/>
      <c r="RK54" s="779"/>
      <c r="RL54" s="779"/>
      <c r="RM54" s="779"/>
      <c r="RN54" s="779"/>
      <c r="RO54" s="779"/>
      <c r="RP54" s="779"/>
      <c r="RQ54" s="779"/>
      <c r="RR54" s="779"/>
      <c r="RS54" s="779"/>
      <c r="RT54" s="779"/>
      <c r="RU54" s="779"/>
      <c r="RV54" s="779"/>
      <c r="RW54" s="779"/>
      <c r="RX54" s="779"/>
    </row>
    <row r="55" spans="1:492" s="143" customFormat="1">
      <c r="A55" s="779"/>
      <c r="B55" s="779"/>
      <c r="C55" s="779"/>
      <c r="D55" s="779"/>
      <c r="E55" s="779"/>
      <c r="F55" s="779"/>
      <c r="G55" s="779"/>
      <c r="H55" s="779"/>
      <c r="I55" s="779"/>
      <c r="J55" s="779"/>
      <c r="K55" s="779"/>
      <c r="L55" s="779"/>
      <c r="M55" s="779"/>
      <c r="N55" s="779"/>
      <c r="O55" s="779"/>
      <c r="P55" s="779"/>
      <c r="Q55" s="779"/>
      <c r="R55" s="779"/>
      <c r="S55" s="779"/>
      <c r="T55" s="779"/>
      <c r="U55" s="779"/>
      <c r="V55" s="779"/>
      <c r="W55" s="779"/>
      <c r="X55" s="779"/>
      <c r="Y55" s="779"/>
      <c r="Z55" s="779"/>
      <c r="AA55" s="779"/>
      <c r="AB55" s="779"/>
      <c r="AC55" s="779"/>
      <c r="AD55" s="779"/>
      <c r="AE55" s="779"/>
      <c r="AF55" s="779"/>
      <c r="AG55" s="779"/>
      <c r="AH55" s="779"/>
      <c r="AI55" s="779"/>
      <c r="AJ55" s="779"/>
      <c r="AK55" s="779"/>
      <c r="AL55" s="779"/>
      <c r="AM55" s="782"/>
      <c r="AN55" s="782"/>
      <c r="AO55" s="782"/>
      <c r="AP55" s="782"/>
      <c r="AQ55" s="782"/>
      <c r="AR55" s="782"/>
      <c r="AS55" s="782"/>
      <c r="AT55" s="782"/>
      <c r="AU55" s="782"/>
      <c r="AV55" s="782"/>
      <c r="AW55" s="787"/>
      <c r="AX55" s="787"/>
      <c r="AY55" s="787"/>
      <c r="AZ55" s="787"/>
      <c r="BA55" s="782"/>
      <c r="BB55" s="782"/>
      <c r="BC55" s="782"/>
      <c r="BD55" s="782"/>
      <c r="BE55" s="782"/>
      <c r="BF55" s="782"/>
      <c r="BG55" s="782"/>
      <c r="BH55" s="782"/>
      <c r="BI55" s="782"/>
      <c r="BJ55" s="782"/>
      <c r="BK55" s="782"/>
      <c r="BL55" s="782"/>
      <c r="BM55" s="782"/>
      <c r="BN55" s="782"/>
      <c r="BO55" s="782"/>
      <c r="BP55" s="782"/>
      <c r="BQ55" s="782"/>
      <c r="BR55" s="782"/>
      <c r="BS55" s="782"/>
      <c r="BT55" s="782"/>
      <c r="BU55" s="782"/>
      <c r="BV55" s="782"/>
      <c r="BW55" s="782"/>
      <c r="BX55" s="782"/>
      <c r="BY55" s="782"/>
      <c r="BZ55" s="782"/>
      <c r="CA55" s="779"/>
      <c r="CB55" s="779"/>
      <c r="CC55" s="779"/>
      <c r="CD55" s="779"/>
      <c r="CE55" s="779"/>
      <c r="CF55" s="779"/>
      <c r="CG55" s="779"/>
      <c r="CH55" s="779"/>
      <c r="CI55" s="779"/>
      <c r="CJ55" s="779"/>
      <c r="CK55" s="779"/>
      <c r="CL55" s="779"/>
      <c r="CM55" s="779"/>
      <c r="CN55" s="779"/>
      <c r="CO55" s="779"/>
      <c r="CP55" s="779"/>
      <c r="CQ55" s="779"/>
      <c r="CR55" s="779"/>
      <c r="CS55" s="779"/>
      <c r="CT55" s="779"/>
      <c r="CU55" s="779"/>
      <c r="CV55" s="779"/>
      <c r="CW55" s="779"/>
      <c r="CX55" s="779"/>
      <c r="CY55" s="779"/>
      <c r="CZ55" s="779"/>
      <c r="DA55" s="779"/>
      <c r="DB55" s="779"/>
      <c r="DC55" s="779"/>
      <c r="DD55" s="779"/>
      <c r="DE55" s="779"/>
      <c r="DF55" s="779"/>
      <c r="DG55" s="779"/>
      <c r="DH55" s="779"/>
      <c r="DI55" s="779"/>
      <c r="DJ55" s="779"/>
      <c r="DK55" s="779"/>
      <c r="DL55" s="779"/>
      <c r="DM55" s="779"/>
      <c r="DN55" s="779"/>
      <c r="DO55" s="779"/>
      <c r="DP55" s="779"/>
      <c r="DQ55" s="779"/>
      <c r="DR55" s="779"/>
      <c r="DS55" s="779"/>
      <c r="DT55" s="779"/>
      <c r="DU55" s="779"/>
      <c r="DV55" s="779"/>
      <c r="DW55" s="779"/>
      <c r="DX55" s="779"/>
      <c r="DY55" s="779"/>
      <c r="DZ55" s="779"/>
      <c r="EA55" s="779"/>
      <c r="EB55" s="779"/>
      <c r="EC55" s="779"/>
      <c r="ED55" s="779"/>
      <c r="EE55" s="779"/>
      <c r="EF55" s="779"/>
      <c r="EG55" s="779"/>
      <c r="EH55" s="779"/>
      <c r="EI55" s="779"/>
      <c r="EJ55" s="779"/>
      <c r="EK55" s="779"/>
      <c r="EL55" s="779"/>
      <c r="EM55" s="779"/>
      <c r="EN55" s="779"/>
      <c r="EO55" s="779"/>
      <c r="EP55" s="779"/>
      <c r="EQ55" s="779"/>
      <c r="ER55" s="779"/>
      <c r="ES55" s="779"/>
      <c r="ET55" s="779"/>
      <c r="EU55" s="779"/>
      <c r="EV55" s="779"/>
      <c r="EW55" s="779"/>
      <c r="EX55" s="779"/>
      <c r="EY55" s="779"/>
      <c r="EZ55" s="779"/>
      <c r="FA55" s="779"/>
      <c r="FB55" s="779"/>
      <c r="FC55" s="779"/>
      <c r="FD55" s="779"/>
      <c r="FE55" s="779"/>
      <c r="FF55" s="779"/>
      <c r="FG55" s="779"/>
      <c r="FH55" s="779"/>
      <c r="FI55" s="779"/>
      <c r="FJ55" s="779"/>
      <c r="FK55" s="779"/>
      <c r="FL55" s="779"/>
      <c r="FM55" s="779"/>
      <c r="FN55" s="779"/>
      <c r="FO55" s="779"/>
      <c r="FP55" s="779"/>
      <c r="FQ55" s="779"/>
      <c r="FR55" s="779"/>
      <c r="FS55" s="779"/>
      <c r="FT55" s="779"/>
      <c r="FU55" s="779"/>
      <c r="FV55" s="779"/>
      <c r="FW55" s="779"/>
      <c r="FX55" s="779"/>
      <c r="FY55" s="779"/>
      <c r="FZ55" s="779"/>
      <c r="GA55" s="779"/>
      <c r="GB55" s="779"/>
      <c r="GC55" s="779"/>
      <c r="GD55" s="779"/>
      <c r="GE55" s="779"/>
      <c r="GF55" s="779"/>
      <c r="GG55" s="779"/>
      <c r="GH55" s="779"/>
      <c r="GI55" s="779"/>
      <c r="GJ55" s="779"/>
      <c r="GK55" s="779"/>
      <c r="GL55" s="779"/>
      <c r="GM55" s="779"/>
      <c r="GN55" s="779"/>
      <c r="GO55" s="779"/>
      <c r="GP55" s="779"/>
      <c r="GQ55" s="779"/>
      <c r="GR55" s="779"/>
      <c r="GS55" s="779"/>
      <c r="GT55" s="779"/>
      <c r="GU55" s="779"/>
      <c r="GV55" s="779"/>
      <c r="GW55" s="779"/>
      <c r="GX55" s="779"/>
      <c r="GY55" s="779"/>
      <c r="GZ55" s="779"/>
      <c r="HA55" s="779"/>
      <c r="HB55" s="779"/>
      <c r="HC55" s="779"/>
      <c r="HD55" s="779"/>
      <c r="HE55" s="779"/>
      <c r="HF55" s="779"/>
      <c r="HG55" s="779"/>
      <c r="HH55" s="779"/>
      <c r="HI55" s="779"/>
      <c r="HJ55" s="779"/>
      <c r="HK55" s="779"/>
      <c r="HL55" s="779"/>
      <c r="HM55" s="779"/>
      <c r="HN55" s="779"/>
      <c r="HO55" s="779"/>
      <c r="HP55" s="779"/>
      <c r="HQ55" s="779"/>
      <c r="HR55" s="779"/>
      <c r="HS55" s="779"/>
      <c r="HT55" s="779"/>
      <c r="HU55" s="779"/>
      <c r="HV55" s="779"/>
      <c r="HW55" s="779"/>
      <c r="HX55" s="779"/>
      <c r="HY55" s="779"/>
      <c r="HZ55" s="779"/>
      <c r="IA55" s="779"/>
      <c r="IB55" s="779"/>
      <c r="IC55" s="779"/>
      <c r="ID55" s="779"/>
      <c r="IE55" s="779"/>
      <c r="IF55" s="779"/>
      <c r="IG55" s="779"/>
      <c r="IH55" s="779"/>
      <c r="II55" s="779"/>
      <c r="IJ55" s="779"/>
      <c r="IK55" s="779"/>
      <c r="IL55" s="779"/>
      <c r="IM55" s="779"/>
      <c r="IN55" s="779"/>
      <c r="IO55" s="779"/>
      <c r="IP55" s="779"/>
      <c r="IQ55" s="779"/>
      <c r="IR55" s="779"/>
      <c r="IS55" s="779"/>
      <c r="IT55" s="779"/>
      <c r="IU55" s="779"/>
      <c r="IV55" s="779"/>
      <c r="IW55" s="779"/>
      <c r="IX55" s="779"/>
      <c r="IY55" s="779"/>
      <c r="IZ55" s="779"/>
      <c r="JA55" s="779"/>
      <c r="JB55" s="779"/>
      <c r="JC55" s="779"/>
      <c r="JD55" s="779"/>
      <c r="JE55" s="779"/>
      <c r="JF55" s="779"/>
      <c r="JG55" s="779"/>
      <c r="JH55" s="779"/>
      <c r="JI55" s="779"/>
      <c r="JJ55" s="779"/>
      <c r="JK55" s="779"/>
      <c r="JL55" s="779"/>
      <c r="JM55" s="779"/>
      <c r="JN55" s="779"/>
      <c r="JO55" s="779"/>
      <c r="JP55" s="779"/>
      <c r="JQ55" s="779"/>
      <c r="JR55" s="779"/>
      <c r="JS55" s="779"/>
      <c r="JT55" s="779"/>
      <c r="JU55" s="779"/>
      <c r="JV55" s="779"/>
      <c r="JW55" s="779"/>
      <c r="JX55" s="779"/>
      <c r="JY55" s="779"/>
      <c r="JZ55" s="779"/>
      <c r="KA55" s="779"/>
      <c r="KB55" s="779"/>
      <c r="KC55" s="779"/>
      <c r="KD55" s="779"/>
      <c r="KE55" s="779"/>
      <c r="KF55" s="779"/>
      <c r="KG55" s="779"/>
      <c r="KH55" s="779"/>
      <c r="KI55" s="779"/>
      <c r="KJ55" s="779"/>
      <c r="KK55" s="779"/>
      <c r="KL55" s="779"/>
      <c r="KM55" s="779"/>
      <c r="KN55" s="779"/>
      <c r="KO55" s="779"/>
      <c r="KP55" s="779"/>
      <c r="KQ55" s="779"/>
      <c r="KR55" s="779"/>
      <c r="KS55" s="779"/>
      <c r="KT55" s="779"/>
      <c r="KU55" s="779"/>
      <c r="KV55" s="779"/>
      <c r="KW55" s="779"/>
      <c r="KX55" s="779"/>
      <c r="KY55" s="779"/>
      <c r="KZ55" s="779"/>
      <c r="LA55" s="779"/>
      <c r="LB55" s="779"/>
      <c r="LC55" s="779"/>
      <c r="LD55" s="779"/>
      <c r="LE55" s="779"/>
      <c r="LF55" s="779"/>
      <c r="LG55" s="779"/>
      <c r="LH55" s="779"/>
      <c r="LI55" s="779"/>
      <c r="LJ55" s="779"/>
      <c r="LK55" s="779"/>
      <c r="LL55" s="779"/>
      <c r="LM55" s="779"/>
      <c r="LN55" s="779"/>
      <c r="LO55" s="779"/>
      <c r="LP55" s="779"/>
      <c r="LQ55" s="779"/>
      <c r="LR55" s="779"/>
      <c r="LS55" s="779"/>
      <c r="LT55" s="779"/>
      <c r="LU55" s="779"/>
      <c r="LV55" s="779"/>
      <c r="LW55" s="779"/>
      <c r="LX55" s="779"/>
      <c r="LY55" s="779"/>
      <c r="LZ55" s="779"/>
      <c r="MA55" s="779"/>
      <c r="MB55" s="779"/>
      <c r="MC55" s="779"/>
      <c r="MD55" s="779"/>
      <c r="ME55" s="779"/>
      <c r="MF55" s="779"/>
      <c r="MG55" s="779"/>
      <c r="MH55" s="779"/>
      <c r="MI55" s="779"/>
      <c r="MJ55" s="779"/>
      <c r="MK55" s="779"/>
      <c r="ML55" s="779"/>
      <c r="MM55" s="779"/>
      <c r="MN55" s="779"/>
      <c r="MO55" s="779"/>
      <c r="MP55" s="779"/>
      <c r="MQ55" s="779"/>
      <c r="MR55" s="779"/>
      <c r="MS55" s="779"/>
      <c r="MT55" s="779"/>
      <c r="MU55" s="779"/>
      <c r="MV55" s="779"/>
      <c r="MW55" s="779"/>
      <c r="MX55" s="779"/>
      <c r="MY55" s="779"/>
      <c r="MZ55" s="779"/>
      <c r="NA55" s="779"/>
      <c r="NB55" s="779"/>
      <c r="NC55" s="779"/>
      <c r="ND55" s="779"/>
      <c r="NE55" s="779"/>
      <c r="NF55" s="779"/>
      <c r="NG55" s="779"/>
      <c r="NH55" s="779"/>
      <c r="NI55" s="779"/>
      <c r="NJ55" s="779"/>
      <c r="NK55" s="779"/>
      <c r="NL55" s="779"/>
      <c r="NM55" s="779"/>
      <c r="NN55" s="779"/>
      <c r="NO55" s="779"/>
      <c r="NP55" s="779"/>
      <c r="NQ55" s="779"/>
      <c r="NR55" s="779"/>
      <c r="NS55" s="779"/>
      <c r="NT55" s="779"/>
      <c r="NU55" s="779"/>
      <c r="NV55" s="779"/>
      <c r="NW55" s="779"/>
      <c r="NX55" s="779"/>
      <c r="NY55" s="779"/>
      <c r="NZ55" s="779"/>
      <c r="OA55" s="779"/>
      <c r="OB55" s="779"/>
      <c r="OC55" s="779"/>
      <c r="OD55" s="779"/>
      <c r="OE55" s="779"/>
      <c r="OF55" s="779"/>
      <c r="OG55" s="779"/>
      <c r="OH55" s="779"/>
      <c r="OI55" s="779"/>
      <c r="OJ55" s="779"/>
      <c r="OK55" s="779"/>
      <c r="OL55" s="779"/>
      <c r="OM55" s="779"/>
      <c r="ON55" s="779"/>
      <c r="OO55" s="779"/>
      <c r="OP55" s="779"/>
      <c r="OQ55" s="779"/>
      <c r="OR55" s="779"/>
      <c r="OS55" s="779"/>
      <c r="OT55" s="779"/>
      <c r="OU55" s="779"/>
      <c r="OV55" s="779"/>
      <c r="OW55" s="779"/>
      <c r="OX55" s="779"/>
      <c r="OY55" s="779"/>
      <c r="OZ55" s="779"/>
      <c r="PA55" s="779"/>
      <c r="PB55" s="779"/>
      <c r="PC55" s="779"/>
      <c r="PD55" s="779"/>
      <c r="PE55" s="779"/>
      <c r="PF55" s="779"/>
      <c r="PG55" s="779"/>
      <c r="PH55" s="779"/>
      <c r="PI55" s="779"/>
      <c r="PJ55" s="779"/>
      <c r="PK55" s="779"/>
      <c r="PL55" s="779"/>
      <c r="PM55" s="779"/>
      <c r="PN55" s="779"/>
      <c r="PO55" s="779"/>
      <c r="PP55" s="779"/>
      <c r="PQ55" s="779"/>
      <c r="PR55" s="779"/>
      <c r="PS55" s="779"/>
      <c r="PT55" s="779"/>
      <c r="PU55" s="779"/>
      <c r="PV55" s="779"/>
      <c r="PW55" s="779"/>
      <c r="PX55" s="779"/>
      <c r="PY55" s="779"/>
      <c r="PZ55" s="779"/>
      <c r="QA55" s="779"/>
      <c r="QB55" s="779"/>
      <c r="QC55" s="779"/>
      <c r="QD55" s="779"/>
      <c r="QE55" s="779"/>
      <c r="QF55" s="779"/>
      <c r="QG55" s="779"/>
      <c r="QH55" s="779"/>
      <c r="QI55" s="779"/>
      <c r="QJ55" s="779"/>
      <c r="QK55" s="779"/>
      <c r="QL55" s="779"/>
      <c r="QM55" s="779"/>
      <c r="QN55" s="779"/>
      <c r="QO55" s="779"/>
      <c r="QP55" s="779"/>
      <c r="QQ55" s="779"/>
      <c r="QR55" s="779"/>
      <c r="QS55" s="779"/>
      <c r="QT55" s="779"/>
      <c r="QU55" s="779"/>
      <c r="QV55" s="779"/>
      <c r="QW55" s="779"/>
      <c r="QX55" s="779"/>
      <c r="QY55" s="779"/>
      <c r="QZ55" s="779"/>
      <c r="RA55" s="779"/>
      <c r="RB55" s="779"/>
      <c r="RC55" s="779"/>
      <c r="RD55" s="779"/>
      <c r="RE55" s="779"/>
      <c r="RF55" s="779"/>
      <c r="RG55" s="779"/>
      <c r="RH55" s="779"/>
      <c r="RI55" s="779"/>
      <c r="RJ55" s="779"/>
      <c r="RK55" s="779"/>
      <c r="RL55" s="779"/>
      <c r="RM55" s="779"/>
      <c r="RN55" s="779"/>
      <c r="RO55" s="779"/>
      <c r="RP55" s="779"/>
      <c r="RQ55" s="779"/>
      <c r="RR55" s="779"/>
      <c r="RS55" s="779"/>
      <c r="RT55" s="779"/>
      <c r="RU55" s="779"/>
      <c r="RV55" s="779"/>
      <c r="RW55" s="779"/>
      <c r="RX55" s="779"/>
    </row>
    <row r="56" spans="1:492" s="143" customFormat="1">
      <c r="A56" s="779"/>
      <c r="B56" s="779"/>
      <c r="C56" s="779"/>
      <c r="D56" s="779"/>
      <c r="E56" s="779"/>
      <c r="F56" s="779"/>
      <c r="G56" s="779"/>
      <c r="H56" s="779"/>
      <c r="I56" s="779"/>
      <c r="J56" s="779"/>
      <c r="K56" s="779"/>
      <c r="L56" s="779"/>
      <c r="M56" s="779"/>
      <c r="N56" s="779"/>
      <c r="O56" s="779"/>
      <c r="P56" s="779"/>
      <c r="Q56" s="779"/>
      <c r="R56" s="779"/>
      <c r="S56" s="779"/>
      <c r="T56" s="779"/>
      <c r="U56" s="779"/>
      <c r="V56" s="779"/>
      <c r="W56" s="779"/>
      <c r="X56" s="779"/>
      <c r="Y56" s="779"/>
      <c r="Z56" s="779"/>
      <c r="AA56" s="779"/>
      <c r="AB56" s="779"/>
      <c r="AC56" s="779"/>
      <c r="AD56" s="779"/>
      <c r="AE56" s="779"/>
      <c r="AF56" s="779"/>
      <c r="AG56" s="779"/>
      <c r="AH56" s="779"/>
      <c r="AI56" s="779"/>
      <c r="AJ56" s="779"/>
      <c r="AK56" s="779"/>
      <c r="AL56" s="779"/>
      <c r="AM56" s="782"/>
      <c r="AN56" s="782"/>
      <c r="AO56" s="782"/>
      <c r="AP56" s="782"/>
      <c r="AQ56" s="782"/>
      <c r="AR56" s="782"/>
      <c r="AS56" s="782"/>
      <c r="AT56" s="782"/>
      <c r="AU56" s="782"/>
      <c r="AV56" s="782"/>
      <c r="AW56" s="787"/>
      <c r="AX56" s="787"/>
      <c r="AY56" s="787"/>
      <c r="AZ56" s="787"/>
      <c r="BA56" s="782"/>
      <c r="BB56" s="782"/>
      <c r="BC56" s="782"/>
      <c r="BD56" s="782"/>
      <c r="BE56" s="782"/>
      <c r="BF56" s="782"/>
      <c r="BG56" s="782"/>
      <c r="BH56" s="782"/>
      <c r="BI56" s="782"/>
      <c r="BJ56" s="782"/>
      <c r="BK56" s="782"/>
      <c r="BL56" s="782"/>
      <c r="BM56" s="782"/>
      <c r="BN56" s="782"/>
      <c r="BO56" s="782"/>
      <c r="BP56" s="782"/>
      <c r="BQ56" s="782"/>
      <c r="BR56" s="782"/>
      <c r="BS56" s="782"/>
      <c r="BT56" s="782"/>
      <c r="BU56" s="782"/>
      <c r="BV56" s="782"/>
      <c r="BW56" s="782"/>
      <c r="BX56" s="782"/>
      <c r="BY56" s="782"/>
      <c r="BZ56" s="782"/>
      <c r="CA56" s="779"/>
      <c r="CB56" s="779"/>
      <c r="CC56" s="779"/>
      <c r="CD56" s="779"/>
      <c r="CE56" s="779"/>
      <c r="CF56" s="779"/>
      <c r="CG56" s="779"/>
      <c r="CH56" s="779"/>
      <c r="CI56" s="779"/>
      <c r="CJ56" s="779"/>
      <c r="CK56" s="779"/>
      <c r="CL56" s="779"/>
      <c r="CM56" s="779"/>
      <c r="CN56" s="779"/>
      <c r="CO56" s="779"/>
      <c r="CP56" s="779"/>
      <c r="CQ56" s="779"/>
      <c r="CR56" s="779"/>
      <c r="CS56" s="779"/>
      <c r="CT56" s="779"/>
      <c r="CU56" s="779"/>
      <c r="CV56" s="779"/>
      <c r="CW56" s="779"/>
      <c r="CX56" s="779"/>
      <c r="CY56" s="779"/>
      <c r="CZ56" s="779"/>
      <c r="DA56" s="779"/>
      <c r="DB56" s="779"/>
      <c r="DC56" s="779"/>
      <c r="DD56" s="779"/>
      <c r="DE56" s="779"/>
      <c r="DF56" s="779"/>
      <c r="DG56" s="779"/>
      <c r="DH56" s="779"/>
      <c r="DI56" s="779"/>
      <c r="DJ56" s="779"/>
      <c r="DK56" s="779"/>
      <c r="DL56" s="779"/>
      <c r="DM56" s="779"/>
      <c r="DN56" s="779"/>
      <c r="DO56" s="779"/>
      <c r="DP56" s="779"/>
      <c r="DQ56" s="779"/>
      <c r="DR56" s="779"/>
      <c r="DS56" s="779"/>
      <c r="DT56" s="779"/>
      <c r="DU56" s="779"/>
      <c r="DV56" s="779"/>
      <c r="DW56" s="779"/>
      <c r="DX56" s="779"/>
      <c r="DY56" s="779"/>
      <c r="DZ56" s="779"/>
      <c r="EA56" s="779"/>
      <c r="EB56" s="779"/>
      <c r="EC56" s="779"/>
      <c r="ED56" s="779"/>
      <c r="EE56" s="779"/>
      <c r="EF56" s="779"/>
      <c r="EG56" s="779"/>
      <c r="EH56" s="779"/>
      <c r="EI56" s="779"/>
      <c r="EJ56" s="779"/>
      <c r="EK56" s="779"/>
      <c r="EL56" s="779"/>
      <c r="EM56" s="779"/>
      <c r="EN56" s="779"/>
      <c r="EO56" s="779"/>
      <c r="EP56" s="779"/>
      <c r="EQ56" s="779"/>
      <c r="ER56" s="779"/>
      <c r="ES56" s="779"/>
      <c r="ET56" s="779"/>
      <c r="EU56" s="779"/>
      <c r="EV56" s="779"/>
      <c r="EW56" s="779"/>
      <c r="EX56" s="779"/>
      <c r="EY56" s="779"/>
      <c r="EZ56" s="779"/>
      <c r="FA56" s="779"/>
      <c r="FB56" s="779"/>
      <c r="FC56" s="779"/>
      <c r="FD56" s="779"/>
      <c r="FE56" s="779"/>
      <c r="FF56" s="779"/>
      <c r="FG56" s="779"/>
      <c r="FH56" s="779"/>
      <c r="FI56" s="779"/>
      <c r="FJ56" s="779"/>
      <c r="FK56" s="779"/>
      <c r="FL56" s="779"/>
      <c r="FM56" s="779"/>
      <c r="FN56" s="779"/>
      <c r="FO56" s="779"/>
      <c r="FP56" s="779"/>
      <c r="FQ56" s="779"/>
      <c r="FR56" s="779"/>
      <c r="FS56" s="779"/>
      <c r="FT56" s="779"/>
      <c r="FU56" s="779"/>
      <c r="FV56" s="779"/>
      <c r="FW56" s="779"/>
      <c r="FX56" s="779"/>
      <c r="FY56" s="779"/>
      <c r="FZ56" s="779"/>
      <c r="GA56" s="779"/>
      <c r="GB56" s="779"/>
      <c r="GC56" s="779"/>
      <c r="GD56" s="779"/>
      <c r="GE56" s="779"/>
      <c r="GF56" s="779"/>
      <c r="GG56" s="779"/>
      <c r="GH56" s="779"/>
      <c r="GI56" s="779"/>
      <c r="GJ56" s="779"/>
      <c r="GK56" s="779"/>
      <c r="GL56" s="779"/>
      <c r="GM56" s="779"/>
      <c r="GN56" s="779"/>
      <c r="GO56" s="779"/>
      <c r="GP56" s="779"/>
      <c r="GQ56" s="779"/>
      <c r="GR56" s="779"/>
      <c r="GS56" s="779"/>
      <c r="GT56" s="779"/>
      <c r="GU56" s="779"/>
      <c r="GV56" s="779"/>
      <c r="GW56" s="779"/>
      <c r="GX56" s="779"/>
      <c r="GY56" s="779"/>
      <c r="GZ56" s="779"/>
      <c r="HA56" s="779"/>
      <c r="HB56" s="779"/>
      <c r="HC56" s="779"/>
      <c r="HD56" s="779"/>
      <c r="HE56" s="779"/>
      <c r="HF56" s="779"/>
      <c r="HG56" s="779"/>
      <c r="HH56" s="779"/>
      <c r="HI56" s="779"/>
      <c r="HJ56" s="779"/>
      <c r="HK56" s="779"/>
      <c r="HL56" s="779"/>
      <c r="HM56" s="779"/>
      <c r="HN56" s="779"/>
      <c r="HO56" s="779"/>
      <c r="HP56" s="779"/>
      <c r="HQ56" s="779"/>
      <c r="HR56" s="779"/>
      <c r="HS56" s="779"/>
      <c r="HT56" s="779"/>
      <c r="HU56" s="779"/>
      <c r="HV56" s="779"/>
      <c r="HW56" s="779"/>
      <c r="HX56" s="779"/>
      <c r="HY56" s="779"/>
      <c r="HZ56" s="779"/>
      <c r="IA56" s="779"/>
      <c r="IB56" s="779"/>
      <c r="IC56" s="779"/>
      <c r="ID56" s="779"/>
      <c r="IE56" s="779"/>
      <c r="IF56" s="779"/>
      <c r="IG56" s="779"/>
      <c r="IH56" s="779"/>
      <c r="II56" s="779"/>
      <c r="IJ56" s="779"/>
      <c r="IK56" s="779"/>
      <c r="IL56" s="779"/>
      <c r="IM56" s="779"/>
      <c r="IN56" s="779"/>
      <c r="IO56" s="779"/>
      <c r="IP56" s="779"/>
      <c r="IQ56" s="779"/>
      <c r="IR56" s="779"/>
      <c r="IS56" s="779"/>
      <c r="IT56" s="779"/>
      <c r="IU56" s="779"/>
      <c r="IV56" s="779"/>
      <c r="IW56" s="779"/>
      <c r="IX56" s="779"/>
      <c r="IY56" s="779"/>
      <c r="IZ56" s="779"/>
      <c r="JA56" s="779"/>
      <c r="JB56" s="779"/>
      <c r="JC56" s="779"/>
      <c r="JD56" s="779"/>
      <c r="JE56" s="779"/>
      <c r="JF56" s="779"/>
      <c r="JG56" s="779"/>
      <c r="JH56" s="779"/>
      <c r="JI56" s="779"/>
      <c r="JJ56" s="779"/>
      <c r="JK56" s="779"/>
      <c r="JL56" s="779"/>
      <c r="JM56" s="779"/>
      <c r="JN56" s="779"/>
      <c r="JO56" s="779"/>
      <c r="JP56" s="779"/>
      <c r="JQ56" s="779"/>
      <c r="JR56" s="779"/>
      <c r="JS56" s="779"/>
      <c r="JT56" s="779"/>
      <c r="JU56" s="779"/>
      <c r="JV56" s="779"/>
      <c r="JW56" s="779"/>
      <c r="JX56" s="779"/>
      <c r="JY56" s="779"/>
      <c r="JZ56" s="779"/>
      <c r="KA56" s="779"/>
      <c r="KB56" s="779"/>
      <c r="KC56" s="779"/>
      <c r="KD56" s="779"/>
      <c r="KE56" s="779"/>
      <c r="KF56" s="779"/>
      <c r="KG56" s="779"/>
      <c r="KH56" s="779"/>
      <c r="KI56" s="779"/>
      <c r="KJ56" s="779"/>
      <c r="KK56" s="779"/>
      <c r="KL56" s="779"/>
      <c r="KM56" s="779"/>
      <c r="KN56" s="779"/>
      <c r="KO56" s="779"/>
      <c r="KP56" s="779"/>
      <c r="KQ56" s="779"/>
      <c r="KR56" s="779"/>
      <c r="KS56" s="779"/>
      <c r="KT56" s="779"/>
      <c r="KU56" s="779"/>
      <c r="KV56" s="779"/>
      <c r="KW56" s="779"/>
      <c r="KX56" s="779"/>
      <c r="KY56" s="779"/>
      <c r="KZ56" s="779"/>
      <c r="LA56" s="779"/>
      <c r="LB56" s="779"/>
      <c r="LC56" s="779"/>
      <c r="LD56" s="779"/>
      <c r="LE56" s="779"/>
      <c r="LF56" s="779"/>
      <c r="LG56" s="779"/>
      <c r="LH56" s="779"/>
      <c r="LI56" s="779"/>
      <c r="LJ56" s="779"/>
      <c r="LK56" s="779"/>
      <c r="LL56" s="779"/>
      <c r="LM56" s="779"/>
      <c r="LN56" s="779"/>
      <c r="LO56" s="779"/>
      <c r="LP56" s="779"/>
      <c r="LQ56" s="779"/>
      <c r="LR56" s="779"/>
      <c r="LS56" s="779"/>
      <c r="LT56" s="779"/>
      <c r="LU56" s="779"/>
      <c r="LV56" s="779"/>
      <c r="LW56" s="779"/>
      <c r="LX56" s="779"/>
      <c r="LY56" s="779"/>
      <c r="LZ56" s="779"/>
      <c r="MA56" s="779"/>
      <c r="MB56" s="779"/>
      <c r="MC56" s="779"/>
      <c r="MD56" s="779"/>
      <c r="ME56" s="779"/>
      <c r="MF56" s="779"/>
      <c r="MG56" s="779"/>
      <c r="MH56" s="779"/>
      <c r="MI56" s="779"/>
      <c r="MJ56" s="779"/>
      <c r="MK56" s="779"/>
      <c r="ML56" s="779"/>
      <c r="MM56" s="779"/>
      <c r="MN56" s="779"/>
      <c r="MO56" s="779"/>
      <c r="MP56" s="779"/>
      <c r="MQ56" s="779"/>
      <c r="MR56" s="779"/>
      <c r="MS56" s="779"/>
      <c r="MT56" s="779"/>
      <c r="MU56" s="779"/>
      <c r="MV56" s="779"/>
      <c r="MW56" s="779"/>
      <c r="MX56" s="779"/>
      <c r="MY56" s="779"/>
      <c r="MZ56" s="779"/>
      <c r="NA56" s="779"/>
      <c r="NB56" s="779"/>
      <c r="NC56" s="779"/>
      <c r="ND56" s="779"/>
      <c r="NE56" s="779"/>
      <c r="NF56" s="779"/>
      <c r="NG56" s="779"/>
      <c r="NH56" s="779"/>
      <c r="NI56" s="779"/>
      <c r="NJ56" s="779"/>
      <c r="NK56" s="779"/>
      <c r="NL56" s="779"/>
      <c r="NM56" s="779"/>
      <c r="NN56" s="779"/>
      <c r="NO56" s="779"/>
      <c r="NP56" s="779"/>
      <c r="NQ56" s="779"/>
      <c r="NR56" s="779"/>
      <c r="NS56" s="779"/>
      <c r="NT56" s="779"/>
      <c r="NU56" s="779"/>
      <c r="NV56" s="779"/>
      <c r="NW56" s="779"/>
      <c r="NX56" s="779"/>
      <c r="NY56" s="779"/>
      <c r="NZ56" s="779"/>
      <c r="OA56" s="779"/>
      <c r="OB56" s="779"/>
      <c r="OC56" s="779"/>
      <c r="OD56" s="779"/>
      <c r="OE56" s="779"/>
      <c r="OF56" s="779"/>
      <c r="OG56" s="779"/>
      <c r="OH56" s="779"/>
      <c r="OI56" s="779"/>
      <c r="OJ56" s="779"/>
      <c r="OK56" s="779"/>
      <c r="OL56" s="779"/>
      <c r="OM56" s="779"/>
      <c r="ON56" s="779"/>
      <c r="OO56" s="779"/>
      <c r="OP56" s="779"/>
      <c r="OQ56" s="779"/>
      <c r="OR56" s="779"/>
      <c r="OS56" s="779"/>
      <c r="OT56" s="779"/>
      <c r="OU56" s="779"/>
      <c r="OV56" s="779"/>
      <c r="OW56" s="779"/>
      <c r="OX56" s="779"/>
      <c r="OY56" s="779"/>
      <c r="OZ56" s="779"/>
      <c r="PA56" s="779"/>
      <c r="PB56" s="779"/>
      <c r="PC56" s="779"/>
      <c r="PD56" s="779"/>
      <c r="PE56" s="779"/>
      <c r="PF56" s="779"/>
      <c r="PG56" s="779"/>
      <c r="PH56" s="779"/>
      <c r="PI56" s="779"/>
      <c r="PJ56" s="779"/>
      <c r="PK56" s="779"/>
      <c r="PL56" s="779"/>
      <c r="PM56" s="779"/>
      <c r="PN56" s="779"/>
      <c r="PO56" s="779"/>
      <c r="PP56" s="779"/>
      <c r="PQ56" s="779"/>
      <c r="PR56" s="779"/>
      <c r="PS56" s="779"/>
      <c r="PT56" s="779"/>
      <c r="PU56" s="779"/>
      <c r="PV56" s="779"/>
      <c r="PW56" s="779"/>
      <c r="PX56" s="779"/>
      <c r="PY56" s="779"/>
      <c r="PZ56" s="779"/>
      <c r="QA56" s="779"/>
      <c r="QB56" s="779"/>
      <c r="QC56" s="779"/>
      <c r="QD56" s="779"/>
      <c r="QE56" s="779"/>
      <c r="QF56" s="779"/>
      <c r="QG56" s="779"/>
      <c r="QH56" s="779"/>
      <c r="QI56" s="779"/>
      <c r="QJ56" s="779"/>
      <c r="QK56" s="779"/>
      <c r="QL56" s="779"/>
      <c r="QM56" s="779"/>
      <c r="QN56" s="779"/>
      <c r="QO56" s="779"/>
      <c r="QP56" s="779"/>
      <c r="QQ56" s="779"/>
      <c r="QR56" s="779"/>
      <c r="QS56" s="779"/>
      <c r="QT56" s="779"/>
      <c r="QU56" s="779"/>
      <c r="QV56" s="779"/>
      <c r="QW56" s="779"/>
      <c r="QX56" s="779"/>
      <c r="QY56" s="779"/>
      <c r="QZ56" s="779"/>
      <c r="RA56" s="779"/>
      <c r="RB56" s="779"/>
      <c r="RC56" s="779"/>
      <c r="RD56" s="779"/>
      <c r="RE56" s="779"/>
      <c r="RF56" s="779"/>
      <c r="RG56" s="779"/>
      <c r="RH56" s="779"/>
      <c r="RI56" s="779"/>
      <c r="RJ56" s="779"/>
      <c r="RK56" s="779"/>
      <c r="RL56" s="779"/>
      <c r="RM56" s="779"/>
      <c r="RN56" s="779"/>
      <c r="RO56" s="779"/>
      <c r="RP56" s="779"/>
      <c r="RQ56" s="779"/>
      <c r="RR56" s="779"/>
      <c r="RS56" s="779"/>
      <c r="RT56" s="779"/>
      <c r="RU56" s="779"/>
      <c r="RV56" s="779"/>
      <c r="RW56" s="779"/>
      <c r="RX56" s="779"/>
    </row>
    <row r="57" spans="1:492" s="143" customFormat="1">
      <c r="A57" s="779"/>
      <c r="B57" s="779"/>
      <c r="C57" s="779"/>
      <c r="D57" s="779"/>
      <c r="E57" s="779"/>
      <c r="F57" s="779"/>
      <c r="G57" s="779"/>
      <c r="H57" s="779"/>
      <c r="I57" s="779"/>
      <c r="J57" s="779"/>
      <c r="K57" s="779"/>
      <c r="L57" s="779"/>
      <c r="M57" s="779"/>
      <c r="N57" s="779"/>
      <c r="O57" s="779"/>
      <c r="P57" s="779"/>
      <c r="Q57" s="779"/>
      <c r="R57" s="779"/>
      <c r="S57" s="779"/>
      <c r="T57" s="779"/>
      <c r="U57" s="779"/>
      <c r="V57" s="779"/>
      <c r="W57" s="779"/>
      <c r="X57" s="779"/>
      <c r="Y57" s="779"/>
      <c r="Z57" s="779"/>
      <c r="AA57" s="779"/>
      <c r="AB57" s="779"/>
      <c r="AC57" s="779"/>
      <c r="AD57" s="779"/>
      <c r="AE57" s="779"/>
      <c r="AF57" s="779"/>
      <c r="AG57" s="779"/>
      <c r="AH57" s="779"/>
      <c r="AI57" s="779"/>
      <c r="AJ57" s="779"/>
      <c r="AK57" s="779"/>
      <c r="AL57" s="779"/>
      <c r="AM57" s="782"/>
      <c r="AN57" s="782"/>
      <c r="AO57" s="782"/>
      <c r="AP57" s="782"/>
      <c r="AQ57" s="782"/>
      <c r="AR57" s="782"/>
      <c r="AS57" s="782"/>
      <c r="AT57" s="782"/>
      <c r="AU57" s="782"/>
      <c r="AV57" s="782"/>
      <c r="AW57" s="787"/>
      <c r="AX57" s="787"/>
      <c r="AY57" s="787"/>
      <c r="AZ57" s="787"/>
      <c r="BA57" s="782"/>
      <c r="BB57" s="782"/>
      <c r="BC57" s="782"/>
      <c r="BD57" s="782"/>
      <c r="BE57" s="782"/>
      <c r="BF57" s="782"/>
      <c r="BG57" s="782"/>
      <c r="BH57" s="782"/>
      <c r="BI57" s="782"/>
      <c r="BJ57" s="782"/>
      <c r="BK57" s="782"/>
      <c r="BL57" s="782"/>
      <c r="BM57" s="782"/>
      <c r="BN57" s="782"/>
      <c r="BO57" s="782"/>
      <c r="BP57" s="782"/>
      <c r="BQ57" s="782"/>
      <c r="BR57" s="782"/>
      <c r="BS57" s="782"/>
      <c r="BT57" s="782"/>
      <c r="BU57" s="782"/>
      <c r="BV57" s="782"/>
      <c r="BW57" s="782"/>
      <c r="BX57" s="782"/>
      <c r="BY57" s="782"/>
      <c r="BZ57" s="782"/>
      <c r="CA57" s="779"/>
      <c r="CB57" s="779"/>
      <c r="CC57" s="779"/>
      <c r="CD57" s="779"/>
      <c r="CE57" s="779"/>
      <c r="CF57" s="779"/>
      <c r="CG57" s="779"/>
      <c r="CH57" s="779"/>
      <c r="CI57" s="779"/>
      <c r="CJ57" s="779"/>
      <c r="CK57" s="779"/>
      <c r="CL57" s="779"/>
      <c r="CM57" s="779"/>
      <c r="CN57" s="779"/>
      <c r="CO57" s="779"/>
      <c r="CP57" s="779"/>
      <c r="CQ57" s="779"/>
      <c r="CR57" s="779"/>
      <c r="CS57" s="779"/>
      <c r="CT57" s="779"/>
      <c r="CU57" s="779"/>
      <c r="CV57" s="779"/>
      <c r="CW57" s="779"/>
      <c r="CX57" s="779"/>
      <c r="CY57" s="779"/>
      <c r="CZ57" s="779"/>
      <c r="DA57" s="779"/>
      <c r="DB57" s="779"/>
      <c r="DC57" s="779"/>
      <c r="DD57" s="779"/>
      <c r="DE57" s="779"/>
      <c r="DF57" s="779"/>
      <c r="DG57" s="779"/>
      <c r="DH57" s="779"/>
      <c r="DI57" s="779"/>
      <c r="DJ57" s="779"/>
      <c r="DK57" s="779"/>
      <c r="DL57" s="779"/>
      <c r="DM57" s="779"/>
      <c r="DN57" s="779"/>
      <c r="DO57" s="779"/>
      <c r="DP57" s="779"/>
      <c r="DQ57" s="779"/>
      <c r="DR57" s="779"/>
      <c r="DS57" s="779"/>
      <c r="DT57" s="779"/>
      <c r="DU57" s="779"/>
      <c r="DV57" s="779"/>
      <c r="DW57" s="779"/>
      <c r="DX57" s="779"/>
      <c r="DY57" s="779"/>
      <c r="DZ57" s="779"/>
      <c r="EA57" s="779"/>
      <c r="EB57" s="779"/>
      <c r="EC57" s="779"/>
      <c r="ED57" s="779"/>
      <c r="EE57" s="779"/>
      <c r="EF57" s="779"/>
      <c r="EG57" s="779"/>
      <c r="EH57" s="779"/>
      <c r="EI57" s="779"/>
      <c r="EJ57" s="779"/>
      <c r="EK57" s="779"/>
      <c r="EL57" s="779"/>
      <c r="EM57" s="779"/>
      <c r="EN57" s="779"/>
      <c r="EO57" s="779"/>
      <c r="EP57" s="779"/>
      <c r="EQ57" s="779"/>
      <c r="ER57" s="779"/>
      <c r="ES57" s="779"/>
      <c r="ET57" s="779"/>
      <c r="EU57" s="779"/>
      <c r="EV57" s="779"/>
      <c r="EW57" s="779"/>
      <c r="EX57" s="779"/>
      <c r="EY57" s="779"/>
      <c r="EZ57" s="779"/>
      <c r="FA57" s="779"/>
      <c r="FB57" s="779"/>
      <c r="FC57" s="779"/>
      <c r="FD57" s="779"/>
      <c r="FE57" s="779"/>
      <c r="FF57" s="779"/>
      <c r="FG57" s="779"/>
      <c r="FH57" s="779"/>
      <c r="FI57" s="779"/>
      <c r="FJ57" s="779"/>
      <c r="FK57" s="779"/>
      <c r="FL57" s="779"/>
      <c r="FM57" s="779"/>
      <c r="FN57" s="779"/>
      <c r="FO57" s="779"/>
      <c r="FP57" s="779"/>
      <c r="FQ57" s="779"/>
      <c r="FR57" s="779"/>
      <c r="FS57" s="779"/>
      <c r="FT57" s="779"/>
      <c r="FU57" s="779"/>
      <c r="FV57" s="779"/>
      <c r="FW57" s="779"/>
      <c r="FX57" s="779"/>
      <c r="FY57" s="779"/>
      <c r="FZ57" s="779"/>
      <c r="GA57" s="779"/>
      <c r="GB57" s="779"/>
      <c r="GC57" s="779"/>
      <c r="GD57" s="779"/>
      <c r="GE57" s="779"/>
      <c r="GF57" s="779"/>
      <c r="GG57" s="779"/>
      <c r="GH57" s="779"/>
      <c r="GI57" s="779"/>
      <c r="GJ57" s="779"/>
      <c r="GK57" s="779"/>
      <c r="GL57" s="779"/>
      <c r="GM57" s="779"/>
      <c r="GN57" s="779"/>
      <c r="GO57" s="779"/>
      <c r="GP57" s="779"/>
      <c r="GQ57" s="779"/>
      <c r="GR57" s="779"/>
      <c r="GS57" s="779"/>
      <c r="GT57" s="779"/>
      <c r="GU57" s="779"/>
      <c r="GV57" s="779"/>
      <c r="GW57" s="779"/>
      <c r="GX57" s="779"/>
      <c r="GY57" s="779"/>
      <c r="GZ57" s="779"/>
      <c r="HA57" s="779"/>
      <c r="HB57" s="779"/>
      <c r="HC57" s="779"/>
      <c r="HD57" s="779"/>
      <c r="HE57" s="779"/>
      <c r="HF57" s="779"/>
      <c r="HG57" s="779"/>
      <c r="HH57" s="779"/>
      <c r="HI57" s="779"/>
      <c r="HJ57" s="779"/>
      <c r="HK57" s="779"/>
      <c r="HL57" s="779"/>
      <c r="HM57" s="779"/>
      <c r="HN57" s="779"/>
      <c r="HO57" s="779"/>
      <c r="HP57" s="779"/>
      <c r="HQ57" s="779"/>
      <c r="HR57" s="779"/>
      <c r="HS57" s="779"/>
      <c r="HT57" s="779"/>
      <c r="HU57" s="779"/>
      <c r="HV57" s="779"/>
      <c r="HW57" s="779"/>
      <c r="HX57" s="779"/>
      <c r="HY57" s="779"/>
      <c r="HZ57" s="779"/>
      <c r="IA57" s="779"/>
      <c r="IB57" s="779"/>
      <c r="IC57" s="779"/>
      <c r="ID57" s="779"/>
      <c r="IE57" s="779"/>
      <c r="IF57" s="779"/>
      <c r="IG57" s="779"/>
      <c r="IH57" s="779"/>
      <c r="II57" s="779"/>
      <c r="IJ57" s="779"/>
      <c r="IK57" s="779"/>
      <c r="IL57" s="779"/>
      <c r="IM57" s="779"/>
      <c r="IN57" s="779"/>
      <c r="IO57" s="779"/>
      <c r="IP57" s="779"/>
      <c r="IQ57" s="779"/>
      <c r="IR57" s="779"/>
      <c r="IS57" s="779"/>
      <c r="IT57" s="779"/>
      <c r="IU57" s="779"/>
      <c r="IV57" s="779"/>
      <c r="IW57" s="779"/>
      <c r="IX57" s="779"/>
      <c r="IY57" s="779"/>
      <c r="IZ57" s="779"/>
      <c r="JA57" s="779"/>
      <c r="JB57" s="779"/>
      <c r="JC57" s="779"/>
      <c r="JD57" s="779"/>
      <c r="JE57" s="779"/>
      <c r="JF57" s="779"/>
      <c r="JG57" s="779"/>
      <c r="JH57" s="779"/>
      <c r="JI57" s="779"/>
      <c r="JJ57" s="779"/>
      <c r="JK57" s="779"/>
      <c r="JL57" s="779"/>
      <c r="JM57" s="779"/>
      <c r="JN57" s="779"/>
      <c r="JO57" s="779"/>
      <c r="JP57" s="779"/>
      <c r="JQ57" s="779"/>
      <c r="JR57" s="779"/>
      <c r="JS57" s="779"/>
      <c r="JT57" s="779"/>
      <c r="JU57" s="779"/>
      <c r="JV57" s="779"/>
      <c r="JW57" s="779"/>
      <c r="JX57" s="779"/>
      <c r="JY57" s="779"/>
      <c r="JZ57" s="779"/>
      <c r="KA57" s="779"/>
      <c r="KB57" s="779"/>
      <c r="KC57" s="779"/>
      <c r="KD57" s="779"/>
      <c r="KE57" s="779"/>
      <c r="KF57" s="779"/>
      <c r="KG57" s="779"/>
      <c r="KH57" s="779"/>
      <c r="KI57" s="779"/>
      <c r="KJ57" s="779"/>
      <c r="KK57" s="779"/>
      <c r="KL57" s="779"/>
      <c r="KM57" s="779"/>
      <c r="KN57" s="779"/>
      <c r="KO57" s="779"/>
      <c r="KP57" s="779"/>
      <c r="KQ57" s="779"/>
      <c r="KR57" s="779"/>
      <c r="KS57" s="779"/>
      <c r="KT57" s="779"/>
      <c r="KU57" s="779"/>
      <c r="KV57" s="779"/>
      <c r="KW57" s="779"/>
      <c r="KX57" s="779"/>
      <c r="KY57" s="779"/>
      <c r="KZ57" s="779"/>
      <c r="LA57" s="779"/>
      <c r="LB57" s="779"/>
      <c r="LC57" s="779"/>
      <c r="LD57" s="779"/>
      <c r="LE57" s="779"/>
      <c r="LF57" s="779"/>
      <c r="LG57" s="779"/>
      <c r="LH57" s="779"/>
      <c r="LI57" s="779"/>
      <c r="LJ57" s="779"/>
      <c r="LK57" s="779"/>
      <c r="LL57" s="779"/>
      <c r="LM57" s="779"/>
      <c r="LN57" s="779"/>
      <c r="LO57" s="779"/>
      <c r="LP57" s="779"/>
      <c r="LQ57" s="779"/>
      <c r="LR57" s="779"/>
      <c r="LS57" s="779"/>
      <c r="LT57" s="779"/>
      <c r="LU57" s="779"/>
      <c r="LV57" s="779"/>
      <c r="LW57" s="779"/>
      <c r="LX57" s="779"/>
      <c r="LY57" s="779"/>
      <c r="LZ57" s="779"/>
      <c r="MA57" s="779"/>
      <c r="MB57" s="779"/>
      <c r="MC57" s="779"/>
      <c r="MD57" s="779"/>
      <c r="ME57" s="779"/>
      <c r="MF57" s="779"/>
      <c r="MG57" s="779"/>
      <c r="MH57" s="779"/>
      <c r="MI57" s="779"/>
      <c r="MJ57" s="779"/>
      <c r="MK57" s="779"/>
      <c r="ML57" s="779"/>
      <c r="MM57" s="779"/>
      <c r="MN57" s="779"/>
      <c r="MO57" s="779"/>
      <c r="MP57" s="779"/>
      <c r="MQ57" s="779"/>
      <c r="MR57" s="779"/>
      <c r="MS57" s="779"/>
      <c r="MT57" s="779"/>
      <c r="MU57" s="779"/>
      <c r="MV57" s="779"/>
      <c r="MW57" s="779"/>
      <c r="MX57" s="779"/>
      <c r="MY57" s="779"/>
      <c r="MZ57" s="779"/>
      <c r="NA57" s="779"/>
      <c r="NB57" s="779"/>
      <c r="NC57" s="779"/>
      <c r="ND57" s="779"/>
      <c r="NE57" s="779"/>
      <c r="NF57" s="779"/>
      <c r="NG57" s="779"/>
      <c r="NH57" s="779"/>
      <c r="NI57" s="779"/>
      <c r="NJ57" s="779"/>
      <c r="NK57" s="779"/>
      <c r="NL57" s="779"/>
      <c r="NM57" s="779"/>
      <c r="NN57" s="779"/>
      <c r="NO57" s="779"/>
      <c r="NP57" s="779"/>
      <c r="NQ57" s="779"/>
      <c r="NR57" s="779"/>
      <c r="NS57" s="779"/>
      <c r="NT57" s="779"/>
      <c r="NU57" s="779"/>
      <c r="NV57" s="779"/>
      <c r="NW57" s="779"/>
      <c r="NX57" s="779"/>
      <c r="NY57" s="779"/>
      <c r="NZ57" s="779"/>
      <c r="OA57" s="779"/>
      <c r="OB57" s="779"/>
      <c r="OC57" s="779"/>
      <c r="OD57" s="779"/>
      <c r="OE57" s="779"/>
      <c r="OF57" s="779"/>
      <c r="OG57" s="779"/>
      <c r="OH57" s="779"/>
      <c r="OI57" s="779"/>
      <c r="OJ57" s="779"/>
      <c r="OK57" s="779"/>
      <c r="OL57" s="779"/>
      <c r="OM57" s="779"/>
      <c r="ON57" s="779"/>
      <c r="OO57" s="779"/>
      <c r="OP57" s="779"/>
      <c r="OQ57" s="779"/>
      <c r="OR57" s="779"/>
      <c r="OS57" s="779"/>
      <c r="OT57" s="779"/>
      <c r="OU57" s="779"/>
      <c r="OV57" s="779"/>
      <c r="OW57" s="779"/>
      <c r="OX57" s="779"/>
      <c r="OY57" s="779"/>
      <c r="OZ57" s="779"/>
      <c r="PA57" s="779"/>
      <c r="PB57" s="779"/>
      <c r="PC57" s="779"/>
      <c r="PD57" s="779"/>
      <c r="PE57" s="779"/>
      <c r="PF57" s="779"/>
      <c r="PG57" s="779"/>
      <c r="PH57" s="779"/>
      <c r="PI57" s="779"/>
      <c r="PJ57" s="779"/>
      <c r="PK57" s="779"/>
      <c r="PL57" s="779"/>
      <c r="PM57" s="779"/>
      <c r="PN57" s="779"/>
      <c r="PO57" s="779"/>
      <c r="PP57" s="779"/>
      <c r="PQ57" s="779"/>
      <c r="PR57" s="779"/>
      <c r="PS57" s="779"/>
      <c r="PT57" s="779"/>
      <c r="PU57" s="779"/>
      <c r="PV57" s="779"/>
      <c r="PW57" s="779"/>
      <c r="PX57" s="779"/>
      <c r="PY57" s="779"/>
      <c r="PZ57" s="779"/>
      <c r="QA57" s="779"/>
      <c r="QB57" s="779"/>
      <c r="QC57" s="779"/>
      <c r="QD57" s="779"/>
      <c r="QE57" s="779"/>
      <c r="QF57" s="779"/>
      <c r="QG57" s="779"/>
      <c r="QH57" s="779"/>
      <c r="QI57" s="779"/>
      <c r="QJ57" s="779"/>
      <c r="QK57" s="779"/>
      <c r="QL57" s="779"/>
      <c r="QM57" s="779"/>
      <c r="QN57" s="779"/>
      <c r="QO57" s="779"/>
      <c r="QP57" s="779"/>
      <c r="QQ57" s="779"/>
      <c r="QR57" s="779"/>
      <c r="QS57" s="779"/>
      <c r="QT57" s="779"/>
      <c r="QU57" s="779"/>
      <c r="QV57" s="779"/>
      <c r="QW57" s="779"/>
      <c r="QX57" s="779"/>
      <c r="QY57" s="779"/>
      <c r="QZ57" s="779"/>
      <c r="RA57" s="779"/>
      <c r="RB57" s="779"/>
      <c r="RC57" s="779"/>
      <c r="RD57" s="779"/>
      <c r="RE57" s="779"/>
      <c r="RF57" s="779"/>
      <c r="RG57" s="779"/>
      <c r="RH57" s="779"/>
      <c r="RI57" s="779"/>
      <c r="RJ57" s="779"/>
      <c r="RK57" s="779"/>
      <c r="RL57" s="779"/>
      <c r="RM57" s="779"/>
      <c r="RN57" s="779"/>
      <c r="RO57" s="779"/>
      <c r="RP57" s="779"/>
      <c r="RQ57" s="779"/>
      <c r="RR57" s="779"/>
      <c r="RS57" s="779"/>
      <c r="RT57" s="779"/>
      <c r="RU57" s="779"/>
      <c r="RV57" s="779"/>
      <c r="RW57" s="779"/>
      <c r="RX57" s="779"/>
    </row>
    <row r="58" spans="1:492" s="143" customFormat="1">
      <c r="A58" s="779"/>
      <c r="B58" s="779"/>
      <c r="C58" s="779"/>
      <c r="D58" s="779"/>
      <c r="E58" s="779"/>
      <c r="F58" s="779"/>
      <c r="G58" s="779"/>
      <c r="H58" s="779"/>
      <c r="I58" s="779"/>
      <c r="J58" s="779"/>
      <c r="K58" s="779"/>
      <c r="L58" s="779"/>
      <c r="M58" s="779"/>
      <c r="N58" s="779"/>
      <c r="O58" s="779"/>
      <c r="P58" s="779"/>
      <c r="Q58" s="779"/>
      <c r="R58" s="779"/>
      <c r="S58" s="779"/>
      <c r="T58" s="779"/>
      <c r="U58" s="779"/>
      <c r="V58" s="779"/>
      <c r="W58" s="779"/>
      <c r="X58" s="779"/>
      <c r="Y58" s="779"/>
      <c r="Z58" s="779"/>
      <c r="AA58" s="779"/>
      <c r="AB58" s="779"/>
      <c r="AC58" s="779"/>
      <c r="AD58" s="779"/>
      <c r="AE58" s="779"/>
      <c r="AF58" s="779"/>
      <c r="AG58" s="779"/>
      <c r="AH58" s="779"/>
      <c r="AI58" s="779"/>
      <c r="AJ58" s="779"/>
      <c r="AK58" s="779"/>
      <c r="AL58" s="779"/>
      <c r="AM58" s="782"/>
      <c r="AN58" s="782"/>
      <c r="AO58" s="782"/>
      <c r="AP58" s="782"/>
      <c r="AQ58" s="782"/>
      <c r="AR58" s="782"/>
      <c r="AS58" s="782"/>
      <c r="AT58" s="782"/>
      <c r="AU58" s="782"/>
      <c r="AV58" s="782"/>
      <c r="AW58" s="787"/>
      <c r="AX58" s="787"/>
      <c r="AY58" s="787"/>
      <c r="AZ58" s="787"/>
      <c r="BA58" s="782"/>
      <c r="BB58" s="782"/>
      <c r="BC58" s="782"/>
      <c r="BD58" s="782"/>
      <c r="BE58" s="782"/>
      <c r="BF58" s="782"/>
      <c r="BG58" s="782"/>
      <c r="BH58" s="782"/>
      <c r="BI58" s="782"/>
      <c r="BJ58" s="782"/>
      <c r="BK58" s="782"/>
      <c r="BL58" s="782"/>
      <c r="BM58" s="782"/>
      <c r="BN58" s="782"/>
      <c r="BO58" s="782"/>
      <c r="BP58" s="782"/>
      <c r="BQ58" s="782"/>
      <c r="BR58" s="782"/>
      <c r="BS58" s="782"/>
      <c r="BT58" s="782"/>
      <c r="BU58" s="782"/>
      <c r="BV58" s="782"/>
      <c r="BW58" s="782"/>
      <c r="BX58" s="782"/>
      <c r="BY58" s="782"/>
      <c r="BZ58" s="782"/>
      <c r="CA58" s="779"/>
      <c r="CB58" s="779"/>
      <c r="CC58" s="779"/>
      <c r="CD58" s="779"/>
      <c r="CE58" s="779"/>
      <c r="CF58" s="779"/>
      <c r="CG58" s="779"/>
      <c r="CH58" s="779"/>
      <c r="CI58" s="779"/>
      <c r="CJ58" s="779"/>
      <c r="CK58" s="779"/>
      <c r="CL58" s="779"/>
      <c r="CM58" s="779"/>
      <c r="CN58" s="779"/>
      <c r="CO58" s="779"/>
      <c r="CP58" s="779"/>
      <c r="CQ58" s="779"/>
      <c r="CR58" s="779"/>
      <c r="CS58" s="779"/>
      <c r="CT58" s="779"/>
      <c r="CU58" s="779"/>
      <c r="CV58" s="779"/>
      <c r="CW58" s="779"/>
      <c r="CX58" s="779"/>
      <c r="CY58" s="779"/>
      <c r="CZ58" s="779"/>
      <c r="DA58" s="779"/>
      <c r="DB58" s="779"/>
      <c r="DC58" s="779"/>
      <c r="DD58" s="779"/>
      <c r="DE58" s="779"/>
      <c r="DF58" s="779"/>
      <c r="DG58" s="779"/>
      <c r="DH58" s="779"/>
      <c r="DI58" s="779"/>
      <c r="DJ58" s="779"/>
      <c r="DK58" s="779"/>
      <c r="DL58" s="779"/>
      <c r="DM58" s="779"/>
      <c r="DN58" s="779"/>
      <c r="DO58" s="779"/>
      <c r="DP58" s="779"/>
      <c r="DQ58" s="779"/>
      <c r="DR58" s="779"/>
      <c r="DS58" s="779"/>
      <c r="DT58" s="779"/>
      <c r="DU58" s="779"/>
      <c r="DV58" s="779"/>
      <c r="DW58" s="779"/>
      <c r="DX58" s="779"/>
      <c r="DY58" s="779"/>
      <c r="DZ58" s="779"/>
      <c r="EA58" s="779"/>
      <c r="EB58" s="779"/>
      <c r="EC58" s="779"/>
      <c r="ED58" s="779"/>
      <c r="EE58" s="779"/>
      <c r="EF58" s="779"/>
      <c r="EG58" s="779"/>
      <c r="EH58" s="779"/>
      <c r="EI58" s="779"/>
      <c r="EJ58" s="779"/>
      <c r="EK58" s="779"/>
      <c r="EL58" s="779"/>
      <c r="EM58" s="779"/>
      <c r="EN58" s="779"/>
      <c r="EO58" s="779"/>
      <c r="EP58" s="779"/>
      <c r="EQ58" s="779"/>
      <c r="ER58" s="779"/>
      <c r="ES58" s="779"/>
      <c r="ET58" s="779"/>
      <c r="EU58" s="779"/>
      <c r="EV58" s="779"/>
      <c r="EW58" s="779"/>
      <c r="EX58" s="779"/>
      <c r="EY58" s="779"/>
      <c r="EZ58" s="779"/>
      <c r="FA58" s="779"/>
      <c r="FB58" s="779"/>
      <c r="FC58" s="779"/>
      <c r="FD58" s="779"/>
      <c r="FE58" s="779"/>
      <c r="FF58" s="779"/>
      <c r="FG58" s="779"/>
      <c r="FH58" s="779"/>
      <c r="FI58" s="779"/>
      <c r="FJ58" s="779"/>
      <c r="FK58" s="779"/>
      <c r="FL58" s="779"/>
      <c r="FM58" s="779"/>
      <c r="FN58" s="779"/>
      <c r="FO58" s="779"/>
      <c r="FP58" s="779"/>
      <c r="FQ58" s="779"/>
      <c r="FR58" s="779"/>
      <c r="FS58" s="779"/>
      <c r="FT58" s="779"/>
      <c r="FU58" s="779"/>
      <c r="FV58" s="779"/>
      <c r="FW58" s="779"/>
      <c r="FX58" s="779"/>
      <c r="FY58" s="779"/>
      <c r="FZ58" s="779"/>
      <c r="GA58" s="779"/>
      <c r="GB58" s="779"/>
      <c r="GC58" s="779"/>
      <c r="GD58" s="779"/>
      <c r="GE58" s="779"/>
      <c r="GF58" s="779"/>
      <c r="GG58" s="779"/>
      <c r="GH58" s="779"/>
      <c r="GI58" s="779"/>
      <c r="GJ58" s="779"/>
      <c r="GK58" s="779"/>
      <c r="GL58" s="779"/>
      <c r="GM58" s="779"/>
      <c r="GN58" s="779"/>
      <c r="GO58" s="779"/>
      <c r="GP58" s="779"/>
      <c r="GQ58" s="779"/>
      <c r="GR58" s="779"/>
      <c r="GS58" s="779"/>
      <c r="GT58" s="779"/>
      <c r="GU58" s="779"/>
      <c r="GV58" s="779"/>
      <c r="GW58" s="779"/>
      <c r="GX58" s="779"/>
      <c r="GY58" s="779"/>
      <c r="GZ58" s="779"/>
      <c r="HA58" s="779"/>
      <c r="HB58" s="779"/>
      <c r="HC58" s="779"/>
      <c r="HD58" s="779"/>
      <c r="HE58" s="779"/>
      <c r="HF58" s="779"/>
      <c r="HG58" s="779"/>
      <c r="HH58" s="779"/>
      <c r="HI58" s="779"/>
      <c r="HJ58" s="779"/>
      <c r="HK58" s="779"/>
      <c r="HL58" s="779"/>
      <c r="HM58" s="779"/>
      <c r="HN58" s="779"/>
      <c r="HO58" s="779"/>
      <c r="HP58" s="779"/>
      <c r="HQ58" s="779"/>
      <c r="HR58" s="779"/>
      <c r="HS58" s="779"/>
      <c r="HT58" s="779"/>
      <c r="HU58" s="779"/>
      <c r="HV58" s="779"/>
      <c r="HW58" s="779"/>
      <c r="HX58" s="779"/>
      <c r="HY58" s="779"/>
      <c r="HZ58" s="779"/>
      <c r="IA58" s="779"/>
      <c r="IB58" s="779"/>
      <c r="IC58" s="779"/>
      <c r="ID58" s="779"/>
      <c r="IE58" s="779"/>
      <c r="IF58" s="779"/>
      <c r="IG58" s="779"/>
      <c r="IH58" s="779"/>
      <c r="II58" s="779"/>
      <c r="IJ58" s="779"/>
      <c r="IK58" s="779"/>
      <c r="IL58" s="779"/>
      <c r="IM58" s="779"/>
      <c r="IN58" s="779"/>
      <c r="IO58" s="779"/>
      <c r="IP58" s="779"/>
      <c r="IQ58" s="779"/>
      <c r="IR58" s="779"/>
      <c r="IS58" s="779"/>
      <c r="IT58" s="779"/>
      <c r="IU58" s="779"/>
      <c r="IV58" s="779"/>
      <c r="IW58" s="779"/>
      <c r="IX58" s="779"/>
      <c r="IY58" s="779"/>
      <c r="IZ58" s="779"/>
      <c r="JA58" s="779"/>
      <c r="JB58" s="779"/>
      <c r="JC58" s="779"/>
      <c r="JD58" s="779"/>
      <c r="JE58" s="779"/>
      <c r="JF58" s="779"/>
      <c r="JG58" s="779"/>
      <c r="JH58" s="779"/>
      <c r="JI58" s="779"/>
      <c r="JJ58" s="779"/>
      <c r="JK58" s="779"/>
      <c r="JL58" s="779"/>
      <c r="JM58" s="779"/>
      <c r="JN58" s="779"/>
      <c r="JO58" s="779"/>
      <c r="JP58" s="779"/>
      <c r="JQ58" s="779"/>
      <c r="JR58" s="779"/>
      <c r="JS58" s="779"/>
      <c r="JT58" s="779"/>
      <c r="JU58" s="779"/>
      <c r="JV58" s="779"/>
      <c r="JW58" s="779"/>
      <c r="JX58" s="779"/>
      <c r="JY58" s="779"/>
      <c r="JZ58" s="779"/>
      <c r="KA58" s="779"/>
      <c r="KB58" s="779"/>
      <c r="KC58" s="779"/>
      <c r="KD58" s="779"/>
      <c r="KE58" s="779"/>
      <c r="KF58" s="779"/>
      <c r="KG58" s="779"/>
      <c r="KH58" s="779"/>
      <c r="KI58" s="779"/>
      <c r="KJ58" s="779"/>
      <c r="KK58" s="779"/>
      <c r="KL58" s="779"/>
      <c r="KM58" s="779"/>
      <c r="KN58" s="779"/>
      <c r="KO58" s="779"/>
      <c r="KP58" s="779"/>
      <c r="KQ58" s="779"/>
      <c r="KR58" s="779"/>
      <c r="KS58" s="779"/>
      <c r="KT58" s="779"/>
      <c r="KU58" s="779"/>
      <c r="KV58" s="779"/>
      <c r="KW58" s="779"/>
      <c r="KX58" s="779"/>
      <c r="KY58" s="779"/>
      <c r="KZ58" s="779"/>
      <c r="LA58" s="779"/>
      <c r="LB58" s="779"/>
      <c r="LC58" s="779"/>
      <c r="LD58" s="779"/>
      <c r="LE58" s="779"/>
      <c r="LF58" s="779"/>
      <c r="LG58" s="779"/>
      <c r="LH58" s="779"/>
      <c r="LI58" s="779"/>
      <c r="LJ58" s="779"/>
      <c r="LK58" s="779"/>
      <c r="LL58" s="779"/>
      <c r="LM58" s="779"/>
      <c r="LN58" s="779"/>
      <c r="LO58" s="779"/>
      <c r="LP58" s="779"/>
      <c r="LQ58" s="779"/>
      <c r="LR58" s="779"/>
      <c r="LS58" s="779"/>
      <c r="LT58" s="779"/>
      <c r="LU58" s="779"/>
      <c r="LV58" s="779"/>
      <c r="LW58" s="779"/>
      <c r="LX58" s="779"/>
      <c r="LY58" s="779"/>
      <c r="LZ58" s="779"/>
      <c r="MA58" s="779"/>
      <c r="MB58" s="779"/>
      <c r="MC58" s="779"/>
      <c r="MD58" s="779"/>
      <c r="ME58" s="779"/>
      <c r="MF58" s="779"/>
      <c r="MG58" s="779"/>
      <c r="MH58" s="779"/>
      <c r="MI58" s="779"/>
      <c r="MJ58" s="779"/>
      <c r="MK58" s="779"/>
      <c r="ML58" s="779"/>
      <c r="MM58" s="779"/>
      <c r="MN58" s="779"/>
      <c r="MO58" s="779"/>
      <c r="MP58" s="779"/>
      <c r="MQ58" s="779"/>
      <c r="MR58" s="779"/>
      <c r="MS58" s="779"/>
      <c r="MT58" s="779"/>
      <c r="MU58" s="779"/>
      <c r="MV58" s="779"/>
      <c r="MW58" s="779"/>
      <c r="MX58" s="779"/>
      <c r="MY58" s="779"/>
      <c r="MZ58" s="779"/>
      <c r="NA58" s="779"/>
      <c r="NB58" s="779"/>
      <c r="NC58" s="779"/>
      <c r="ND58" s="779"/>
      <c r="NE58" s="779"/>
      <c r="NF58" s="779"/>
      <c r="NG58" s="779"/>
      <c r="NH58" s="779"/>
      <c r="NI58" s="779"/>
      <c r="NJ58" s="779"/>
      <c r="NK58" s="779"/>
      <c r="NL58" s="779"/>
      <c r="NM58" s="779"/>
      <c r="NN58" s="779"/>
      <c r="NO58" s="779"/>
      <c r="NP58" s="779"/>
      <c r="NQ58" s="779"/>
      <c r="NR58" s="779"/>
      <c r="NS58" s="779"/>
      <c r="NT58" s="779"/>
      <c r="NU58" s="779"/>
      <c r="NV58" s="779"/>
      <c r="NW58" s="779"/>
      <c r="NX58" s="779"/>
      <c r="NY58" s="779"/>
      <c r="NZ58" s="779"/>
      <c r="OA58" s="779"/>
      <c r="OB58" s="779"/>
      <c r="OC58" s="779"/>
      <c r="OD58" s="779"/>
      <c r="OE58" s="779"/>
      <c r="OF58" s="779"/>
      <c r="OG58" s="779"/>
      <c r="OH58" s="779"/>
      <c r="OI58" s="779"/>
      <c r="OJ58" s="779"/>
      <c r="OK58" s="779"/>
      <c r="OL58" s="779"/>
      <c r="OM58" s="779"/>
      <c r="ON58" s="779"/>
      <c r="OO58" s="779"/>
      <c r="OP58" s="779"/>
      <c r="OQ58" s="779"/>
      <c r="OR58" s="779"/>
      <c r="OS58" s="779"/>
      <c r="OT58" s="779"/>
      <c r="OU58" s="779"/>
      <c r="OV58" s="779"/>
      <c r="OW58" s="779"/>
      <c r="OX58" s="779"/>
      <c r="OY58" s="779"/>
      <c r="OZ58" s="779"/>
      <c r="PA58" s="779"/>
      <c r="PB58" s="779"/>
      <c r="PC58" s="779"/>
      <c r="PD58" s="779"/>
      <c r="PE58" s="779"/>
      <c r="PF58" s="779"/>
      <c r="PG58" s="779"/>
      <c r="PH58" s="779"/>
      <c r="PI58" s="779"/>
      <c r="PJ58" s="779"/>
      <c r="PK58" s="779"/>
      <c r="PL58" s="779"/>
      <c r="PM58" s="779"/>
      <c r="PN58" s="779"/>
      <c r="PO58" s="779"/>
      <c r="PP58" s="779"/>
      <c r="PQ58" s="779"/>
      <c r="PR58" s="779"/>
      <c r="PS58" s="779"/>
      <c r="PT58" s="779"/>
      <c r="PU58" s="779"/>
      <c r="PV58" s="779"/>
      <c r="PW58" s="779"/>
      <c r="PX58" s="779"/>
      <c r="PY58" s="779"/>
      <c r="PZ58" s="779"/>
      <c r="QA58" s="779"/>
      <c r="QB58" s="779"/>
      <c r="QC58" s="779"/>
      <c r="QD58" s="779"/>
      <c r="QE58" s="779"/>
      <c r="QF58" s="779"/>
      <c r="QG58" s="779"/>
      <c r="QH58" s="779"/>
      <c r="QI58" s="779"/>
      <c r="QJ58" s="779"/>
      <c r="QK58" s="779"/>
      <c r="QL58" s="779"/>
      <c r="QM58" s="779"/>
      <c r="QN58" s="779"/>
      <c r="QO58" s="779"/>
      <c r="QP58" s="779"/>
      <c r="QQ58" s="779"/>
      <c r="QR58" s="779"/>
      <c r="QS58" s="779"/>
      <c r="QT58" s="779"/>
      <c r="QU58" s="779"/>
      <c r="QV58" s="779"/>
      <c r="QW58" s="779"/>
      <c r="QX58" s="779"/>
      <c r="QY58" s="779"/>
      <c r="QZ58" s="779"/>
      <c r="RA58" s="779"/>
      <c r="RB58" s="779"/>
      <c r="RC58" s="779"/>
      <c r="RD58" s="779"/>
      <c r="RE58" s="779"/>
      <c r="RF58" s="779"/>
      <c r="RG58" s="779"/>
      <c r="RH58" s="779"/>
      <c r="RI58" s="779"/>
      <c r="RJ58" s="779"/>
      <c r="RK58" s="779"/>
      <c r="RL58" s="779"/>
      <c r="RM58" s="779"/>
      <c r="RN58" s="779"/>
      <c r="RO58" s="779"/>
      <c r="RP58" s="779"/>
      <c r="RQ58" s="779"/>
      <c r="RR58" s="779"/>
      <c r="RS58" s="779"/>
      <c r="RT58" s="779"/>
      <c r="RU58" s="779"/>
      <c r="RV58" s="779"/>
      <c r="RW58" s="779"/>
      <c r="RX58" s="779"/>
    </row>
    <row r="59" spans="1:492" s="143" customFormat="1">
      <c r="A59" s="779"/>
      <c r="B59" s="779"/>
      <c r="C59" s="779"/>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779"/>
      <c r="AM59" s="782"/>
      <c r="AN59" s="782"/>
      <c r="AO59" s="782"/>
      <c r="AP59" s="782"/>
      <c r="AQ59" s="782"/>
      <c r="AR59" s="782"/>
      <c r="AS59" s="782"/>
      <c r="AT59" s="782"/>
      <c r="AU59" s="782"/>
      <c r="AV59" s="782"/>
      <c r="AW59" s="787"/>
      <c r="AX59" s="787"/>
      <c r="AY59" s="787"/>
      <c r="AZ59" s="787"/>
      <c r="BA59" s="782"/>
      <c r="BB59" s="782"/>
      <c r="BC59" s="782"/>
      <c r="BD59" s="782"/>
      <c r="BE59" s="782"/>
      <c r="BF59" s="782"/>
      <c r="BG59" s="782"/>
      <c r="BH59" s="782"/>
      <c r="BI59" s="782"/>
      <c r="BJ59" s="782"/>
      <c r="BK59" s="782"/>
      <c r="BL59" s="782"/>
      <c r="BM59" s="782"/>
      <c r="BN59" s="782"/>
      <c r="BO59" s="782"/>
      <c r="BP59" s="782"/>
      <c r="BQ59" s="782"/>
      <c r="BR59" s="782"/>
      <c r="BS59" s="782"/>
      <c r="BT59" s="782"/>
      <c r="BU59" s="782"/>
      <c r="BV59" s="782"/>
      <c r="BW59" s="782"/>
      <c r="BX59" s="782"/>
      <c r="BY59" s="782"/>
      <c r="BZ59" s="782"/>
      <c r="CA59" s="779"/>
      <c r="CB59" s="779"/>
      <c r="CC59" s="779"/>
      <c r="CD59" s="779"/>
      <c r="CE59" s="779"/>
      <c r="CF59" s="779"/>
      <c r="CG59" s="779"/>
      <c r="CH59" s="779"/>
      <c r="CI59" s="779"/>
      <c r="CJ59" s="779"/>
      <c r="CK59" s="779"/>
      <c r="CL59" s="779"/>
      <c r="CM59" s="779"/>
      <c r="CN59" s="779"/>
      <c r="CO59" s="779"/>
      <c r="CP59" s="779"/>
      <c r="CQ59" s="779"/>
      <c r="CR59" s="779"/>
      <c r="CS59" s="779"/>
      <c r="CT59" s="779"/>
      <c r="CU59" s="779"/>
      <c r="CV59" s="779"/>
      <c r="CW59" s="779"/>
      <c r="CX59" s="779"/>
      <c r="CY59" s="779"/>
      <c r="CZ59" s="779"/>
      <c r="DA59" s="779"/>
      <c r="DB59" s="779"/>
      <c r="DC59" s="779"/>
      <c r="DD59" s="779"/>
      <c r="DE59" s="779"/>
      <c r="DF59" s="779"/>
      <c r="DG59" s="779"/>
      <c r="DH59" s="779"/>
      <c r="DI59" s="779"/>
      <c r="DJ59" s="779"/>
      <c r="DK59" s="779"/>
      <c r="DL59" s="779"/>
      <c r="DM59" s="779"/>
      <c r="DN59" s="779"/>
      <c r="DO59" s="779"/>
      <c r="DP59" s="779"/>
      <c r="DQ59" s="779"/>
      <c r="DR59" s="779"/>
      <c r="DS59" s="779"/>
      <c r="DT59" s="779"/>
      <c r="DU59" s="779"/>
      <c r="DV59" s="779"/>
      <c r="DW59" s="779"/>
      <c r="DX59" s="779"/>
      <c r="DY59" s="779"/>
      <c r="DZ59" s="779"/>
      <c r="EA59" s="779"/>
      <c r="EB59" s="779"/>
      <c r="EC59" s="779"/>
      <c r="ED59" s="779"/>
      <c r="EE59" s="779"/>
      <c r="EF59" s="779"/>
      <c r="EG59" s="779"/>
      <c r="EH59" s="779"/>
      <c r="EI59" s="779"/>
      <c r="EJ59" s="779"/>
      <c r="EK59" s="779"/>
      <c r="EL59" s="779"/>
      <c r="EM59" s="779"/>
      <c r="EN59" s="779"/>
      <c r="EO59" s="779"/>
      <c r="EP59" s="779"/>
      <c r="EQ59" s="779"/>
      <c r="ER59" s="779"/>
      <c r="ES59" s="779"/>
      <c r="ET59" s="779"/>
      <c r="EU59" s="779"/>
      <c r="EV59" s="779"/>
      <c r="EW59" s="779"/>
      <c r="EX59" s="779"/>
      <c r="EY59" s="779"/>
      <c r="EZ59" s="779"/>
      <c r="FA59" s="779"/>
      <c r="FB59" s="779"/>
      <c r="FC59" s="779"/>
      <c r="FD59" s="779"/>
      <c r="FE59" s="779"/>
      <c r="FF59" s="779"/>
      <c r="FG59" s="779"/>
      <c r="FH59" s="779"/>
      <c r="FI59" s="779"/>
      <c r="FJ59" s="779"/>
      <c r="FK59" s="779"/>
      <c r="FL59" s="779"/>
      <c r="FM59" s="779"/>
      <c r="FN59" s="779"/>
      <c r="FO59" s="779"/>
      <c r="FP59" s="779"/>
      <c r="FQ59" s="779"/>
      <c r="FR59" s="779"/>
      <c r="FS59" s="779"/>
      <c r="FT59" s="779"/>
      <c r="FU59" s="779"/>
      <c r="FV59" s="779"/>
      <c r="FW59" s="779"/>
      <c r="FX59" s="779"/>
      <c r="FY59" s="779"/>
      <c r="FZ59" s="779"/>
      <c r="GA59" s="779"/>
      <c r="GB59" s="779"/>
      <c r="GC59" s="779"/>
      <c r="GD59" s="779"/>
      <c r="GE59" s="779"/>
      <c r="GF59" s="779"/>
      <c r="GG59" s="779"/>
      <c r="GH59" s="779"/>
      <c r="GI59" s="779"/>
      <c r="GJ59" s="779"/>
      <c r="GK59" s="779"/>
      <c r="GL59" s="779"/>
      <c r="GM59" s="779"/>
      <c r="GN59" s="779"/>
      <c r="GO59" s="779"/>
      <c r="GP59" s="779"/>
      <c r="GQ59" s="779"/>
      <c r="GR59" s="779"/>
      <c r="GS59" s="779"/>
      <c r="GT59" s="779"/>
      <c r="GU59" s="779"/>
      <c r="GV59" s="779"/>
      <c r="GW59" s="779"/>
      <c r="GX59" s="779"/>
      <c r="GY59" s="779"/>
      <c r="GZ59" s="779"/>
      <c r="HA59" s="779"/>
      <c r="HB59" s="779"/>
      <c r="HC59" s="779"/>
      <c r="HD59" s="779"/>
      <c r="HE59" s="779"/>
      <c r="HF59" s="779"/>
      <c r="HG59" s="779"/>
      <c r="HH59" s="779"/>
      <c r="HI59" s="779"/>
      <c r="HJ59" s="779"/>
      <c r="HK59" s="779"/>
      <c r="HL59" s="779"/>
      <c r="HM59" s="779"/>
      <c r="HN59" s="779"/>
      <c r="HO59" s="779"/>
      <c r="HP59" s="779"/>
      <c r="HQ59" s="779"/>
      <c r="HR59" s="779"/>
      <c r="HS59" s="779"/>
      <c r="HT59" s="779"/>
      <c r="HU59" s="779"/>
      <c r="HV59" s="779"/>
      <c r="HW59" s="779"/>
      <c r="HX59" s="779"/>
      <c r="HY59" s="779"/>
      <c r="HZ59" s="779"/>
      <c r="IA59" s="779"/>
      <c r="IB59" s="779"/>
      <c r="IC59" s="779"/>
      <c r="ID59" s="779"/>
      <c r="IE59" s="779"/>
      <c r="IF59" s="779"/>
      <c r="IG59" s="779"/>
      <c r="IH59" s="779"/>
      <c r="II59" s="779"/>
      <c r="IJ59" s="779"/>
      <c r="IK59" s="779"/>
      <c r="IL59" s="779"/>
      <c r="IM59" s="779"/>
      <c r="IN59" s="779"/>
      <c r="IO59" s="779"/>
      <c r="IP59" s="779"/>
      <c r="IQ59" s="779"/>
      <c r="IR59" s="779"/>
      <c r="IS59" s="779"/>
      <c r="IT59" s="779"/>
      <c r="IU59" s="779"/>
      <c r="IV59" s="779"/>
      <c r="IW59" s="779"/>
      <c r="IX59" s="779"/>
      <c r="IY59" s="779"/>
      <c r="IZ59" s="779"/>
      <c r="JA59" s="779"/>
      <c r="JB59" s="779"/>
      <c r="JC59" s="779"/>
      <c r="JD59" s="779"/>
      <c r="JE59" s="779"/>
      <c r="JF59" s="779"/>
      <c r="JG59" s="779"/>
      <c r="JH59" s="779"/>
      <c r="JI59" s="779"/>
      <c r="JJ59" s="779"/>
      <c r="JK59" s="779"/>
      <c r="JL59" s="779"/>
      <c r="JM59" s="779"/>
      <c r="JN59" s="779"/>
      <c r="JO59" s="779"/>
      <c r="JP59" s="779"/>
      <c r="JQ59" s="779"/>
      <c r="JR59" s="779"/>
      <c r="JS59" s="779"/>
      <c r="JT59" s="779"/>
      <c r="JU59" s="779"/>
      <c r="JV59" s="779"/>
      <c r="JW59" s="779"/>
      <c r="JX59" s="779"/>
      <c r="JY59" s="779"/>
      <c r="JZ59" s="779"/>
      <c r="KA59" s="779"/>
      <c r="KB59" s="779"/>
      <c r="KC59" s="779"/>
      <c r="KD59" s="779"/>
      <c r="KE59" s="779"/>
      <c r="KF59" s="779"/>
      <c r="KG59" s="779"/>
      <c r="KH59" s="779"/>
      <c r="KI59" s="779"/>
      <c r="KJ59" s="779"/>
      <c r="KK59" s="779"/>
      <c r="KL59" s="779"/>
      <c r="KM59" s="779"/>
      <c r="KN59" s="779"/>
      <c r="KO59" s="779"/>
      <c r="KP59" s="779"/>
      <c r="KQ59" s="779"/>
      <c r="KR59" s="779"/>
      <c r="KS59" s="779"/>
      <c r="KT59" s="779"/>
      <c r="KU59" s="779"/>
      <c r="KV59" s="779"/>
      <c r="KW59" s="779"/>
      <c r="KX59" s="779"/>
      <c r="KY59" s="779"/>
      <c r="KZ59" s="779"/>
      <c r="LA59" s="779"/>
      <c r="LB59" s="779"/>
      <c r="LC59" s="779"/>
      <c r="LD59" s="779"/>
      <c r="LE59" s="779"/>
      <c r="LF59" s="779"/>
      <c r="LG59" s="779"/>
      <c r="LH59" s="779"/>
      <c r="LI59" s="779"/>
      <c r="LJ59" s="779"/>
      <c r="LK59" s="779"/>
      <c r="LL59" s="779"/>
      <c r="LM59" s="779"/>
      <c r="LN59" s="779"/>
      <c r="LO59" s="779"/>
      <c r="LP59" s="779"/>
      <c r="LQ59" s="779"/>
      <c r="LR59" s="779"/>
      <c r="LS59" s="779"/>
      <c r="LT59" s="779"/>
      <c r="LU59" s="779"/>
      <c r="LV59" s="779"/>
      <c r="LW59" s="779"/>
      <c r="LX59" s="779"/>
      <c r="LY59" s="779"/>
      <c r="LZ59" s="779"/>
      <c r="MA59" s="779"/>
      <c r="MB59" s="779"/>
      <c r="MC59" s="779"/>
      <c r="MD59" s="779"/>
      <c r="ME59" s="779"/>
      <c r="MF59" s="779"/>
      <c r="MG59" s="779"/>
      <c r="MH59" s="779"/>
      <c r="MI59" s="779"/>
      <c r="MJ59" s="779"/>
      <c r="MK59" s="779"/>
      <c r="ML59" s="779"/>
      <c r="MM59" s="779"/>
      <c r="MN59" s="779"/>
      <c r="MO59" s="779"/>
      <c r="MP59" s="779"/>
      <c r="MQ59" s="779"/>
      <c r="MR59" s="779"/>
      <c r="MS59" s="779"/>
      <c r="MT59" s="779"/>
      <c r="MU59" s="779"/>
      <c r="MV59" s="779"/>
      <c r="MW59" s="779"/>
      <c r="MX59" s="779"/>
      <c r="MY59" s="779"/>
      <c r="MZ59" s="779"/>
      <c r="NA59" s="779"/>
      <c r="NB59" s="779"/>
      <c r="NC59" s="779"/>
      <c r="ND59" s="779"/>
      <c r="NE59" s="779"/>
      <c r="NF59" s="779"/>
      <c r="NG59" s="779"/>
      <c r="NH59" s="779"/>
      <c r="NI59" s="779"/>
      <c r="NJ59" s="779"/>
      <c r="NK59" s="779"/>
      <c r="NL59" s="779"/>
      <c r="NM59" s="779"/>
      <c r="NN59" s="779"/>
      <c r="NO59" s="779"/>
      <c r="NP59" s="779"/>
      <c r="NQ59" s="779"/>
      <c r="NR59" s="779"/>
      <c r="NS59" s="779"/>
      <c r="NT59" s="779"/>
      <c r="NU59" s="779"/>
      <c r="NV59" s="779"/>
      <c r="NW59" s="779"/>
      <c r="NX59" s="779"/>
      <c r="NY59" s="779"/>
      <c r="NZ59" s="779"/>
      <c r="OA59" s="779"/>
      <c r="OB59" s="779"/>
      <c r="OC59" s="779"/>
      <c r="OD59" s="779"/>
      <c r="OE59" s="779"/>
      <c r="OF59" s="779"/>
      <c r="OG59" s="779"/>
      <c r="OH59" s="779"/>
      <c r="OI59" s="779"/>
      <c r="OJ59" s="779"/>
      <c r="OK59" s="779"/>
      <c r="OL59" s="779"/>
      <c r="OM59" s="779"/>
      <c r="ON59" s="779"/>
      <c r="OO59" s="779"/>
      <c r="OP59" s="779"/>
      <c r="OQ59" s="779"/>
      <c r="OR59" s="779"/>
      <c r="OS59" s="779"/>
      <c r="OT59" s="779"/>
      <c r="OU59" s="779"/>
      <c r="OV59" s="779"/>
      <c r="OW59" s="779"/>
      <c r="OX59" s="779"/>
      <c r="OY59" s="779"/>
      <c r="OZ59" s="779"/>
      <c r="PA59" s="779"/>
      <c r="PB59" s="779"/>
      <c r="PC59" s="779"/>
      <c r="PD59" s="779"/>
      <c r="PE59" s="779"/>
      <c r="PF59" s="779"/>
      <c r="PG59" s="779"/>
      <c r="PH59" s="779"/>
      <c r="PI59" s="779"/>
      <c r="PJ59" s="779"/>
      <c r="PK59" s="779"/>
      <c r="PL59" s="779"/>
      <c r="PM59" s="779"/>
      <c r="PN59" s="779"/>
      <c r="PO59" s="779"/>
      <c r="PP59" s="779"/>
      <c r="PQ59" s="779"/>
      <c r="PR59" s="779"/>
      <c r="PS59" s="779"/>
      <c r="PT59" s="779"/>
      <c r="PU59" s="779"/>
      <c r="PV59" s="779"/>
      <c r="PW59" s="779"/>
      <c r="PX59" s="779"/>
      <c r="PY59" s="779"/>
      <c r="PZ59" s="779"/>
      <c r="QA59" s="779"/>
      <c r="QB59" s="779"/>
      <c r="QC59" s="779"/>
      <c r="QD59" s="779"/>
      <c r="QE59" s="779"/>
      <c r="QF59" s="779"/>
      <c r="QG59" s="779"/>
      <c r="QH59" s="779"/>
      <c r="QI59" s="779"/>
      <c r="QJ59" s="779"/>
      <c r="QK59" s="779"/>
      <c r="QL59" s="779"/>
      <c r="QM59" s="779"/>
      <c r="QN59" s="779"/>
      <c r="QO59" s="779"/>
      <c r="QP59" s="779"/>
      <c r="QQ59" s="779"/>
      <c r="QR59" s="779"/>
      <c r="QS59" s="779"/>
      <c r="QT59" s="779"/>
      <c r="QU59" s="779"/>
      <c r="QV59" s="779"/>
      <c r="QW59" s="779"/>
      <c r="QX59" s="779"/>
      <c r="QY59" s="779"/>
      <c r="QZ59" s="779"/>
      <c r="RA59" s="779"/>
      <c r="RB59" s="779"/>
      <c r="RC59" s="779"/>
      <c r="RD59" s="779"/>
      <c r="RE59" s="779"/>
      <c r="RF59" s="779"/>
      <c r="RG59" s="779"/>
      <c r="RH59" s="779"/>
      <c r="RI59" s="779"/>
      <c r="RJ59" s="779"/>
      <c r="RK59" s="779"/>
      <c r="RL59" s="779"/>
      <c r="RM59" s="779"/>
      <c r="RN59" s="779"/>
      <c r="RO59" s="779"/>
      <c r="RP59" s="779"/>
      <c r="RQ59" s="779"/>
      <c r="RR59" s="779"/>
      <c r="RS59" s="779"/>
      <c r="RT59" s="779"/>
      <c r="RU59" s="779"/>
      <c r="RV59" s="779"/>
      <c r="RW59" s="779"/>
      <c r="RX59" s="779"/>
    </row>
    <row r="60" spans="1:492" s="143" customFormat="1">
      <c r="A60" s="779"/>
      <c r="B60" s="779"/>
      <c r="C60" s="779"/>
      <c r="D60" s="779"/>
      <c r="E60" s="779"/>
      <c r="F60" s="779"/>
      <c r="G60" s="779"/>
      <c r="H60" s="779"/>
      <c r="I60" s="779"/>
      <c r="J60" s="779"/>
      <c r="K60" s="779"/>
      <c r="L60" s="779"/>
      <c r="M60" s="779"/>
      <c r="N60" s="779"/>
      <c r="O60" s="779"/>
      <c r="P60" s="779"/>
      <c r="Q60" s="779"/>
      <c r="R60" s="779"/>
      <c r="S60" s="779"/>
      <c r="T60" s="779"/>
      <c r="U60" s="779"/>
      <c r="V60" s="779"/>
      <c r="W60" s="779"/>
      <c r="X60" s="779"/>
      <c r="Y60" s="779"/>
      <c r="Z60" s="779"/>
      <c r="AA60" s="779"/>
      <c r="AB60" s="779"/>
      <c r="AC60" s="779"/>
      <c r="AD60" s="779"/>
      <c r="AE60" s="779"/>
      <c r="AF60" s="779"/>
      <c r="AG60" s="779"/>
      <c r="AH60" s="779"/>
      <c r="AI60" s="779"/>
      <c r="AJ60" s="779"/>
      <c r="AK60" s="779"/>
      <c r="AL60" s="779"/>
      <c r="AM60" s="782"/>
      <c r="AN60" s="782"/>
      <c r="AO60" s="782"/>
      <c r="AP60" s="782"/>
      <c r="AQ60" s="782"/>
      <c r="AR60" s="782"/>
      <c r="AS60" s="782"/>
      <c r="AT60" s="782"/>
      <c r="AU60" s="782"/>
      <c r="AV60" s="782"/>
      <c r="AW60" s="782"/>
      <c r="AX60" s="782"/>
      <c r="AY60" s="782"/>
      <c r="AZ60" s="782"/>
      <c r="BA60" s="782"/>
      <c r="BB60" s="782"/>
      <c r="BC60" s="782"/>
      <c r="BD60" s="782"/>
      <c r="BE60" s="782"/>
      <c r="BF60" s="782"/>
      <c r="BG60" s="782"/>
      <c r="BH60" s="782"/>
      <c r="BI60" s="782"/>
      <c r="BJ60" s="782"/>
      <c r="BK60" s="782"/>
      <c r="BL60" s="782"/>
      <c r="BM60" s="782"/>
      <c r="BN60" s="782"/>
      <c r="BO60" s="782"/>
      <c r="BP60" s="782"/>
      <c r="BQ60" s="782"/>
      <c r="BR60" s="782"/>
      <c r="BS60" s="782"/>
      <c r="BT60" s="782"/>
      <c r="BU60" s="782"/>
      <c r="BV60" s="782"/>
      <c r="BW60" s="782"/>
      <c r="BX60" s="782"/>
      <c r="BY60" s="782"/>
      <c r="BZ60" s="782"/>
      <c r="CA60" s="779"/>
      <c r="CB60" s="779"/>
      <c r="CC60" s="779"/>
      <c r="CD60" s="779"/>
      <c r="CE60" s="779"/>
      <c r="CF60" s="779"/>
      <c r="CG60" s="779"/>
      <c r="CH60" s="779"/>
      <c r="CI60" s="779"/>
      <c r="CJ60" s="779"/>
      <c r="CK60" s="779"/>
      <c r="CL60" s="779"/>
      <c r="CM60" s="779"/>
      <c r="CN60" s="779"/>
      <c r="CO60" s="779"/>
      <c r="CP60" s="779"/>
      <c r="CQ60" s="779"/>
      <c r="CR60" s="779"/>
      <c r="CS60" s="779"/>
      <c r="CT60" s="779"/>
      <c r="CU60" s="779"/>
      <c r="CV60" s="779"/>
      <c r="CW60" s="779"/>
      <c r="CX60" s="779"/>
      <c r="CY60" s="779"/>
      <c r="CZ60" s="779"/>
      <c r="DA60" s="779"/>
      <c r="DB60" s="779"/>
      <c r="DC60" s="779"/>
      <c r="DD60" s="779"/>
      <c r="DE60" s="779"/>
      <c r="DF60" s="779"/>
      <c r="DG60" s="779"/>
      <c r="DH60" s="779"/>
      <c r="DI60" s="779"/>
      <c r="DJ60" s="779"/>
      <c r="DK60" s="779"/>
      <c r="DL60" s="779"/>
      <c r="DM60" s="779"/>
      <c r="DN60" s="779"/>
      <c r="DO60" s="779"/>
      <c r="DP60" s="779"/>
      <c r="DQ60" s="779"/>
      <c r="DR60" s="779"/>
      <c r="DS60" s="779"/>
      <c r="DT60" s="779"/>
      <c r="DU60" s="779"/>
      <c r="DV60" s="779"/>
      <c r="DW60" s="779"/>
      <c r="DX60" s="779"/>
      <c r="DY60" s="779"/>
      <c r="DZ60" s="779"/>
      <c r="EA60" s="779"/>
      <c r="EB60" s="779"/>
      <c r="EC60" s="779"/>
      <c r="ED60" s="779"/>
      <c r="EE60" s="779"/>
      <c r="EF60" s="779"/>
      <c r="EG60" s="779"/>
      <c r="EH60" s="779"/>
      <c r="EI60" s="779"/>
      <c r="EJ60" s="779"/>
      <c r="EK60" s="779"/>
      <c r="EL60" s="779"/>
      <c r="EM60" s="779"/>
      <c r="EN60" s="779"/>
      <c r="EO60" s="779"/>
      <c r="EP60" s="779"/>
      <c r="EQ60" s="779"/>
      <c r="ER60" s="779"/>
      <c r="ES60" s="779"/>
      <c r="ET60" s="779"/>
      <c r="EU60" s="779"/>
      <c r="EV60" s="779"/>
      <c r="EW60" s="779"/>
      <c r="EX60" s="779"/>
      <c r="EY60" s="779"/>
      <c r="EZ60" s="779"/>
      <c r="FA60" s="779"/>
      <c r="FB60" s="779"/>
      <c r="FC60" s="779"/>
      <c r="FD60" s="779"/>
      <c r="FE60" s="779"/>
      <c r="FF60" s="779"/>
      <c r="FG60" s="779"/>
      <c r="FH60" s="779"/>
      <c r="FI60" s="779"/>
      <c r="FJ60" s="779"/>
      <c r="FK60" s="779"/>
      <c r="FL60" s="779"/>
      <c r="FM60" s="779"/>
      <c r="FN60" s="779"/>
      <c r="FO60" s="779"/>
      <c r="FP60" s="779"/>
      <c r="FQ60" s="779"/>
      <c r="FR60" s="779"/>
      <c r="FS60" s="779"/>
      <c r="FT60" s="779"/>
      <c r="FU60" s="779"/>
      <c r="FV60" s="779"/>
      <c r="FW60" s="779"/>
      <c r="FX60" s="779"/>
      <c r="FY60" s="779"/>
      <c r="FZ60" s="779"/>
      <c r="GA60" s="779"/>
      <c r="GB60" s="779"/>
      <c r="GC60" s="779"/>
      <c r="GD60" s="779"/>
      <c r="GE60" s="779"/>
      <c r="GF60" s="779"/>
      <c r="GG60" s="779"/>
      <c r="GH60" s="779"/>
      <c r="GI60" s="779"/>
      <c r="GJ60" s="779"/>
      <c r="GK60" s="779"/>
      <c r="GL60" s="779"/>
      <c r="GM60" s="779"/>
      <c r="GN60" s="779"/>
      <c r="GO60" s="779"/>
      <c r="GP60" s="779"/>
      <c r="GQ60" s="779"/>
      <c r="GR60" s="779"/>
      <c r="GS60" s="779"/>
      <c r="GT60" s="779"/>
      <c r="GU60" s="779"/>
      <c r="GV60" s="779"/>
      <c r="GW60" s="779"/>
      <c r="GX60" s="779"/>
      <c r="GY60" s="779"/>
      <c r="GZ60" s="779"/>
      <c r="HA60" s="779"/>
      <c r="HB60" s="779"/>
      <c r="HC60" s="779"/>
      <c r="HD60" s="779"/>
      <c r="HE60" s="779"/>
      <c r="HF60" s="779"/>
      <c r="HG60" s="779"/>
      <c r="HH60" s="779"/>
      <c r="HI60" s="779"/>
      <c r="HJ60" s="779"/>
      <c r="HK60" s="779"/>
      <c r="HL60" s="779"/>
      <c r="HM60" s="779"/>
      <c r="HN60" s="779"/>
      <c r="HO60" s="779"/>
      <c r="HP60" s="779"/>
      <c r="HQ60" s="779"/>
      <c r="HR60" s="779"/>
      <c r="HS60" s="779"/>
      <c r="HT60" s="779"/>
      <c r="HU60" s="779"/>
      <c r="HV60" s="779"/>
      <c r="HW60" s="779"/>
      <c r="HX60" s="779"/>
      <c r="HY60" s="779"/>
      <c r="HZ60" s="779"/>
      <c r="IA60" s="779"/>
      <c r="IB60" s="779"/>
      <c r="IC60" s="779"/>
      <c r="ID60" s="779"/>
      <c r="IE60" s="779"/>
      <c r="IF60" s="779"/>
      <c r="IG60" s="779"/>
      <c r="IH60" s="779"/>
      <c r="II60" s="779"/>
      <c r="IJ60" s="779"/>
      <c r="IK60" s="779"/>
      <c r="IL60" s="779"/>
      <c r="IM60" s="779"/>
      <c r="IN60" s="779"/>
      <c r="IO60" s="779"/>
      <c r="IP60" s="779"/>
      <c r="IQ60" s="779"/>
      <c r="IR60" s="779"/>
      <c r="IS60" s="779"/>
      <c r="IT60" s="779"/>
      <c r="IU60" s="779"/>
      <c r="IV60" s="779"/>
      <c r="IW60" s="779"/>
      <c r="IX60" s="779"/>
      <c r="IY60" s="779"/>
      <c r="IZ60" s="779"/>
      <c r="JA60" s="779"/>
      <c r="JB60" s="779"/>
      <c r="JC60" s="779"/>
      <c r="JD60" s="779"/>
      <c r="JE60" s="779"/>
      <c r="JF60" s="779"/>
      <c r="JG60" s="779"/>
      <c r="JH60" s="779"/>
      <c r="JI60" s="779"/>
      <c r="JJ60" s="779"/>
      <c r="JK60" s="779"/>
      <c r="JL60" s="779"/>
      <c r="JM60" s="779"/>
      <c r="JN60" s="779"/>
      <c r="JO60" s="779"/>
      <c r="JP60" s="779"/>
      <c r="JQ60" s="779"/>
      <c r="JR60" s="779"/>
      <c r="JS60" s="779"/>
      <c r="JT60" s="779"/>
      <c r="JU60" s="779"/>
      <c r="JV60" s="779"/>
      <c r="JW60" s="779"/>
      <c r="JX60" s="779"/>
      <c r="JY60" s="779"/>
      <c r="JZ60" s="779"/>
      <c r="KA60" s="779"/>
      <c r="KB60" s="779"/>
      <c r="KC60" s="779"/>
      <c r="KD60" s="779"/>
      <c r="KE60" s="779"/>
      <c r="KF60" s="779"/>
      <c r="KG60" s="779"/>
      <c r="KH60" s="779"/>
      <c r="KI60" s="779"/>
      <c r="KJ60" s="779"/>
      <c r="KK60" s="779"/>
      <c r="KL60" s="779"/>
      <c r="KM60" s="779"/>
      <c r="KN60" s="779"/>
      <c r="KO60" s="779"/>
      <c r="KP60" s="779"/>
      <c r="KQ60" s="779"/>
      <c r="KR60" s="779"/>
      <c r="KS60" s="779"/>
      <c r="KT60" s="779"/>
      <c r="KU60" s="779"/>
      <c r="KV60" s="779"/>
      <c r="KW60" s="779"/>
      <c r="KX60" s="779"/>
      <c r="KY60" s="779"/>
      <c r="KZ60" s="779"/>
      <c r="LA60" s="779"/>
      <c r="LB60" s="779"/>
      <c r="LC60" s="779"/>
      <c r="LD60" s="779"/>
      <c r="LE60" s="779"/>
      <c r="LF60" s="779"/>
      <c r="LG60" s="779"/>
      <c r="LH60" s="779"/>
      <c r="LI60" s="779"/>
      <c r="LJ60" s="779"/>
      <c r="LK60" s="779"/>
      <c r="LL60" s="779"/>
      <c r="LM60" s="779"/>
      <c r="LN60" s="779"/>
      <c r="LO60" s="779"/>
      <c r="LP60" s="779"/>
      <c r="LQ60" s="779"/>
      <c r="LR60" s="779"/>
      <c r="LS60" s="779"/>
      <c r="LT60" s="779"/>
      <c r="LU60" s="779"/>
      <c r="LV60" s="779"/>
      <c r="LW60" s="779"/>
      <c r="LX60" s="779"/>
      <c r="LY60" s="779"/>
      <c r="LZ60" s="779"/>
      <c r="MA60" s="779"/>
      <c r="MB60" s="779"/>
      <c r="MC60" s="779"/>
      <c r="MD60" s="779"/>
      <c r="ME60" s="779"/>
      <c r="MF60" s="779"/>
      <c r="MG60" s="779"/>
      <c r="MH60" s="779"/>
      <c r="MI60" s="779"/>
      <c r="MJ60" s="779"/>
      <c r="MK60" s="779"/>
      <c r="ML60" s="779"/>
      <c r="MM60" s="779"/>
      <c r="MN60" s="779"/>
      <c r="MO60" s="779"/>
      <c r="MP60" s="779"/>
      <c r="MQ60" s="779"/>
      <c r="MR60" s="779"/>
      <c r="MS60" s="779"/>
      <c r="MT60" s="779"/>
      <c r="MU60" s="779"/>
      <c r="MV60" s="779"/>
      <c r="MW60" s="779"/>
      <c r="MX60" s="779"/>
      <c r="MY60" s="779"/>
      <c r="MZ60" s="779"/>
      <c r="NA60" s="779"/>
      <c r="NB60" s="779"/>
      <c r="NC60" s="779"/>
      <c r="ND60" s="779"/>
      <c r="NE60" s="779"/>
      <c r="NF60" s="779"/>
      <c r="NG60" s="779"/>
      <c r="NH60" s="779"/>
      <c r="NI60" s="779"/>
      <c r="NJ60" s="779"/>
      <c r="NK60" s="779"/>
      <c r="NL60" s="779"/>
      <c r="NM60" s="779"/>
      <c r="NN60" s="779"/>
      <c r="NO60" s="779"/>
      <c r="NP60" s="779"/>
      <c r="NQ60" s="779"/>
      <c r="NR60" s="779"/>
      <c r="NS60" s="779"/>
      <c r="NT60" s="779"/>
      <c r="NU60" s="779"/>
      <c r="NV60" s="779"/>
      <c r="NW60" s="779"/>
      <c r="NX60" s="779"/>
      <c r="NY60" s="779"/>
      <c r="NZ60" s="779"/>
      <c r="OA60" s="779"/>
      <c r="OB60" s="779"/>
      <c r="OC60" s="779"/>
      <c r="OD60" s="779"/>
      <c r="OE60" s="779"/>
      <c r="OF60" s="779"/>
      <c r="OG60" s="779"/>
      <c r="OH60" s="779"/>
      <c r="OI60" s="779"/>
      <c r="OJ60" s="779"/>
      <c r="OK60" s="779"/>
      <c r="OL60" s="779"/>
      <c r="OM60" s="779"/>
      <c r="ON60" s="779"/>
      <c r="OO60" s="779"/>
      <c r="OP60" s="779"/>
      <c r="OQ60" s="779"/>
      <c r="OR60" s="779"/>
      <c r="OS60" s="779"/>
      <c r="OT60" s="779"/>
      <c r="OU60" s="779"/>
      <c r="OV60" s="779"/>
      <c r="OW60" s="779"/>
      <c r="OX60" s="779"/>
      <c r="OY60" s="779"/>
      <c r="OZ60" s="779"/>
      <c r="PA60" s="779"/>
      <c r="PB60" s="779"/>
      <c r="PC60" s="779"/>
      <c r="PD60" s="779"/>
      <c r="PE60" s="779"/>
      <c r="PF60" s="779"/>
      <c r="PG60" s="779"/>
      <c r="PH60" s="779"/>
      <c r="PI60" s="779"/>
      <c r="PJ60" s="779"/>
      <c r="PK60" s="779"/>
      <c r="PL60" s="779"/>
      <c r="PM60" s="779"/>
      <c r="PN60" s="779"/>
      <c r="PO60" s="779"/>
      <c r="PP60" s="779"/>
      <c r="PQ60" s="779"/>
      <c r="PR60" s="779"/>
      <c r="PS60" s="779"/>
      <c r="PT60" s="779"/>
      <c r="PU60" s="779"/>
      <c r="PV60" s="779"/>
      <c r="PW60" s="779"/>
      <c r="PX60" s="779"/>
      <c r="PY60" s="779"/>
      <c r="PZ60" s="779"/>
      <c r="QA60" s="779"/>
      <c r="QB60" s="779"/>
      <c r="QC60" s="779"/>
      <c r="QD60" s="779"/>
      <c r="QE60" s="779"/>
      <c r="QF60" s="779"/>
      <c r="QG60" s="779"/>
      <c r="QH60" s="779"/>
      <c r="QI60" s="779"/>
      <c r="QJ60" s="779"/>
      <c r="QK60" s="779"/>
      <c r="QL60" s="779"/>
      <c r="QM60" s="779"/>
      <c r="QN60" s="779"/>
      <c r="QO60" s="779"/>
      <c r="QP60" s="779"/>
      <c r="QQ60" s="779"/>
      <c r="QR60" s="779"/>
      <c r="QS60" s="779"/>
      <c r="QT60" s="779"/>
      <c r="QU60" s="779"/>
      <c r="QV60" s="779"/>
      <c r="QW60" s="779"/>
      <c r="QX60" s="779"/>
      <c r="QY60" s="779"/>
      <c r="QZ60" s="779"/>
      <c r="RA60" s="779"/>
      <c r="RB60" s="779"/>
      <c r="RC60" s="779"/>
      <c r="RD60" s="779"/>
      <c r="RE60" s="779"/>
      <c r="RF60" s="779"/>
      <c r="RG60" s="779"/>
      <c r="RH60" s="779"/>
      <c r="RI60" s="779"/>
      <c r="RJ60" s="779"/>
      <c r="RK60" s="779"/>
      <c r="RL60" s="779"/>
      <c r="RM60" s="779"/>
      <c r="RN60" s="779"/>
      <c r="RO60" s="779"/>
      <c r="RP60" s="779"/>
      <c r="RQ60" s="779"/>
      <c r="RR60" s="779"/>
      <c r="RS60" s="779"/>
      <c r="RT60" s="779"/>
      <c r="RU60" s="779"/>
      <c r="RV60" s="779"/>
      <c r="RW60" s="779"/>
      <c r="RX60" s="779"/>
    </row>
    <row r="61" spans="1:492" s="143" customFormat="1">
      <c r="A61" s="779"/>
      <c r="B61" s="779"/>
      <c r="C61" s="779"/>
      <c r="D61" s="779"/>
      <c r="E61" s="779"/>
      <c r="F61" s="779"/>
      <c r="G61" s="779"/>
      <c r="H61" s="779"/>
      <c r="I61" s="779"/>
      <c r="J61" s="779"/>
      <c r="K61" s="779"/>
      <c r="L61" s="779"/>
      <c r="M61" s="779"/>
      <c r="N61" s="779"/>
      <c r="O61" s="779"/>
      <c r="P61" s="779"/>
      <c r="Q61" s="779"/>
      <c r="R61" s="779"/>
      <c r="S61" s="779"/>
      <c r="T61" s="779"/>
      <c r="U61" s="779"/>
      <c r="V61" s="779"/>
      <c r="W61" s="779"/>
      <c r="X61" s="779"/>
      <c r="Y61" s="779"/>
      <c r="Z61" s="779"/>
      <c r="AA61" s="779"/>
      <c r="AB61" s="779"/>
      <c r="AC61" s="779"/>
      <c r="AD61" s="779"/>
      <c r="AE61" s="779"/>
      <c r="AF61" s="779"/>
      <c r="AG61" s="779"/>
      <c r="AH61" s="779"/>
      <c r="AI61" s="779"/>
      <c r="AJ61" s="779"/>
      <c r="AK61" s="779"/>
      <c r="AL61" s="779"/>
      <c r="AM61" s="782"/>
      <c r="AN61" s="782"/>
      <c r="AO61" s="782"/>
      <c r="AP61" s="782"/>
      <c r="AQ61" s="782"/>
      <c r="AR61" s="782"/>
      <c r="AS61" s="782"/>
      <c r="AT61" s="782"/>
      <c r="AU61" s="782"/>
      <c r="AV61" s="782"/>
      <c r="AW61" s="782"/>
      <c r="AX61" s="782"/>
      <c r="AY61" s="782"/>
      <c r="AZ61" s="782"/>
      <c r="BA61" s="782"/>
      <c r="BB61" s="782"/>
      <c r="BC61" s="782"/>
      <c r="BD61" s="782"/>
      <c r="BE61" s="782"/>
      <c r="BF61" s="782"/>
      <c r="BG61" s="782"/>
      <c r="BH61" s="782"/>
      <c r="BI61" s="782"/>
      <c r="BJ61" s="782"/>
      <c r="BK61" s="782"/>
      <c r="BL61" s="782"/>
      <c r="BM61" s="782"/>
      <c r="BN61" s="782"/>
      <c r="BO61" s="782"/>
      <c r="BP61" s="782"/>
      <c r="BQ61" s="782"/>
      <c r="BR61" s="782"/>
      <c r="BS61" s="782"/>
      <c r="BT61" s="782"/>
      <c r="BU61" s="782"/>
      <c r="BV61" s="782"/>
      <c r="BW61" s="782"/>
      <c r="BX61" s="782"/>
      <c r="BY61" s="782"/>
      <c r="BZ61" s="782"/>
      <c r="CA61" s="779"/>
      <c r="CB61" s="779"/>
      <c r="CC61" s="779"/>
      <c r="CD61" s="779"/>
      <c r="CE61" s="779"/>
      <c r="CF61" s="779"/>
      <c r="CG61" s="779"/>
      <c r="CH61" s="779"/>
      <c r="CI61" s="779"/>
      <c r="CJ61" s="779"/>
      <c r="CK61" s="779"/>
      <c r="CL61" s="779"/>
      <c r="CM61" s="779"/>
      <c r="CN61" s="779"/>
      <c r="CO61" s="779"/>
      <c r="CP61" s="779"/>
      <c r="CQ61" s="779"/>
      <c r="CR61" s="779"/>
      <c r="CS61" s="779"/>
      <c r="CT61" s="779"/>
      <c r="CU61" s="779"/>
      <c r="CV61" s="779"/>
      <c r="CW61" s="779"/>
      <c r="CX61" s="779"/>
      <c r="CY61" s="779"/>
      <c r="CZ61" s="779"/>
      <c r="DA61" s="779"/>
      <c r="DB61" s="779"/>
      <c r="DC61" s="779"/>
      <c r="DD61" s="779"/>
      <c r="DE61" s="779"/>
      <c r="DF61" s="779"/>
      <c r="DG61" s="779"/>
      <c r="DH61" s="779"/>
      <c r="DI61" s="779"/>
      <c r="DJ61" s="779"/>
      <c r="DK61" s="779"/>
      <c r="DL61" s="779"/>
      <c r="DM61" s="779"/>
      <c r="DN61" s="779"/>
      <c r="DO61" s="779"/>
      <c r="DP61" s="779"/>
      <c r="DQ61" s="779"/>
      <c r="DR61" s="779"/>
      <c r="DS61" s="779"/>
      <c r="DT61" s="779"/>
      <c r="DU61" s="779"/>
      <c r="DV61" s="779"/>
      <c r="DW61" s="779"/>
      <c r="DX61" s="779"/>
      <c r="DY61" s="779"/>
      <c r="DZ61" s="779"/>
      <c r="EA61" s="779"/>
      <c r="EB61" s="779"/>
      <c r="EC61" s="779"/>
      <c r="ED61" s="779"/>
      <c r="EE61" s="779"/>
      <c r="EF61" s="779"/>
      <c r="EG61" s="779"/>
      <c r="EH61" s="779"/>
      <c r="EI61" s="779"/>
      <c r="EJ61" s="779"/>
      <c r="EK61" s="779"/>
      <c r="EL61" s="779"/>
      <c r="EM61" s="779"/>
      <c r="EN61" s="779"/>
      <c r="EO61" s="779"/>
      <c r="EP61" s="779"/>
      <c r="EQ61" s="779"/>
      <c r="ER61" s="779"/>
      <c r="ES61" s="779"/>
      <c r="ET61" s="779"/>
      <c r="EU61" s="779"/>
      <c r="EV61" s="779"/>
      <c r="EW61" s="779"/>
      <c r="EX61" s="779"/>
      <c r="EY61" s="779"/>
      <c r="EZ61" s="779"/>
      <c r="FA61" s="779"/>
      <c r="FB61" s="779"/>
      <c r="FC61" s="779"/>
      <c r="FD61" s="779"/>
      <c r="FE61" s="779"/>
      <c r="FF61" s="779"/>
      <c r="FG61" s="779"/>
      <c r="FH61" s="779"/>
      <c r="FI61" s="779"/>
      <c r="FJ61" s="779"/>
      <c r="FK61" s="779"/>
      <c r="FL61" s="779"/>
      <c r="FM61" s="779"/>
      <c r="FN61" s="779"/>
      <c r="FO61" s="779"/>
      <c r="FP61" s="779"/>
      <c r="FQ61" s="779"/>
      <c r="FR61" s="779"/>
      <c r="FS61" s="779"/>
      <c r="FT61" s="779"/>
      <c r="FU61" s="779"/>
      <c r="FV61" s="779"/>
      <c r="FW61" s="779"/>
      <c r="FX61" s="779"/>
      <c r="FY61" s="779"/>
      <c r="FZ61" s="779"/>
      <c r="GA61" s="779"/>
      <c r="GB61" s="779"/>
      <c r="GC61" s="779"/>
      <c r="GD61" s="779"/>
      <c r="GE61" s="779"/>
      <c r="GF61" s="779"/>
      <c r="GG61" s="779"/>
      <c r="GH61" s="779"/>
      <c r="GI61" s="779"/>
      <c r="GJ61" s="779"/>
      <c r="GK61" s="779"/>
      <c r="GL61" s="779"/>
      <c r="GM61" s="779"/>
      <c r="GN61" s="779"/>
      <c r="GO61" s="779"/>
      <c r="GP61" s="779"/>
      <c r="GQ61" s="779"/>
      <c r="GR61" s="779"/>
      <c r="GS61" s="779"/>
      <c r="GT61" s="779"/>
      <c r="GU61" s="779"/>
      <c r="GV61" s="779"/>
      <c r="GW61" s="779"/>
      <c r="GX61" s="779"/>
      <c r="GY61" s="779"/>
      <c r="GZ61" s="779"/>
      <c r="HA61" s="779"/>
      <c r="HB61" s="779"/>
      <c r="HC61" s="779"/>
      <c r="HD61" s="779"/>
      <c r="HE61" s="779"/>
      <c r="HF61" s="779"/>
      <c r="HG61" s="779"/>
      <c r="HH61" s="779"/>
      <c r="HI61" s="779"/>
      <c r="HJ61" s="779"/>
      <c r="HK61" s="779"/>
      <c r="HL61" s="779"/>
      <c r="HM61" s="779"/>
      <c r="HN61" s="779"/>
      <c r="HO61" s="779"/>
      <c r="HP61" s="779"/>
      <c r="HQ61" s="779"/>
      <c r="HR61" s="779"/>
      <c r="HS61" s="779"/>
      <c r="HT61" s="779"/>
      <c r="HU61" s="779"/>
      <c r="HV61" s="779"/>
      <c r="HW61" s="779"/>
      <c r="HX61" s="779"/>
      <c r="HY61" s="779"/>
      <c r="HZ61" s="779"/>
      <c r="IA61" s="779"/>
      <c r="IB61" s="779"/>
      <c r="IC61" s="779"/>
      <c r="ID61" s="779"/>
      <c r="IE61" s="779"/>
      <c r="IF61" s="779"/>
      <c r="IG61" s="779"/>
      <c r="IH61" s="779"/>
      <c r="II61" s="779"/>
      <c r="IJ61" s="779"/>
      <c r="IK61" s="779"/>
      <c r="IL61" s="779"/>
      <c r="IM61" s="779"/>
      <c r="IN61" s="779"/>
      <c r="IO61" s="779"/>
      <c r="IP61" s="779"/>
      <c r="IQ61" s="779"/>
      <c r="IR61" s="779"/>
      <c r="IS61" s="779"/>
      <c r="IT61" s="779"/>
      <c r="IU61" s="779"/>
      <c r="IV61" s="779"/>
      <c r="IW61" s="779"/>
      <c r="IX61" s="779"/>
      <c r="IY61" s="779"/>
      <c r="IZ61" s="779"/>
      <c r="JA61" s="779"/>
      <c r="JB61" s="779"/>
      <c r="JC61" s="779"/>
      <c r="JD61" s="779"/>
      <c r="JE61" s="779"/>
      <c r="JF61" s="779"/>
      <c r="JG61" s="779"/>
      <c r="JH61" s="779"/>
      <c r="JI61" s="779"/>
      <c r="JJ61" s="779"/>
      <c r="JK61" s="779"/>
      <c r="JL61" s="779"/>
      <c r="JM61" s="779"/>
      <c r="JN61" s="779"/>
      <c r="JO61" s="779"/>
      <c r="JP61" s="779"/>
      <c r="JQ61" s="779"/>
      <c r="JR61" s="779"/>
      <c r="JS61" s="779"/>
      <c r="JT61" s="779"/>
      <c r="JU61" s="779"/>
      <c r="JV61" s="779"/>
      <c r="JW61" s="779"/>
      <c r="JX61" s="779"/>
      <c r="JY61" s="779"/>
      <c r="JZ61" s="779"/>
      <c r="KA61" s="779"/>
      <c r="KB61" s="779"/>
      <c r="KC61" s="779"/>
      <c r="KD61" s="779"/>
      <c r="KE61" s="779"/>
      <c r="KF61" s="779"/>
      <c r="KG61" s="779"/>
      <c r="KH61" s="779"/>
      <c r="KI61" s="779"/>
      <c r="KJ61" s="779"/>
      <c r="KK61" s="779"/>
      <c r="KL61" s="779"/>
      <c r="KM61" s="779"/>
      <c r="KN61" s="779"/>
      <c r="KO61" s="779"/>
      <c r="KP61" s="779"/>
      <c r="KQ61" s="779"/>
      <c r="KR61" s="779"/>
      <c r="KS61" s="779"/>
      <c r="KT61" s="779"/>
      <c r="KU61" s="779"/>
      <c r="KV61" s="779"/>
      <c r="KW61" s="779"/>
      <c r="KX61" s="779"/>
      <c r="KY61" s="779"/>
      <c r="KZ61" s="779"/>
      <c r="LA61" s="779"/>
      <c r="LB61" s="779"/>
      <c r="LC61" s="779"/>
      <c r="LD61" s="779"/>
      <c r="LE61" s="779"/>
      <c r="LF61" s="779"/>
      <c r="LG61" s="779"/>
      <c r="LH61" s="779"/>
      <c r="LI61" s="779"/>
      <c r="LJ61" s="779"/>
      <c r="LK61" s="779"/>
      <c r="LL61" s="779"/>
      <c r="LM61" s="779"/>
      <c r="LN61" s="779"/>
      <c r="LO61" s="779"/>
      <c r="LP61" s="779"/>
      <c r="LQ61" s="779"/>
      <c r="LR61" s="779"/>
      <c r="LS61" s="779"/>
      <c r="LT61" s="779"/>
      <c r="LU61" s="779"/>
      <c r="LV61" s="779"/>
      <c r="LW61" s="779"/>
      <c r="LX61" s="779"/>
      <c r="LY61" s="779"/>
      <c r="LZ61" s="779"/>
      <c r="MA61" s="779"/>
      <c r="MB61" s="779"/>
      <c r="MC61" s="779"/>
      <c r="MD61" s="779"/>
      <c r="ME61" s="779"/>
      <c r="MF61" s="779"/>
      <c r="MG61" s="779"/>
      <c r="MH61" s="779"/>
      <c r="MI61" s="779"/>
      <c r="MJ61" s="779"/>
      <c r="MK61" s="779"/>
      <c r="ML61" s="779"/>
      <c r="MM61" s="779"/>
      <c r="MN61" s="779"/>
      <c r="MO61" s="779"/>
      <c r="MP61" s="779"/>
      <c r="MQ61" s="779"/>
      <c r="MR61" s="779"/>
      <c r="MS61" s="779"/>
      <c r="MT61" s="779"/>
      <c r="MU61" s="779"/>
      <c r="MV61" s="779"/>
      <c r="MW61" s="779"/>
      <c r="MX61" s="779"/>
      <c r="MY61" s="779"/>
      <c r="MZ61" s="779"/>
      <c r="NA61" s="779"/>
      <c r="NB61" s="779"/>
      <c r="NC61" s="779"/>
      <c r="ND61" s="779"/>
      <c r="NE61" s="779"/>
      <c r="NF61" s="779"/>
      <c r="NG61" s="779"/>
      <c r="NH61" s="779"/>
      <c r="NI61" s="779"/>
      <c r="NJ61" s="779"/>
      <c r="NK61" s="779"/>
      <c r="NL61" s="779"/>
      <c r="NM61" s="779"/>
      <c r="NN61" s="779"/>
      <c r="NO61" s="779"/>
      <c r="NP61" s="779"/>
      <c r="NQ61" s="779"/>
      <c r="NR61" s="779"/>
      <c r="NS61" s="779"/>
      <c r="NT61" s="779"/>
      <c r="NU61" s="779"/>
      <c r="NV61" s="779"/>
      <c r="NW61" s="779"/>
      <c r="NX61" s="779"/>
      <c r="NY61" s="779"/>
      <c r="NZ61" s="779"/>
      <c r="OA61" s="779"/>
      <c r="OB61" s="779"/>
      <c r="OC61" s="779"/>
      <c r="OD61" s="779"/>
      <c r="OE61" s="779"/>
      <c r="OF61" s="779"/>
      <c r="OG61" s="779"/>
      <c r="OH61" s="779"/>
      <c r="OI61" s="779"/>
      <c r="OJ61" s="779"/>
      <c r="OK61" s="779"/>
      <c r="OL61" s="779"/>
      <c r="OM61" s="779"/>
      <c r="ON61" s="779"/>
      <c r="OO61" s="779"/>
      <c r="OP61" s="779"/>
      <c r="OQ61" s="779"/>
      <c r="OR61" s="779"/>
      <c r="OS61" s="779"/>
      <c r="OT61" s="779"/>
      <c r="OU61" s="779"/>
      <c r="OV61" s="779"/>
      <c r="OW61" s="779"/>
      <c r="OX61" s="779"/>
      <c r="OY61" s="779"/>
      <c r="OZ61" s="779"/>
      <c r="PA61" s="779"/>
      <c r="PB61" s="779"/>
      <c r="PC61" s="779"/>
      <c r="PD61" s="779"/>
      <c r="PE61" s="779"/>
      <c r="PF61" s="779"/>
      <c r="PG61" s="779"/>
      <c r="PH61" s="779"/>
      <c r="PI61" s="779"/>
      <c r="PJ61" s="779"/>
      <c r="PK61" s="779"/>
      <c r="PL61" s="779"/>
      <c r="PM61" s="779"/>
      <c r="PN61" s="779"/>
      <c r="PO61" s="779"/>
      <c r="PP61" s="779"/>
      <c r="PQ61" s="779"/>
      <c r="PR61" s="779"/>
      <c r="PS61" s="779"/>
      <c r="PT61" s="779"/>
      <c r="PU61" s="779"/>
      <c r="PV61" s="779"/>
      <c r="PW61" s="779"/>
      <c r="PX61" s="779"/>
      <c r="PY61" s="779"/>
      <c r="PZ61" s="779"/>
      <c r="QA61" s="779"/>
      <c r="QB61" s="779"/>
      <c r="QC61" s="779"/>
      <c r="QD61" s="779"/>
      <c r="QE61" s="779"/>
      <c r="QF61" s="779"/>
      <c r="QG61" s="779"/>
      <c r="QH61" s="779"/>
      <c r="QI61" s="779"/>
      <c r="QJ61" s="779"/>
      <c r="QK61" s="779"/>
      <c r="QL61" s="779"/>
      <c r="QM61" s="779"/>
      <c r="QN61" s="779"/>
      <c r="QO61" s="779"/>
      <c r="QP61" s="779"/>
      <c r="QQ61" s="779"/>
      <c r="QR61" s="779"/>
      <c r="QS61" s="779"/>
      <c r="QT61" s="779"/>
      <c r="QU61" s="779"/>
      <c r="QV61" s="779"/>
      <c r="QW61" s="779"/>
      <c r="QX61" s="779"/>
      <c r="QY61" s="779"/>
      <c r="QZ61" s="779"/>
      <c r="RA61" s="779"/>
      <c r="RB61" s="779"/>
      <c r="RC61" s="779"/>
      <c r="RD61" s="779"/>
      <c r="RE61" s="779"/>
      <c r="RF61" s="779"/>
      <c r="RG61" s="779"/>
      <c r="RH61" s="779"/>
      <c r="RI61" s="779"/>
      <c r="RJ61" s="779"/>
      <c r="RK61" s="779"/>
      <c r="RL61" s="779"/>
      <c r="RM61" s="779"/>
      <c r="RN61" s="779"/>
      <c r="RO61" s="779"/>
      <c r="RP61" s="779"/>
      <c r="RQ61" s="779"/>
      <c r="RR61" s="779"/>
      <c r="RS61" s="779"/>
      <c r="RT61" s="779"/>
      <c r="RU61" s="779"/>
      <c r="RV61" s="779"/>
      <c r="RW61" s="779"/>
      <c r="RX61" s="779"/>
    </row>
    <row r="62" spans="1:492" s="143" customFormat="1">
      <c r="A62" s="779"/>
      <c r="B62" s="779"/>
      <c r="C62" s="779"/>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779"/>
      <c r="AM62" s="782"/>
      <c r="AN62" s="782"/>
      <c r="AO62" s="782"/>
      <c r="AP62" s="782"/>
      <c r="AQ62" s="782"/>
      <c r="AR62" s="782"/>
      <c r="AS62" s="782"/>
      <c r="AT62" s="782"/>
      <c r="AU62" s="782"/>
      <c r="AV62" s="782"/>
      <c r="AW62" s="782"/>
      <c r="AX62" s="782"/>
      <c r="AY62" s="782"/>
      <c r="AZ62" s="782"/>
      <c r="BA62" s="782"/>
      <c r="BB62" s="782"/>
      <c r="BC62" s="782"/>
      <c r="BD62" s="782"/>
      <c r="BE62" s="782"/>
      <c r="BF62" s="782"/>
      <c r="BG62" s="782"/>
      <c r="BH62" s="782"/>
      <c r="BI62" s="782"/>
      <c r="BJ62" s="782"/>
      <c r="BK62" s="782"/>
      <c r="BL62" s="782"/>
      <c r="BM62" s="782"/>
      <c r="BN62" s="782"/>
      <c r="BO62" s="782"/>
      <c r="BP62" s="782"/>
      <c r="BQ62" s="782"/>
      <c r="BR62" s="782"/>
      <c r="BS62" s="782"/>
      <c r="BT62" s="782"/>
      <c r="BU62" s="782"/>
      <c r="BV62" s="782"/>
      <c r="BW62" s="782"/>
      <c r="BX62" s="782"/>
      <c r="BY62" s="782"/>
      <c r="BZ62" s="782"/>
      <c r="CA62" s="779"/>
      <c r="CB62" s="779"/>
      <c r="CC62" s="779"/>
      <c r="CD62" s="779"/>
      <c r="CE62" s="779"/>
      <c r="CF62" s="779"/>
      <c r="CG62" s="779"/>
      <c r="CH62" s="779"/>
      <c r="CI62" s="779"/>
      <c r="CJ62" s="779"/>
      <c r="CK62" s="779"/>
      <c r="CL62" s="779"/>
      <c r="CM62" s="779"/>
      <c r="CN62" s="779"/>
      <c r="CO62" s="779"/>
      <c r="CP62" s="779"/>
      <c r="CQ62" s="779"/>
      <c r="CR62" s="779"/>
      <c r="CS62" s="779"/>
      <c r="CT62" s="779"/>
      <c r="CU62" s="779"/>
      <c r="CV62" s="779"/>
      <c r="CW62" s="779"/>
      <c r="CX62" s="779"/>
      <c r="CY62" s="779"/>
      <c r="CZ62" s="779"/>
      <c r="DA62" s="779"/>
      <c r="DB62" s="779"/>
      <c r="DC62" s="779"/>
      <c r="DD62" s="779"/>
      <c r="DE62" s="779"/>
      <c r="DF62" s="779"/>
      <c r="DG62" s="779"/>
      <c r="DH62" s="779"/>
      <c r="DI62" s="779"/>
      <c r="DJ62" s="779"/>
      <c r="DK62" s="779"/>
      <c r="DL62" s="779"/>
      <c r="DM62" s="779"/>
      <c r="DN62" s="779"/>
      <c r="DO62" s="779"/>
      <c r="DP62" s="779"/>
      <c r="DQ62" s="779"/>
      <c r="DR62" s="779"/>
      <c r="DS62" s="779"/>
      <c r="DT62" s="779"/>
      <c r="DU62" s="779"/>
      <c r="DV62" s="779"/>
      <c r="DW62" s="779"/>
      <c r="DX62" s="779"/>
      <c r="DY62" s="779"/>
      <c r="DZ62" s="779"/>
      <c r="EA62" s="779"/>
      <c r="EB62" s="779"/>
      <c r="EC62" s="779"/>
      <c r="ED62" s="779"/>
      <c r="EE62" s="779"/>
      <c r="EF62" s="779"/>
      <c r="EG62" s="779"/>
      <c r="EH62" s="779"/>
      <c r="EI62" s="779"/>
      <c r="EJ62" s="779"/>
      <c r="EK62" s="779"/>
      <c r="EL62" s="779"/>
      <c r="EM62" s="779"/>
      <c r="EN62" s="779"/>
      <c r="EO62" s="779"/>
      <c r="EP62" s="779"/>
      <c r="EQ62" s="779"/>
      <c r="ER62" s="779"/>
      <c r="ES62" s="779"/>
      <c r="ET62" s="779"/>
      <c r="EU62" s="779"/>
      <c r="EV62" s="779"/>
      <c r="EW62" s="779"/>
      <c r="EX62" s="779"/>
      <c r="EY62" s="779"/>
      <c r="EZ62" s="779"/>
      <c r="FA62" s="779"/>
      <c r="FB62" s="779"/>
      <c r="FC62" s="779"/>
      <c r="FD62" s="779"/>
      <c r="FE62" s="779"/>
      <c r="FF62" s="779"/>
      <c r="FG62" s="779"/>
      <c r="FH62" s="779"/>
      <c r="FI62" s="779"/>
      <c r="FJ62" s="779"/>
      <c r="FK62" s="779"/>
      <c r="FL62" s="779"/>
      <c r="FM62" s="779"/>
      <c r="FN62" s="779"/>
      <c r="FO62" s="779"/>
      <c r="FP62" s="779"/>
      <c r="FQ62" s="779"/>
      <c r="FR62" s="779"/>
      <c r="FS62" s="779"/>
      <c r="FT62" s="779"/>
      <c r="FU62" s="779"/>
      <c r="FV62" s="779"/>
      <c r="FW62" s="779"/>
      <c r="FX62" s="779"/>
      <c r="FY62" s="779"/>
      <c r="FZ62" s="779"/>
      <c r="GA62" s="779"/>
      <c r="GB62" s="779"/>
      <c r="GC62" s="779"/>
      <c r="GD62" s="779"/>
      <c r="GE62" s="779"/>
      <c r="GF62" s="779"/>
      <c r="GG62" s="779"/>
      <c r="GH62" s="779"/>
      <c r="GI62" s="779"/>
      <c r="GJ62" s="779"/>
      <c r="GK62" s="779"/>
      <c r="GL62" s="779"/>
      <c r="GM62" s="779"/>
      <c r="GN62" s="779"/>
      <c r="GO62" s="779"/>
      <c r="GP62" s="779"/>
      <c r="GQ62" s="779"/>
      <c r="GR62" s="779"/>
      <c r="GS62" s="779"/>
      <c r="GT62" s="779"/>
      <c r="GU62" s="779"/>
      <c r="GV62" s="779"/>
      <c r="GW62" s="779"/>
      <c r="GX62" s="779"/>
      <c r="GY62" s="779"/>
      <c r="GZ62" s="779"/>
      <c r="HA62" s="779"/>
      <c r="HB62" s="779"/>
      <c r="HC62" s="779"/>
      <c r="HD62" s="779"/>
      <c r="HE62" s="779"/>
      <c r="HF62" s="779"/>
      <c r="HG62" s="779"/>
      <c r="HH62" s="779"/>
      <c r="HI62" s="779"/>
      <c r="HJ62" s="779"/>
      <c r="HK62" s="779"/>
      <c r="HL62" s="779"/>
      <c r="HM62" s="779"/>
      <c r="HN62" s="779"/>
      <c r="HO62" s="779"/>
      <c r="HP62" s="779"/>
      <c r="HQ62" s="779"/>
      <c r="HR62" s="779"/>
      <c r="HS62" s="779"/>
      <c r="HT62" s="779"/>
      <c r="HU62" s="779"/>
      <c r="HV62" s="779"/>
      <c r="HW62" s="779"/>
      <c r="HX62" s="779"/>
      <c r="HY62" s="779"/>
      <c r="HZ62" s="779"/>
      <c r="IA62" s="779"/>
      <c r="IB62" s="779"/>
      <c r="IC62" s="779"/>
      <c r="ID62" s="779"/>
      <c r="IE62" s="779"/>
      <c r="IF62" s="779"/>
      <c r="IG62" s="779"/>
      <c r="IH62" s="779"/>
      <c r="II62" s="779"/>
      <c r="IJ62" s="779"/>
      <c r="IK62" s="779"/>
      <c r="IL62" s="779"/>
      <c r="IM62" s="779"/>
      <c r="IN62" s="779"/>
      <c r="IO62" s="779"/>
      <c r="IP62" s="779"/>
      <c r="IQ62" s="779"/>
      <c r="IR62" s="779"/>
      <c r="IS62" s="779"/>
      <c r="IT62" s="779"/>
      <c r="IU62" s="779"/>
      <c r="IV62" s="779"/>
      <c r="IW62" s="779"/>
      <c r="IX62" s="779"/>
      <c r="IY62" s="779"/>
      <c r="IZ62" s="779"/>
      <c r="JA62" s="779"/>
      <c r="JB62" s="779"/>
      <c r="JC62" s="779"/>
      <c r="JD62" s="779"/>
      <c r="JE62" s="779"/>
      <c r="JF62" s="779"/>
      <c r="JG62" s="779"/>
      <c r="JH62" s="779"/>
      <c r="JI62" s="779"/>
      <c r="JJ62" s="779"/>
      <c r="JK62" s="779"/>
      <c r="JL62" s="779"/>
      <c r="JM62" s="779"/>
      <c r="JN62" s="779"/>
      <c r="JO62" s="779"/>
      <c r="JP62" s="779"/>
      <c r="JQ62" s="779"/>
      <c r="JR62" s="779"/>
      <c r="JS62" s="779"/>
      <c r="JT62" s="779"/>
      <c r="JU62" s="779"/>
      <c r="JV62" s="779"/>
      <c r="JW62" s="779"/>
      <c r="JX62" s="779"/>
      <c r="JY62" s="779"/>
      <c r="JZ62" s="779"/>
      <c r="KA62" s="779"/>
      <c r="KB62" s="779"/>
      <c r="KC62" s="779"/>
      <c r="KD62" s="779"/>
      <c r="KE62" s="779"/>
      <c r="KF62" s="779"/>
      <c r="KG62" s="779"/>
      <c r="KH62" s="779"/>
      <c r="KI62" s="779"/>
      <c r="KJ62" s="779"/>
      <c r="KK62" s="779"/>
      <c r="KL62" s="779"/>
      <c r="KM62" s="779"/>
      <c r="KN62" s="779"/>
      <c r="KO62" s="779"/>
      <c r="KP62" s="779"/>
      <c r="KQ62" s="779"/>
      <c r="KR62" s="779"/>
      <c r="KS62" s="779"/>
      <c r="KT62" s="779"/>
      <c r="KU62" s="779"/>
      <c r="KV62" s="779"/>
      <c r="KW62" s="779"/>
      <c r="KX62" s="779"/>
      <c r="KY62" s="779"/>
      <c r="KZ62" s="779"/>
      <c r="LA62" s="779"/>
      <c r="LB62" s="779"/>
      <c r="LC62" s="779"/>
      <c r="LD62" s="779"/>
      <c r="LE62" s="779"/>
      <c r="LF62" s="779"/>
      <c r="LG62" s="779"/>
      <c r="LH62" s="779"/>
      <c r="LI62" s="779"/>
      <c r="LJ62" s="779"/>
      <c r="LK62" s="779"/>
      <c r="LL62" s="779"/>
      <c r="LM62" s="779"/>
      <c r="LN62" s="779"/>
      <c r="LO62" s="779"/>
      <c r="LP62" s="779"/>
      <c r="LQ62" s="779"/>
      <c r="LR62" s="779"/>
      <c r="LS62" s="779"/>
      <c r="LT62" s="779"/>
      <c r="LU62" s="779"/>
      <c r="LV62" s="779"/>
      <c r="LW62" s="779"/>
      <c r="LX62" s="779"/>
      <c r="LY62" s="779"/>
      <c r="LZ62" s="779"/>
      <c r="MA62" s="779"/>
      <c r="MB62" s="779"/>
      <c r="MC62" s="779"/>
      <c r="MD62" s="779"/>
      <c r="ME62" s="779"/>
      <c r="MF62" s="779"/>
      <c r="MG62" s="779"/>
      <c r="MH62" s="779"/>
      <c r="MI62" s="779"/>
      <c r="MJ62" s="779"/>
      <c r="MK62" s="779"/>
      <c r="ML62" s="779"/>
      <c r="MM62" s="779"/>
      <c r="MN62" s="779"/>
      <c r="MO62" s="779"/>
      <c r="MP62" s="779"/>
      <c r="MQ62" s="779"/>
      <c r="MR62" s="779"/>
      <c r="MS62" s="779"/>
      <c r="MT62" s="779"/>
      <c r="MU62" s="779"/>
      <c r="MV62" s="779"/>
      <c r="MW62" s="779"/>
      <c r="MX62" s="779"/>
      <c r="MY62" s="779"/>
      <c r="MZ62" s="779"/>
      <c r="NA62" s="779"/>
      <c r="NB62" s="779"/>
      <c r="NC62" s="779"/>
      <c r="ND62" s="779"/>
      <c r="NE62" s="779"/>
      <c r="NF62" s="779"/>
      <c r="NG62" s="779"/>
      <c r="NH62" s="779"/>
      <c r="NI62" s="779"/>
      <c r="NJ62" s="779"/>
      <c r="NK62" s="779"/>
      <c r="NL62" s="779"/>
      <c r="NM62" s="779"/>
      <c r="NN62" s="779"/>
      <c r="NO62" s="779"/>
      <c r="NP62" s="779"/>
      <c r="NQ62" s="779"/>
      <c r="NR62" s="779"/>
      <c r="NS62" s="779"/>
      <c r="NT62" s="779"/>
      <c r="NU62" s="779"/>
      <c r="NV62" s="779"/>
      <c r="NW62" s="779"/>
      <c r="NX62" s="779"/>
      <c r="NY62" s="779"/>
      <c r="NZ62" s="779"/>
      <c r="OA62" s="779"/>
      <c r="OB62" s="779"/>
      <c r="OC62" s="779"/>
      <c r="OD62" s="779"/>
      <c r="OE62" s="779"/>
      <c r="OF62" s="779"/>
      <c r="OG62" s="779"/>
      <c r="OH62" s="779"/>
      <c r="OI62" s="779"/>
      <c r="OJ62" s="779"/>
      <c r="OK62" s="779"/>
      <c r="OL62" s="779"/>
      <c r="OM62" s="779"/>
      <c r="ON62" s="779"/>
      <c r="OO62" s="779"/>
      <c r="OP62" s="779"/>
      <c r="OQ62" s="779"/>
      <c r="OR62" s="779"/>
      <c r="OS62" s="779"/>
      <c r="OT62" s="779"/>
      <c r="OU62" s="779"/>
      <c r="OV62" s="779"/>
      <c r="OW62" s="779"/>
      <c r="OX62" s="779"/>
      <c r="OY62" s="779"/>
      <c r="OZ62" s="779"/>
      <c r="PA62" s="779"/>
      <c r="PB62" s="779"/>
      <c r="PC62" s="779"/>
      <c r="PD62" s="779"/>
      <c r="PE62" s="779"/>
      <c r="PF62" s="779"/>
      <c r="PG62" s="779"/>
      <c r="PH62" s="779"/>
      <c r="PI62" s="779"/>
      <c r="PJ62" s="779"/>
      <c r="PK62" s="779"/>
      <c r="PL62" s="779"/>
      <c r="PM62" s="779"/>
      <c r="PN62" s="779"/>
      <c r="PO62" s="779"/>
      <c r="PP62" s="779"/>
      <c r="PQ62" s="779"/>
      <c r="PR62" s="779"/>
      <c r="PS62" s="779"/>
      <c r="PT62" s="779"/>
      <c r="PU62" s="779"/>
      <c r="PV62" s="779"/>
      <c r="PW62" s="779"/>
      <c r="PX62" s="779"/>
      <c r="PY62" s="779"/>
      <c r="PZ62" s="779"/>
      <c r="QA62" s="779"/>
      <c r="QB62" s="779"/>
      <c r="QC62" s="779"/>
      <c r="QD62" s="779"/>
      <c r="QE62" s="779"/>
      <c r="QF62" s="779"/>
      <c r="QG62" s="779"/>
      <c r="QH62" s="779"/>
      <c r="QI62" s="779"/>
      <c r="QJ62" s="779"/>
      <c r="QK62" s="779"/>
      <c r="QL62" s="779"/>
      <c r="QM62" s="779"/>
      <c r="QN62" s="779"/>
      <c r="QO62" s="779"/>
      <c r="QP62" s="779"/>
      <c r="QQ62" s="779"/>
      <c r="QR62" s="779"/>
      <c r="QS62" s="779"/>
      <c r="QT62" s="779"/>
      <c r="QU62" s="779"/>
      <c r="QV62" s="779"/>
      <c r="QW62" s="779"/>
      <c r="QX62" s="779"/>
      <c r="QY62" s="779"/>
      <c r="QZ62" s="779"/>
      <c r="RA62" s="779"/>
      <c r="RB62" s="779"/>
      <c r="RC62" s="779"/>
      <c r="RD62" s="779"/>
      <c r="RE62" s="779"/>
      <c r="RF62" s="779"/>
      <c r="RG62" s="779"/>
      <c r="RH62" s="779"/>
      <c r="RI62" s="779"/>
      <c r="RJ62" s="779"/>
      <c r="RK62" s="779"/>
      <c r="RL62" s="779"/>
      <c r="RM62" s="779"/>
      <c r="RN62" s="779"/>
      <c r="RO62" s="779"/>
      <c r="RP62" s="779"/>
      <c r="RQ62" s="779"/>
      <c r="RR62" s="779"/>
      <c r="RS62" s="779"/>
      <c r="RT62" s="779"/>
      <c r="RU62" s="779"/>
      <c r="RV62" s="779"/>
      <c r="RW62" s="779"/>
      <c r="RX62" s="779"/>
    </row>
    <row r="63" spans="1:492" s="143" customFormat="1">
      <c r="A63" s="779"/>
      <c r="B63" s="779"/>
      <c r="C63" s="779"/>
      <c r="D63" s="779"/>
      <c r="E63" s="779"/>
      <c r="F63" s="779"/>
      <c r="G63" s="779"/>
      <c r="H63" s="779"/>
      <c r="I63" s="779"/>
      <c r="J63" s="779"/>
      <c r="K63" s="779"/>
      <c r="L63" s="779"/>
      <c r="M63" s="779"/>
      <c r="N63" s="779"/>
      <c r="O63" s="779"/>
      <c r="P63" s="779"/>
      <c r="Q63" s="779"/>
      <c r="R63" s="779"/>
      <c r="S63" s="779"/>
      <c r="T63" s="779"/>
      <c r="U63" s="779"/>
      <c r="V63" s="779"/>
      <c r="W63" s="779"/>
      <c r="X63" s="779"/>
      <c r="Y63" s="779"/>
      <c r="Z63" s="779"/>
      <c r="AA63" s="779"/>
      <c r="AB63" s="779"/>
      <c r="AC63" s="779"/>
      <c r="AD63" s="779"/>
      <c r="AE63" s="779"/>
      <c r="AF63" s="779"/>
      <c r="AG63" s="779"/>
      <c r="AH63" s="779"/>
      <c r="AI63" s="779"/>
      <c r="AJ63" s="779"/>
      <c r="AK63" s="779"/>
      <c r="AL63" s="779"/>
      <c r="AM63" s="782"/>
      <c r="AN63" s="782"/>
      <c r="AO63" s="782"/>
      <c r="AP63" s="782"/>
      <c r="AQ63" s="782"/>
      <c r="AR63" s="782"/>
      <c r="AS63" s="782"/>
      <c r="AT63" s="782"/>
      <c r="AU63" s="782"/>
      <c r="AV63" s="782"/>
      <c r="AW63" s="782"/>
      <c r="AX63" s="782"/>
      <c r="AY63" s="782"/>
      <c r="AZ63" s="782"/>
      <c r="BA63" s="782"/>
      <c r="BB63" s="782"/>
      <c r="BC63" s="782"/>
      <c r="BD63" s="782"/>
      <c r="BE63" s="782"/>
      <c r="BF63" s="782"/>
      <c r="BG63" s="782"/>
      <c r="BH63" s="782"/>
      <c r="BI63" s="782"/>
      <c r="BJ63" s="782"/>
      <c r="BK63" s="782"/>
      <c r="BL63" s="782"/>
      <c r="BM63" s="782"/>
      <c r="BN63" s="782"/>
      <c r="BO63" s="782"/>
      <c r="BP63" s="782"/>
      <c r="BQ63" s="782"/>
      <c r="BR63" s="782"/>
      <c r="BS63" s="782"/>
      <c r="BT63" s="782"/>
      <c r="BU63" s="782"/>
      <c r="BV63" s="782"/>
      <c r="BW63" s="782"/>
      <c r="BX63" s="782"/>
      <c r="BY63" s="782"/>
      <c r="BZ63" s="782"/>
      <c r="CA63" s="779"/>
      <c r="CB63" s="779"/>
      <c r="CC63" s="779"/>
      <c r="CD63" s="779"/>
      <c r="CE63" s="779"/>
      <c r="CF63" s="779"/>
      <c r="CG63" s="779"/>
      <c r="CH63" s="779"/>
      <c r="CI63" s="779"/>
      <c r="CJ63" s="779"/>
      <c r="CK63" s="779"/>
      <c r="CL63" s="779"/>
      <c r="CM63" s="779"/>
      <c r="CN63" s="779"/>
      <c r="CO63" s="779"/>
      <c r="CP63" s="779"/>
      <c r="CQ63" s="779"/>
      <c r="CR63" s="779"/>
      <c r="CS63" s="779"/>
      <c r="CT63" s="779"/>
      <c r="CU63" s="779"/>
      <c r="CV63" s="779"/>
      <c r="CW63" s="779"/>
      <c r="CX63" s="779"/>
      <c r="CY63" s="779"/>
      <c r="CZ63" s="779"/>
      <c r="DA63" s="779"/>
      <c r="DB63" s="779"/>
      <c r="DC63" s="779"/>
      <c r="DD63" s="779"/>
      <c r="DE63" s="779"/>
      <c r="DF63" s="779"/>
      <c r="DG63" s="779"/>
      <c r="DH63" s="779"/>
      <c r="DI63" s="779"/>
      <c r="DJ63" s="779"/>
      <c r="DK63" s="779"/>
      <c r="DL63" s="779"/>
      <c r="DM63" s="779"/>
      <c r="DN63" s="779"/>
      <c r="DO63" s="779"/>
      <c r="DP63" s="779"/>
      <c r="DQ63" s="779"/>
      <c r="DR63" s="779"/>
      <c r="DS63" s="779"/>
      <c r="DT63" s="779"/>
      <c r="DU63" s="779"/>
      <c r="DV63" s="779"/>
      <c r="DW63" s="779"/>
      <c r="DX63" s="779"/>
      <c r="DY63" s="779"/>
      <c r="DZ63" s="779"/>
      <c r="EA63" s="779"/>
      <c r="EB63" s="779"/>
      <c r="EC63" s="779"/>
      <c r="ED63" s="779"/>
      <c r="EE63" s="779"/>
      <c r="EF63" s="779"/>
      <c r="EG63" s="779"/>
      <c r="EH63" s="779"/>
      <c r="EI63" s="779"/>
      <c r="EJ63" s="779"/>
      <c r="EK63" s="779"/>
      <c r="EL63" s="779"/>
      <c r="EM63" s="779"/>
      <c r="EN63" s="779"/>
      <c r="EO63" s="779"/>
      <c r="EP63" s="779"/>
      <c r="EQ63" s="779"/>
      <c r="ER63" s="779"/>
      <c r="ES63" s="779"/>
      <c r="ET63" s="779"/>
      <c r="EU63" s="779"/>
      <c r="EV63" s="779"/>
      <c r="EW63" s="779"/>
      <c r="EX63" s="779"/>
      <c r="EY63" s="779"/>
      <c r="EZ63" s="779"/>
      <c r="FA63" s="779"/>
      <c r="FB63" s="779"/>
      <c r="FC63" s="779"/>
      <c r="FD63" s="779"/>
      <c r="FE63" s="779"/>
      <c r="FF63" s="779"/>
      <c r="FG63" s="779"/>
      <c r="FH63" s="779"/>
      <c r="FI63" s="779"/>
      <c r="FJ63" s="779"/>
      <c r="FK63" s="779"/>
      <c r="FL63" s="779"/>
      <c r="FM63" s="779"/>
      <c r="FN63" s="779"/>
      <c r="FO63" s="779"/>
      <c r="FP63" s="779"/>
      <c r="FQ63" s="779"/>
      <c r="FR63" s="779"/>
      <c r="FS63" s="779"/>
      <c r="FT63" s="779"/>
      <c r="FU63" s="779"/>
      <c r="FV63" s="779"/>
      <c r="FW63" s="779"/>
      <c r="FX63" s="779"/>
      <c r="FY63" s="779"/>
      <c r="FZ63" s="779"/>
      <c r="GA63" s="779"/>
      <c r="GB63" s="779"/>
      <c r="GC63" s="779"/>
      <c r="GD63" s="779"/>
      <c r="GE63" s="779"/>
      <c r="GF63" s="779"/>
      <c r="GG63" s="779"/>
      <c r="GH63" s="779"/>
      <c r="GI63" s="779"/>
      <c r="GJ63" s="779"/>
      <c r="GK63" s="779"/>
      <c r="GL63" s="779"/>
      <c r="GM63" s="779"/>
      <c r="GN63" s="779"/>
      <c r="GO63" s="779"/>
      <c r="GP63" s="779"/>
      <c r="GQ63" s="779"/>
      <c r="GR63" s="779"/>
      <c r="GS63" s="779"/>
      <c r="GT63" s="779"/>
      <c r="GU63" s="779"/>
      <c r="GV63" s="779"/>
      <c r="GW63" s="779"/>
      <c r="GX63" s="779"/>
      <c r="GY63" s="779"/>
      <c r="GZ63" s="779"/>
      <c r="HA63" s="779"/>
      <c r="HB63" s="779"/>
      <c r="HC63" s="779"/>
      <c r="HD63" s="779"/>
      <c r="HE63" s="779"/>
      <c r="HF63" s="779"/>
      <c r="HG63" s="779"/>
      <c r="HH63" s="779"/>
      <c r="HI63" s="779"/>
      <c r="HJ63" s="779"/>
      <c r="HK63" s="779"/>
      <c r="HL63" s="779"/>
      <c r="HM63" s="779"/>
      <c r="HN63" s="779"/>
      <c r="HO63" s="779"/>
      <c r="HP63" s="779"/>
      <c r="HQ63" s="779"/>
      <c r="HR63" s="779"/>
      <c r="HS63" s="779"/>
      <c r="HT63" s="779"/>
      <c r="HU63" s="779"/>
      <c r="HV63" s="779"/>
      <c r="HW63" s="779"/>
      <c r="HX63" s="779"/>
      <c r="HY63" s="779"/>
      <c r="HZ63" s="779"/>
      <c r="IA63" s="779"/>
      <c r="IB63" s="779"/>
      <c r="IC63" s="779"/>
      <c r="ID63" s="779"/>
      <c r="IE63" s="779"/>
      <c r="IF63" s="779"/>
      <c r="IG63" s="779"/>
      <c r="IH63" s="779"/>
      <c r="II63" s="779"/>
      <c r="IJ63" s="779"/>
      <c r="IK63" s="779"/>
      <c r="IL63" s="779"/>
      <c r="IM63" s="779"/>
      <c r="IN63" s="779"/>
      <c r="IO63" s="779"/>
      <c r="IP63" s="779"/>
      <c r="IQ63" s="779"/>
      <c r="IR63" s="779"/>
      <c r="IS63" s="779"/>
      <c r="IT63" s="779"/>
      <c r="IU63" s="779"/>
      <c r="IV63" s="779"/>
      <c r="IW63" s="779"/>
      <c r="IX63" s="779"/>
      <c r="IY63" s="779"/>
      <c r="IZ63" s="779"/>
      <c r="JA63" s="779"/>
      <c r="JB63" s="779"/>
      <c r="JC63" s="779"/>
      <c r="JD63" s="779"/>
      <c r="JE63" s="779"/>
      <c r="JF63" s="779"/>
      <c r="JG63" s="779"/>
      <c r="JH63" s="779"/>
      <c r="JI63" s="779"/>
      <c r="JJ63" s="779"/>
      <c r="JK63" s="779"/>
      <c r="JL63" s="779"/>
      <c r="JM63" s="779"/>
      <c r="JN63" s="779"/>
      <c r="JO63" s="779"/>
      <c r="JP63" s="779"/>
      <c r="JQ63" s="779"/>
      <c r="JR63" s="779"/>
      <c r="JS63" s="779"/>
      <c r="JT63" s="779"/>
      <c r="JU63" s="779"/>
      <c r="JV63" s="779"/>
      <c r="JW63" s="779"/>
      <c r="JX63" s="779"/>
      <c r="JY63" s="779"/>
      <c r="JZ63" s="779"/>
      <c r="KA63" s="779"/>
      <c r="KB63" s="779"/>
      <c r="KC63" s="779"/>
      <c r="KD63" s="779"/>
      <c r="KE63" s="779"/>
      <c r="KF63" s="779"/>
      <c r="KG63" s="779"/>
      <c r="KH63" s="779"/>
      <c r="KI63" s="779"/>
      <c r="KJ63" s="779"/>
      <c r="KK63" s="779"/>
      <c r="KL63" s="779"/>
      <c r="KM63" s="779"/>
      <c r="KN63" s="779"/>
      <c r="KO63" s="779"/>
      <c r="KP63" s="779"/>
      <c r="KQ63" s="779"/>
      <c r="KR63" s="779"/>
      <c r="KS63" s="779"/>
      <c r="KT63" s="779"/>
      <c r="KU63" s="779"/>
      <c r="KV63" s="779"/>
      <c r="KW63" s="779"/>
      <c r="KX63" s="779"/>
      <c r="KY63" s="779"/>
      <c r="KZ63" s="779"/>
      <c r="LA63" s="779"/>
      <c r="LB63" s="779"/>
      <c r="LC63" s="779"/>
      <c r="LD63" s="779"/>
      <c r="LE63" s="779"/>
      <c r="LF63" s="779"/>
      <c r="LG63" s="779"/>
      <c r="LH63" s="779"/>
      <c r="LI63" s="779"/>
      <c r="LJ63" s="779"/>
      <c r="LK63" s="779"/>
      <c r="LL63" s="779"/>
      <c r="LM63" s="779"/>
      <c r="LN63" s="779"/>
      <c r="LO63" s="779"/>
      <c r="LP63" s="779"/>
      <c r="LQ63" s="779"/>
      <c r="LR63" s="779"/>
      <c r="LS63" s="779"/>
      <c r="LT63" s="779"/>
      <c r="LU63" s="779"/>
      <c r="LV63" s="779"/>
      <c r="LW63" s="779"/>
      <c r="LX63" s="779"/>
      <c r="LY63" s="779"/>
      <c r="LZ63" s="779"/>
      <c r="MA63" s="779"/>
      <c r="MB63" s="779"/>
      <c r="MC63" s="779"/>
      <c r="MD63" s="779"/>
      <c r="ME63" s="779"/>
      <c r="MF63" s="779"/>
      <c r="MG63" s="779"/>
      <c r="MH63" s="779"/>
      <c r="MI63" s="779"/>
      <c r="MJ63" s="779"/>
      <c r="MK63" s="779"/>
      <c r="ML63" s="779"/>
      <c r="MM63" s="779"/>
      <c r="MN63" s="779"/>
      <c r="MO63" s="779"/>
      <c r="MP63" s="779"/>
      <c r="MQ63" s="779"/>
      <c r="MR63" s="779"/>
      <c r="MS63" s="779"/>
      <c r="MT63" s="779"/>
      <c r="MU63" s="779"/>
      <c r="MV63" s="779"/>
      <c r="MW63" s="779"/>
      <c r="MX63" s="779"/>
      <c r="MY63" s="779"/>
      <c r="MZ63" s="779"/>
      <c r="NA63" s="779"/>
      <c r="NB63" s="779"/>
      <c r="NC63" s="779"/>
      <c r="ND63" s="779"/>
      <c r="NE63" s="779"/>
      <c r="NF63" s="779"/>
      <c r="NG63" s="779"/>
      <c r="NH63" s="779"/>
      <c r="NI63" s="779"/>
      <c r="NJ63" s="779"/>
      <c r="NK63" s="779"/>
      <c r="NL63" s="779"/>
      <c r="NM63" s="779"/>
      <c r="NN63" s="779"/>
      <c r="NO63" s="779"/>
      <c r="NP63" s="779"/>
      <c r="NQ63" s="779"/>
      <c r="NR63" s="779"/>
      <c r="NS63" s="779"/>
      <c r="NT63" s="779"/>
      <c r="NU63" s="779"/>
      <c r="NV63" s="779"/>
      <c r="NW63" s="779"/>
      <c r="NX63" s="779"/>
      <c r="NY63" s="779"/>
      <c r="NZ63" s="779"/>
      <c r="OA63" s="779"/>
      <c r="OB63" s="779"/>
      <c r="OC63" s="779"/>
      <c r="OD63" s="779"/>
      <c r="OE63" s="779"/>
      <c r="OF63" s="779"/>
      <c r="OG63" s="779"/>
      <c r="OH63" s="779"/>
      <c r="OI63" s="779"/>
      <c r="OJ63" s="779"/>
      <c r="OK63" s="779"/>
      <c r="OL63" s="779"/>
      <c r="OM63" s="779"/>
      <c r="ON63" s="779"/>
      <c r="OO63" s="779"/>
      <c r="OP63" s="779"/>
      <c r="OQ63" s="779"/>
      <c r="OR63" s="779"/>
      <c r="OS63" s="779"/>
      <c r="OT63" s="779"/>
      <c r="OU63" s="779"/>
      <c r="OV63" s="779"/>
      <c r="OW63" s="779"/>
      <c r="OX63" s="779"/>
      <c r="OY63" s="779"/>
      <c r="OZ63" s="779"/>
      <c r="PA63" s="779"/>
      <c r="PB63" s="779"/>
      <c r="PC63" s="779"/>
      <c r="PD63" s="779"/>
      <c r="PE63" s="779"/>
      <c r="PF63" s="779"/>
      <c r="PG63" s="779"/>
      <c r="PH63" s="779"/>
      <c r="PI63" s="779"/>
      <c r="PJ63" s="779"/>
      <c r="PK63" s="779"/>
      <c r="PL63" s="779"/>
      <c r="PM63" s="779"/>
      <c r="PN63" s="779"/>
      <c r="PO63" s="779"/>
      <c r="PP63" s="779"/>
      <c r="PQ63" s="779"/>
      <c r="PR63" s="779"/>
      <c r="PS63" s="779"/>
      <c r="PT63" s="779"/>
      <c r="PU63" s="779"/>
      <c r="PV63" s="779"/>
      <c r="PW63" s="779"/>
      <c r="PX63" s="779"/>
      <c r="PY63" s="779"/>
      <c r="PZ63" s="779"/>
      <c r="QA63" s="779"/>
      <c r="QB63" s="779"/>
      <c r="QC63" s="779"/>
      <c r="QD63" s="779"/>
      <c r="QE63" s="779"/>
      <c r="QF63" s="779"/>
      <c r="QG63" s="779"/>
      <c r="QH63" s="779"/>
      <c r="QI63" s="779"/>
      <c r="QJ63" s="779"/>
      <c r="QK63" s="779"/>
      <c r="QL63" s="779"/>
      <c r="QM63" s="779"/>
      <c r="QN63" s="779"/>
      <c r="QO63" s="779"/>
      <c r="QP63" s="779"/>
      <c r="QQ63" s="779"/>
      <c r="QR63" s="779"/>
      <c r="QS63" s="779"/>
      <c r="QT63" s="779"/>
      <c r="QU63" s="779"/>
      <c r="QV63" s="779"/>
      <c r="QW63" s="779"/>
      <c r="QX63" s="779"/>
      <c r="QY63" s="779"/>
      <c r="QZ63" s="779"/>
      <c r="RA63" s="779"/>
      <c r="RB63" s="779"/>
      <c r="RC63" s="779"/>
      <c r="RD63" s="779"/>
      <c r="RE63" s="779"/>
      <c r="RF63" s="779"/>
      <c r="RG63" s="779"/>
      <c r="RH63" s="779"/>
      <c r="RI63" s="779"/>
      <c r="RJ63" s="779"/>
      <c r="RK63" s="779"/>
      <c r="RL63" s="779"/>
      <c r="RM63" s="779"/>
      <c r="RN63" s="779"/>
      <c r="RO63" s="779"/>
      <c r="RP63" s="779"/>
      <c r="RQ63" s="779"/>
      <c r="RR63" s="779"/>
      <c r="RS63" s="779"/>
      <c r="RT63" s="779"/>
      <c r="RU63" s="779"/>
      <c r="RV63" s="779"/>
      <c r="RW63" s="779"/>
      <c r="RX63" s="779"/>
    </row>
    <row r="64" spans="1:492" s="143" customFormat="1">
      <c r="A64" s="779"/>
      <c r="B64" s="779"/>
      <c r="C64" s="779"/>
      <c r="D64" s="779"/>
      <c r="E64" s="779"/>
      <c r="F64" s="779"/>
      <c r="G64" s="779"/>
      <c r="H64" s="779"/>
      <c r="I64" s="779"/>
      <c r="J64" s="779"/>
      <c r="K64" s="779"/>
      <c r="L64" s="779"/>
      <c r="M64" s="779"/>
      <c r="N64" s="779"/>
      <c r="O64" s="779"/>
      <c r="P64" s="779"/>
      <c r="Q64" s="779"/>
      <c r="R64" s="779"/>
      <c r="S64" s="779"/>
      <c r="T64" s="779"/>
      <c r="U64" s="779"/>
      <c r="V64" s="779"/>
      <c r="W64" s="779"/>
      <c r="X64" s="779"/>
      <c r="Y64" s="779"/>
      <c r="Z64" s="779"/>
      <c r="AA64" s="779"/>
      <c r="AB64" s="779"/>
      <c r="AC64" s="779"/>
      <c r="AD64" s="779"/>
      <c r="AE64" s="779"/>
      <c r="AF64" s="779"/>
      <c r="AG64" s="779"/>
      <c r="AH64" s="779"/>
      <c r="AI64" s="779"/>
      <c r="AJ64" s="779"/>
      <c r="AK64" s="779"/>
      <c r="AL64" s="779"/>
      <c r="AM64" s="782"/>
      <c r="AN64" s="782"/>
      <c r="AO64" s="782"/>
      <c r="AP64" s="782"/>
      <c r="AQ64" s="782"/>
      <c r="AR64" s="782"/>
      <c r="AS64" s="782"/>
      <c r="AT64" s="782"/>
      <c r="AU64" s="782"/>
      <c r="AV64" s="782"/>
      <c r="AW64" s="782"/>
      <c r="AX64" s="782"/>
      <c r="AY64" s="782"/>
      <c r="AZ64" s="782"/>
      <c r="BA64" s="782"/>
      <c r="BB64" s="782"/>
      <c r="BC64" s="782"/>
      <c r="BD64" s="782"/>
      <c r="BE64" s="782"/>
      <c r="BF64" s="782"/>
      <c r="BG64" s="782"/>
      <c r="BH64" s="782"/>
      <c r="BI64" s="782"/>
      <c r="BJ64" s="782"/>
      <c r="BK64" s="782"/>
      <c r="BL64" s="782"/>
      <c r="BM64" s="782"/>
      <c r="BN64" s="782"/>
      <c r="BO64" s="782"/>
      <c r="BP64" s="782"/>
      <c r="BQ64" s="782"/>
      <c r="BR64" s="782"/>
      <c r="BS64" s="782"/>
      <c r="BT64" s="782"/>
      <c r="BU64" s="782"/>
      <c r="BV64" s="782"/>
      <c r="BW64" s="782"/>
      <c r="BX64" s="782"/>
      <c r="BY64" s="782"/>
      <c r="BZ64" s="782"/>
      <c r="CA64" s="779"/>
      <c r="CB64" s="779"/>
      <c r="CC64" s="779"/>
      <c r="CD64" s="779"/>
      <c r="CE64" s="779"/>
      <c r="CF64" s="779"/>
      <c r="CG64" s="779"/>
      <c r="CH64" s="779"/>
      <c r="CI64" s="779"/>
      <c r="CJ64" s="779"/>
      <c r="CK64" s="779"/>
      <c r="CL64" s="779"/>
      <c r="CM64" s="779"/>
      <c r="CN64" s="779"/>
      <c r="CO64" s="779"/>
      <c r="CP64" s="779"/>
      <c r="CQ64" s="779"/>
      <c r="CR64" s="779"/>
      <c r="CS64" s="779"/>
      <c r="CT64" s="779"/>
      <c r="CU64" s="779"/>
      <c r="CV64" s="779"/>
      <c r="CW64" s="779"/>
      <c r="CX64" s="779"/>
      <c r="CY64" s="779"/>
      <c r="CZ64" s="779"/>
      <c r="DA64" s="779"/>
      <c r="DB64" s="779"/>
      <c r="DC64" s="779"/>
      <c r="DD64" s="779"/>
      <c r="DE64" s="779"/>
      <c r="DF64" s="779"/>
      <c r="DG64" s="779"/>
      <c r="DH64" s="779"/>
      <c r="DI64" s="779"/>
      <c r="DJ64" s="779"/>
      <c r="DK64" s="779"/>
      <c r="DL64" s="779"/>
      <c r="DM64" s="779"/>
      <c r="DN64" s="779"/>
      <c r="DO64" s="779"/>
      <c r="DP64" s="779"/>
      <c r="DQ64" s="779"/>
      <c r="DR64" s="779"/>
      <c r="DS64" s="779"/>
      <c r="DT64" s="779"/>
      <c r="DU64" s="779"/>
      <c r="DV64" s="779"/>
      <c r="DW64" s="779"/>
      <c r="DX64" s="779"/>
      <c r="DY64" s="779"/>
      <c r="DZ64" s="779"/>
      <c r="EA64" s="779"/>
      <c r="EB64" s="779"/>
      <c r="EC64" s="779"/>
      <c r="ED64" s="779"/>
      <c r="EE64" s="779"/>
      <c r="EF64" s="779"/>
      <c r="EG64" s="779"/>
      <c r="EH64" s="779"/>
      <c r="EI64" s="779"/>
      <c r="EJ64" s="779"/>
      <c r="EK64" s="779"/>
      <c r="EL64" s="779"/>
      <c r="EM64" s="779"/>
      <c r="EN64" s="779"/>
      <c r="EO64" s="779"/>
      <c r="EP64" s="779"/>
      <c r="EQ64" s="779"/>
      <c r="ER64" s="779"/>
      <c r="ES64" s="779"/>
      <c r="ET64" s="779"/>
      <c r="EU64" s="779"/>
      <c r="EV64" s="779"/>
      <c r="EW64" s="779"/>
      <c r="EX64" s="779"/>
      <c r="EY64" s="779"/>
      <c r="EZ64" s="779"/>
      <c r="FA64" s="779"/>
      <c r="FB64" s="779"/>
      <c r="FC64" s="779"/>
      <c r="FD64" s="779"/>
      <c r="FE64" s="779"/>
      <c r="FF64" s="779"/>
      <c r="FG64" s="779"/>
      <c r="FH64" s="779"/>
      <c r="FI64" s="779"/>
      <c r="FJ64" s="779"/>
      <c r="FK64" s="779"/>
      <c r="FL64" s="779"/>
      <c r="FM64" s="779"/>
      <c r="FN64" s="779"/>
      <c r="FO64" s="779"/>
      <c r="FP64" s="779"/>
      <c r="FQ64" s="779"/>
      <c r="FR64" s="779"/>
      <c r="FS64" s="779"/>
      <c r="FT64" s="779"/>
      <c r="FU64" s="779"/>
      <c r="FV64" s="779"/>
      <c r="FW64" s="779"/>
      <c r="FX64" s="779"/>
      <c r="FY64" s="779"/>
      <c r="FZ64" s="779"/>
      <c r="GA64" s="779"/>
      <c r="GB64" s="779"/>
      <c r="GC64" s="779"/>
      <c r="GD64" s="779"/>
      <c r="GE64" s="779"/>
      <c r="GF64" s="779"/>
      <c r="GG64" s="779"/>
      <c r="GH64" s="779"/>
      <c r="GI64" s="779"/>
      <c r="GJ64" s="779"/>
      <c r="GK64" s="779"/>
      <c r="GL64" s="779"/>
      <c r="GM64" s="779"/>
      <c r="GN64" s="779"/>
      <c r="GO64" s="779"/>
      <c r="GP64" s="779"/>
      <c r="GQ64" s="779"/>
      <c r="GR64" s="779"/>
      <c r="GS64" s="779"/>
      <c r="GT64" s="779"/>
      <c r="GU64" s="779"/>
      <c r="GV64" s="779"/>
      <c r="GW64" s="779"/>
      <c r="GX64" s="779"/>
      <c r="GY64" s="779"/>
      <c r="GZ64" s="779"/>
      <c r="HA64" s="779"/>
      <c r="HB64" s="779"/>
      <c r="HC64" s="779"/>
      <c r="HD64" s="779"/>
      <c r="HE64" s="779"/>
      <c r="HF64" s="779"/>
      <c r="HG64" s="779"/>
      <c r="HH64" s="779"/>
      <c r="HI64" s="779"/>
      <c r="HJ64" s="779"/>
      <c r="HK64" s="779"/>
      <c r="HL64" s="779"/>
      <c r="HM64" s="779"/>
      <c r="HN64" s="779"/>
      <c r="HO64" s="779"/>
      <c r="HP64" s="779"/>
      <c r="HQ64" s="779"/>
      <c r="HR64" s="779"/>
      <c r="HS64" s="779"/>
      <c r="HT64" s="779"/>
      <c r="HU64" s="779"/>
      <c r="HV64" s="779"/>
      <c r="HW64" s="779"/>
      <c r="HX64" s="779"/>
      <c r="HY64" s="779"/>
      <c r="HZ64" s="779"/>
      <c r="IA64" s="779"/>
      <c r="IB64" s="779"/>
      <c r="IC64" s="779"/>
      <c r="ID64" s="779"/>
      <c r="IE64" s="779"/>
      <c r="IF64" s="779"/>
      <c r="IG64" s="779"/>
      <c r="IH64" s="779"/>
      <c r="II64" s="779"/>
      <c r="IJ64" s="779"/>
      <c r="IK64" s="779"/>
      <c r="IL64" s="779"/>
      <c r="IM64" s="779"/>
      <c r="IN64" s="779"/>
      <c r="IO64" s="779"/>
      <c r="IP64" s="779"/>
      <c r="IQ64" s="779"/>
      <c r="IR64" s="779"/>
      <c r="IS64" s="779"/>
      <c r="IT64" s="779"/>
      <c r="IU64" s="779"/>
      <c r="IV64" s="779"/>
      <c r="IW64" s="779"/>
      <c r="IX64" s="779"/>
      <c r="IY64" s="779"/>
      <c r="IZ64" s="779"/>
      <c r="JA64" s="779"/>
      <c r="JB64" s="779"/>
      <c r="JC64" s="779"/>
      <c r="JD64" s="779"/>
      <c r="JE64" s="779"/>
      <c r="JF64" s="779"/>
      <c r="JG64" s="779"/>
      <c r="JH64" s="779"/>
      <c r="JI64" s="779"/>
      <c r="JJ64" s="779"/>
      <c r="JK64" s="779"/>
      <c r="JL64" s="779"/>
      <c r="JM64" s="779"/>
      <c r="JN64" s="779"/>
      <c r="JO64" s="779"/>
      <c r="JP64" s="779"/>
      <c r="JQ64" s="779"/>
      <c r="JR64" s="779"/>
      <c r="JS64" s="779"/>
      <c r="JT64" s="779"/>
      <c r="JU64" s="779"/>
      <c r="JV64" s="779"/>
      <c r="JW64" s="779"/>
      <c r="JX64" s="779"/>
      <c r="JY64" s="779"/>
      <c r="JZ64" s="779"/>
      <c r="KA64" s="779"/>
      <c r="KB64" s="779"/>
      <c r="KC64" s="779"/>
      <c r="KD64" s="779"/>
      <c r="KE64" s="779"/>
      <c r="KF64" s="779"/>
      <c r="KG64" s="779"/>
      <c r="KH64" s="779"/>
      <c r="KI64" s="779"/>
      <c r="KJ64" s="779"/>
      <c r="KK64" s="779"/>
      <c r="KL64" s="779"/>
      <c r="KM64" s="779"/>
      <c r="KN64" s="779"/>
      <c r="KO64" s="779"/>
      <c r="KP64" s="779"/>
      <c r="KQ64" s="779"/>
      <c r="KR64" s="779"/>
      <c r="KS64" s="779"/>
      <c r="KT64" s="779"/>
      <c r="KU64" s="779"/>
      <c r="KV64" s="779"/>
      <c r="KW64" s="779"/>
      <c r="KX64" s="779"/>
      <c r="KY64" s="779"/>
      <c r="KZ64" s="779"/>
      <c r="LA64" s="779"/>
      <c r="LB64" s="779"/>
      <c r="LC64" s="779"/>
      <c r="LD64" s="779"/>
      <c r="LE64" s="779"/>
      <c r="LF64" s="779"/>
      <c r="LG64" s="779"/>
      <c r="LH64" s="779"/>
      <c r="LI64" s="779"/>
      <c r="LJ64" s="779"/>
      <c r="LK64" s="779"/>
      <c r="LL64" s="779"/>
      <c r="LM64" s="779"/>
      <c r="LN64" s="779"/>
      <c r="LO64" s="779"/>
      <c r="LP64" s="779"/>
      <c r="LQ64" s="779"/>
      <c r="LR64" s="779"/>
      <c r="LS64" s="779"/>
      <c r="LT64" s="779"/>
      <c r="LU64" s="779"/>
      <c r="LV64" s="779"/>
      <c r="LW64" s="779"/>
      <c r="LX64" s="779"/>
      <c r="LY64" s="779"/>
      <c r="LZ64" s="779"/>
      <c r="MA64" s="779"/>
      <c r="MB64" s="779"/>
      <c r="MC64" s="779"/>
      <c r="MD64" s="779"/>
      <c r="ME64" s="779"/>
      <c r="MF64" s="779"/>
      <c r="MG64" s="779"/>
      <c r="MH64" s="779"/>
      <c r="MI64" s="779"/>
      <c r="MJ64" s="779"/>
      <c r="MK64" s="779"/>
      <c r="ML64" s="779"/>
      <c r="MM64" s="779"/>
      <c r="MN64" s="779"/>
      <c r="MO64" s="779"/>
      <c r="MP64" s="779"/>
      <c r="MQ64" s="779"/>
      <c r="MR64" s="779"/>
      <c r="MS64" s="779"/>
      <c r="MT64" s="779"/>
      <c r="MU64" s="779"/>
      <c r="MV64" s="779"/>
      <c r="MW64" s="779"/>
      <c r="MX64" s="779"/>
      <c r="MY64" s="779"/>
      <c r="MZ64" s="779"/>
      <c r="NA64" s="779"/>
      <c r="NB64" s="779"/>
      <c r="NC64" s="779"/>
      <c r="ND64" s="779"/>
      <c r="NE64" s="779"/>
      <c r="NF64" s="779"/>
      <c r="NG64" s="779"/>
      <c r="NH64" s="779"/>
      <c r="NI64" s="779"/>
      <c r="NJ64" s="779"/>
      <c r="NK64" s="779"/>
      <c r="NL64" s="779"/>
      <c r="NM64" s="779"/>
      <c r="NN64" s="779"/>
      <c r="NO64" s="779"/>
      <c r="NP64" s="779"/>
      <c r="NQ64" s="779"/>
      <c r="NR64" s="779"/>
      <c r="NS64" s="779"/>
      <c r="NT64" s="779"/>
      <c r="NU64" s="779"/>
      <c r="NV64" s="779"/>
      <c r="NW64" s="779"/>
      <c r="NX64" s="779"/>
      <c r="NY64" s="779"/>
      <c r="NZ64" s="779"/>
      <c r="OA64" s="779"/>
      <c r="OB64" s="779"/>
      <c r="OC64" s="779"/>
      <c r="OD64" s="779"/>
      <c r="OE64" s="779"/>
      <c r="OF64" s="779"/>
      <c r="OG64" s="779"/>
      <c r="OH64" s="779"/>
      <c r="OI64" s="779"/>
      <c r="OJ64" s="779"/>
      <c r="OK64" s="779"/>
      <c r="OL64" s="779"/>
      <c r="OM64" s="779"/>
      <c r="ON64" s="779"/>
      <c r="OO64" s="779"/>
      <c r="OP64" s="779"/>
      <c r="OQ64" s="779"/>
      <c r="OR64" s="779"/>
      <c r="OS64" s="779"/>
      <c r="OT64" s="779"/>
      <c r="OU64" s="779"/>
      <c r="OV64" s="779"/>
      <c r="OW64" s="779"/>
      <c r="OX64" s="779"/>
      <c r="OY64" s="779"/>
      <c r="OZ64" s="779"/>
      <c r="PA64" s="779"/>
      <c r="PB64" s="779"/>
      <c r="PC64" s="779"/>
      <c r="PD64" s="779"/>
      <c r="PE64" s="779"/>
      <c r="PF64" s="779"/>
      <c r="PG64" s="779"/>
      <c r="PH64" s="779"/>
      <c r="PI64" s="779"/>
      <c r="PJ64" s="779"/>
      <c r="PK64" s="779"/>
      <c r="PL64" s="779"/>
      <c r="PM64" s="779"/>
      <c r="PN64" s="779"/>
      <c r="PO64" s="779"/>
      <c r="PP64" s="779"/>
      <c r="PQ64" s="779"/>
      <c r="PR64" s="779"/>
      <c r="PS64" s="779"/>
      <c r="PT64" s="779"/>
      <c r="PU64" s="779"/>
      <c r="PV64" s="779"/>
      <c r="PW64" s="779"/>
      <c r="PX64" s="779"/>
      <c r="PY64" s="779"/>
      <c r="PZ64" s="779"/>
      <c r="QA64" s="779"/>
      <c r="QB64" s="779"/>
      <c r="QC64" s="779"/>
      <c r="QD64" s="779"/>
      <c r="QE64" s="779"/>
      <c r="QF64" s="779"/>
      <c r="QG64" s="779"/>
      <c r="QH64" s="779"/>
      <c r="QI64" s="779"/>
      <c r="QJ64" s="779"/>
      <c r="QK64" s="779"/>
      <c r="QL64" s="779"/>
      <c r="QM64" s="779"/>
      <c r="QN64" s="779"/>
      <c r="QO64" s="779"/>
      <c r="QP64" s="779"/>
      <c r="QQ64" s="779"/>
      <c r="QR64" s="779"/>
      <c r="QS64" s="779"/>
      <c r="QT64" s="779"/>
      <c r="QU64" s="779"/>
      <c r="QV64" s="779"/>
      <c r="QW64" s="779"/>
      <c r="QX64" s="779"/>
      <c r="QY64" s="779"/>
      <c r="QZ64" s="779"/>
      <c r="RA64" s="779"/>
      <c r="RB64" s="779"/>
      <c r="RC64" s="779"/>
      <c r="RD64" s="779"/>
      <c r="RE64" s="779"/>
      <c r="RF64" s="779"/>
      <c r="RG64" s="779"/>
      <c r="RH64" s="779"/>
      <c r="RI64" s="779"/>
      <c r="RJ64" s="779"/>
      <c r="RK64" s="779"/>
      <c r="RL64" s="779"/>
      <c r="RM64" s="779"/>
      <c r="RN64" s="779"/>
      <c r="RO64" s="779"/>
      <c r="RP64" s="779"/>
      <c r="RQ64" s="779"/>
      <c r="RR64" s="779"/>
      <c r="RS64" s="779"/>
      <c r="RT64" s="779"/>
      <c r="RU64" s="779"/>
      <c r="RV64" s="779"/>
      <c r="RW64" s="779"/>
      <c r="RX64" s="779"/>
    </row>
    <row r="65" spans="1:492" s="143" customFormat="1">
      <c r="A65" s="779"/>
      <c r="B65" s="779"/>
      <c r="C65" s="779"/>
      <c r="D65" s="779"/>
      <c r="E65" s="779"/>
      <c r="F65" s="779"/>
      <c r="G65" s="779"/>
      <c r="H65" s="779"/>
      <c r="I65" s="779"/>
      <c r="J65" s="779"/>
      <c r="K65" s="779"/>
      <c r="L65" s="779"/>
      <c r="M65" s="779"/>
      <c r="N65" s="779"/>
      <c r="O65" s="779"/>
      <c r="P65" s="779"/>
      <c r="Q65" s="779"/>
      <c r="R65" s="779"/>
      <c r="S65" s="779"/>
      <c r="T65" s="779"/>
      <c r="U65" s="779"/>
      <c r="V65" s="779"/>
      <c r="W65" s="779"/>
      <c r="X65" s="779"/>
      <c r="Y65" s="779"/>
      <c r="Z65" s="779"/>
      <c r="AA65" s="779"/>
      <c r="AB65" s="779"/>
      <c r="AC65" s="779"/>
      <c r="AD65" s="779"/>
      <c r="AE65" s="779"/>
      <c r="AF65" s="779"/>
      <c r="AG65" s="779"/>
      <c r="AH65" s="779"/>
      <c r="AI65" s="779"/>
      <c r="AJ65" s="779"/>
      <c r="AK65" s="779"/>
      <c r="AL65" s="779"/>
      <c r="AM65" s="782"/>
      <c r="AN65" s="782"/>
      <c r="AO65" s="782"/>
      <c r="AP65" s="782"/>
      <c r="AQ65" s="782"/>
      <c r="AR65" s="782"/>
      <c r="AS65" s="782"/>
      <c r="AT65" s="782"/>
      <c r="AU65" s="782"/>
      <c r="AV65" s="782"/>
      <c r="AW65" s="782"/>
      <c r="AX65" s="782"/>
      <c r="AY65" s="782"/>
      <c r="AZ65" s="782"/>
      <c r="BA65" s="782"/>
      <c r="BB65" s="782"/>
      <c r="BC65" s="782"/>
      <c r="BD65" s="782"/>
      <c r="BE65" s="782"/>
      <c r="BF65" s="782"/>
      <c r="BG65" s="782"/>
      <c r="BH65" s="782"/>
      <c r="BI65" s="782"/>
      <c r="BJ65" s="782"/>
      <c r="BK65" s="782"/>
      <c r="BL65" s="782"/>
      <c r="BM65" s="782"/>
      <c r="BN65" s="782"/>
      <c r="BO65" s="782"/>
      <c r="BP65" s="782"/>
      <c r="BQ65" s="782"/>
      <c r="BR65" s="782"/>
      <c r="BS65" s="782"/>
      <c r="BT65" s="782"/>
      <c r="BU65" s="782"/>
      <c r="BV65" s="782"/>
      <c r="BW65" s="782"/>
      <c r="BX65" s="782"/>
      <c r="BY65" s="782"/>
      <c r="BZ65" s="782"/>
      <c r="CA65" s="779"/>
      <c r="CB65" s="779"/>
      <c r="CC65" s="779"/>
      <c r="CD65" s="779"/>
      <c r="CE65" s="779"/>
      <c r="CF65" s="779"/>
      <c r="CG65" s="779"/>
      <c r="CH65" s="779"/>
      <c r="CI65" s="779"/>
      <c r="CJ65" s="779"/>
      <c r="CK65" s="779"/>
      <c r="CL65" s="779"/>
      <c r="CM65" s="779"/>
      <c r="CN65" s="779"/>
      <c r="CO65" s="779"/>
      <c r="CP65" s="779"/>
      <c r="CQ65" s="779"/>
      <c r="CR65" s="779"/>
      <c r="CS65" s="779"/>
      <c r="CT65" s="779"/>
      <c r="CU65" s="779"/>
      <c r="CV65" s="779"/>
      <c r="CW65" s="779"/>
      <c r="CX65" s="779"/>
      <c r="CY65" s="779"/>
      <c r="CZ65" s="779"/>
      <c r="DA65" s="779"/>
      <c r="DB65" s="779"/>
      <c r="DC65" s="779"/>
      <c r="DD65" s="779"/>
      <c r="DE65" s="779"/>
      <c r="DF65" s="779"/>
      <c r="DG65" s="779"/>
      <c r="DH65" s="779"/>
      <c r="DI65" s="779"/>
      <c r="DJ65" s="779"/>
      <c r="DK65" s="779"/>
      <c r="DL65" s="779"/>
      <c r="DM65" s="779"/>
      <c r="DN65" s="779"/>
      <c r="DO65" s="779"/>
      <c r="DP65" s="779"/>
      <c r="DQ65" s="779"/>
      <c r="DR65" s="779"/>
      <c r="DS65" s="779"/>
      <c r="DT65" s="779"/>
      <c r="DU65" s="779"/>
      <c r="DV65" s="779"/>
      <c r="DW65" s="779"/>
      <c r="DX65" s="779"/>
      <c r="DY65" s="779"/>
      <c r="DZ65" s="779"/>
      <c r="EA65" s="779"/>
      <c r="EB65" s="779"/>
      <c r="EC65" s="779"/>
      <c r="ED65" s="779"/>
      <c r="EE65" s="779"/>
      <c r="EF65" s="779"/>
      <c r="EG65" s="779"/>
      <c r="EH65" s="779"/>
      <c r="EI65" s="779"/>
      <c r="EJ65" s="779"/>
      <c r="EK65" s="779"/>
      <c r="EL65" s="779"/>
      <c r="EM65" s="779"/>
      <c r="EN65" s="779"/>
      <c r="EO65" s="779"/>
      <c r="EP65" s="779"/>
      <c r="EQ65" s="779"/>
      <c r="ER65" s="779"/>
      <c r="ES65" s="779"/>
      <c r="ET65" s="779"/>
      <c r="EU65" s="779"/>
      <c r="EV65" s="779"/>
      <c r="EW65" s="779"/>
      <c r="EX65" s="779"/>
      <c r="EY65" s="779"/>
      <c r="EZ65" s="779"/>
      <c r="FA65" s="779"/>
      <c r="FB65" s="779"/>
      <c r="FC65" s="779"/>
      <c r="FD65" s="779"/>
      <c r="FE65" s="779"/>
      <c r="FF65" s="779"/>
      <c r="FG65" s="779"/>
      <c r="FH65" s="779"/>
      <c r="FI65" s="779"/>
      <c r="FJ65" s="779"/>
      <c r="FK65" s="779"/>
      <c r="FL65" s="779"/>
      <c r="FM65" s="779"/>
      <c r="FN65" s="779"/>
      <c r="FO65" s="779"/>
      <c r="FP65" s="779"/>
      <c r="FQ65" s="779"/>
      <c r="FR65" s="779"/>
      <c r="FS65" s="779"/>
      <c r="FT65" s="779"/>
      <c r="FU65" s="779"/>
      <c r="FV65" s="779"/>
      <c r="FW65" s="779"/>
      <c r="FX65" s="779"/>
      <c r="FY65" s="779"/>
      <c r="FZ65" s="779"/>
      <c r="GA65" s="779"/>
      <c r="GB65" s="779"/>
      <c r="GC65" s="779"/>
      <c r="GD65" s="779"/>
      <c r="GE65" s="779"/>
      <c r="GF65" s="779"/>
      <c r="GG65" s="779"/>
      <c r="GH65" s="779"/>
      <c r="GI65" s="779"/>
      <c r="GJ65" s="779"/>
      <c r="GK65" s="779"/>
      <c r="GL65" s="779"/>
      <c r="GM65" s="779"/>
      <c r="GN65" s="779"/>
      <c r="GO65" s="779"/>
      <c r="GP65" s="779"/>
      <c r="GQ65" s="779"/>
      <c r="GR65" s="779"/>
      <c r="GS65" s="779"/>
      <c r="GT65" s="779"/>
      <c r="GU65" s="779"/>
      <c r="GV65" s="779"/>
      <c r="GW65" s="779"/>
      <c r="GX65" s="779"/>
      <c r="GY65" s="779"/>
      <c r="GZ65" s="779"/>
      <c r="HA65" s="779"/>
      <c r="HB65" s="779"/>
      <c r="HC65" s="779"/>
      <c r="HD65" s="779"/>
      <c r="HE65" s="779"/>
      <c r="HF65" s="779"/>
      <c r="HG65" s="779"/>
      <c r="HH65" s="779"/>
      <c r="HI65" s="779"/>
      <c r="HJ65" s="779"/>
      <c r="HK65" s="779"/>
      <c r="HL65" s="779"/>
      <c r="HM65" s="779"/>
      <c r="HN65" s="779"/>
      <c r="HO65" s="779"/>
      <c r="HP65" s="779"/>
      <c r="HQ65" s="779"/>
      <c r="HR65" s="779"/>
      <c r="HS65" s="779"/>
      <c r="HT65" s="779"/>
      <c r="HU65" s="779"/>
      <c r="HV65" s="779"/>
      <c r="HW65" s="779"/>
      <c r="HX65" s="779"/>
      <c r="HY65" s="779"/>
      <c r="HZ65" s="779"/>
      <c r="IA65" s="779"/>
      <c r="IB65" s="779"/>
      <c r="IC65" s="779"/>
      <c r="ID65" s="779"/>
      <c r="IE65" s="779"/>
      <c r="IF65" s="779"/>
      <c r="IG65" s="779"/>
      <c r="IH65" s="779"/>
      <c r="II65" s="779"/>
      <c r="IJ65" s="779"/>
      <c r="IK65" s="779"/>
      <c r="IL65" s="779"/>
      <c r="IM65" s="779"/>
      <c r="IN65" s="779"/>
      <c r="IO65" s="779"/>
      <c r="IP65" s="779"/>
      <c r="IQ65" s="779"/>
      <c r="IR65" s="779"/>
      <c r="IS65" s="779"/>
      <c r="IT65" s="779"/>
      <c r="IU65" s="779"/>
      <c r="IV65" s="779"/>
      <c r="IW65" s="779"/>
      <c r="IX65" s="779"/>
      <c r="IY65" s="779"/>
      <c r="IZ65" s="779"/>
      <c r="JA65" s="779"/>
      <c r="JB65" s="779"/>
      <c r="JC65" s="779"/>
      <c r="JD65" s="779"/>
      <c r="JE65" s="779"/>
      <c r="JF65" s="779"/>
      <c r="JG65" s="779"/>
      <c r="JH65" s="779"/>
      <c r="JI65" s="779"/>
      <c r="JJ65" s="779"/>
      <c r="JK65" s="779"/>
      <c r="JL65" s="779"/>
      <c r="JM65" s="779"/>
      <c r="JN65" s="779"/>
      <c r="JO65" s="779"/>
      <c r="JP65" s="779"/>
      <c r="JQ65" s="779"/>
      <c r="JR65" s="779"/>
      <c r="JS65" s="779"/>
      <c r="JT65" s="779"/>
      <c r="JU65" s="779"/>
      <c r="JV65" s="779"/>
      <c r="JW65" s="779"/>
      <c r="JX65" s="779"/>
      <c r="JY65" s="779"/>
      <c r="JZ65" s="779"/>
      <c r="KA65" s="779"/>
      <c r="KB65" s="779"/>
      <c r="KC65" s="779"/>
      <c r="KD65" s="779"/>
      <c r="KE65" s="779"/>
      <c r="KF65" s="779"/>
      <c r="KG65" s="779"/>
      <c r="KH65" s="779"/>
      <c r="KI65" s="779"/>
      <c r="KJ65" s="779"/>
      <c r="KK65" s="779"/>
      <c r="KL65" s="779"/>
      <c r="KM65" s="779"/>
      <c r="KN65" s="779"/>
      <c r="KO65" s="779"/>
      <c r="KP65" s="779"/>
      <c r="KQ65" s="779"/>
      <c r="KR65" s="779"/>
      <c r="KS65" s="779"/>
      <c r="KT65" s="779"/>
      <c r="KU65" s="779"/>
      <c r="KV65" s="779"/>
      <c r="KW65" s="779"/>
      <c r="KX65" s="779"/>
      <c r="KY65" s="779"/>
      <c r="KZ65" s="779"/>
      <c r="LA65" s="779"/>
      <c r="LB65" s="779"/>
      <c r="LC65" s="779"/>
      <c r="LD65" s="779"/>
      <c r="LE65" s="779"/>
      <c r="LF65" s="779"/>
      <c r="LG65" s="779"/>
      <c r="LH65" s="779"/>
      <c r="LI65" s="779"/>
      <c r="LJ65" s="779"/>
      <c r="LK65" s="779"/>
      <c r="LL65" s="779"/>
      <c r="LM65" s="779"/>
      <c r="LN65" s="779"/>
      <c r="LO65" s="779"/>
      <c r="LP65" s="779"/>
      <c r="LQ65" s="779"/>
      <c r="LR65" s="779"/>
      <c r="LS65" s="779"/>
      <c r="LT65" s="779"/>
      <c r="LU65" s="779"/>
      <c r="LV65" s="779"/>
      <c r="LW65" s="779"/>
      <c r="LX65" s="779"/>
      <c r="LY65" s="779"/>
      <c r="LZ65" s="779"/>
      <c r="MA65" s="779"/>
      <c r="MB65" s="779"/>
      <c r="MC65" s="779"/>
      <c r="MD65" s="779"/>
      <c r="ME65" s="779"/>
      <c r="MF65" s="779"/>
      <c r="MG65" s="779"/>
      <c r="MH65" s="779"/>
      <c r="MI65" s="779"/>
      <c r="MJ65" s="779"/>
      <c r="MK65" s="779"/>
      <c r="ML65" s="779"/>
      <c r="MM65" s="779"/>
      <c r="MN65" s="779"/>
      <c r="MO65" s="779"/>
      <c r="MP65" s="779"/>
      <c r="MQ65" s="779"/>
      <c r="MR65" s="779"/>
      <c r="MS65" s="779"/>
      <c r="MT65" s="779"/>
      <c r="MU65" s="779"/>
      <c r="MV65" s="779"/>
      <c r="MW65" s="779"/>
      <c r="MX65" s="779"/>
      <c r="MY65" s="779"/>
      <c r="MZ65" s="779"/>
      <c r="NA65" s="779"/>
      <c r="NB65" s="779"/>
      <c r="NC65" s="779"/>
      <c r="ND65" s="779"/>
      <c r="NE65" s="779"/>
      <c r="NF65" s="779"/>
      <c r="NG65" s="779"/>
      <c r="NH65" s="779"/>
      <c r="NI65" s="779"/>
      <c r="NJ65" s="779"/>
      <c r="NK65" s="779"/>
      <c r="NL65" s="779"/>
      <c r="NM65" s="779"/>
      <c r="NN65" s="779"/>
      <c r="NO65" s="779"/>
      <c r="NP65" s="779"/>
      <c r="NQ65" s="779"/>
      <c r="NR65" s="779"/>
      <c r="NS65" s="779"/>
      <c r="NT65" s="779"/>
      <c r="NU65" s="779"/>
      <c r="NV65" s="779"/>
      <c r="NW65" s="779"/>
      <c r="NX65" s="779"/>
      <c r="NY65" s="779"/>
      <c r="NZ65" s="779"/>
      <c r="OA65" s="779"/>
      <c r="OB65" s="779"/>
      <c r="OC65" s="779"/>
      <c r="OD65" s="779"/>
      <c r="OE65" s="779"/>
      <c r="OF65" s="779"/>
      <c r="OG65" s="779"/>
      <c r="OH65" s="779"/>
      <c r="OI65" s="779"/>
      <c r="OJ65" s="779"/>
      <c r="OK65" s="779"/>
      <c r="OL65" s="779"/>
      <c r="OM65" s="779"/>
      <c r="ON65" s="779"/>
      <c r="OO65" s="779"/>
      <c r="OP65" s="779"/>
      <c r="OQ65" s="779"/>
      <c r="OR65" s="779"/>
      <c r="OS65" s="779"/>
      <c r="OT65" s="779"/>
      <c r="OU65" s="779"/>
      <c r="OV65" s="779"/>
      <c r="OW65" s="779"/>
      <c r="OX65" s="779"/>
      <c r="OY65" s="779"/>
      <c r="OZ65" s="779"/>
      <c r="PA65" s="779"/>
      <c r="PB65" s="779"/>
      <c r="PC65" s="779"/>
      <c r="PD65" s="779"/>
      <c r="PE65" s="779"/>
      <c r="PF65" s="779"/>
      <c r="PG65" s="779"/>
      <c r="PH65" s="779"/>
      <c r="PI65" s="779"/>
      <c r="PJ65" s="779"/>
      <c r="PK65" s="779"/>
      <c r="PL65" s="779"/>
      <c r="PM65" s="779"/>
      <c r="PN65" s="779"/>
      <c r="PO65" s="779"/>
      <c r="PP65" s="779"/>
      <c r="PQ65" s="779"/>
      <c r="PR65" s="779"/>
      <c r="PS65" s="779"/>
      <c r="PT65" s="779"/>
      <c r="PU65" s="779"/>
      <c r="PV65" s="779"/>
      <c r="PW65" s="779"/>
      <c r="PX65" s="779"/>
      <c r="PY65" s="779"/>
      <c r="PZ65" s="779"/>
      <c r="QA65" s="779"/>
      <c r="QB65" s="779"/>
      <c r="QC65" s="779"/>
      <c r="QD65" s="779"/>
      <c r="QE65" s="779"/>
      <c r="QF65" s="779"/>
      <c r="QG65" s="779"/>
      <c r="QH65" s="779"/>
      <c r="QI65" s="779"/>
      <c r="QJ65" s="779"/>
      <c r="QK65" s="779"/>
      <c r="QL65" s="779"/>
      <c r="QM65" s="779"/>
      <c r="QN65" s="779"/>
      <c r="QO65" s="779"/>
      <c r="QP65" s="779"/>
      <c r="QQ65" s="779"/>
      <c r="QR65" s="779"/>
      <c r="QS65" s="779"/>
      <c r="QT65" s="779"/>
      <c r="QU65" s="779"/>
      <c r="QV65" s="779"/>
      <c r="QW65" s="779"/>
      <c r="QX65" s="779"/>
      <c r="QY65" s="779"/>
      <c r="QZ65" s="779"/>
      <c r="RA65" s="779"/>
      <c r="RB65" s="779"/>
      <c r="RC65" s="779"/>
      <c r="RD65" s="779"/>
      <c r="RE65" s="779"/>
      <c r="RF65" s="779"/>
      <c r="RG65" s="779"/>
      <c r="RH65" s="779"/>
      <c r="RI65" s="779"/>
      <c r="RJ65" s="779"/>
      <c r="RK65" s="779"/>
      <c r="RL65" s="779"/>
      <c r="RM65" s="779"/>
      <c r="RN65" s="779"/>
      <c r="RO65" s="779"/>
      <c r="RP65" s="779"/>
      <c r="RQ65" s="779"/>
      <c r="RR65" s="779"/>
      <c r="RS65" s="779"/>
      <c r="RT65" s="779"/>
      <c r="RU65" s="779"/>
      <c r="RV65" s="779"/>
      <c r="RW65" s="779"/>
      <c r="RX65" s="779"/>
    </row>
    <row r="66" spans="1:492" s="143" customFormat="1">
      <c r="A66" s="779"/>
      <c r="B66" s="779"/>
      <c r="C66" s="779"/>
      <c r="D66" s="779"/>
      <c r="E66" s="779"/>
      <c r="F66" s="779"/>
      <c r="G66" s="779"/>
      <c r="H66" s="779"/>
      <c r="I66" s="779"/>
      <c r="J66" s="779"/>
      <c r="K66" s="779"/>
      <c r="L66" s="779"/>
      <c r="M66" s="779"/>
      <c r="N66" s="779"/>
      <c r="O66" s="779"/>
      <c r="P66" s="779"/>
      <c r="Q66" s="779"/>
      <c r="R66" s="779"/>
      <c r="S66" s="779"/>
      <c r="T66" s="779"/>
      <c r="U66" s="779"/>
      <c r="V66" s="779"/>
      <c r="W66" s="779"/>
      <c r="X66" s="779"/>
      <c r="Y66" s="779"/>
      <c r="Z66" s="779"/>
      <c r="AA66" s="779"/>
      <c r="AB66" s="779"/>
      <c r="AC66" s="779"/>
      <c r="AD66" s="779"/>
      <c r="AE66" s="779"/>
      <c r="AF66" s="779"/>
      <c r="AG66" s="779"/>
      <c r="AH66" s="779"/>
      <c r="AI66" s="779"/>
      <c r="AJ66" s="779"/>
      <c r="AK66" s="779"/>
      <c r="AL66" s="779"/>
      <c r="AM66" s="782"/>
      <c r="AN66" s="782"/>
      <c r="AO66" s="782"/>
      <c r="AP66" s="782"/>
      <c r="AQ66" s="782"/>
      <c r="AR66" s="782"/>
      <c r="AS66" s="782"/>
      <c r="AT66" s="782"/>
      <c r="AU66" s="782"/>
      <c r="AV66" s="782"/>
      <c r="AW66" s="782"/>
      <c r="AX66" s="782"/>
      <c r="AY66" s="782"/>
      <c r="AZ66" s="782"/>
      <c r="BA66" s="782"/>
      <c r="BB66" s="782"/>
      <c r="BC66" s="782"/>
      <c r="BD66" s="782"/>
      <c r="BE66" s="782"/>
      <c r="BF66" s="782"/>
      <c r="BG66" s="782"/>
      <c r="BH66" s="782"/>
      <c r="BI66" s="782"/>
      <c r="BJ66" s="782"/>
      <c r="BK66" s="782"/>
      <c r="BL66" s="782"/>
      <c r="BM66" s="782"/>
      <c r="BN66" s="782"/>
      <c r="BO66" s="782"/>
      <c r="BP66" s="782"/>
      <c r="BQ66" s="782"/>
      <c r="BR66" s="782"/>
      <c r="BS66" s="782"/>
      <c r="BT66" s="782"/>
      <c r="BU66" s="782"/>
      <c r="BV66" s="782"/>
      <c r="BW66" s="782"/>
      <c r="BX66" s="782"/>
      <c r="BY66" s="782"/>
      <c r="BZ66" s="782"/>
      <c r="CA66" s="779"/>
      <c r="CB66" s="779"/>
      <c r="CC66" s="779"/>
      <c r="CD66" s="779"/>
      <c r="CE66" s="779"/>
      <c r="CF66" s="779"/>
      <c r="CG66" s="779"/>
      <c r="CH66" s="779"/>
      <c r="CI66" s="779"/>
      <c r="CJ66" s="779"/>
      <c r="CK66" s="779"/>
      <c r="CL66" s="779"/>
      <c r="CM66" s="779"/>
      <c r="CN66" s="779"/>
      <c r="CO66" s="779"/>
      <c r="CP66" s="779"/>
      <c r="CQ66" s="779"/>
      <c r="CR66" s="779"/>
      <c r="CS66" s="779"/>
      <c r="CT66" s="779"/>
      <c r="CU66" s="779"/>
      <c r="CV66" s="779"/>
      <c r="CW66" s="779"/>
      <c r="CX66" s="779"/>
      <c r="CY66" s="779"/>
      <c r="CZ66" s="779"/>
      <c r="DA66" s="779"/>
      <c r="DB66" s="779"/>
      <c r="DC66" s="779"/>
      <c r="DD66" s="779"/>
      <c r="DE66" s="779"/>
      <c r="DF66" s="779"/>
      <c r="DG66" s="779"/>
      <c r="DH66" s="779"/>
      <c r="DI66" s="779"/>
      <c r="DJ66" s="779"/>
      <c r="DK66" s="779"/>
      <c r="DL66" s="779"/>
      <c r="DM66" s="779"/>
      <c r="DN66" s="779"/>
      <c r="DO66" s="779"/>
      <c r="DP66" s="779"/>
      <c r="DQ66" s="779"/>
      <c r="DR66" s="779"/>
      <c r="DS66" s="779"/>
      <c r="DT66" s="779"/>
      <c r="DU66" s="779"/>
      <c r="DV66" s="779"/>
      <c r="DW66" s="779"/>
      <c r="DX66" s="779"/>
      <c r="DY66" s="779"/>
      <c r="DZ66" s="779"/>
      <c r="EA66" s="779"/>
      <c r="EB66" s="779"/>
      <c r="EC66" s="779"/>
      <c r="ED66" s="779"/>
      <c r="EE66" s="779"/>
      <c r="EF66" s="779"/>
      <c r="EG66" s="779"/>
      <c r="EH66" s="779"/>
      <c r="EI66" s="779"/>
      <c r="EJ66" s="779"/>
      <c r="EK66" s="779"/>
      <c r="EL66" s="779"/>
      <c r="EM66" s="779"/>
      <c r="EN66" s="779"/>
      <c r="EO66" s="779"/>
      <c r="EP66" s="779"/>
      <c r="EQ66" s="779"/>
      <c r="ER66" s="779"/>
      <c r="ES66" s="779"/>
      <c r="ET66" s="779"/>
      <c r="EU66" s="779"/>
      <c r="EV66" s="779"/>
      <c r="EW66" s="779"/>
      <c r="EX66" s="779"/>
      <c r="EY66" s="779"/>
      <c r="EZ66" s="779"/>
      <c r="FA66" s="779"/>
      <c r="FB66" s="779"/>
      <c r="FC66" s="779"/>
      <c r="FD66" s="779"/>
      <c r="FE66" s="779"/>
      <c r="FF66" s="779"/>
      <c r="FG66" s="779"/>
      <c r="FH66" s="779"/>
      <c r="FI66" s="779"/>
      <c r="FJ66" s="779"/>
      <c r="FK66" s="779"/>
      <c r="FL66" s="779"/>
      <c r="FM66" s="779"/>
      <c r="FN66" s="779"/>
      <c r="FO66" s="779"/>
      <c r="FP66" s="779"/>
      <c r="FQ66" s="779"/>
      <c r="FR66" s="779"/>
      <c r="FS66" s="779"/>
      <c r="FT66" s="779"/>
      <c r="FU66" s="779"/>
      <c r="FV66" s="779"/>
      <c r="FW66" s="779"/>
      <c r="FX66" s="779"/>
      <c r="FY66" s="779"/>
      <c r="FZ66" s="779"/>
      <c r="GA66" s="779"/>
      <c r="GB66" s="779"/>
      <c r="GC66" s="779"/>
      <c r="GD66" s="779"/>
      <c r="GE66" s="779"/>
      <c r="GF66" s="779"/>
      <c r="GG66" s="779"/>
      <c r="GH66" s="779"/>
      <c r="GI66" s="779"/>
      <c r="GJ66" s="779"/>
      <c r="GK66" s="779"/>
      <c r="GL66" s="779"/>
      <c r="GM66" s="779"/>
      <c r="GN66" s="779"/>
      <c r="GO66" s="779"/>
      <c r="GP66" s="779"/>
      <c r="GQ66" s="779"/>
      <c r="GR66" s="779"/>
      <c r="GS66" s="779"/>
      <c r="GT66" s="779"/>
      <c r="GU66" s="779"/>
      <c r="GV66" s="779"/>
      <c r="GW66" s="779"/>
      <c r="GX66" s="779"/>
      <c r="GY66" s="779"/>
      <c r="GZ66" s="779"/>
      <c r="HA66" s="779"/>
      <c r="HB66" s="779"/>
      <c r="HC66" s="779"/>
      <c r="HD66" s="779"/>
      <c r="HE66" s="779"/>
      <c r="HF66" s="779"/>
      <c r="HG66" s="779"/>
      <c r="HH66" s="779"/>
      <c r="HI66" s="779"/>
      <c r="HJ66" s="779"/>
      <c r="HK66" s="779"/>
      <c r="HL66" s="779"/>
      <c r="HM66" s="779"/>
      <c r="HN66" s="779"/>
      <c r="HO66" s="779"/>
      <c r="HP66" s="779"/>
      <c r="HQ66" s="779"/>
      <c r="HR66" s="779"/>
      <c r="HS66" s="779"/>
      <c r="HT66" s="779"/>
      <c r="HU66" s="779"/>
      <c r="HV66" s="779"/>
      <c r="HW66" s="779"/>
      <c r="HX66" s="779"/>
      <c r="HY66" s="779"/>
      <c r="HZ66" s="779"/>
      <c r="IA66" s="779"/>
      <c r="IB66" s="779"/>
      <c r="IC66" s="779"/>
      <c r="ID66" s="779"/>
      <c r="IE66" s="779"/>
      <c r="IF66" s="779"/>
      <c r="IG66" s="779"/>
      <c r="IH66" s="779"/>
      <c r="II66" s="779"/>
      <c r="IJ66" s="779"/>
      <c r="IK66" s="779"/>
      <c r="IL66" s="779"/>
      <c r="IM66" s="779"/>
      <c r="IN66" s="779"/>
      <c r="IO66" s="779"/>
      <c r="IP66" s="779"/>
      <c r="IQ66" s="779"/>
      <c r="IR66" s="779"/>
      <c r="IS66" s="779"/>
      <c r="IT66" s="779"/>
      <c r="IU66" s="779"/>
      <c r="IV66" s="779"/>
      <c r="IW66" s="779"/>
      <c r="IX66" s="779"/>
      <c r="IY66" s="779"/>
      <c r="IZ66" s="779"/>
      <c r="JA66" s="779"/>
      <c r="JB66" s="779"/>
      <c r="JC66" s="779"/>
      <c r="JD66" s="779"/>
      <c r="JE66" s="779"/>
      <c r="JF66" s="779"/>
      <c r="JG66" s="779"/>
      <c r="JH66" s="779"/>
      <c r="JI66" s="779"/>
      <c r="JJ66" s="779"/>
      <c r="JK66" s="779"/>
      <c r="JL66" s="779"/>
      <c r="JM66" s="779"/>
      <c r="JN66" s="779"/>
      <c r="JO66" s="779"/>
      <c r="JP66" s="779"/>
      <c r="JQ66" s="779"/>
      <c r="JR66" s="779"/>
      <c r="JS66" s="779"/>
      <c r="JT66" s="779"/>
      <c r="JU66" s="779"/>
      <c r="JV66" s="779"/>
      <c r="JW66" s="779"/>
      <c r="JX66" s="779"/>
      <c r="JY66" s="779"/>
      <c r="JZ66" s="779"/>
      <c r="KA66" s="779"/>
      <c r="KB66" s="779"/>
      <c r="KC66" s="779"/>
      <c r="KD66" s="779"/>
      <c r="KE66" s="779"/>
      <c r="KF66" s="779"/>
      <c r="KG66" s="779"/>
      <c r="KH66" s="779"/>
      <c r="KI66" s="779"/>
      <c r="KJ66" s="779"/>
      <c r="KK66" s="779"/>
      <c r="KL66" s="779"/>
      <c r="KM66" s="779"/>
      <c r="KN66" s="779"/>
      <c r="KO66" s="779"/>
      <c r="KP66" s="779"/>
      <c r="KQ66" s="779"/>
      <c r="KR66" s="779"/>
      <c r="KS66" s="779"/>
      <c r="KT66" s="779"/>
      <c r="KU66" s="779"/>
      <c r="KV66" s="779"/>
      <c r="KW66" s="779"/>
      <c r="KX66" s="779"/>
      <c r="KY66" s="779"/>
      <c r="KZ66" s="779"/>
      <c r="LA66" s="779"/>
      <c r="LB66" s="779"/>
      <c r="LC66" s="779"/>
      <c r="LD66" s="779"/>
      <c r="LE66" s="779"/>
      <c r="LF66" s="779"/>
      <c r="LG66" s="779"/>
      <c r="LH66" s="779"/>
      <c r="LI66" s="779"/>
      <c r="LJ66" s="779"/>
      <c r="LK66" s="779"/>
      <c r="LL66" s="779"/>
      <c r="LM66" s="779"/>
      <c r="LN66" s="779"/>
      <c r="LO66" s="779"/>
      <c r="LP66" s="779"/>
      <c r="LQ66" s="779"/>
      <c r="LR66" s="779"/>
      <c r="LS66" s="779"/>
      <c r="LT66" s="779"/>
      <c r="LU66" s="779"/>
      <c r="LV66" s="779"/>
      <c r="LW66" s="779"/>
      <c r="LX66" s="779"/>
      <c r="LY66" s="779"/>
      <c r="LZ66" s="779"/>
      <c r="MA66" s="779"/>
      <c r="MB66" s="779"/>
      <c r="MC66" s="779"/>
      <c r="MD66" s="779"/>
      <c r="ME66" s="779"/>
      <c r="MF66" s="779"/>
      <c r="MG66" s="779"/>
      <c r="MH66" s="779"/>
      <c r="MI66" s="779"/>
      <c r="MJ66" s="779"/>
      <c r="MK66" s="779"/>
      <c r="ML66" s="779"/>
      <c r="MM66" s="779"/>
      <c r="MN66" s="779"/>
      <c r="MO66" s="779"/>
      <c r="MP66" s="779"/>
      <c r="MQ66" s="779"/>
      <c r="MR66" s="779"/>
      <c r="MS66" s="779"/>
      <c r="MT66" s="779"/>
      <c r="MU66" s="779"/>
      <c r="MV66" s="779"/>
      <c r="MW66" s="779"/>
      <c r="MX66" s="779"/>
      <c r="MY66" s="779"/>
      <c r="MZ66" s="779"/>
      <c r="NA66" s="779"/>
      <c r="NB66" s="779"/>
      <c r="NC66" s="779"/>
      <c r="ND66" s="779"/>
      <c r="NE66" s="779"/>
      <c r="NF66" s="779"/>
      <c r="NG66" s="779"/>
      <c r="NH66" s="779"/>
      <c r="NI66" s="779"/>
      <c r="NJ66" s="779"/>
      <c r="NK66" s="779"/>
      <c r="NL66" s="779"/>
      <c r="NM66" s="779"/>
      <c r="NN66" s="779"/>
      <c r="NO66" s="779"/>
      <c r="NP66" s="779"/>
      <c r="NQ66" s="779"/>
      <c r="NR66" s="779"/>
      <c r="NS66" s="779"/>
      <c r="NT66" s="779"/>
      <c r="NU66" s="779"/>
      <c r="NV66" s="779"/>
      <c r="NW66" s="779"/>
      <c r="NX66" s="779"/>
      <c r="NY66" s="779"/>
      <c r="NZ66" s="779"/>
      <c r="OA66" s="779"/>
      <c r="OB66" s="779"/>
      <c r="OC66" s="779"/>
      <c r="OD66" s="779"/>
      <c r="OE66" s="779"/>
      <c r="OF66" s="779"/>
      <c r="OG66" s="779"/>
      <c r="OH66" s="779"/>
      <c r="OI66" s="779"/>
      <c r="OJ66" s="779"/>
      <c r="OK66" s="779"/>
      <c r="OL66" s="779"/>
      <c r="OM66" s="779"/>
      <c r="ON66" s="779"/>
      <c r="OO66" s="779"/>
      <c r="OP66" s="779"/>
      <c r="OQ66" s="779"/>
      <c r="OR66" s="779"/>
      <c r="OS66" s="779"/>
      <c r="OT66" s="779"/>
      <c r="OU66" s="779"/>
      <c r="OV66" s="779"/>
      <c r="OW66" s="779"/>
      <c r="OX66" s="779"/>
      <c r="OY66" s="779"/>
      <c r="OZ66" s="779"/>
      <c r="PA66" s="779"/>
      <c r="PB66" s="779"/>
      <c r="PC66" s="779"/>
      <c r="PD66" s="779"/>
      <c r="PE66" s="779"/>
      <c r="PF66" s="779"/>
      <c r="PG66" s="779"/>
      <c r="PH66" s="779"/>
      <c r="PI66" s="779"/>
      <c r="PJ66" s="779"/>
      <c r="PK66" s="779"/>
      <c r="PL66" s="779"/>
      <c r="PM66" s="779"/>
      <c r="PN66" s="779"/>
      <c r="PO66" s="779"/>
      <c r="PP66" s="779"/>
      <c r="PQ66" s="779"/>
      <c r="PR66" s="779"/>
      <c r="PS66" s="779"/>
      <c r="PT66" s="779"/>
      <c r="PU66" s="779"/>
      <c r="PV66" s="779"/>
      <c r="PW66" s="779"/>
      <c r="PX66" s="779"/>
      <c r="PY66" s="779"/>
      <c r="PZ66" s="779"/>
      <c r="QA66" s="779"/>
      <c r="QB66" s="779"/>
      <c r="QC66" s="779"/>
      <c r="QD66" s="779"/>
      <c r="QE66" s="779"/>
      <c r="QF66" s="779"/>
      <c r="QG66" s="779"/>
      <c r="QH66" s="779"/>
      <c r="QI66" s="779"/>
      <c r="QJ66" s="779"/>
      <c r="QK66" s="779"/>
      <c r="QL66" s="779"/>
      <c r="QM66" s="779"/>
      <c r="QN66" s="779"/>
      <c r="QO66" s="779"/>
      <c r="QP66" s="779"/>
      <c r="QQ66" s="779"/>
      <c r="QR66" s="779"/>
      <c r="QS66" s="779"/>
      <c r="QT66" s="779"/>
      <c r="QU66" s="779"/>
      <c r="QV66" s="779"/>
      <c r="QW66" s="779"/>
      <c r="QX66" s="779"/>
      <c r="QY66" s="779"/>
      <c r="QZ66" s="779"/>
      <c r="RA66" s="779"/>
      <c r="RB66" s="779"/>
      <c r="RC66" s="779"/>
      <c r="RD66" s="779"/>
      <c r="RE66" s="779"/>
      <c r="RF66" s="779"/>
      <c r="RG66" s="779"/>
      <c r="RH66" s="779"/>
      <c r="RI66" s="779"/>
      <c r="RJ66" s="779"/>
      <c r="RK66" s="779"/>
      <c r="RL66" s="779"/>
      <c r="RM66" s="779"/>
      <c r="RN66" s="779"/>
      <c r="RO66" s="779"/>
      <c r="RP66" s="779"/>
      <c r="RQ66" s="779"/>
      <c r="RR66" s="779"/>
      <c r="RS66" s="779"/>
      <c r="RT66" s="779"/>
      <c r="RU66" s="779"/>
      <c r="RV66" s="779"/>
      <c r="RW66" s="779"/>
      <c r="RX66" s="779"/>
    </row>
    <row r="67" spans="1:492" s="143" customFormat="1">
      <c r="A67" s="779"/>
      <c r="B67" s="779"/>
      <c r="C67" s="779"/>
      <c r="D67" s="779"/>
      <c r="E67" s="779"/>
      <c r="F67" s="779"/>
      <c r="G67" s="779"/>
      <c r="H67" s="779"/>
      <c r="I67" s="779"/>
      <c r="J67" s="779"/>
      <c r="K67" s="779"/>
      <c r="L67" s="779"/>
      <c r="M67" s="779"/>
      <c r="N67" s="779"/>
      <c r="O67" s="779"/>
      <c r="P67" s="779"/>
      <c r="Q67" s="779"/>
      <c r="R67" s="779"/>
      <c r="S67" s="779"/>
      <c r="T67" s="779"/>
      <c r="U67" s="779"/>
      <c r="V67" s="779"/>
      <c r="W67" s="779"/>
      <c r="X67" s="779"/>
      <c r="Y67" s="779"/>
      <c r="Z67" s="779"/>
      <c r="AA67" s="779"/>
      <c r="AB67" s="779"/>
      <c r="AC67" s="779"/>
      <c r="AD67" s="779"/>
      <c r="AE67" s="779"/>
      <c r="AF67" s="779"/>
      <c r="AG67" s="779"/>
      <c r="AH67" s="779"/>
      <c r="AI67" s="779"/>
      <c r="AJ67" s="779"/>
      <c r="AK67" s="779"/>
      <c r="AL67" s="779"/>
      <c r="AM67" s="782"/>
      <c r="AN67" s="782"/>
      <c r="AO67" s="782"/>
      <c r="AP67" s="782"/>
      <c r="AQ67" s="782"/>
      <c r="AR67" s="782"/>
      <c r="AS67" s="782"/>
      <c r="AT67" s="782"/>
      <c r="AU67" s="782"/>
      <c r="AV67" s="782"/>
      <c r="AW67" s="782"/>
      <c r="AX67" s="782"/>
      <c r="AY67" s="782"/>
      <c r="AZ67" s="782"/>
      <c r="BA67" s="782"/>
      <c r="BB67" s="782"/>
      <c r="BC67" s="782"/>
      <c r="BD67" s="782"/>
      <c r="BE67" s="782"/>
      <c r="BF67" s="782"/>
      <c r="BG67" s="782"/>
      <c r="BH67" s="782"/>
      <c r="BI67" s="782"/>
      <c r="BJ67" s="782"/>
      <c r="BK67" s="782"/>
      <c r="BL67" s="782"/>
      <c r="BM67" s="782"/>
      <c r="BN67" s="782"/>
      <c r="BO67" s="782"/>
      <c r="BP67" s="782"/>
      <c r="BQ67" s="782"/>
      <c r="BR67" s="782"/>
      <c r="BS67" s="782"/>
      <c r="BT67" s="782"/>
      <c r="BU67" s="782"/>
      <c r="BV67" s="782"/>
      <c r="BW67" s="782"/>
      <c r="BX67" s="782"/>
      <c r="BY67" s="782"/>
      <c r="BZ67" s="782"/>
      <c r="CA67" s="779"/>
      <c r="CB67" s="779"/>
      <c r="CC67" s="779"/>
      <c r="CD67" s="779"/>
      <c r="CE67" s="779"/>
      <c r="CF67" s="779"/>
      <c r="CG67" s="779"/>
      <c r="CH67" s="779"/>
      <c r="CI67" s="779"/>
      <c r="CJ67" s="779"/>
      <c r="CK67" s="779"/>
      <c r="CL67" s="779"/>
      <c r="CM67" s="779"/>
      <c r="CN67" s="779"/>
      <c r="CO67" s="779"/>
      <c r="CP67" s="779"/>
      <c r="CQ67" s="779"/>
      <c r="CR67" s="779"/>
      <c r="CS67" s="779"/>
      <c r="CT67" s="779"/>
      <c r="CU67" s="779"/>
      <c r="CV67" s="779"/>
      <c r="CW67" s="779"/>
      <c r="CX67" s="779"/>
      <c r="CY67" s="779"/>
      <c r="CZ67" s="779"/>
      <c r="DA67" s="779"/>
      <c r="DB67" s="779"/>
      <c r="DC67" s="779"/>
      <c r="DD67" s="779"/>
      <c r="DE67" s="779"/>
      <c r="DF67" s="779"/>
      <c r="DG67" s="779"/>
      <c r="DH67" s="779"/>
      <c r="DI67" s="779"/>
      <c r="DJ67" s="779"/>
      <c r="DK67" s="779"/>
      <c r="DL67" s="779"/>
      <c r="DM67" s="779"/>
      <c r="DN67" s="779"/>
      <c r="DO67" s="779"/>
      <c r="DP67" s="779"/>
      <c r="DQ67" s="779"/>
      <c r="DR67" s="779"/>
      <c r="DS67" s="779"/>
      <c r="DT67" s="779"/>
      <c r="DU67" s="779"/>
      <c r="DV67" s="779"/>
      <c r="DW67" s="779"/>
      <c r="DX67" s="779"/>
      <c r="DY67" s="779"/>
      <c r="DZ67" s="779"/>
      <c r="EA67" s="779"/>
      <c r="EB67" s="779"/>
      <c r="EC67" s="779"/>
      <c r="ED67" s="779"/>
      <c r="EE67" s="779"/>
      <c r="EF67" s="779"/>
      <c r="EG67" s="779"/>
      <c r="EH67" s="779"/>
      <c r="EI67" s="779"/>
      <c r="EJ67" s="779"/>
      <c r="EK67" s="779"/>
      <c r="EL67" s="779"/>
      <c r="EM67" s="779"/>
      <c r="EN67" s="779"/>
      <c r="EO67" s="779"/>
      <c r="EP67" s="779"/>
      <c r="EQ67" s="779"/>
      <c r="ER67" s="779"/>
      <c r="ES67" s="779"/>
      <c r="ET67" s="779"/>
      <c r="EU67" s="779"/>
      <c r="EV67" s="779"/>
      <c r="EW67" s="779"/>
      <c r="EX67" s="779"/>
      <c r="EY67" s="779"/>
      <c r="EZ67" s="779"/>
      <c r="FA67" s="779"/>
      <c r="FB67" s="779"/>
      <c r="FC67" s="779"/>
      <c r="FD67" s="779"/>
      <c r="FE67" s="779"/>
      <c r="FF67" s="779"/>
      <c r="FG67" s="779"/>
      <c r="FH67" s="779"/>
      <c r="FI67" s="779"/>
      <c r="FJ67" s="779"/>
      <c r="FK67" s="779"/>
      <c r="FL67" s="779"/>
      <c r="FM67" s="779"/>
      <c r="FN67" s="779"/>
      <c r="FO67" s="779"/>
      <c r="FP67" s="779"/>
      <c r="FQ67" s="779"/>
      <c r="FR67" s="779"/>
      <c r="FS67" s="779"/>
      <c r="FT67" s="779"/>
      <c r="FU67" s="779"/>
      <c r="FV67" s="779"/>
      <c r="FW67" s="779"/>
      <c r="FX67" s="779"/>
      <c r="FY67" s="779"/>
      <c r="FZ67" s="779"/>
      <c r="GA67" s="779"/>
      <c r="GB67" s="779"/>
      <c r="GC67" s="779"/>
      <c r="GD67" s="779"/>
      <c r="GE67" s="779"/>
      <c r="GF67" s="779"/>
      <c r="GG67" s="779"/>
      <c r="GH67" s="779"/>
      <c r="GI67" s="779"/>
      <c r="GJ67" s="779"/>
      <c r="GK67" s="779"/>
      <c r="GL67" s="779"/>
      <c r="GM67" s="779"/>
      <c r="GN67" s="779"/>
      <c r="GO67" s="779"/>
      <c r="GP67" s="779"/>
      <c r="GQ67" s="779"/>
      <c r="GR67" s="779"/>
      <c r="GS67" s="779"/>
      <c r="GT67" s="779"/>
      <c r="GU67" s="779"/>
      <c r="GV67" s="779"/>
      <c r="GW67" s="779"/>
      <c r="GX67" s="779"/>
      <c r="GY67" s="779"/>
      <c r="GZ67" s="779"/>
      <c r="HA67" s="779"/>
      <c r="HB67" s="779"/>
      <c r="HC67" s="779"/>
      <c r="HD67" s="779"/>
      <c r="HE67" s="779"/>
      <c r="HF67" s="779"/>
      <c r="HG67" s="779"/>
      <c r="HH67" s="779"/>
      <c r="HI67" s="779"/>
      <c r="HJ67" s="779"/>
      <c r="HK67" s="779"/>
      <c r="HL67" s="779"/>
      <c r="HM67" s="779"/>
      <c r="HN67" s="779"/>
      <c r="HO67" s="779"/>
      <c r="HP67" s="779"/>
      <c r="HQ67" s="779"/>
      <c r="HR67" s="779"/>
      <c r="HS67" s="779"/>
      <c r="HT67" s="779"/>
      <c r="HU67" s="779"/>
      <c r="HV67" s="779"/>
      <c r="HW67" s="779"/>
      <c r="HX67" s="779"/>
      <c r="HY67" s="779"/>
      <c r="HZ67" s="779"/>
      <c r="IA67" s="779"/>
      <c r="IB67" s="779"/>
      <c r="IC67" s="779"/>
      <c r="ID67" s="779"/>
      <c r="IE67" s="779"/>
      <c r="IF67" s="779"/>
      <c r="IG67" s="779"/>
      <c r="IH67" s="779"/>
      <c r="II67" s="779"/>
      <c r="IJ67" s="779"/>
      <c r="IK67" s="779"/>
      <c r="IL67" s="779"/>
      <c r="IM67" s="779"/>
      <c r="IN67" s="779"/>
      <c r="IO67" s="779"/>
      <c r="IP67" s="779"/>
      <c r="IQ67" s="779"/>
      <c r="IR67" s="779"/>
      <c r="IS67" s="779"/>
      <c r="IT67" s="779"/>
      <c r="IU67" s="779"/>
      <c r="IV67" s="779"/>
      <c r="IW67" s="779"/>
      <c r="IX67" s="779"/>
      <c r="IY67" s="779"/>
      <c r="IZ67" s="779"/>
      <c r="JA67" s="779"/>
      <c r="JB67" s="779"/>
      <c r="JC67" s="779"/>
      <c r="JD67" s="779"/>
      <c r="JE67" s="779"/>
      <c r="JF67" s="779"/>
      <c r="JG67" s="779"/>
      <c r="JH67" s="779"/>
      <c r="JI67" s="779"/>
      <c r="JJ67" s="779"/>
      <c r="JK67" s="779"/>
      <c r="JL67" s="779"/>
      <c r="JM67" s="779"/>
      <c r="JN67" s="779"/>
      <c r="JO67" s="779"/>
      <c r="JP67" s="779"/>
      <c r="JQ67" s="779"/>
      <c r="JR67" s="779"/>
      <c r="JS67" s="779"/>
      <c r="JT67" s="779"/>
      <c r="JU67" s="779"/>
      <c r="JV67" s="779"/>
      <c r="JW67" s="779"/>
      <c r="JX67" s="779"/>
      <c r="JY67" s="779"/>
      <c r="JZ67" s="779"/>
      <c r="KA67" s="779"/>
      <c r="KB67" s="779"/>
      <c r="KC67" s="779"/>
      <c r="KD67" s="779"/>
      <c r="KE67" s="779"/>
      <c r="KF67" s="779"/>
      <c r="KG67" s="779"/>
      <c r="KH67" s="779"/>
      <c r="KI67" s="779"/>
      <c r="KJ67" s="779"/>
      <c r="KK67" s="779"/>
      <c r="KL67" s="779"/>
      <c r="KM67" s="779"/>
      <c r="KN67" s="779"/>
      <c r="KO67" s="779"/>
      <c r="KP67" s="779"/>
      <c r="KQ67" s="779"/>
      <c r="KR67" s="779"/>
      <c r="KS67" s="779"/>
      <c r="KT67" s="779"/>
      <c r="KU67" s="779"/>
      <c r="KV67" s="779"/>
      <c r="KW67" s="779"/>
      <c r="KX67" s="779"/>
      <c r="KY67" s="779"/>
      <c r="KZ67" s="779"/>
      <c r="LA67" s="779"/>
      <c r="LB67" s="779"/>
      <c r="LC67" s="779"/>
      <c r="LD67" s="779"/>
      <c r="LE67" s="779"/>
      <c r="LF67" s="779"/>
      <c r="LG67" s="779"/>
      <c r="LH67" s="779"/>
      <c r="LI67" s="779"/>
      <c r="LJ67" s="779"/>
      <c r="LK67" s="779"/>
      <c r="LL67" s="779"/>
      <c r="LM67" s="779"/>
      <c r="LN67" s="779"/>
      <c r="LO67" s="779"/>
      <c r="LP67" s="779"/>
      <c r="LQ67" s="779"/>
      <c r="LR67" s="779"/>
      <c r="LS67" s="779"/>
      <c r="LT67" s="779"/>
      <c r="LU67" s="779"/>
      <c r="LV67" s="779"/>
      <c r="LW67" s="779"/>
      <c r="LX67" s="779"/>
      <c r="LY67" s="779"/>
      <c r="LZ67" s="779"/>
      <c r="MA67" s="779"/>
      <c r="MB67" s="779"/>
      <c r="MC67" s="779"/>
      <c r="MD67" s="779"/>
      <c r="ME67" s="779"/>
      <c r="MF67" s="779"/>
      <c r="MG67" s="779"/>
      <c r="MH67" s="779"/>
      <c r="MI67" s="779"/>
      <c r="MJ67" s="779"/>
      <c r="MK67" s="779"/>
      <c r="ML67" s="779"/>
      <c r="MM67" s="779"/>
      <c r="MN67" s="779"/>
      <c r="MO67" s="779"/>
      <c r="MP67" s="779"/>
      <c r="MQ67" s="779"/>
      <c r="MR67" s="779"/>
      <c r="MS67" s="779"/>
      <c r="MT67" s="779"/>
      <c r="MU67" s="779"/>
      <c r="MV67" s="779"/>
      <c r="MW67" s="779"/>
      <c r="MX67" s="779"/>
      <c r="MY67" s="779"/>
      <c r="MZ67" s="779"/>
      <c r="NA67" s="779"/>
      <c r="NB67" s="779"/>
      <c r="NC67" s="779"/>
      <c r="ND67" s="779"/>
      <c r="NE67" s="779"/>
      <c r="NF67" s="779"/>
      <c r="NG67" s="779"/>
      <c r="NH67" s="779"/>
      <c r="NI67" s="779"/>
      <c r="NJ67" s="779"/>
      <c r="NK67" s="779"/>
      <c r="NL67" s="779"/>
      <c r="NM67" s="779"/>
      <c r="NN67" s="779"/>
      <c r="NO67" s="779"/>
      <c r="NP67" s="779"/>
      <c r="NQ67" s="779"/>
      <c r="NR67" s="779"/>
      <c r="NS67" s="779"/>
      <c r="NT67" s="779"/>
      <c r="NU67" s="779"/>
      <c r="NV67" s="779"/>
      <c r="NW67" s="779"/>
      <c r="NX67" s="779"/>
      <c r="NY67" s="779"/>
      <c r="NZ67" s="779"/>
      <c r="OA67" s="779"/>
      <c r="OB67" s="779"/>
      <c r="OC67" s="779"/>
      <c r="OD67" s="779"/>
      <c r="OE67" s="779"/>
      <c r="OF67" s="779"/>
      <c r="OG67" s="779"/>
      <c r="OH67" s="779"/>
      <c r="OI67" s="779"/>
      <c r="OJ67" s="779"/>
      <c r="OK67" s="779"/>
      <c r="OL67" s="779"/>
      <c r="OM67" s="779"/>
      <c r="ON67" s="779"/>
      <c r="OO67" s="779"/>
      <c r="OP67" s="779"/>
      <c r="OQ67" s="779"/>
      <c r="OR67" s="779"/>
      <c r="OS67" s="779"/>
      <c r="OT67" s="779"/>
      <c r="OU67" s="779"/>
      <c r="OV67" s="779"/>
      <c r="OW67" s="779"/>
      <c r="OX67" s="779"/>
      <c r="OY67" s="779"/>
      <c r="OZ67" s="779"/>
      <c r="PA67" s="779"/>
      <c r="PB67" s="779"/>
      <c r="PC67" s="779"/>
      <c r="PD67" s="779"/>
      <c r="PE67" s="779"/>
      <c r="PF67" s="779"/>
      <c r="PG67" s="779"/>
      <c r="PH67" s="779"/>
      <c r="PI67" s="779"/>
      <c r="PJ67" s="779"/>
      <c r="PK67" s="779"/>
      <c r="PL67" s="779"/>
      <c r="PM67" s="779"/>
      <c r="PN67" s="779"/>
      <c r="PO67" s="779"/>
      <c r="PP67" s="779"/>
      <c r="PQ67" s="779"/>
      <c r="PR67" s="779"/>
      <c r="PS67" s="779"/>
      <c r="PT67" s="779"/>
      <c r="PU67" s="779"/>
      <c r="PV67" s="779"/>
      <c r="PW67" s="779"/>
      <c r="PX67" s="779"/>
      <c r="PY67" s="779"/>
      <c r="PZ67" s="779"/>
      <c r="QA67" s="779"/>
      <c r="QB67" s="779"/>
      <c r="QC67" s="779"/>
      <c r="QD67" s="779"/>
      <c r="QE67" s="779"/>
      <c r="QF67" s="779"/>
      <c r="QG67" s="779"/>
      <c r="QH67" s="779"/>
      <c r="QI67" s="779"/>
      <c r="QJ67" s="779"/>
      <c r="QK67" s="779"/>
      <c r="QL67" s="779"/>
      <c r="QM67" s="779"/>
      <c r="QN67" s="779"/>
      <c r="QO67" s="779"/>
      <c r="QP67" s="779"/>
      <c r="QQ67" s="779"/>
      <c r="QR67" s="779"/>
      <c r="QS67" s="779"/>
      <c r="QT67" s="779"/>
      <c r="QU67" s="779"/>
      <c r="QV67" s="779"/>
      <c r="QW67" s="779"/>
      <c r="QX67" s="779"/>
      <c r="QY67" s="779"/>
      <c r="QZ67" s="779"/>
      <c r="RA67" s="779"/>
      <c r="RB67" s="779"/>
      <c r="RC67" s="779"/>
      <c r="RD67" s="779"/>
      <c r="RE67" s="779"/>
      <c r="RF67" s="779"/>
      <c r="RG67" s="779"/>
      <c r="RH67" s="779"/>
      <c r="RI67" s="779"/>
      <c r="RJ67" s="779"/>
      <c r="RK67" s="779"/>
      <c r="RL67" s="779"/>
      <c r="RM67" s="779"/>
      <c r="RN67" s="779"/>
      <c r="RO67" s="779"/>
      <c r="RP67" s="779"/>
      <c r="RQ67" s="779"/>
      <c r="RR67" s="779"/>
      <c r="RS67" s="779"/>
      <c r="RT67" s="779"/>
      <c r="RU67" s="779"/>
      <c r="RV67" s="779"/>
      <c r="RW67" s="779"/>
      <c r="RX67" s="779"/>
    </row>
    <row r="68" spans="1:492" s="143" customFormat="1">
      <c r="A68" s="779"/>
      <c r="B68" s="779"/>
      <c r="C68" s="779"/>
      <c r="D68" s="779"/>
      <c r="E68" s="779"/>
      <c r="F68" s="779"/>
      <c r="G68" s="779"/>
      <c r="H68" s="779"/>
      <c r="I68" s="779"/>
      <c r="J68" s="779"/>
      <c r="K68" s="779"/>
      <c r="L68" s="779"/>
      <c r="M68" s="779"/>
      <c r="N68" s="779"/>
      <c r="O68" s="779"/>
      <c r="P68" s="779"/>
      <c r="Q68" s="779"/>
      <c r="R68" s="779"/>
      <c r="S68" s="779"/>
      <c r="T68" s="779"/>
      <c r="U68" s="779"/>
      <c r="V68" s="779"/>
      <c r="W68" s="779"/>
      <c r="X68" s="779"/>
      <c r="Y68" s="779"/>
      <c r="Z68" s="779"/>
      <c r="AA68" s="779"/>
      <c r="AB68" s="779"/>
      <c r="AC68" s="779"/>
      <c r="AD68" s="779"/>
      <c r="AE68" s="779"/>
      <c r="AF68" s="779"/>
      <c r="AG68" s="779"/>
      <c r="AH68" s="779"/>
      <c r="AI68" s="779"/>
      <c r="AJ68" s="779"/>
      <c r="AK68" s="779"/>
      <c r="AL68" s="779"/>
      <c r="AM68" s="782"/>
      <c r="AN68" s="782"/>
      <c r="AO68" s="782"/>
      <c r="AP68" s="782"/>
      <c r="AQ68" s="782"/>
      <c r="AR68" s="782"/>
      <c r="AS68" s="782"/>
      <c r="AT68" s="782"/>
      <c r="AU68" s="782"/>
      <c r="AV68" s="782"/>
      <c r="AW68" s="782"/>
      <c r="AX68" s="782"/>
      <c r="AY68" s="782"/>
      <c r="AZ68" s="782"/>
      <c r="BA68" s="782"/>
      <c r="BB68" s="782"/>
      <c r="BC68" s="782"/>
      <c r="BD68" s="782"/>
      <c r="BE68" s="782"/>
      <c r="BF68" s="782"/>
      <c r="BG68" s="782"/>
      <c r="BH68" s="782"/>
      <c r="BI68" s="782"/>
      <c r="BJ68" s="782"/>
      <c r="BK68" s="782"/>
      <c r="BL68" s="782"/>
      <c r="BM68" s="782"/>
      <c r="BN68" s="782"/>
      <c r="BO68" s="782"/>
      <c r="BP68" s="782"/>
      <c r="BQ68" s="782"/>
      <c r="BR68" s="782"/>
      <c r="BS68" s="782"/>
      <c r="BT68" s="782"/>
      <c r="BU68" s="782"/>
      <c r="BV68" s="782"/>
      <c r="BW68" s="782"/>
      <c r="BX68" s="782"/>
      <c r="BY68" s="782"/>
      <c r="BZ68" s="782"/>
      <c r="CA68" s="779"/>
      <c r="CB68" s="779"/>
      <c r="CC68" s="779"/>
      <c r="CD68" s="779"/>
      <c r="CE68" s="779"/>
      <c r="CF68" s="779"/>
      <c r="CG68" s="779"/>
      <c r="CH68" s="779"/>
      <c r="CI68" s="779"/>
      <c r="CJ68" s="779"/>
      <c r="CK68" s="779"/>
      <c r="CL68" s="779"/>
      <c r="CM68" s="779"/>
      <c r="CN68" s="779"/>
      <c r="CO68" s="779"/>
      <c r="CP68" s="779"/>
      <c r="CQ68" s="779"/>
      <c r="CR68" s="779"/>
      <c r="CS68" s="779"/>
      <c r="CT68" s="779"/>
      <c r="CU68" s="779"/>
      <c r="CV68" s="779"/>
      <c r="CW68" s="779"/>
      <c r="CX68" s="779"/>
      <c r="CY68" s="779"/>
      <c r="CZ68" s="779"/>
      <c r="DA68" s="779"/>
      <c r="DB68" s="779"/>
      <c r="DC68" s="779"/>
      <c r="DD68" s="779"/>
      <c r="DE68" s="779"/>
      <c r="DF68" s="779"/>
      <c r="DG68" s="779"/>
      <c r="DH68" s="779"/>
      <c r="DI68" s="779"/>
      <c r="DJ68" s="779"/>
      <c r="DK68" s="779"/>
      <c r="DL68" s="779"/>
      <c r="DM68" s="779"/>
      <c r="DN68" s="779"/>
      <c r="DO68" s="779"/>
      <c r="DP68" s="779"/>
      <c r="DQ68" s="779"/>
      <c r="DR68" s="779"/>
      <c r="DS68" s="779"/>
      <c r="DT68" s="779"/>
      <c r="DU68" s="779"/>
      <c r="DV68" s="779"/>
      <c r="DW68" s="779"/>
      <c r="DX68" s="779"/>
      <c r="DY68" s="779"/>
      <c r="DZ68" s="779"/>
      <c r="EA68" s="779"/>
      <c r="EB68" s="779"/>
      <c r="EC68" s="779"/>
      <c r="ED68" s="779"/>
      <c r="EE68" s="779"/>
      <c r="EF68" s="779"/>
      <c r="EG68" s="779"/>
      <c r="EH68" s="779"/>
      <c r="EI68" s="779"/>
      <c r="EJ68" s="779"/>
      <c r="EK68" s="779"/>
      <c r="EL68" s="779"/>
      <c r="EM68" s="779"/>
      <c r="EN68" s="779"/>
      <c r="EO68" s="779"/>
      <c r="EP68" s="779"/>
      <c r="EQ68" s="779"/>
      <c r="ER68" s="779"/>
      <c r="ES68" s="779"/>
      <c r="ET68" s="779"/>
      <c r="EU68" s="779"/>
      <c r="EV68" s="779"/>
      <c r="EW68" s="779"/>
      <c r="EX68" s="779"/>
      <c r="EY68" s="779"/>
      <c r="EZ68" s="779"/>
      <c r="FA68" s="779"/>
      <c r="FB68" s="779"/>
      <c r="FC68" s="779"/>
      <c r="FD68" s="779"/>
      <c r="FE68" s="779"/>
      <c r="FF68" s="779"/>
      <c r="FG68" s="779"/>
      <c r="FH68" s="779"/>
      <c r="FI68" s="779"/>
      <c r="FJ68" s="779"/>
      <c r="FK68" s="779"/>
      <c r="FL68" s="779"/>
      <c r="FM68" s="779"/>
      <c r="FN68" s="779"/>
      <c r="FO68" s="779"/>
      <c r="FP68" s="779"/>
      <c r="FQ68" s="779"/>
      <c r="FR68" s="779"/>
      <c r="FS68" s="779"/>
      <c r="FT68" s="779"/>
      <c r="FU68" s="779"/>
      <c r="FV68" s="779"/>
      <c r="FW68" s="779"/>
      <c r="FX68" s="779"/>
      <c r="FY68" s="779"/>
      <c r="FZ68" s="779"/>
      <c r="GA68" s="779"/>
      <c r="GB68" s="779"/>
      <c r="GC68" s="779"/>
      <c r="GD68" s="779"/>
      <c r="GE68" s="779"/>
      <c r="GF68" s="779"/>
      <c r="GG68" s="779"/>
      <c r="GH68" s="779"/>
      <c r="GI68" s="779"/>
      <c r="GJ68" s="779"/>
      <c r="GK68" s="779"/>
      <c r="GL68" s="779"/>
      <c r="GM68" s="779"/>
      <c r="GN68" s="779"/>
      <c r="GO68" s="779"/>
      <c r="GP68" s="779"/>
      <c r="GQ68" s="779"/>
      <c r="GR68" s="779"/>
      <c r="GS68" s="779"/>
      <c r="GT68" s="779"/>
      <c r="GU68" s="779"/>
      <c r="GV68" s="779"/>
      <c r="GW68" s="779"/>
      <c r="GX68" s="779"/>
      <c r="GY68" s="779"/>
      <c r="GZ68" s="779"/>
      <c r="HA68" s="779"/>
      <c r="HB68" s="779"/>
      <c r="HC68" s="779"/>
      <c r="HD68" s="779"/>
      <c r="HE68" s="779"/>
      <c r="HF68" s="779"/>
      <c r="HG68" s="779"/>
      <c r="HH68" s="779"/>
      <c r="HI68" s="779"/>
      <c r="HJ68" s="779"/>
      <c r="HK68" s="779"/>
      <c r="HL68" s="779"/>
      <c r="HM68" s="779"/>
      <c r="HN68" s="779"/>
      <c r="HO68" s="779"/>
      <c r="HP68" s="779"/>
      <c r="HQ68" s="779"/>
      <c r="HR68" s="779"/>
      <c r="HS68" s="779"/>
      <c r="HT68" s="779"/>
      <c r="HU68" s="779"/>
      <c r="HV68" s="779"/>
      <c r="HW68" s="779"/>
      <c r="HX68" s="779"/>
      <c r="HY68" s="779"/>
      <c r="HZ68" s="779"/>
      <c r="IA68" s="779"/>
      <c r="IB68" s="779"/>
      <c r="IC68" s="779"/>
      <c r="ID68" s="779"/>
      <c r="IE68" s="779"/>
      <c r="IF68" s="779"/>
      <c r="IG68" s="779"/>
      <c r="IH68" s="779"/>
      <c r="II68" s="779"/>
      <c r="IJ68" s="779"/>
      <c r="IK68" s="779"/>
      <c r="IL68" s="779"/>
      <c r="IM68" s="779"/>
      <c r="IN68" s="779"/>
      <c r="IO68" s="779"/>
      <c r="IP68" s="779"/>
      <c r="IQ68" s="779"/>
      <c r="IR68" s="779"/>
      <c r="IS68" s="779"/>
      <c r="IT68" s="779"/>
      <c r="IU68" s="779"/>
      <c r="IV68" s="779"/>
      <c r="IW68" s="779"/>
      <c r="IX68" s="779"/>
      <c r="IY68" s="779"/>
      <c r="IZ68" s="779"/>
      <c r="JA68" s="779"/>
      <c r="JB68" s="779"/>
      <c r="JC68" s="779"/>
      <c r="JD68" s="779"/>
      <c r="JE68" s="779"/>
      <c r="JF68" s="779"/>
      <c r="JG68" s="779"/>
      <c r="JH68" s="779"/>
      <c r="JI68" s="779"/>
      <c r="JJ68" s="779"/>
      <c r="JK68" s="779"/>
      <c r="JL68" s="779"/>
      <c r="JM68" s="779"/>
      <c r="JN68" s="779"/>
      <c r="JO68" s="779"/>
      <c r="JP68" s="779"/>
      <c r="JQ68" s="779"/>
      <c r="JR68" s="779"/>
      <c r="JS68" s="779"/>
      <c r="JT68" s="779"/>
      <c r="JU68" s="779"/>
      <c r="JV68" s="779"/>
      <c r="JW68" s="779"/>
      <c r="JX68" s="779"/>
      <c r="JY68" s="779"/>
      <c r="JZ68" s="779"/>
      <c r="KA68" s="779"/>
      <c r="KB68" s="779"/>
      <c r="KC68" s="779"/>
      <c r="KD68" s="779"/>
      <c r="KE68" s="779"/>
      <c r="KF68" s="779"/>
      <c r="KG68" s="779"/>
      <c r="KH68" s="779"/>
      <c r="KI68" s="779"/>
      <c r="KJ68" s="779"/>
      <c r="KK68" s="779"/>
      <c r="KL68" s="779"/>
      <c r="KM68" s="779"/>
      <c r="KN68" s="779"/>
      <c r="KO68" s="779"/>
      <c r="KP68" s="779"/>
      <c r="KQ68" s="779"/>
      <c r="KR68" s="779"/>
      <c r="KS68" s="779"/>
      <c r="KT68" s="779"/>
      <c r="KU68" s="779"/>
      <c r="KV68" s="779"/>
      <c r="KW68" s="779"/>
      <c r="KX68" s="779"/>
      <c r="KY68" s="779"/>
      <c r="KZ68" s="779"/>
      <c r="LA68" s="779"/>
      <c r="LB68" s="779"/>
      <c r="LC68" s="779"/>
      <c r="LD68" s="779"/>
      <c r="LE68" s="779"/>
      <c r="LF68" s="779"/>
      <c r="LG68" s="779"/>
      <c r="LH68" s="779"/>
      <c r="LI68" s="779"/>
      <c r="LJ68" s="779"/>
      <c r="LK68" s="779"/>
      <c r="LL68" s="779"/>
      <c r="LM68" s="779"/>
      <c r="LN68" s="779"/>
      <c r="LO68" s="779"/>
      <c r="LP68" s="779"/>
      <c r="LQ68" s="779"/>
      <c r="LR68" s="779"/>
      <c r="LS68" s="779"/>
      <c r="LT68" s="779"/>
      <c r="LU68" s="779"/>
      <c r="LV68" s="779"/>
      <c r="LW68" s="779"/>
      <c r="LX68" s="779"/>
      <c r="LY68" s="779"/>
      <c r="LZ68" s="779"/>
      <c r="MA68" s="779"/>
      <c r="MB68" s="779"/>
      <c r="MC68" s="779"/>
      <c r="MD68" s="779"/>
      <c r="ME68" s="779"/>
      <c r="MF68" s="779"/>
      <c r="MG68" s="779"/>
      <c r="MH68" s="779"/>
      <c r="MI68" s="779"/>
      <c r="MJ68" s="779"/>
      <c r="MK68" s="779"/>
      <c r="ML68" s="779"/>
      <c r="MM68" s="779"/>
      <c r="MN68" s="779"/>
      <c r="MO68" s="779"/>
      <c r="MP68" s="779"/>
      <c r="MQ68" s="779"/>
      <c r="MR68" s="779"/>
      <c r="MS68" s="779"/>
      <c r="MT68" s="779"/>
      <c r="MU68" s="779"/>
      <c r="MV68" s="779"/>
      <c r="MW68" s="779"/>
      <c r="MX68" s="779"/>
      <c r="MY68" s="779"/>
      <c r="MZ68" s="779"/>
      <c r="NA68" s="779"/>
      <c r="NB68" s="779"/>
      <c r="NC68" s="779"/>
      <c r="ND68" s="779"/>
      <c r="NE68" s="779"/>
      <c r="NF68" s="779"/>
      <c r="NG68" s="779"/>
      <c r="NH68" s="779"/>
      <c r="NI68" s="779"/>
      <c r="NJ68" s="779"/>
      <c r="NK68" s="779"/>
      <c r="NL68" s="779"/>
      <c r="NM68" s="779"/>
      <c r="NN68" s="779"/>
      <c r="NO68" s="779"/>
      <c r="NP68" s="779"/>
      <c r="NQ68" s="779"/>
      <c r="NR68" s="779"/>
      <c r="NS68" s="779"/>
      <c r="NT68" s="779"/>
      <c r="NU68" s="779"/>
      <c r="NV68" s="779"/>
      <c r="NW68" s="779"/>
      <c r="NX68" s="779"/>
      <c r="NY68" s="779"/>
      <c r="NZ68" s="779"/>
      <c r="OA68" s="779"/>
      <c r="OB68" s="779"/>
      <c r="OC68" s="779"/>
      <c r="OD68" s="779"/>
      <c r="OE68" s="779"/>
      <c r="OF68" s="779"/>
      <c r="OG68" s="779"/>
      <c r="OH68" s="779"/>
      <c r="OI68" s="779"/>
      <c r="OJ68" s="779"/>
      <c r="OK68" s="779"/>
      <c r="OL68" s="779"/>
      <c r="OM68" s="779"/>
      <c r="ON68" s="779"/>
      <c r="OO68" s="779"/>
      <c r="OP68" s="779"/>
      <c r="OQ68" s="779"/>
      <c r="OR68" s="779"/>
      <c r="OS68" s="779"/>
      <c r="OT68" s="779"/>
      <c r="OU68" s="779"/>
      <c r="OV68" s="779"/>
      <c r="OW68" s="779"/>
      <c r="OX68" s="779"/>
      <c r="OY68" s="779"/>
      <c r="OZ68" s="779"/>
      <c r="PA68" s="779"/>
      <c r="PB68" s="779"/>
      <c r="PC68" s="779"/>
      <c r="PD68" s="779"/>
      <c r="PE68" s="779"/>
      <c r="PF68" s="779"/>
      <c r="PG68" s="779"/>
      <c r="PH68" s="779"/>
      <c r="PI68" s="779"/>
      <c r="PJ68" s="779"/>
      <c r="PK68" s="779"/>
      <c r="PL68" s="779"/>
      <c r="PM68" s="779"/>
      <c r="PN68" s="779"/>
      <c r="PO68" s="779"/>
      <c r="PP68" s="779"/>
      <c r="PQ68" s="779"/>
      <c r="PR68" s="779"/>
      <c r="PS68" s="779"/>
      <c r="PT68" s="779"/>
      <c r="PU68" s="779"/>
      <c r="PV68" s="779"/>
      <c r="PW68" s="779"/>
      <c r="PX68" s="779"/>
      <c r="PY68" s="779"/>
      <c r="PZ68" s="779"/>
      <c r="QA68" s="779"/>
      <c r="QB68" s="779"/>
      <c r="QC68" s="779"/>
      <c r="QD68" s="779"/>
      <c r="QE68" s="779"/>
      <c r="QF68" s="779"/>
      <c r="QG68" s="779"/>
      <c r="QH68" s="779"/>
      <c r="QI68" s="779"/>
      <c r="QJ68" s="779"/>
      <c r="QK68" s="779"/>
      <c r="QL68" s="779"/>
      <c r="QM68" s="779"/>
      <c r="QN68" s="779"/>
      <c r="QO68" s="779"/>
      <c r="QP68" s="779"/>
      <c r="QQ68" s="779"/>
      <c r="QR68" s="779"/>
      <c r="QS68" s="779"/>
      <c r="QT68" s="779"/>
      <c r="QU68" s="779"/>
      <c r="QV68" s="779"/>
      <c r="QW68" s="779"/>
      <c r="QX68" s="779"/>
      <c r="QY68" s="779"/>
      <c r="QZ68" s="779"/>
      <c r="RA68" s="779"/>
      <c r="RB68" s="779"/>
      <c r="RC68" s="779"/>
      <c r="RD68" s="779"/>
      <c r="RE68" s="779"/>
      <c r="RF68" s="779"/>
      <c r="RG68" s="779"/>
      <c r="RH68" s="779"/>
      <c r="RI68" s="779"/>
      <c r="RJ68" s="779"/>
      <c r="RK68" s="779"/>
      <c r="RL68" s="779"/>
      <c r="RM68" s="779"/>
      <c r="RN68" s="779"/>
      <c r="RO68" s="779"/>
      <c r="RP68" s="779"/>
      <c r="RQ68" s="779"/>
      <c r="RR68" s="779"/>
      <c r="RS68" s="779"/>
      <c r="RT68" s="779"/>
      <c r="RU68" s="779"/>
      <c r="RV68" s="779"/>
      <c r="RW68" s="779"/>
      <c r="RX68" s="779"/>
    </row>
    <row r="69" spans="1:492" s="143" customFormat="1">
      <c r="A69" s="779"/>
      <c r="B69" s="779"/>
      <c r="C69" s="779"/>
      <c r="D69" s="779"/>
      <c r="E69" s="779"/>
      <c r="F69" s="779"/>
      <c r="G69" s="779"/>
      <c r="H69" s="779"/>
      <c r="I69" s="779"/>
      <c r="J69" s="779"/>
      <c r="K69" s="779"/>
      <c r="L69" s="779"/>
      <c r="M69" s="779"/>
      <c r="N69" s="779"/>
      <c r="O69" s="779"/>
      <c r="P69" s="779"/>
      <c r="Q69" s="779"/>
      <c r="R69" s="779"/>
      <c r="S69" s="779"/>
      <c r="T69" s="779"/>
      <c r="U69" s="779"/>
      <c r="V69" s="779"/>
      <c r="W69" s="779"/>
      <c r="X69" s="779"/>
      <c r="Y69" s="779"/>
      <c r="Z69" s="779"/>
      <c r="AA69" s="779"/>
      <c r="AB69" s="779"/>
      <c r="AC69" s="779"/>
      <c r="AD69" s="779"/>
      <c r="AE69" s="779"/>
      <c r="AF69" s="779"/>
      <c r="AG69" s="779"/>
      <c r="AH69" s="779"/>
      <c r="AI69" s="779"/>
      <c r="AJ69" s="779"/>
      <c r="AK69" s="779"/>
      <c r="AL69" s="779"/>
      <c r="AM69" s="782"/>
      <c r="AN69" s="782"/>
      <c r="AO69" s="782"/>
      <c r="AP69" s="782"/>
      <c r="AQ69" s="782"/>
      <c r="AR69" s="782"/>
      <c r="AS69" s="782"/>
      <c r="AT69" s="782"/>
      <c r="AU69" s="782"/>
      <c r="AV69" s="782"/>
      <c r="AW69" s="782"/>
      <c r="AX69" s="782"/>
      <c r="AY69" s="782"/>
      <c r="AZ69" s="782"/>
      <c r="BA69" s="782"/>
      <c r="BB69" s="782"/>
      <c r="BC69" s="782"/>
      <c r="BD69" s="782"/>
      <c r="BE69" s="782"/>
      <c r="BF69" s="782"/>
      <c r="BG69" s="782"/>
      <c r="BH69" s="782"/>
      <c r="BI69" s="782"/>
      <c r="BJ69" s="782"/>
      <c r="BK69" s="782"/>
      <c r="BL69" s="782"/>
      <c r="BM69" s="782"/>
      <c r="BN69" s="782"/>
      <c r="BO69" s="782"/>
      <c r="BP69" s="782"/>
      <c r="BQ69" s="782"/>
      <c r="BR69" s="782"/>
      <c r="BS69" s="782"/>
      <c r="BT69" s="782"/>
      <c r="BU69" s="782"/>
      <c r="BV69" s="782"/>
      <c r="BW69" s="782"/>
      <c r="BX69" s="782"/>
      <c r="BY69" s="782"/>
      <c r="BZ69" s="782"/>
      <c r="CA69" s="779"/>
      <c r="CB69" s="779"/>
      <c r="CC69" s="779"/>
      <c r="CD69" s="779"/>
      <c r="CE69" s="779"/>
      <c r="CF69" s="779"/>
      <c r="CG69" s="779"/>
      <c r="CH69" s="779"/>
      <c r="CI69" s="779"/>
      <c r="CJ69" s="779"/>
      <c r="CK69" s="779"/>
      <c r="CL69" s="779"/>
      <c r="CM69" s="779"/>
      <c r="CN69" s="779"/>
      <c r="CO69" s="779"/>
      <c r="CP69" s="779"/>
      <c r="CQ69" s="779"/>
      <c r="CR69" s="779"/>
      <c r="CS69" s="779"/>
      <c r="CT69" s="779"/>
      <c r="CU69" s="779"/>
      <c r="CV69" s="779"/>
      <c r="CW69" s="779"/>
      <c r="CX69" s="779"/>
      <c r="CY69" s="779"/>
      <c r="CZ69" s="779"/>
      <c r="DA69" s="779"/>
      <c r="DB69" s="779"/>
      <c r="DC69" s="779"/>
      <c r="DD69" s="779"/>
      <c r="DE69" s="779"/>
      <c r="DF69" s="779"/>
      <c r="DG69" s="779"/>
      <c r="DH69" s="779"/>
      <c r="DI69" s="779"/>
      <c r="DJ69" s="779"/>
      <c r="DK69" s="779"/>
      <c r="DL69" s="779"/>
      <c r="DM69" s="779"/>
      <c r="DN69" s="779"/>
      <c r="DO69" s="779"/>
      <c r="DP69" s="779"/>
      <c r="DQ69" s="779"/>
      <c r="DR69" s="779"/>
      <c r="DS69" s="779"/>
      <c r="DT69" s="779"/>
      <c r="DU69" s="779"/>
      <c r="DV69" s="779"/>
      <c r="DW69" s="779"/>
      <c r="DX69" s="779"/>
      <c r="DY69" s="779"/>
      <c r="DZ69" s="779"/>
      <c r="EA69" s="779"/>
      <c r="EB69" s="779"/>
      <c r="EC69" s="779"/>
      <c r="ED69" s="779"/>
      <c r="EE69" s="779"/>
      <c r="EF69" s="779"/>
      <c r="EG69" s="779"/>
      <c r="EH69" s="779"/>
      <c r="EI69" s="779"/>
      <c r="EJ69" s="779"/>
      <c r="EK69" s="779"/>
      <c r="EL69" s="779"/>
      <c r="EM69" s="779"/>
      <c r="EN69" s="779"/>
      <c r="EO69" s="779"/>
      <c r="EP69" s="779"/>
      <c r="EQ69" s="779"/>
      <c r="ER69" s="779"/>
      <c r="ES69" s="779"/>
      <c r="ET69" s="779"/>
      <c r="EU69" s="779"/>
      <c r="EV69" s="779"/>
      <c r="EW69" s="779"/>
      <c r="EX69" s="779"/>
      <c r="EY69" s="779"/>
      <c r="EZ69" s="779"/>
      <c r="FA69" s="779"/>
      <c r="FB69" s="779"/>
      <c r="FC69" s="779"/>
      <c r="FD69" s="779"/>
      <c r="FE69" s="779"/>
      <c r="FF69" s="779"/>
      <c r="FG69" s="779"/>
      <c r="FH69" s="779"/>
      <c r="FI69" s="779"/>
      <c r="FJ69" s="779"/>
      <c r="FK69" s="779"/>
      <c r="FL69" s="779"/>
      <c r="FM69" s="779"/>
      <c r="FN69" s="779"/>
      <c r="FO69" s="779"/>
      <c r="FP69" s="779"/>
      <c r="FQ69" s="779"/>
      <c r="FR69" s="779"/>
      <c r="FS69" s="779"/>
      <c r="FT69" s="779"/>
      <c r="FU69" s="779"/>
      <c r="FV69" s="779"/>
      <c r="FW69" s="779"/>
      <c r="FX69" s="779"/>
      <c r="FY69" s="779"/>
      <c r="FZ69" s="779"/>
      <c r="GA69" s="779"/>
      <c r="GB69" s="779"/>
      <c r="GC69" s="779"/>
      <c r="GD69" s="779"/>
      <c r="GE69" s="779"/>
      <c r="GF69" s="779"/>
      <c r="GG69" s="779"/>
      <c r="GH69" s="779"/>
      <c r="GI69" s="779"/>
      <c r="GJ69" s="779"/>
      <c r="GK69" s="779"/>
      <c r="GL69" s="779"/>
      <c r="GM69" s="779"/>
      <c r="GN69" s="779"/>
      <c r="GO69" s="779"/>
      <c r="GP69" s="779"/>
      <c r="GQ69" s="779"/>
      <c r="GR69" s="779"/>
      <c r="GS69" s="779"/>
      <c r="GT69" s="779"/>
      <c r="GU69" s="779"/>
      <c r="GV69" s="779"/>
      <c r="GW69" s="779"/>
      <c r="GX69" s="779"/>
      <c r="GY69" s="779"/>
      <c r="GZ69" s="779"/>
      <c r="HA69" s="779"/>
      <c r="HB69" s="779"/>
      <c r="HC69" s="779"/>
      <c r="HD69" s="779"/>
      <c r="HE69" s="779"/>
      <c r="HF69" s="779"/>
      <c r="HG69" s="779"/>
      <c r="HH69" s="779"/>
      <c r="HI69" s="779"/>
      <c r="HJ69" s="779"/>
      <c r="HK69" s="779"/>
      <c r="HL69" s="779"/>
      <c r="HM69" s="779"/>
      <c r="HN69" s="779"/>
      <c r="HO69" s="779"/>
      <c r="HP69" s="779"/>
      <c r="HQ69" s="779"/>
      <c r="HR69" s="779"/>
      <c r="HS69" s="779"/>
      <c r="HT69" s="779"/>
      <c r="HU69" s="779"/>
      <c r="HV69" s="779"/>
      <c r="HW69" s="779"/>
      <c r="HX69" s="779"/>
      <c r="HY69" s="779"/>
      <c r="HZ69" s="779"/>
      <c r="IA69" s="779"/>
      <c r="IB69" s="779"/>
      <c r="IC69" s="779"/>
      <c r="ID69" s="779"/>
      <c r="IE69" s="779"/>
      <c r="IF69" s="779"/>
      <c r="IG69" s="779"/>
      <c r="IH69" s="779"/>
      <c r="II69" s="779"/>
      <c r="IJ69" s="779"/>
      <c r="IK69" s="779"/>
      <c r="IL69" s="779"/>
      <c r="IM69" s="779"/>
      <c r="IN69" s="779"/>
      <c r="IO69" s="779"/>
      <c r="IP69" s="779"/>
      <c r="IQ69" s="779"/>
      <c r="IR69" s="779"/>
      <c r="IS69" s="779"/>
      <c r="IT69" s="779"/>
      <c r="IU69" s="779"/>
      <c r="IV69" s="779"/>
      <c r="IW69" s="779"/>
      <c r="IX69" s="779"/>
      <c r="IY69" s="779"/>
      <c r="IZ69" s="779"/>
      <c r="JA69" s="779"/>
      <c r="JB69" s="779"/>
      <c r="JC69" s="779"/>
      <c r="JD69" s="779"/>
      <c r="JE69" s="779"/>
      <c r="JF69" s="779"/>
      <c r="JG69" s="779"/>
      <c r="JH69" s="779"/>
      <c r="JI69" s="779"/>
      <c r="JJ69" s="779"/>
      <c r="JK69" s="779"/>
      <c r="JL69" s="779"/>
      <c r="JM69" s="779"/>
      <c r="JN69" s="779"/>
      <c r="JO69" s="779"/>
      <c r="JP69" s="779"/>
      <c r="JQ69" s="779"/>
      <c r="JR69" s="779"/>
      <c r="JS69" s="779"/>
      <c r="JT69" s="779"/>
      <c r="JU69" s="779"/>
      <c r="JV69" s="779"/>
      <c r="JW69" s="779"/>
      <c r="JX69" s="779"/>
      <c r="JY69" s="779"/>
      <c r="JZ69" s="779"/>
      <c r="KA69" s="779"/>
      <c r="KB69" s="779"/>
      <c r="KC69" s="779"/>
      <c r="KD69" s="779"/>
      <c r="KE69" s="779"/>
      <c r="KF69" s="779"/>
      <c r="KG69" s="779"/>
      <c r="KH69" s="779"/>
      <c r="KI69" s="779"/>
      <c r="KJ69" s="779"/>
      <c r="KK69" s="779"/>
      <c r="KL69" s="779"/>
      <c r="KM69" s="779"/>
      <c r="KN69" s="779"/>
      <c r="KO69" s="779"/>
      <c r="KP69" s="779"/>
      <c r="KQ69" s="779"/>
      <c r="KR69" s="779"/>
      <c r="KS69" s="779"/>
      <c r="KT69" s="779"/>
      <c r="KU69" s="779"/>
      <c r="KV69" s="779"/>
      <c r="KW69" s="779"/>
      <c r="KX69" s="779"/>
      <c r="KY69" s="779"/>
      <c r="KZ69" s="779"/>
      <c r="LA69" s="779"/>
      <c r="LB69" s="779"/>
      <c r="LC69" s="779"/>
      <c r="LD69" s="779"/>
      <c r="LE69" s="779"/>
      <c r="LF69" s="779"/>
      <c r="LG69" s="779"/>
      <c r="LH69" s="779"/>
      <c r="LI69" s="779"/>
      <c r="LJ69" s="779"/>
      <c r="LK69" s="779"/>
      <c r="LL69" s="779"/>
      <c r="LM69" s="779"/>
      <c r="LN69" s="779"/>
      <c r="LO69" s="779"/>
      <c r="LP69" s="779"/>
      <c r="LQ69" s="779"/>
      <c r="LR69" s="779"/>
      <c r="LS69" s="779"/>
      <c r="LT69" s="779"/>
      <c r="LU69" s="779"/>
      <c r="LV69" s="779"/>
      <c r="LW69" s="779"/>
      <c r="LX69" s="779"/>
      <c r="LY69" s="779"/>
      <c r="LZ69" s="779"/>
      <c r="MA69" s="779"/>
      <c r="MB69" s="779"/>
      <c r="MC69" s="779"/>
      <c r="MD69" s="779"/>
      <c r="ME69" s="779"/>
      <c r="MF69" s="779"/>
      <c r="MG69" s="779"/>
      <c r="MH69" s="779"/>
      <c r="MI69" s="779"/>
      <c r="MJ69" s="779"/>
      <c r="MK69" s="779"/>
      <c r="ML69" s="779"/>
      <c r="MM69" s="779"/>
      <c r="MN69" s="779"/>
      <c r="MO69" s="779"/>
      <c r="MP69" s="779"/>
      <c r="MQ69" s="779"/>
      <c r="MR69" s="779"/>
      <c r="MS69" s="779"/>
      <c r="MT69" s="779"/>
      <c r="MU69" s="779"/>
      <c r="MV69" s="779"/>
      <c r="MW69" s="779"/>
      <c r="MX69" s="779"/>
      <c r="MY69" s="779"/>
      <c r="MZ69" s="779"/>
      <c r="NA69" s="779"/>
      <c r="NB69" s="779"/>
      <c r="NC69" s="779"/>
      <c r="ND69" s="779"/>
      <c r="NE69" s="779"/>
      <c r="NF69" s="779"/>
      <c r="NG69" s="779"/>
      <c r="NH69" s="779"/>
      <c r="NI69" s="779"/>
      <c r="NJ69" s="779"/>
      <c r="NK69" s="779"/>
      <c r="NL69" s="779"/>
      <c r="NM69" s="779"/>
      <c r="NN69" s="779"/>
      <c r="NO69" s="779"/>
      <c r="NP69" s="779"/>
      <c r="NQ69" s="779"/>
      <c r="NR69" s="779"/>
      <c r="NS69" s="779"/>
      <c r="NT69" s="779"/>
      <c r="NU69" s="779"/>
      <c r="NV69" s="779"/>
      <c r="NW69" s="779"/>
      <c r="NX69" s="779"/>
      <c r="NY69" s="779"/>
      <c r="NZ69" s="779"/>
      <c r="OA69" s="779"/>
      <c r="OB69" s="779"/>
      <c r="OC69" s="779"/>
      <c r="OD69" s="779"/>
      <c r="OE69" s="779"/>
      <c r="OF69" s="779"/>
      <c r="OG69" s="779"/>
      <c r="OH69" s="779"/>
      <c r="OI69" s="779"/>
      <c r="OJ69" s="779"/>
      <c r="OK69" s="779"/>
      <c r="OL69" s="779"/>
      <c r="OM69" s="779"/>
      <c r="ON69" s="779"/>
      <c r="OO69" s="779"/>
      <c r="OP69" s="779"/>
      <c r="OQ69" s="779"/>
      <c r="OR69" s="779"/>
      <c r="OS69" s="779"/>
      <c r="OT69" s="779"/>
      <c r="OU69" s="779"/>
      <c r="OV69" s="779"/>
      <c r="OW69" s="779"/>
      <c r="OX69" s="779"/>
      <c r="OY69" s="779"/>
      <c r="OZ69" s="779"/>
      <c r="PA69" s="779"/>
      <c r="PB69" s="779"/>
      <c r="PC69" s="779"/>
      <c r="PD69" s="779"/>
      <c r="PE69" s="779"/>
      <c r="PF69" s="779"/>
      <c r="PG69" s="779"/>
      <c r="PH69" s="779"/>
      <c r="PI69" s="779"/>
      <c r="PJ69" s="779"/>
      <c r="PK69" s="779"/>
      <c r="PL69" s="779"/>
      <c r="PM69" s="779"/>
      <c r="PN69" s="779"/>
      <c r="PO69" s="779"/>
      <c r="PP69" s="779"/>
      <c r="PQ69" s="779"/>
      <c r="PR69" s="779"/>
      <c r="PS69" s="779"/>
      <c r="PT69" s="779"/>
      <c r="PU69" s="779"/>
      <c r="PV69" s="779"/>
      <c r="PW69" s="779"/>
      <c r="PX69" s="779"/>
      <c r="PY69" s="779"/>
      <c r="PZ69" s="779"/>
      <c r="QA69" s="779"/>
      <c r="QB69" s="779"/>
      <c r="QC69" s="779"/>
      <c r="QD69" s="779"/>
      <c r="QE69" s="779"/>
      <c r="QF69" s="779"/>
      <c r="QG69" s="779"/>
      <c r="QH69" s="779"/>
      <c r="QI69" s="779"/>
      <c r="QJ69" s="779"/>
      <c r="QK69" s="779"/>
      <c r="QL69" s="779"/>
      <c r="QM69" s="779"/>
      <c r="QN69" s="779"/>
      <c r="QO69" s="779"/>
      <c r="QP69" s="779"/>
      <c r="QQ69" s="779"/>
      <c r="QR69" s="779"/>
      <c r="QS69" s="779"/>
      <c r="QT69" s="779"/>
      <c r="QU69" s="779"/>
      <c r="QV69" s="779"/>
      <c r="QW69" s="779"/>
      <c r="QX69" s="779"/>
      <c r="QY69" s="779"/>
      <c r="QZ69" s="779"/>
      <c r="RA69" s="779"/>
      <c r="RB69" s="779"/>
      <c r="RC69" s="779"/>
      <c r="RD69" s="779"/>
      <c r="RE69" s="779"/>
      <c r="RF69" s="779"/>
      <c r="RG69" s="779"/>
      <c r="RH69" s="779"/>
      <c r="RI69" s="779"/>
      <c r="RJ69" s="779"/>
      <c r="RK69" s="779"/>
      <c r="RL69" s="779"/>
      <c r="RM69" s="779"/>
      <c r="RN69" s="779"/>
      <c r="RO69" s="779"/>
      <c r="RP69" s="779"/>
      <c r="RQ69" s="779"/>
      <c r="RR69" s="779"/>
      <c r="RS69" s="779"/>
      <c r="RT69" s="779"/>
      <c r="RU69" s="779"/>
      <c r="RV69" s="779"/>
      <c r="RW69" s="779"/>
      <c r="RX69" s="779"/>
    </row>
    <row r="70" spans="1:492" s="143" customFormat="1">
      <c r="A70" s="779"/>
      <c r="B70" s="779"/>
      <c r="C70" s="779"/>
      <c r="D70" s="779"/>
      <c r="E70" s="779"/>
      <c r="F70" s="779"/>
      <c r="G70" s="779"/>
      <c r="H70" s="779"/>
      <c r="I70" s="779"/>
      <c r="J70" s="779"/>
      <c r="K70" s="779"/>
      <c r="L70" s="779"/>
      <c r="M70" s="779"/>
      <c r="N70" s="779"/>
      <c r="O70" s="779"/>
      <c r="P70" s="779"/>
      <c r="Q70" s="779"/>
      <c r="R70" s="779"/>
      <c r="S70" s="779"/>
      <c r="T70" s="779"/>
      <c r="U70" s="779"/>
      <c r="V70" s="779"/>
      <c r="W70" s="779"/>
      <c r="X70" s="779"/>
      <c r="Y70" s="779"/>
      <c r="Z70" s="779"/>
      <c r="AA70" s="779"/>
      <c r="AB70" s="779"/>
      <c r="AC70" s="779"/>
      <c r="AD70" s="779"/>
      <c r="AE70" s="779"/>
      <c r="AF70" s="779"/>
      <c r="AG70" s="779"/>
      <c r="AH70" s="779"/>
      <c r="AI70" s="779"/>
      <c r="AJ70" s="779"/>
      <c r="AK70" s="779"/>
      <c r="AL70" s="779"/>
      <c r="AM70" s="782"/>
      <c r="AN70" s="782"/>
      <c r="AO70" s="782"/>
      <c r="AP70" s="782"/>
      <c r="AQ70" s="782"/>
      <c r="AR70" s="782"/>
      <c r="AS70" s="782"/>
      <c r="AT70" s="782"/>
      <c r="AU70" s="782"/>
      <c r="AV70" s="782"/>
      <c r="AW70" s="782"/>
      <c r="AX70" s="782"/>
      <c r="AY70" s="782"/>
      <c r="AZ70" s="782"/>
      <c r="BA70" s="782"/>
      <c r="BB70" s="782"/>
      <c r="BC70" s="782"/>
      <c r="BD70" s="782"/>
      <c r="BE70" s="782"/>
      <c r="BF70" s="782"/>
      <c r="BG70" s="782"/>
      <c r="BH70" s="782"/>
      <c r="BI70" s="782"/>
      <c r="BJ70" s="782"/>
      <c r="BK70" s="782"/>
      <c r="BL70" s="782"/>
      <c r="BM70" s="782"/>
      <c r="BN70" s="782"/>
      <c r="BO70" s="782"/>
      <c r="BP70" s="782"/>
      <c r="BQ70" s="782"/>
      <c r="BR70" s="782"/>
      <c r="BS70" s="782"/>
      <c r="BT70" s="782"/>
      <c r="BU70" s="782"/>
      <c r="BV70" s="782"/>
      <c r="BW70" s="782"/>
      <c r="BX70" s="782"/>
      <c r="BY70" s="782"/>
      <c r="BZ70" s="782"/>
      <c r="CA70" s="779"/>
      <c r="CB70" s="779"/>
      <c r="CC70" s="779"/>
      <c r="CD70" s="779"/>
      <c r="CE70" s="779"/>
      <c r="CF70" s="779"/>
      <c r="CG70" s="779"/>
      <c r="CH70" s="779"/>
      <c r="CI70" s="779"/>
      <c r="CJ70" s="779"/>
      <c r="CK70" s="779"/>
      <c r="CL70" s="779"/>
      <c r="CM70" s="779"/>
      <c r="CN70" s="779"/>
      <c r="CO70" s="779"/>
      <c r="CP70" s="779"/>
      <c r="CQ70" s="779"/>
      <c r="CR70" s="779"/>
      <c r="CS70" s="779"/>
      <c r="CT70" s="779"/>
      <c r="CU70" s="779"/>
      <c r="CV70" s="779"/>
      <c r="CW70" s="779"/>
      <c r="CX70" s="779"/>
      <c r="CY70" s="779"/>
      <c r="CZ70" s="779"/>
      <c r="DA70" s="779"/>
      <c r="DB70" s="779"/>
      <c r="DC70" s="779"/>
      <c r="DD70" s="779"/>
      <c r="DE70" s="779"/>
      <c r="DF70" s="779"/>
      <c r="DG70" s="779"/>
      <c r="DH70" s="779"/>
      <c r="DI70" s="779"/>
      <c r="DJ70" s="779"/>
      <c r="DK70" s="779"/>
      <c r="DL70" s="779"/>
      <c r="DM70" s="779"/>
      <c r="DN70" s="779"/>
      <c r="DO70" s="779"/>
      <c r="DP70" s="779"/>
      <c r="DQ70" s="779"/>
      <c r="DR70" s="779"/>
      <c r="DS70" s="779"/>
      <c r="DT70" s="779"/>
      <c r="DU70" s="779"/>
      <c r="DV70" s="779"/>
      <c r="DW70" s="779"/>
      <c r="DX70" s="779"/>
      <c r="DY70" s="779"/>
      <c r="DZ70" s="779"/>
      <c r="EA70" s="779"/>
      <c r="EB70" s="779"/>
      <c r="EC70" s="779"/>
      <c r="ED70" s="779"/>
      <c r="EE70" s="779"/>
      <c r="EF70" s="779"/>
      <c r="EG70" s="779"/>
      <c r="EH70" s="779"/>
      <c r="EI70" s="779"/>
      <c r="EJ70" s="779"/>
      <c r="EK70" s="779"/>
      <c r="EL70" s="779"/>
      <c r="EM70" s="779"/>
      <c r="EN70" s="779"/>
      <c r="EO70" s="779"/>
      <c r="EP70" s="779"/>
      <c r="EQ70" s="779"/>
      <c r="ER70" s="779"/>
      <c r="ES70" s="779"/>
      <c r="ET70" s="779"/>
      <c r="EU70" s="779"/>
      <c r="EV70" s="779"/>
      <c r="EW70" s="779"/>
      <c r="EX70" s="779"/>
      <c r="EY70" s="779"/>
      <c r="EZ70" s="779"/>
      <c r="FA70" s="779"/>
      <c r="FB70" s="779"/>
      <c r="FC70" s="779"/>
      <c r="FD70" s="779"/>
      <c r="FE70" s="779"/>
      <c r="FF70" s="779"/>
      <c r="FG70" s="779"/>
      <c r="FH70" s="779"/>
      <c r="FI70" s="779"/>
      <c r="FJ70" s="779"/>
      <c r="FK70" s="779"/>
      <c r="FL70" s="779"/>
      <c r="FM70" s="779"/>
      <c r="FN70" s="779"/>
      <c r="FO70" s="779"/>
      <c r="FP70" s="779"/>
      <c r="FQ70" s="779"/>
      <c r="FR70" s="779"/>
      <c r="FS70" s="779"/>
      <c r="FT70" s="779"/>
      <c r="FU70" s="779"/>
      <c r="FV70" s="779"/>
      <c r="FW70" s="779"/>
      <c r="FX70" s="779"/>
      <c r="FY70" s="779"/>
      <c r="FZ70" s="779"/>
      <c r="GA70" s="779"/>
      <c r="GB70" s="779"/>
      <c r="GC70" s="779"/>
      <c r="GD70" s="779"/>
      <c r="GE70" s="779"/>
      <c r="GF70" s="779"/>
      <c r="GG70" s="779"/>
      <c r="GH70" s="779"/>
      <c r="GI70" s="779"/>
      <c r="GJ70" s="779"/>
      <c r="GK70" s="779"/>
      <c r="GL70" s="779"/>
      <c r="GM70" s="779"/>
      <c r="GN70" s="779"/>
      <c r="GO70" s="779"/>
      <c r="GP70" s="779"/>
      <c r="GQ70" s="779"/>
      <c r="GR70" s="779"/>
      <c r="GS70" s="779"/>
      <c r="GT70" s="779"/>
      <c r="GU70" s="779"/>
      <c r="GV70" s="779"/>
      <c r="GW70" s="779"/>
      <c r="GX70" s="779"/>
      <c r="GY70" s="779"/>
      <c r="GZ70" s="779"/>
      <c r="HA70" s="779"/>
      <c r="HB70" s="779"/>
      <c r="HC70" s="779"/>
      <c r="HD70" s="779"/>
      <c r="HE70" s="779"/>
      <c r="HF70" s="779"/>
      <c r="HG70" s="779"/>
      <c r="HH70" s="779"/>
      <c r="HI70" s="779"/>
      <c r="HJ70" s="779"/>
      <c r="HK70" s="779"/>
      <c r="HL70" s="779"/>
      <c r="HM70" s="779"/>
      <c r="HN70" s="779"/>
      <c r="HO70" s="779"/>
      <c r="HP70" s="779"/>
      <c r="HQ70" s="779"/>
      <c r="HR70" s="779"/>
      <c r="HS70" s="779"/>
      <c r="HT70" s="779"/>
      <c r="HU70" s="779"/>
      <c r="HV70" s="779"/>
      <c r="HW70" s="779"/>
      <c r="HX70" s="779"/>
      <c r="HY70" s="779"/>
      <c r="HZ70" s="779"/>
      <c r="IA70" s="779"/>
      <c r="IB70" s="779"/>
      <c r="IC70" s="779"/>
      <c r="ID70" s="779"/>
      <c r="IE70" s="779"/>
      <c r="IF70" s="779"/>
      <c r="IG70" s="779"/>
      <c r="IH70" s="779"/>
      <c r="II70" s="779"/>
      <c r="IJ70" s="779"/>
      <c r="IK70" s="779"/>
      <c r="IL70" s="779"/>
      <c r="IM70" s="779"/>
      <c r="IN70" s="779"/>
      <c r="IO70" s="779"/>
      <c r="IP70" s="779"/>
      <c r="IQ70" s="779"/>
      <c r="IR70" s="779"/>
      <c r="IS70" s="779"/>
      <c r="IT70" s="779"/>
      <c r="IU70" s="779"/>
      <c r="IV70" s="779"/>
      <c r="IW70" s="779"/>
      <c r="IX70" s="779"/>
      <c r="IY70" s="779"/>
      <c r="IZ70" s="779"/>
      <c r="JA70" s="779"/>
      <c r="JB70" s="779"/>
      <c r="JC70" s="779"/>
      <c r="JD70" s="779"/>
      <c r="JE70" s="779"/>
      <c r="JF70" s="779"/>
      <c r="JG70" s="779"/>
      <c r="JH70" s="779"/>
      <c r="JI70" s="779"/>
      <c r="JJ70" s="779"/>
      <c r="JK70" s="779"/>
      <c r="JL70" s="779"/>
      <c r="JM70" s="779"/>
      <c r="JN70" s="779"/>
      <c r="JO70" s="779"/>
      <c r="JP70" s="779"/>
      <c r="JQ70" s="779"/>
      <c r="JR70" s="779"/>
      <c r="JS70" s="779"/>
      <c r="JT70" s="779"/>
      <c r="JU70" s="779"/>
      <c r="JV70" s="779"/>
      <c r="JW70" s="779"/>
      <c r="JX70" s="779"/>
      <c r="JY70" s="779"/>
      <c r="JZ70" s="779"/>
      <c r="KA70" s="779"/>
      <c r="KB70" s="779"/>
      <c r="KC70" s="779"/>
      <c r="KD70" s="779"/>
      <c r="KE70" s="779"/>
      <c r="KF70" s="779"/>
      <c r="KG70" s="779"/>
      <c r="KH70" s="779"/>
      <c r="KI70" s="779"/>
      <c r="KJ70" s="779"/>
      <c r="KK70" s="779"/>
      <c r="KL70" s="779"/>
      <c r="KM70" s="779"/>
      <c r="KN70" s="779"/>
      <c r="KO70" s="779"/>
      <c r="KP70" s="779"/>
      <c r="KQ70" s="779"/>
      <c r="KR70" s="779"/>
      <c r="KS70" s="779"/>
      <c r="KT70" s="779"/>
      <c r="KU70" s="779"/>
      <c r="KV70" s="779"/>
      <c r="KW70" s="779"/>
      <c r="KX70" s="779"/>
      <c r="KY70" s="779"/>
      <c r="KZ70" s="779"/>
      <c r="LA70" s="779"/>
      <c r="LB70" s="779"/>
      <c r="LC70" s="779"/>
      <c r="LD70" s="779"/>
      <c r="LE70" s="779"/>
      <c r="LF70" s="779"/>
      <c r="LG70" s="779"/>
      <c r="LH70" s="779"/>
      <c r="LI70" s="779"/>
      <c r="LJ70" s="779"/>
      <c r="LK70" s="779"/>
      <c r="LL70" s="779"/>
      <c r="LM70" s="779"/>
      <c r="LN70" s="779"/>
      <c r="LO70" s="779"/>
      <c r="LP70" s="779"/>
      <c r="LQ70" s="779"/>
      <c r="LR70" s="779"/>
      <c r="LS70" s="779"/>
      <c r="LT70" s="779"/>
      <c r="LU70" s="779"/>
      <c r="LV70" s="779"/>
      <c r="LW70" s="779"/>
      <c r="LX70" s="779"/>
      <c r="LY70" s="779"/>
      <c r="LZ70" s="779"/>
      <c r="MA70" s="779"/>
      <c r="MB70" s="779"/>
      <c r="MC70" s="779"/>
      <c r="MD70" s="779"/>
      <c r="ME70" s="779"/>
      <c r="MF70" s="779"/>
      <c r="MG70" s="779"/>
      <c r="MH70" s="779"/>
      <c r="MI70" s="779"/>
      <c r="MJ70" s="779"/>
      <c r="MK70" s="779"/>
      <c r="ML70" s="779"/>
      <c r="MM70" s="779"/>
      <c r="MN70" s="779"/>
      <c r="MO70" s="779"/>
      <c r="MP70" s="779"/>
      <c r="MQ70" s="779"/>
      <c r="MR70" s="779"/>
      <c r="MS70" s="779"/>
      <c r="MT70" s="779"/>
      <c r="MU70" s="779"/>
      <c r="MV70" s="779"/>
      <c r="MW70" s="779"/>
      <c r="MX70" s="779"/>
      <c r="MY70" s="779"/>
      <c r="MZ70" s="779"/>
      <c r="NA70" s="779"/>
      <c r="NB70" s="779"/>
      <c r="NC70" s="779"/>
      <c r="ND70" s="779"/>
      <c r="NE70" s="779"/>
      <c r="NF70" s="779"/>
      <c r="NG70" s="779"/>
      <c r="NH70" s="779"/>
      <c r="NI70" s="779"/>
      <c r="NJ70" s="779"/>
      <c r="NK70" s="779"/>
      <c r="NL70" s="779"/>
      <c r="NM70" s="779"/>
      <c r="NN70" s="779"/>
      <c r="NO70" s="779"/>
      <c r="NP70" s="779"/>
      <c r="NQ70" s="779"/>
      <c r="NR70" s="779"/>
      <c r="NS70" s="779"/>
      <c r="NT70" s="779"/>
      <c r="NU70" s="779"/>
      <c r="NV70" s="779"/>
      <c r="NW70" s="779"/>
      <c r="NX70" s="779"/>
      <c r="NY70" s="779"/>
      <c r="NZ70" s="779"/>
      <c r="OA70" s="779"/>
      <c r="OB70" s="779"/>
      <c r="OC70" s="779"/>
      <c r="OD70" s="779"/>
      <c r="OE70" s="779"/>
      <c r="OF70" s="779"/>
      <c r="OG70" s="779"/>
      <c r="OH70" s="779"/>
      <c r="OI70" s="779"/>
      <c r="OJ70" s="779"/>
      <c r="OK70" s="779"/>
      <c r="OL70" s="779"/>
      <c r="OM70" s="779"/>
      <c r="ON70" s="779"/>
      <c r="OO70" s="779"/>
      <c r="OP70" s="779"/>
      <c r="OQ70" s="779"/>
      <c r="OR70" s="779"/>
      <c r="OS70" s="779"/>
      <c r="OT70" s="779"/>
      <c r="OU70" s="779"/>
      <c r="OV70" s="779"/>
      <c r="OW70" s="779"/>
      <c r="OX70" s="779"/>
      <c r="OY70" s="779"/>
      <c r="OZ70" s="779"/>
      <c r="PA70" s="779"/>
      <c r="PB70" s="779"/>
      <c r="PC70" s="779"/>
      <c r="PD70" s="779"/>
      <c r="PE70" s="779"/>
      <c r="PF70" s="779"/>
      <c r="PG70" s="779"/>
      <c r="PH70" s="779"/>
      <c r="PI70" s="779"/>
      <c r="PJ70" s="779"/>
      <c r="PK70" s="779"/>
      <c r="PL70" s="779"/>
      <c r="PM70" s="779"/>
      <c r="PN70" s="779"/>
      <c r="PO70" s="779"/>
      <c r="PP70" s="779"/>
      <c r="PQ70" s="779"/>
      <c r="PR70" s="779"/>
      <c r="PS70" s="779"/>
      <c r="PT70" s="779"/>
      <c r="PU70" s="779"/>
      <c r="PV70" s="779"/>
      <c r="PW70" s="779"/>
      <c r="PX70" s="779"/>
      <c r="PY70" s="779"/>
      <c r="PZ70" s="779"/>
      <c r="QA70" s="779"/>
      <c r="QB70" s="779"/>
      <c r="QC70" s="779"/>
      <c r="QD70" s="779"/>
      <c r="QE70" s="779"/>
      <c r="QF70" s="779"/>
      <c r="QG70" s="779"/>
      <c r="QH70" s="779"/>
      <c r="QI70" s="779"/>
      <c r="QJ70" s="779"/>
      <c r="QK70" s="779"/>
      <c r="QL70" s="779"/>
      <c r="QM70" s="779"/>
      <c r="QN70" s="779"/>
      <c r="QO70" s="779"/>
      <c r="QP70" s="779"/>
      <c r="QQ70" s="779"/>
      <c r="QR70" s="779"/>
      <c r="QS70" s="779"/>
      <c r="QT70" s="779"/>
      <c r="QU70" s="779"/>
      <c r="QV70" s="779"/>
      <c r="QW70" s="779"/>
      <c r="QX70" s="779"/>
      <c r="QY70" s="779"/>
      <c r="QZ70" s="779"/>
      <c r="RA70" s="779"/>
      <c r="RB70" s="779"/>
      <c r="RC70" s="779"/>
      <c r="RD70" s="779"/>
      <c r="RE70" s="779"/>
      <c r="RF70" s="779"/>
      <c r="RG70" s="779"/>
      <c r="RH70" s="779"/>
      <c r="RI70" s="779"/>
      <c r="RJ70" s="779"/>
      <c r="RK70" s="779"/>
      <c r="RL70" s="779"/>
      <c r="RM70" s="779"/>
      <c r="RN70" s="779"/>
      <c r="RO70" s="779"/>
      <c r="RP70" s="779"/>
      <c r="RQ70" s="779"/>
      <c r="RR70" s="779"/>
      <c r="RS70" s="779"/>
      <c r="RT70" s="779"/>
      <c r="RU70" s="779"/>
      <c r="RV70" s="779"/>
      <c r="RW70" s="779"/>
      <c r="RX70" s="779"/>
    </row>
    <row r="71" spans="1:492" s="143" customFormat="1">
      <c r="A71" s="779"/>
      <c r="B71" s="779"/>
      <c r="C71" s="779"/>
      <c r="D71" s="779"/>
      <c r="E71" s="779"/>
      <c r="F71" s="779"/>
      <c r="G71" s="779"/>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79"/>
      <c r="AL71" s="779"/>
      <c r="AM71" s="782"/>
      <c r="AN71" s="782"/>
      <c r="AO71" s="782"/>
      <c r="AP71" s="782"/>
      <c r="AQ71" s="782"/>
      <c r="AR71" s="782"/>
      <c r="AS71" s="782"/>
      <c r="AT71" s="782"/>
      <c r="AU71" s="782"/>
      <c r="AV71" s="782"/>
      <c r="AW71" s="782"/>
      <c r="AX71" s="782"/>
      <c r="AY71" s="782"/>
      <c r="AZ71" s="782"/>
      <c r="BA71" s="782"/>
      <c r="BB71" s="782"/>
      <c r="BC71" s="782"/>
      <c r="BD71" s="782"/>
      <c r="BE71" s="782"/>
      <c r="BF71" s="782"/>
      <c r="BG71" s="782"/>
      <c r="BH71" s="782"/>
      <c r="BI71" s="782"/>
      <c r="BJ71" s="782"/>
      <c r="BK71" s="782"/>
      <c r="BL71" s="782"/>
      <c r="BM71" s="782"/>
      <c r="BN71" s="782"/>
      <c r="BO71" s="782"/>
      <c r="BP71" s="782"/>
      <c r="BQ71" s="782"/>
      <c r="BR71" s="782"/>
      <c r="BS71" s="782"/>
      <c r="BT71" s="782"/>
      <c r="BU71" s="782"/>
      <c r="BV71" s="782"/>
      <c r="BW71" s="782"/>
      <c r="BX71" s="782"/>
      <c r="BY71" s="782"/>
      <c r="BZ71" s="782"/>
      <c r="CA71" s="779"/>
      <c r="CB71" s="779"/>
      <c r="CC71" s="779"/>
      <c r="CD71" s="779"/>
      <c r="CE71" s="779"/>
      <c r="CF71" s="779"/>
      <c r="CG71" s="779"/>
      <c r="CH71" s="779"/>
      <c r="CI71" s="779"/>
      <c r="CJ71" s="779"/>
      <c r="CK71" s="779"/>
      <c r="CL71" s="779"/>
      <c r="CM71" s="779"/>
      <c r="CN71" s="779"/>
      <c r="CO71" s="779"/>
      <c r="CP71" s="779"/>
      <c r="CQ71" s="779"/>
      <c r="CR71" s="779"/>
      <c r="CS71" s="779"/>
      <c r="CT71" s="779"/>
      <c r="CU71" s="779"/>
      <c r="CV71" s="779"/>
      <c r="CW71" s="779"/>
      <c r="CX71" s="779"/>
      <c r="CY71" s="779"/>
      <c r="CZ71" s="779"/>
      <c r="DA71" s="779"/>
      <c r="DB71" s="779"/>
      <c r="DC71" s="779"/>
      <c r="DD71" s="779"/>
      <c r="DE71" s="779"/>
      <c r="DF71" s="779"/>
      <c r="DG71" s="779"/>
      <c r="DH71" s="779"/>
      <c r="DI71" s="779"/>
      <c r="DJ71" s="779"/>
      <c r="DK71" s="779"/>
      <c r="DL71" s="779"/>
      <c r="DM71" s="779"/>
      <c r="DN71" s="779"/>
      <c r="DO71" s="779"/>
      <c r="DP71" s="779"/>
      <c r="DQ71" s="779"/>
      <c r="DR71" s="779"/>
      <c r="DS71" s="779"/>
      <c r="DT71" s="779"/>
      <c r="DU71" s="779"/>
      <c r="DV71" s="779"/>
      <c r="DW71" s="779"/>
      <c r="DX71" s="779"/>
      <c r="DY71" s="779"/>
      <c r="DZ71" s="779"/>
      <c r="EA71" s="779"/>
      <c r="EB71" s="779"/>
      <c r="EC71" s="779"/>
      <c r="ED71" s="779"/>
      <c r="EE71" s="779"/>
      <c r="EF71" s="779"/>
      <c r="EG71" s="779"/>
      <c r="EH71" s="779"/>
      <c r="EI71" s="779"/>
      <c r="EJ71" s="779"/>
      <c r="EK71" s="779"/>
      <c r="EL71" s="779"/>
      <c r="EM71" s="779"/>
      <c r="EN71" s="779"/>
      <c r="EO71" s="779"/>
      <c r="EP71" s="779"/>
      <c r="EQ71" s="779"/>
      <c r="ER71" s="779"/>
      <c r="ES71" s="779"/>
      <c r="ET71" s="779"/>
      <c r="EU71" s="779"/>
      <c r="EV71" s="779"/>
      <c r="EW71" s="779"/>
      <c r="EX71" s="779"/>
      <c r="EY71" s="779"/>
      <c r="EZ71" s="779"/>
      <c r="FA71" s="779"/>
      <c r="FB71" s="779"/>
      <c r="FC71" s="779"/>
      <c r="FD71" s="779"/>
      <c r="FE71" s="779"/>
      <c r="FF71" s="779"/>
      <c r="FG71" s="779"/>
      <c r="FH71" s="779"/>
      <c r="FI71" s="779"/>
      <c r="FJ71" s="779"/>
      <c r="FK71" s="779"/>
      <c r="FL71" s="779"/>
      <c r="FM71" s="779"/>
      <c r="FN71" s="779"/>
      <c r="FO71" s="779"/>
      <c r="FP71" s="779"/>
      <c r="FQ71" s="779"/>
      <c r="FR71" s="779"/>
      <c r="FS71" s="779"/>
      <c r="FT71" s="779"/>
      <c r="FU71" s="779"/>
      <c r="FV71" s="779"/>
      <c r="FW71" s="779"/>
      <c r="FX71" s="779"/>
      <c r="FY71" s="779"/>
      <c r="FZ71" s="779"/>
      <c r="GA71" s="779"/>
      <c r="GB71" s="779"/>
      <c r="GC71" s="779"/>
      <c r="GD71" s="779"/>
      <c r="GE71" s="779"/>
      <c r="GF71" s="779"/>
      <c r="GG71" s="779"/>
      <c r="GH71" s="779"/>
      <c r="GI71" s="779"/>
      <c r="GJ71" s="779"/>
      <c r="GK71" s="779"/>
      <c r="GL71" s="779"/>
      <c r="GM71" s="779"/>
      <c r="GN71" s="779"/>
      <c r="GO71" s="779"/>
      <c r="GP71" s="779"/>
      <c r="GQ71" s="779"/>
      <c r="GR71" s="779"/>
      <c r="GS71" s="779"/>
      <c r="GT71" s="779"/>
      <c r="GU71" s="779"/>
      <c r="GV71" s="779"/>
      <c r="GW71" s="779"/>
      <c r="GX71" s="779"/>
      <c r="GY71" s="779"/>
      <c r="GZ71" s="779"/>
      <c r="HA71" s="779"/>
      <c r="HB71" s="779"/>
      <c r="HC71" s="779"/>
      <c r="HD71" s="779"/>
      <c r="HE71" s="779"/>
      <c r="HF71" s="779"/>
      <c r="HG71" s="779"/>
      <c r="HH71" s="779"/>
      <c r="HI71" s="779"/>
      <c r="HJ71" s="779"/>
      <c r="HK71" s="779"/>
      <c r="HL71" s="779"/>
      <c r="HM71" s="779"/>
      <c r="HN71" s="779"/>
      <c r="HO71" s="779"/>
      <c r="HP71" s="779"/>
      <c r="HQ71" s="779"/>
      <c r="HR71" s="779"/>
      <c r="HS71" s="779"/>
      <c r="HT71" s="779"/>
      <c r="HU71" s="779"/>
      <c r="HV71" s="779"/>
      <c r="HW71" s="779"/>
      <c r="HX71" s="779"/>
      <c r="HY71" s="779"/>
      <c r="HZ71" s="779"/>
      <c r="IA71" s="779"/>
      <c r="IB71" s="779"/>
      <c r="IC71" s="779"/>
      <c r="ID71" s="779"/>
      <c r="IE71" s="779"/>
      <c r="IF71" s="779"/>
      <c r="IG71" s="779"/>
      <c r="IH71" s="779"/>
      <c r="II71" s="779"/>
      <c r="IJ71" s="779"/>
      <c r="IK71" s="779"/>
      <c r="IL71" s="779"/>
      <c r="IM71" s="779"/>
      <c r="IN71" s="779"/>
      <c r="IO71" s="779"/>
      <c r="IP71" s="779"/>
      <c r="IQ71" s="779"/>
      <c r="IR71" s="779"/>
      <c r="IS71" s="779"/>
      <c r="IT71" s="779"/>
      <c r="IU71" s="779"/>
      <c r="IV71" s="779"/>
      <c r="IW71" s="779"/>
      <c r="IX71" s="779"/>
      <c r="IY71" s="779"/>
      <c r="IZ71" s="779"/>
      <c r="JA71" s="779"/>
      <c r="JB71" s="779"/>
      <c r="JC71" s="779"/>
      <c r="JD71" s="779"/>
      <c r="JE71" s="779"/>
      <c r="JF71" s="779"/>
      <c r="JG71" s="779"/>
      <c r="JH71" s="779"/>
      <c r="JI71" s="779"/>
      <c r="JJ71" s="779"/>
      <c r="JK71" s="779"/>
      <c r="JL71" s="779"/>
      <c r="JM71" s="779"/>
      <c r="JN71" s="779"/>
      <c r="JO71" s="779"/>
      <c r="JP71" s="779"/>
      <c r="JQ71" s="779"/>
      <c r="JR71" s="779"/>
      <c r="JS71" s="779"/>
      <c r="JT71" s="779"/>
      <c r="JU71" s="779"/>
      <c r="JV71" s="779"/>
      <c r="JW71" s="779"/>
      <c r="JX71" s="779"/>
      <c r="JY71" s="779"/>
      <c r="JZ71" s="779"/>
      <c r="KA71" s="779"/>
      <c r="KB71" s="779"/>
      <c r="KC71" s="779"/>
      <c r="KD71" s="779"/>
      <c r="KE71" s="779"/>
      <c r="KF71" s="779"/>
      <c r="KG71" s="779"/>
      <c r="KH71" s="779"/>
      <c r="KI71" s="779"/>
      <c r="KJ71" s="779"/>
      <c r="KK71" s="779"/>
      <c r="KL71" s="779"/>
      <c r="KM71" s="779"/>
      <c r="KN71" s="779"/>
      <c r="KO71" s="779"/>
      <c r="KP71" s="779"/>
      <c r="KQ71" s="779"/>
      <c r="KR71" s="779"/>
      <c r="KS71" s="779"/>
      <c r="KT71" s="779"/>
      <c r="KU71" s="779"/>
      <c r="KV71" s="779"/>
      <c r="KW71" s="779"/>
      <c r="KX71" s="779"/>
      <c r="KY71" s="779"/>
      <c r="KZ71" s="779"/>
      <c r="LA71" s="779"/>
      <c r="LB71" s="779"/>
      <c r="LC71" s="779"/>
      <c r="LD71" s="779"/>
      <c r="LE71" s="779"/>
      <c r="LF71" s="779"/>
      <c r="LG71" s="779"/>
      <c r="LH71" s="779"/>
      <c r="LI71" s="779"/>
      <c r="LJ71" s="779"/>
      <c r="LK71" s="779"/>
      <c r="LL71" s="779"/>
      <c r="LM71" s="779"/>
      <c r="LN71" s="779"/>
      <c r="LO71" s="779"/>
      <c r="LP71" s="779"/>
      <c r="LQ71" s="779"/>
      <c r="LR71" s="779"/>
      <c r="LS71" s="779"/>
      <c r="LT71" s="779"/>
      <c r="LU71" s="779"/>
      <c r="LV71" s="779"/>
      <c r="LW71" s="779"/>
      <c r="LX71" s="779"/>
      <c r="LY71" s="779"/>
      <c r="LZ71" s="779"/>
      <c r="MA71" s="779"/>
      <c r="MB71" s="779"/>
      <c r="MC71" s="779"/>
      <c r="MD71" s="779"/>
      <c r="ME71" s="779"/>
      <c r="MF71" s="779"/>
      <c r="MG71" s="779"/>
      <c r="MH71" s="779"/>
      <c r="MI71" s="779"/>
      <c r="MJ71" s="779"/>
      <c r="MK71" s="779"/>
      <c r="ML71" s="779"/>
      <c r="MM71" s="779"/>
      <c r="MN71" s="779"/>
      <c r="MO71" s="779"/>
      <c r="MP71" s="779"/>
      <c r="MQ71" s="779"/>
      <c r="MR71" s="779"/>
      <c r="MS71" s="779"/>
      <c r="MT71" s="779"/>
      <c r="MU71" s="779"/>
      <c r="MV71" s="779"/>
      <c r="MW71" s="779"/>
      <c r="MX71" s="779"/>
      <c r="MY71" s="779"/>
      <c r="MZ71" s="779"/>
      <c r="NA71" s="779"/>
      <c r="NB71" s="779"/>
      <c r="NC71" s="779"/>
      <c r="ND71" s="779"/>
      <c r="NE71" s="779"/>
      <c r="NF71" s="779"/>
      <c r="NG71" s="779"/>
      <c r="NH71" s="779"/>
      <c r="NI71" s="779"/>
      <c r="NJ71" s="779"/>
      <c r="NK71" s="779"/>
      <c r="NL71" s="779"/>
      <c r="NM71" s="779"/>
      <c r="NN71" s="779"/>
      <c r="NO71" s="779"/>
      <c r="NP71" s="779"/>
      <c r="NQ71" s="779"/>
      <c r="NR71" s="779"/>
      <c r="NS71" s="779"/>
      <c r="NT71" s="779"/>
      <c r="NU71" s="779"/>
      <c r="NV71" s="779"/>
      <c r="NW71" s="779"/>
      <c r="NX71" s="779"/>
      <c r="NY71" s="779"/>
      <c r="NZ71" s="779"/>
      <c r="OA71" s="779"/>
      <c r="OB71" s="779"/>
      <c r="OC71" s="779"/>
      <c r="OD71" s="779"/>
      <c r="OE71" s="779"/>
      <c r="OF71" s="779"/>
      <c r="OG71" s="779"/>
      <c r="OH71" s="779"/>
      <c r="OI71" s="779"/>
      <c r="OJ71" s="779"/>
      <c r="OK71" s="779"/>
      <c r="OL71" s="779"/>
      <c r="OM71" s="779"/>
      <c r="ON71" s="779"/>
      <c r="OO71" s="779"/>
      <c r="OP71" s="779"/>
      <c r="OQ71" s="779"/>
      <c r="OR71" s="779"/>
      <c r="OS71" s="779"/>
      <c r="OT71" s="779"/>
      <c r="OU71" s="779"/>
      <c r="OV71" s="779"/>
      <c r="OW71" s="779"/>
      <c r="OX71" s="779"/>
      <c r="OY71" s="779"/>
      <c r="OZ71" s="779"/>
      <c r="PA71" s="779"/>
      <c r="PB71" s="779"/>
      <c r="PC71" s="779"/>
      <c r="PD71" s="779"/>
      <c r="PE71" s="779"/>
      <c r="PF71" s="779"/>
      <c r="PG71" s="779"/>
      <c r="PH71" s="779"/>
      <c r="PI71" s="779"/>
      <c r="PJ71" s="779"/>
      <c r="PK71" s="779"/>
      <c r="PL71" s="779"/>
      <c r="PM71" s="779"/>
      <c r="PN71" s="779"/>
      <c r="PO71" s="779"/>
      <c r="PP71" s="779"/>
      <c r="PQ71" s="779"/>
      <c r="PR71" s="779"/>
      <c r="PS71" s="779"/>
      <c r="PT71" s="779"/>
      <c r="PU71" s="779"/>
      <c r="PV71" s="779"/>
      <c r="PW71" s="779"/>
      <c r="PX71" s="779"/>
      <c r="PY71" s="779"/>
      <c r="PZ71" s="779"/>
      <c r="QA71" s="779"/>
      <c r="QB71" s="779"/>
      <c r="QC71" s="779"/>
      <c r="QD71" s="779"/>
      <c r="QE71" s="779"/>
      <c r="QF71" s="779"/>
      <c r="QG71" s="779"/>
      <c r="QH71" s="779"/>
      <c r="QI71" s="779"/>
      <c r="QJ71" s="779"/>
      <c r="QK71" s="779"/>
      <c r="QL71" s="779"/>
      <c r="QM71" s="779"/>
      <c r="QN71" s="779"/>
      <c r="QO71" s="779"/>
      <c r="QP71" s="779"/>
      <c r="QQ71" s="779"/>
      <c r="QR71" s="779"/>
      <c r="QS71" s="779"/>
      <c r="QT71" s="779"/>
      <c r="QU71" s="779"/>
      <c r="QV71" s="779"/>
      <c r="QW71" s="779"/>
      <c r="QX71" s="779"/>
      <c r="QY71" s="779"/>
      <c r="QZ71" s="779"/>
      <c r="RA71" s="779"/>
      <c r="RB71" s="779"/>
      <c r="RC71" s="779"/>
      <c r="RD71" s="779"/>
      <c r="RE71" s="779"/>
      <c r="RF71" s="779"/>
      <c r="RG71" s="779"/>
      <c r="RH71" s="779"/>
      <c r="RI71" s="779"/>
      <c r="RJ71" s="779"/>
      <c r="RK71" s="779"/>
      <c r="RL71" s="779"/>
      <c r="RM71" s="779"/>
      <c r="RN71" s="779"/>
      <c r="RO71" s="779"/>
      <c r="RP71" s="779"/>
      <c r="RQ71" s="779"/>
      <c r="RR71" s="779"/>
      <c r="RS71" s="779"/>
      <c r="RT71" s="779"/>
      <c r="RU71" s="779"/>
      <c r="RV71" s="779"/>
      <c r="RW71" s="779"/>
      <c r="RX71" s="779"/>
    </row>
    <row r="72" spans="1:492" s="143" customFormat="1">
      <c r="A72" s="779"/>
      <c r="B72" s="779"/>
      <c r="C72" s="779"/>
      <c r="D72" s="779"/>
      <c r="E72" s="779"/>
      <c r="F72" s="779"/>
      <c r="G72" s="779"/>
      <c r="H72" s="779"/>
      <c r="I72" s="779"/>
      <c r="J72" s="779"/>
      <c r="K72" s="779"/>
      <c r="L72" s="779"/>
      <c r="M72" s="779"/>
      <c r="N72" s="779"/>
      <c r="O72" s="779"/>
      <c r="P72" s="779"/>
      <c r="Q72" s="779"/>
      <c r="R72" s="779"/>
      <c r="S72" s="779"/>
      <c r="T72" s="779"/>
      <c r="U72" s="779"/>
      <c r="V72" s="779"/>
      <c r="W72" s="779"/>
      <c r="X72" s="779"/>
      <c r="Y72" s="779"/>
      <c r="Z72" s="779"/>
      <c r="AA72" s="779"/>
      <c r="AB72" s="779"/>
      <c r="AC72" s="779"/>
      <c r="AD72" s="779"/>
      <c r="AE72" s="779"/>
      <c r="AF72" s="779"/>
      <c r="AG72" s="779"/>
      <c r="AH72" s="779"/>
      <c r="AI72" s="779"/>
      <c r="AJ72" s="779"/>
      <c r="AK72" s="779"/>
      <c r="AL72" s="779"/>
      <c r="AM72" s="782"/>
      <c r="AN72" s="782"/>
      <c r="AO72" s="782"/>
      <c r="AP72" s="782"/>
      <c r="AQ72" s="782"/>
      <c r="AR72" s="782"/>
      <c r="AS72" s="782"/>
      <c r="AT72" s="782"/>
      <c r="AU72" s="782"/>
      <c r="AV72" s="782"/>
      <c r="AW72" s="782"/>
      <c r="AX72" s="782"/>
      <c r="AY72" s="782"/>
      <c r="AZ72" s="782"/>
      <c r="BA72" s="782"/>
      <c r="BB72" s="782"/>
      <c r="BC72" s="782"/>
      <c r="BD72" s="782"/>
      <c r="BE72" s="782"/>
      <c r="BF72" s="782"/>
      <c r="BG72" s="782"/>
      <c r="BH72" s="782"/>
      <c r="BI72" s="782"/>
      <c r="BJ72" s="782"/>
      <c r="BK72" s="782"/>
      <c r="BL72" s="782"/>
      <c r="BM72" s="782"/>
      <c r="BN72" s="782"/>
      <c r="BO72" s="782"/>
      <c r="BP72" s="782"/>
      <c r="BQ72" s="782"/>
      <c r="BR72" s="782"/>
      <c r="BS72" s="782"/>
      <c r="BT72" s="782"/>
      <c r="BU72" s="782"/>
      <c r="BV72" s="782"/>
      <c r="BW72" s="782"/>
      <c r="BX72" s="782"/>
      <c r="BY72" s="782"/>
      <c r="BZ72" s="782"/>
      <c r="CA72" s="779"/>
      <c r="CB72" s="779"/>
      <c r="CC72" s="779"/>
      <c r="CD72" s="779"/>
      <c r="CE72" s="779"/>
      <c r="CF72" s="779"/>
      <c r="CG72" s="779"/>
      <c r="CH72" s="779"/>
      <c r="CI72" s="779"/>
      <c r="CJ72" s="779"/>
      <c r="CK72" s="779"/>
      <c r="CL72" s="779"/>
      <c r="CM72" s="779"/>
      <c r="CN72" s="779"/>
      <c r="CO72" s="779"/>
      <c r="CP72" s="779"/>
      <c r="CQ72" s="779"/>
      <c r="CR72" s="779"/>
      <c r="CS72" s="779"/>
      <c r="CT72" s="779"/>
      <c r="CU72" s="779"/>
      <c r="CV72" s="779"/>
      <c r="CW72" s="779"/>
      <c r="CX72" s="779"/>
      <c r="CY72" s="779"/>
      <c r="CZ72" s="779"/>
      <c r="DA72" s="779"/>
      <c r="DB72" s="779"/>
      <c r="DC72" s="779"/>
      <c r="DD72" s="779"/>
      <c r="DE72" s="779"/>
      <c r="DF72" s="779"/>
      <c r="DG72" s="779"/>
      <c r="DH72" s="779"/>
      <c r="DI72" s="779"/>
      <c r="DJ72" s="779"/>
      <c r="DK72" s="779"/>
      <c r="DL72" s="779"/>
      <c r="DM72" s="779"/>
      <c r="DN72" s="779"/>
      <c r="DO72" s="779"/>
      <c r="DP72" s="779"/>
      <c r="DQ72" s="779"/>
      <c r="DR72" s="779"/>
      <c r="DS72" s="779"/>
      <c r="DT72" s="779"/>
      <c r="DU72" s="779"/>
      <c r="DV72" s="779"/>
      <c r="DW72" s="779"/>
      <c r="DX72" s="779"/>
      <c r="DY72" s="779"/>
      <c r="DZ72" s="779"/>
      <c r="EA72" s="779"/>
      <c r="EB72" s="779"/>
      <c r="EC72" s="779"/>
      <c r="ED72" s="779"/>
      <c r="EE72" s="779"/>
      <c r="EF72" s="779"/>
      <c r="EG72" s="779"/>
      <c r="EH72" s="779"/>
      <c r="EI72" s="779"/>
      <c r="EJ72" s="779"/>
      <c r="EK72" s="779"/>
      <c r="EL72" s="779"/>
      <c r="EM72" s="779"/>
      <c r="EN72" s="779"/>
      <c r="EO72" s="779"/>
      <c r="EP72" s="779"/>
      <c r="EQ72" s="779"/>
      <c r="ER72" s="779"/>
      <c r="ES72" s="779"/>
      <c r="ET72" s="779"/>
      <c r="EU72" s="779"/>
      <c r="EV72" s="779"/>
      <c r="EW72" s="779"/>
      <c r="EX72" s="779"/>
      <c r="EY72" s="779"/>
      <c r="EZ72" s="779"/>
      <c r="FA72" s="779"/>
      <c r="FB72" s="779"/>
      <c r="FC72" s="779"/>
      <c r="FD72" s="779"/>
      <c r="FE72" s="779"/>
      <c r="FF72" s="779"/>
      <c r="FG72" s="779"/>
      <c r="FH72" s="779"/>
      <c r="FI72" s="779"/>
      <c r="FJ72" s="779"/>
      <c r="FK72" s="779"/>
      <c r="FL72" s="779"/>
      <c r="FM72" s="779"/>
      <c r="FN72" s="779"/>
      <c r="FO72" s="779"/>
      <c r="FP72" s="779"/>
      <c r="FQ72" s="779"/>
      <c r="FR72" s="779"/>
      <c r="FS72" s="779"/>
      <c r="FT72" s="779"/>
      <c r="FU72" s="779"/>
      <c r="FV72" s="779"/>
      <c r="FW72" s="779"/>
      <c r="FX72" s="779"/>
      <c r="FY72" s="779"/>
      <c r="FZ72" s="779"/>
      <c r="GA72" s="779"/>
      <c r="GB72" s="779"/>
      <c r="GC72" s="779"/>
      <c r="GD72" s="779"/>
      <c r="GE72" s="779"/>
      <c r="GF72" s="779"/>
      <c r="GG72" s="779"/>
      <c r="GH72" s="779"/>
      <c r="GI72" s="779"/>
      <c r="GJ72" s="779"/>
      <c r="GK72" s="779"/>
      <c r="GL72" s="779"/>
      <c r="GM72" s="779"/>
      <c r="GN72" s="779"/>
      <c r="GO72" s="779"/>
      <c r="GP72" s="779"/>
      <c r="GQ72" s="779"/>
      <c r="GR72" s="779"/>
      <c r="GS72" s="779"/>
      <c r="GT72" s="779"/>
      <c r="GU72" s="779"/>
      <c r="GV72" s="779"/>
      <c r="GW72" s="779"/>
      <c r="GX72" s="779"/>
      <c r="GY72" s="779"/>
      <c r="GZ72" s="779"/>
      <c r="HA72" s="779"/>
      <c r="HB72" s="779"/>
      <c r="HC72" s="779"/>
      <c r="HD72" s="779"/>
      <c r="HE72" s="779"/>
      <c r="HF72" s="779"/>
      <c r="HG72" s="779"/>
      <c r="HH72" s="779"/>
      <c r="HI72" s="779"/>
      <c r="HJ72" s="779"/>
      <c r="HK72" s="779"/>
      <c r="HL72" s="779"/>
      <c r="HM72" s="779"/>
      <c r="HN72" s="779"/>
      <c r="HO72" s="779"/>
      <c r="HP72" s="779"/>
      <c r="HQ72" s="779"/>
      <c r="HR72" s="779"/>
      <c r="HS72" s="779"/>
      <c r="HT72" s="779"/>
      <c r="HU72" s="779"/>
      <c r="HV72" s="779"/>
      <c r="HW72" s="779"/>
      <c r="HX72" s="779"/>
      <c r="HY72" s="779"/>
      <c r="HZ72" s="779"/>
      <c r="IA72" s="779"/>
      <c r="IB72" s="779"/>
      <c r="IC72" s="779"/>
      <c r="ID72" s="779"/>
      <c r="IE72" s="779"/>
      <c r="IF72" s="779"/>
      <c r="IG72" s="779"/>
      <c r="IH72" s="779"/>
      <c r="II72" s="779"/>
      <c r="IJ72" s="779"/>
      <c r="IK72" s="779"/>
      <c r="IL72" s="779"/>
      <c r="IM72" s="779"/>
      <c r="IN72" s="779"/>
      <c r="IO72" s="779"/>
      <c r="IP72" s="779"/>
      <c r="IQ72" s="779"/>
      <c r="IR72" s="779"/>
      <c r="IS72" s="779"/>
      <c r="IT72" s="779"/>
      <c r="IU72" s="779"/>
      <c r="IV72" s="779"/>
      <c r="IW72" s="779"/>
      <c r="IX72" s="779"/>
      <c r="IY72" s="779"/>
      <c r="IZ72" s="779"/>
      <c r="JA72" s="779"/>
      <c r="JB72" s="779"/>
      <c r="JC72" s="779"/>
      <c r="JD72" s="779"/>
      <c r="JE72" s="779"/>
      <c r="JF72" s="779"/>
      <c r="JG72" s="779"/>
      <c r="JH72" s="779"/>
      <c r="JI72" s="779"/>
      <c r="JJ72" s="779"/>
      <c r="JK72" s="779"/>
      <c r="JL72" s="779"/>
      <c r="JM72" s="779"/>
      <c r="JN72" s="779"/>
      <c r="JO72" s="779"/>
      <c r="JP72" s="779"/>
      <c r="JQ72" s="779"/>
      <c r="JR72" s="779"/>
      <c r="JS72" s="779"/>
      <c r="JT72" s="779"/>
      <c r="JU72" s="779"/>
      <c r="JV72" s="779"/>
      <c r="JW72" s="779"/>
      <c r="JX72" s="779"/>
      <c r="JY72" s="779"/>
      <c r="JZ72" s="779"/>
      <c r="KA72" s="779"/>
      <c r="KB72" s="779"/>
      <c r="KC72" s="779"/>
      <c r="KD72" s="779"/>
      <c r="KE72" s="779"/>
      <c r="KF72" s="779"/>
      <c r="KG72" s="779"/>
      <c r="KH72" s="779"/>
      <c r="KI72" s="779"/>
      <c r="KJ72" s="779"/>
      <c r="KK72" s="779"/>
      <c r="KL72" s="779"/>
      <c r="KM72" s="779"/>
      <c r="KN72" s="779"/>
      <c r="KO72" s="779"/>
      <c r="KP72" s="779"/>
      <c r="KQ72" s="779"/>
      <c r="KR72" s="779"/>
      <c r="KS72" s="779"/>
      <c r="KT72" s="779"/>
      <c r="KU72" s="779"/>
      <c r="KV72" s="779"/>
      <c r="KW72" s="779"/>
      <c r="KX72" s="779"/>
      <c r="KY72" s="779"/>
      <c r="KZ72" s="779"/>
      <c r="LA72" s="779"/>
      <c r="LB72" s="779"/>
      <c r="LC72" s="779"/>
      <c r="LD72" s="779"/>
      <c r="LE72" s="779"/>
      <c r="LF72" s="779"/>
      <c r="LG72" s="779"/>
      <c r="LH72" s="779"/>
      <c r="LI72" s="779"/>
      <c r="LJ72" s="779"/>
      <c r="LK72" s="779"/>
      <c r="LL72" s="779"/>
      <c r="LM72" s="779"/>
      <c r="LN72" s="779"/>
      <c r="LO72" s="779"/>
      <c r="LP72" s="779"/>
      <c r="LQ72" s="779"/>
      <c r="LR72" s="779"/>
      <c r="LS72" s="779"/>
      <c r="LT72" s="779"/>
      <c r="LU72" s="779"/>
      <c r="LV72" s="779"/>
      <c r="LW72" s="779"/>
      <c r="LX72" s="779"/>
      <c r="LY72" s="779"/>
      <c r="LZ72" s="779"/>
      <c r="MA72" s="779"/>
      <c r="MB72" s="779"/>
      <c r="MC72" s="779"/>
      <c r="MD72" s="779"/>
      <c r="ME72" s="779"/>
      <c r="MF72" s="779"/>
      <c r="MG72" s="779"/>
      <c r="MH72" s="779"/>
      <c r="MI72" s="779"/>
      <c r="MJ72" s="779"/>
      <c r="MK72" s="779"/>
      <c r="ML72" s="779"/>
      <c r="MM72" s="779"/>
      <c r="MN72" s="779"/>
      <c r="MO72" s="779"/>
      <c r="MP72" s="779"/>
      <c r="MQ72" s="779"/>
      <c r="MR72" s="779"/>
      <c r="MS72" s="779"/>
      <c r="MT72" s="779"/>
      <c r="MU72" s="779"/>
      <c r="MV72" s="779"/>
      <c r="MW72" s="779"/>
      <c r="MX72" s="779"/>
      <c r="MY72" s="779"/>
      <c r="MZ72" s="779"/>
      <c r="NA72" s="779"/>
      <c r="NB72" s="779"/>
      <c r="NC72" s="779"/>
      <c r="ND72" s="779"/>
      <c r="NE72" s="779"/>
      <c r="NF72" s="779"/>
      <c r="NG72" s="779"/>
      <c r="NH72" s="779"/>
      <c r="NI72" s="779"/>
      <c r="NJ72" s="779"/>
      <c r="NK72" s="779"/>
      <c r="NL72" s="779"/>
      <c r="NM72" s="779"/>
      <c r="NN72" s="779"/>
      <c r="NO72" s="779"/>
      <c r="NP72" s="779"/>
      <c r="NQ72" s="779"/>
      <c r="NR72" s="779"/>
      <c r="NS72" s="779"/>
      <c r="NT72" s="779"/>
      <c r="NU72" s="779"/>
      <c r="NV72" s="779"/>
      <c r="NW72" s="779"/>
      <c r="NX72" s="779"/>
      <c r="NY72" s="779"/>
      <c r="NZ72" s="779"/>
      <c r="OA72" s="779"/>
      <c r="OB72" s="779"/>
      <c r="OC72" s="779"/>
      <c r="OD72" s="779"/>
      <c r="OE72" s="779"/>
      <c r="OF72" s="779"/>
      <c r="OG72" s="779"/>
      <c r="OH72" s="779"/>
      <c r="OI72" s="779"/>
      <c r="OJ72" s="779"/>
      <c r="OK72" s="779"/>
      <c r="OL72" s="779"/>
      <c r="OM72" s="779"/>
      <c r="ON72" s="779"/>
      <c r="OO72" s="779"/>
      <c r="OP72" s="779"/>
      <c r="OQ72" s="779"/>
      <c r="OR72" s="779"/>
      <c r="OS72" s="779"/>
      <c r="OT72" s="779"/>
      <c r="OU72" s="779"/>
      <c r="OV72" s="779"/>
      <c r="OW72" s="779"/>
      <c r="OX72" s="779"/>
      <c r="OY72" s="779"/>
      <c r="OZ72" s="779"/>
      <c r="PA72" s="779"/>
      <c r="PB72" s="779"/>
      <c r="PC72" s="779"/>
      <c r="PD72" s="779"/>
      <c r="PE72" s="779"/>
      <c r="PF72" s="779"/>
      <c r="PG72" s="779"/>
      <c r="PH72" s="779"/>
      <c r="PI72" s="779"/>
      <c r="PJ72" s="779"/>
      <c r="PK72" s="779"/>
      <c r="PL72" s="779"/>
      <c r="PM72" s="779"/>
      <c r="PN72" s="779"/>
      <c r="PO72" s="779"/>
      <c r="PP72" s="779"/>
      <c r="PQ72" s="779"/>
      <c r="PR72" s="779"/>
      <c r="PS72" s="779"/>
      <c r="PT72" s="779"/>
      <c r="PU72" s="779"/>
      <c r="PV72" s="779"/>
      <c r="PW72" s="779"/>
      <c r="PX72" s="779"/>
      <c r="PY72" s="779"/>
      <c r="PZ72" s="779"/>
      <c r="QA72" s="779"/>
      <c r="QB72" s="779"/>
      <c r="QC72" s="779"/>
      <c r="QD72" s="779"/>
      <c r="QE72" s="779"/>
      <c r="QF72" s="779"/>
      <c r="QG72" s="779"/>
      <c r="QH72" s="779"/>
      <c r="QI72" s="779"/>
      <c r="QJ72" s="779"/>
      <c r="QK72" s="779"/>
      <c r="QL72" s="779"/>
      <c r="QM72" s="779"/>
      <c r="QN72" s="779"/>
      <c r="QO72" s="779"/>
      <c r="QP72" s="779"/>
      <c r="QQ72" s="779"/>
      <c r="QR72" s="779"/>
      <c r="QS72" s="779"/>
      <c r="QT72" s="779"/>
      <c r="QU72" s="779"/>
      <c r="QV72" s="779"/>
      <c r="QW72" s="779"/>
      <c r="QX72" s="779"/>
      <c r="QY72" s="779"/>
      <c r="QZ72" s="779"/>
      <c r="RA72" s="779"/>
      <c r="RB72" s="779"/>
      <c r="RC72" s="779"/>
      <c r="RD72" s="779"/>
      <c r="RE72" s="779"/>
      <c r="RF72" s="779"/>
      <c r="RG72" s="779"/>
      <c r="RH72" s="779"/>
      <c r="RI72" s="779"/>
      <c r="RJ72" s="779"/>
      <c r="RK72" s="779"/>
      <c r="RL72" s="779"/>
      <c r="RM72" s="779"/>
      <c r="RN72" s="779"/>
      <c r="RO72" s="779"/>
      <c r="RP72" s="779"/>
      <c r="RQ72" s="779"/>
      <c r="RR72" s="779"/>
      <c r="RS72" s="779"/>
      <c r="RT72" s="779"/>
      <c r="RU72" s="779"/>
      <c r="RV72" s="779"/>
      <c r="RW72" s="779"/>
      <c r="RX72" s="779"/>
    </row>
    <row r="73" spans="1:492" s="143" customFormat="1">
      <c r="A73" s="779"/>
      <c r="B73" s="779"/>
      <c r="C73" s="779"/>
      <c r="D73" s="779"/>
      <c r="E73" s="779"/>
      <c r="F73" s="779"/>
      <c r="G73" s="779"/>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779"/>
      <c r="AL73" s="779"/>
      <c r="AM73" s="782"/>
      <c r="AN73" s="782"/>
      <c r="AO73" s="782"/>
      <c r="AP73" s="782"/>
      <c r="AQ73" s="782"/>
      <c r="AR73" s="782"/>
      <c r="AS73" s="782"/>
      <c r="AT73" s="782"/>
      <c r="AU73" s="782"/>
      <c r="AV73" s="782"/>
      <c r="AW73" s="782"/>
      <c r="AX73" s="782"/>
      <c r="AY73" s="782"/>
      <c r="AZ73" s="782"/>
      <c r="BA73" s="782"/>
      <c r="BB73" s="782"/>
      <c r="BC73" s="782"/>
      <c r="BD73" s="782"/>
      <c r="BE73" s="782"/>
      <c r="BF73" s="782"/>
      <c r="BG73" s="782"/>
      <c r="BH73" s="782"/>
      <c r="BI73" s="782"/>
      <c r="BJ73" s="782"/>
      <c r="BK73" s="782"/>
      <c r="BL73" s="782"/>
      <c r="BM73" s="782"/>
      <c r="BN73" s="782"/>
      <c r="BO73" s="782"/>
      <c r="BP73" s="782"/>
      <c r="BQ73" s="782"/>
      <c r="BR73" s="782"/>
      <c r="BS73" s="782"/>
      <c r="BT73" s="782"/>
      <c r="BU73" s="782"/>
      <c r="BV73" s="782"/>
      <c r="BW73" s="782"/>
      <c r="BX73" s="782"/>
      <c r="BY73" s="782"/>
      <c r="BZ73" s="782"/>
      <c r="CA73" s="779"/>
      <c r="CB73" s="779"/>
      <c r="CC73" s="779"/>
      <c r="CD73" s="779"/>
      <c r="CE73" s="779"/>
      <c r="CF73" s="779"/>
      <c r="CG73" s="779"/>
      <c r="CH73" s="779"/>
      <c r="CI73" s="779"/>
      <c r="CJ73" s="779"/>
      <c r="CK73" s="779"/>
      <c r="CL73" s="779"/>
      <c r="CM73" s="779"/>
      <c r="CN73" s="779"/>
      <c r="CO73" s="779"/>
      <c r="CP73" s="779"/>
      <c r="CQ73" s="779"/>
      <c r="CR73" s="779"/>
      <c r="CS73" s="779"/>
      <c r="CT73" s="779"/>
      <c r="CU73" s="779"/>
      <c r="CV73" s="779"/>
      <c r="CW73" s="779"/>
      <c r="CX73" s="779"/>
      <c r="CY73" s="779"/>
      <c r="CZ73" s="779"/>
      <c r="DA73" s="779"/>
      <c r="DB73" s="779"/>
      <c r="DC73" s="779"/>
      <c r="DD73" s="779"/>
      <c r="DE73" s="779"/>
      <c r="DF73" s="779"/>
      <c r="DG73" s="779"/>
      <c r="DH73" s="779"/>
      <c r="DI73" s="779"/>
      <c r="DJ73" s="779"/>
      <c r="DK73" s="779"/>
      <c r="DL73" s="779"/>
      <c r="DM73" s="779"/>
      <c r="DN73" s="779"/>
      <c r="DO73" s="779"/>
      <c r="DP73" s="779"/>
      <c r="DQ73" s="779"/>
      <c r="DR73" s="779"/>
      <c r="DS73" s="779"/>
      <c r="DT73" s="779"/>
      <c r="DU73" s="779"/>
      <c r="DV73" s="779"/>
      <c r="DW73" s="779"/>
      <c r="DX73" s="779"/>
      <c r="DY73" s="779"/>
      <c r="DZ73" s="779"/>
      <c r="EA73" s="779"/>
      <c r="EB73" s="779"/>
      <c r="EC73" s="779"/>
      <c r="ED73" s="779"/>
      <c r="EE73" s="779"/>
      <c r="EF73" s="779"/>
      <c r="EG73" s="779"/>
      <c r="EH73" s="779"/>
      <c r="EI73" s="779"/>
      <c r="EJ73" s="779"/>
      <c r="EK73" s="779"/>
      <c r="EL73" s="779"/>
      <c r="EM73" s="779"/>
      <c r="EN73" s="779"/>
      <c r="EO73" s="779"/>
      <c r="EP73" s="779"/>
      <c r="EQ73" s="779"/>
      <c r="ER73" s="779"/>
      <c r="ES73" s="779"/>
      <c r="ET73" s="779"/>
      <c r="EU73" s="779"/>
      <c r="EV73" s="779"/>
      <c r="EW73" s="779"/>
      <c r="EX73" s="779"/>
      <c r="EY73" s="779"/>
      <c r="EZ73" s="779"/>
      <c r="FA73" s="779"/>
      <c r="FB73" s="779"/>
      <c r="FC73" s="779"/>
      <c r="FD73" s="779"/>
      <c r="FE73" s="779"/>
      <c r="FF73" s="779"/>
      <c r="FG73" s="779"/>
      <c r="FH73" s="779"/>
      <c r="FI73" s="779"/>
      <c r="FJ73" s="779"/>
      <c r="FK73" s="779"/>
      <c r="FL73" s="779"/>
      <c r="FM73" s="779"/>
      <c r="FN73" s="779"/>
      <c r="FO73" s="779"/>
      <c r="FP73" s="779"/>
      <c r="FQ73" s="779"/>
      <c r="FR73" s="779"/>
      <c r="FS73" s="779"/>
      <c r="FT73" s="779"/>
      <c r="FU73" s="779"/>
      <c r="FV73" s="779"/>
      <c r="FW73" s="779"/>
      <c r="FX73" s="779"/>
      <c r="FY73" s="779"/>
      <c r="FZ73" s="779"/>
      <c r="GA73" s="779"/>
      <c r="GB73" s="779"/>
      <c r="GC73" s="779"/>
      <c r="GD73" s="779"/>
      <c r="GE73" s="779"/>
      <c r="GF73" s="779"/>
      <c r="GG73" s="779"/>
      <c r="GH73" s="779"/>
      <c r="GI73" s="779"/>
      <c r="GJ73" s="779"/>
      <c r="GK73" s="779"/>
      <c r="GL73" s="779"/>
      <c r="GM73" s="779"/>
      <c r="GN73" s="779"/>
      <c r="GO73" s="779"/>
      <c r="GP73" s="779"/>
      <c r="GQ73" s="779"/>
      <c r="GR73" s="779"/>
      <c r="GS73" s="779"/>
      <c r="GT73" s="779"/>
      <c r="GU73" s="779"/>
      <c r="GV73" s="779"/>
      <c r="GW73" s="779"/>
      <c r="GX73" s="779"/>
      <c r="GY73" s="779"/>
      <c r="GZ73" s="779"/>
      <c r="HA73" s="779"/>
      <c r="HB73" s="779"/>
      <c r="HC73" s="779"/>
      <c r="HD73" s="779"/>
      <c r="HE73" s="779"/>
      <c r="HF73" s="779"/>
      <c r="HG73" s="779"/>
      <c r="HH73" s="779"/>
      <c r="HI73" s="779"/>
      <c r="HJ73" s="779"/>
      <c r="HK73" s="779"/>
      <c r="HL73" s="779"/>
      <c r="HM73" s="779"/>
      <c r="HN73" s="779"/>
      <c r="HO73" s="779"/>
      <c r="HP73" s="779"/>
      <c r="HQ73" s="779"/>
      <c r="HR73" s="779"/>
      <c r="HS73" s="779"/>
      <c r="HT73" s="779"/>
      <c r="HU73" s="779"/>
      <c r="HV73" s="779"/>
      <c r="HW73" s="779"/>
      <c r="HX73" s="779"/>
      <c r="HY73" s="779"/>
      <c r="HZ73" s="779"/>
      <c r="IA73" s="779"/>
      <c r="IB73" s="779"/>
      <c r="IC73" s="779"/>
      <c r="ID73" s="779"/>
      <c r="IE73" s="779"/>
      <c r="IF73" s="779"/>
      <c r="IG73" s="779"/>
      <c r="IH73" s="779"/>
      <c r="II73" s="779"/>
      <c r="IJ73" s="779"/>
      <c r="IK73" s="779"/>
      <c r="IL73" s="779"/>
      <c r="IM73" s="779"/>
      <c r="IN73" s="779"/>
      <c r="IO73" s="779"/>
      <c r="IP73" s="779"/>
      <c r="IQ73" s="779"/>
      <c r="IR73" s="779"/>
      <c r="IS73" s="779"/>
      <c r="IT73" s="779"/>
      <c r="IU73" s="779"/>
      <c r="IV73" s="779"/>
      <c r="IW73" s="779"/>
      <c r="IX73" s="779"/>
      <c r="IY73" s="779"/>
      <c r="IZ73" s="779"/>
      <c r="JA73" s="779"/>
      <c r="JB73" s="779"/>
      <c r="JC73" s="779"/>
      <c r="JD73" s="779"/>
      <c r="JE73" s="779"/>
      <c r="JF73" s="779"/>
      <c r="JG73" s="779"/>
      <c r="JH73" s="779"/>
      <c r="JI73" s="779"/>
      <c r="JJ73" s="779"/>
      <c r="JK73" s="779"/>
      <c r="JL73" s="779"/>
      <c r="JM73" s="779"/>
      <c r="JN73" s="779"/>
      <c r="JO73" s="779"/>
      <c r="JP73" s="779"/>
      <c r="JQ73" s="779"/>
      <c r="JR73" s="779"/>
      <c r="JS73" s="779"/>
      <c r="JT73" s="779"/>
      <c r="JU73" s="779"/>
      <c r="JV73" s="779"/>
      <c r="JW73" s="779"/>
      <c r="JX73" s="779"/>
      <c r="JY73" s="779"/>
      <c r="JZ73" s="779"/>
      <c r="KA73" s="779"/>
      <c r="KB73" s="779"/>
      <c r="KC73" s="779"/>
      <c r="KD73" s="779"/>
      <c r="KE73" s="779"/>
      <c r="KF73" s="779"/>
      <c r="KG73" s="779"/>
      <c r="KH73" s="779"/>
      <c r="KI73" s="779"/>
      <c r="KJ73" s="779"/>
      <c r="KK73" s="779"/>
      <c r="KL73" s="779"/>
      <c r="KM73" s="779"/>
      <c r="KN73" s="779"/>
      <c r="KO73" s="779"/>
      <c r="KP73" s="779"/>
      <c r="KQ73" s="779"/>
      <c r="KR73" s="779"/>
      <c r="KS73" s="779"/>
      <c r="KT73" s="779"/>
      <c r="KU73" s="779"/>
      <c r="KV73" s="779"/>
      <c r="KW73" s="779"/>
      <c r="KX73" s="779"/>
      <c r="KY73" s="779"/>
      <c r="KZ73" s="779"/>
      <c r="LA73" s="779"/>
      <c r="LB73" s="779"/>
      <c r="LC73" s="779"/>
      <c r="LD73" s="779"/>
      <c r="LE73" s="779"/>
      <c r="LF73" s="779"/>
      <c r="LG73" s="779"/>
      <c r="LH73" s="779"/>
      <c r="LI73" s="779"/>
      <c r="LJ73" s="779"/>
      <c r="LK73" s="779"/>
      <c r="LL73" s="779"/>
      <c r="LM73" s="779"/>
      <c r="LN73" s="779"/>
      <c r="LO73" s="779"/>
      <c r="LP73" s="779"/>
      <c r="LQ73" s="779"/>
      <c r="LR73" s="779"/>
      <c r="LS73" s="779"/>
      <c r="LT73" s="779"/>
      <c r="LU73" s="779"/>
      <c r="LV73" s="779"/>
      <c r="LW73" s="779"/>
      <c r="LX73" s="779"/>
      <c r="LY73" s="779"/>
      <c r="LZ73" s="779"/>
      <c r="MA73" s="779"/>
      <c r="MB73" s="779"/>
      <c r="MC73" s="779"/>
      <c r="MD73" s="779"/>
      <c r="ME73" s="779"/>
      <c r="MF73" s="779"/>
      <c r="MG73" s="779"/>
      <c r="MH73" s="779"/>
      <c r="MI73" s="779"/>
      <c r="MJ73" s="779"/>
      <c r="MK73" s="779"/>
      <c r="ML73" s="779"/>
      <c r="MM73" s="779"/>
      <c r="MN73" s="779"/>
      <c r="MO73" s="779"/>
      <c r="MP73" s="779"/>
      <c r="MQ73" s="779"/>
      <c r="MR73" s="779"/>
      <c r="MS73" s="779"/>
      <c r="MT73" s="779"/>
      <c r="MU73" s="779"/>
      <c r="MV73" s="779"/>
      <c r="MW73" s="779"/>
      <c r="MX73" s="779"/>
      <c r="MY73" s="779"/>
      <c r="MZ73" s="779"/>
      <c r="NA73" s="779"/>
      <c r="NB73" s="779"/>
      <c r="NC73" s="779"/>
      <c r="ND73" s="779"/>
      <c r="NE73" s="779"/>
      <c r="NF73" s="779"/>
      <c r="NG73" s="779"/>
      <c r="NH73" s="779"/>
      <c r="NI73" s="779"/>
      <c r="NJ73" s="779"/>
      <c r="NK73" s="779"/>
      <c r="NL73" s="779"/>
      <c r="NM73" s="779"/>
      <c r="NN73" s="779"/>
      <c r="NO73" s="779"/>
      <c r="NP73" s="779"/>
      <c r="NQ73" s="779"/>
      <c r="NR73" s="779"/>
      <c r="NS73" s="779"/>
      <c r="NT73" s="779"/>
      <c r="NU73" s="779"/>
      <c r="NV73" s="779"/>
      <c r="NW73" s="779"/>
      <c r="NX73" s="779"/>
      <c r="NY73" s="779"/>
      <c r="NZ73" s="779"/>
      <c r="OA73" s="779"/>
      <c r="OB73" s="779"/>
      <c r="OC73" s="779"/>
      <c r="OD73" s="779"/>
      <c r="OE73" s="779"/>
      <c r="OF73" s="779"/>
      <c r="OG73" s="779"/>
      <c r="OH73" s="779"/>
      <c r="OI73" s="779"/>
      <c r="OJ73" s="779"/>
      <c r="OK73" s="779"/>
      <c r="OL73" s="779"/>
      <c r="OM73" s="779"/>
      <c r="ON73" s="779"/>
      <c r="OO73" s="779"/>
      <c r="OP73" s="779"/>
      <c r="OQ73" s="779"/>
      <c r="OR73" s="779"/>
      <c r="OS73" s="779"/>
      <c r="OT73" s="779"/>
      <c r="OU73" s="779"/>
      <c r="OV73" s="779"/>
      <c r="OW73" s="779"/>
      <c r="OX73" s="779"/>
      <c r="OY73" s="779"/>
      <c r="OZ73" s="779"/>
      <c r="PA73" s="779"/>
      <c r="PB73" s="779"/>
      <c r="PC73" s="779"/>
      <c r="PD73" s="779"/>
      <c r="PE73" s="779"/>
      <c r="PF73" s="779"/>
      <c r="PG73" s="779"/>
      <c r="PH73" s="779"/>
      <c r="PI73" s="779"/>
      <c r="PJ73" s="779"/>
      <c r="PK73" s="779"/>
      <c r="PL73" s="779"/>
      <c r="PM73" s="779"/>
      <c r="PN73" s="779"/>
      <c r="PO73" s="779"/>
      <c r="PP73" s="779"/>
      <c r="PQ73" s="779"/>
      <c r="PR73" s="779"/>
      <c r="PS73" s="779"/>
      <c r="PT73" s="779"/>
      <c r="PU73" s="779"/>
      <c r="PV73" s="779"/>
      <c r="PW73" s="779"/>
      <c r="PX73" s="779"/>
      <c r="PY73" s="779"/>
      <c r="PZ73" s="779"/>
      <c r="QA73" s="779"/>
      <c r="QB73" s="779"/>
      <c r="QC73" s="779"/>
      <c r="QD73" s="779"/>
      <c r="QE73" s="779"/>
      <c r="QF73" s="779"/>
      <c r="QG73" s="779"/>
      <c r="QH73" s="779"/>
      <c r="QI73" s="779"/>
      <c r="QJ73" s="779"/>
      <c r="QK73" s="779"/>
      <c r="QL73" s="779"/>
      <c r="QM73" s="779"/>
      <c r="QN73" s="779"/>
      <c r="QO73" s="779"/>
      <c r="QP73" s="779"/>
      <c r="QQ73" s="779"/>
      <c r="QR73" s="779"/>
      <c r="QS73" s="779"/>
      <c r="QT73" s="779"/>
      <c r="QU73" s="779"/>
      <c r="QV73" s="779"/>
      <c r="QW73" s="779"/>
      <c r="QX73" s="779"/>
      <c r="QY73" s="779"/>
      <c r="QZ73" s="779"/>
      <c r="RA73" s="779"/>
      <c r="RB73" s="779"/>
      <c r="RC73" s="779"/>
      <c r="RD73" s="779"/>
      <c r="RE73" s="779"/>
      <c r="RF73" s="779"/>
      <c r="RG73" s="779"/>
      <c r="RH73" s="779"/>
      <c r="RI73" s="779"/>
      <c r="RJ73" s="779"/>
      <c r="RK73" s="779"/>
      <c r="RL73" s="779"/>
      <c r="RM73" s="779"/>
      <c r="RN73" s="779"/>
      <c r="RO73" s="779"/>
      <c r="RP73" s="779"/>
      <c r="RQ73" s="779"/>
      <c r="RR73" s="779"/>
      <c r="RS73" s="779"/>
      <c r="RT73" s="779"/>
      <c r="RU73" s="779"/>
      <c r="RV73" s="779"/>
      <c r="RW73" s="779"/>
      <c r="RX73" s="779"/>
    </row>
    <row r="74" spans="1:492" s="143" customFormat="1">
      <c r="A74" s="779"/>
      <c r="B74" s="779"/>
      <c r="C74" s="779"/>
      <c r="D74" s="779"/>
      <c r="E74" s="779"/>
      <c r="F74" s="779"/>
      <c r="G74" s="779"/>
      <c r="H74" s="779"/>
      <c r="I74" s="779"/>
      <c r="J74" s="779"/>
      <c r="K74" s="779"/>
      <c r="L74" s="779"/>
      <c r="M74" s="779"/>
      <c r="N74" s="779"/>
      <c r="O74" s="779"/>
      <c r="P74" s="779"/>
      <c r="Q74" s="779"/>
      <c r="R74" s="779"/>
      <c r="S74" s="779"/>
      <c r="T74" s="779"/>
      <c r="U74" s="779"/>
      <c r="V74" s="779"/>
      <c r="W74" s="779"/>
      <c r="X74" s="779"/>
      <c r="Y74" s="779"/>
      <c r="Z74" s="779"/>
      <c r="AA74" s="779"/>
      <c r="AB74" s="779"/>
      <c r="AC74" s="779"/>
      <c r="AD74" s="779"/>
      <c r="AE74" s="779"/>
      <c r="AF74" s="779"/>
      <c r="AG74" s="779"/>
      <c r="AH74" s="779"/>
      <c r="AI74" s="779"/>
      <c r="AJ74" s="779"/>
      <c r="AK74" s="779"/>
      <c r="AL74" s="779"/>
      <c r="AM74" s="782"/>
      <c r="AN74" s="782"/>
      <c r="AO74" s="782"/>
      <c r="AP74" s="782"/>
      <c r="AQ74" s="782"/>
      <c r="AR74" s="782"/>
      <c r="AS74" s="782"/>
      <c r="AT74" s="782"/>
      <c r="AU74" s="782"/>
      <c r="AV74" s="782"/>
      <c r="AW74" s="782"/>
      <c r="AX74" s="782"/>
      <c r="AY74" s="782"/>
      <c r="AZ74" s="782"/>
      <c r="BA74" s="782"/>
      <c r="BB74" s="782"/>
      <c r="BC74" s="782"/>
      <c r="BD74" s="782"/>
      <c r="BE74" s="782"/>
      <c r="BF74" s="782"/>
      <c r="BG74" s="782"/>
      <c r="BH74" s="782"/>
      <c r="BI74" s="782"/>
      <c r="BJ74" s="782"/>
      <c r="BK74" s="782"/>
      <c r="BL74" s="782"/>
      <c r="BM74" s="782"/>
      <c r="BN74" s="782"/>
      <c r="BO74" s="782"/>
      <c r="BP74" s="782"/>
      <c r="BQ74" s="782"/>
      <c r="BR74" s="782"/>
      <c r="BS74" s="782"/>
      <c r="BT74" s="782"/>
      <c r="BU74" s="782"/>
      <c r="BV74" s="782"/>
      <c r="BW74" s="782"/>
      <c r="BX74" s="782"/>
      <c r="BY74" s="782"/>
      <c r="BZ74" s="782"/>
      <c r="CA74" s="779"/>
      <c r="CB74" s="779"/>
      <c r="CC74" s="779"/>
      <c r="CD74" s="779"/>
      <c r="CE74" s="779"/>
      <c r="CF74" s="779"/>
      <c r="CG74" s="779"/>
      <c r="CH74" s="779"/>
      <c r="CI74" s="779"/>
      <c r="CJ74" s="779"/>
      <c r="CK74" s="779"/>
      <c r="CL74" s="779"/>
      <c r="CM74" s="779"/>
      <c r="CN74" s="779"/>
      <c r="CO74" s="779"/>
      <c r="CP74" s="779"/>
      <c r="CQ74" s="779"/>
      <c r="CR74" s="779"/>
      <c r="CS74" s="779"/>
      <c r="CT74" s="779"/>
      <c r="CU74" s="779"/>
      <c r="CV74" s="779"/>
      <c r="CW74" s="779"/>
      <c r="CX74" s="779"/>
      <c r="CY74" s="779"/>
      <c r="CZ74" s="779"/>
      <c r="DA74" s="779"/>
      <c r="DB74" s="779"/>
      <c r="DC74" s="779"/>
      <c r="DD74" s="779"/>
      <c r="DE74" s="779"/>
      <c r="DF74" s="779"/>
      <c r="DG74" s="779"/>
      <c r="DH74" s="779"/>
      <c r="DI74" s="779"/>
      <c r="DJ74" s="779"/>
      <c r="DK74" s="779"/>
      <c r="DL74" s="779"/>
      <c r="DM74" s="779"/>
      <c r="DN74" s="779"/>
      <c r="DO74" s="779"/>
      <c r="DP74" s="779"/>
      <c r="DQ74" s="779"/>
      <c r="DR74" s="779"/>
      <c r="DS74" s="779"/>
      <c r="DT74" s="779"/>
      <c r="DU74" s="779"/>
      <c r="DV74" s="779"/>
      <c r="DW74" s="779"/>
      <c r="DX74" s="779"/>
      <c r="DY74" s="779"/>
      <c r="DZ74" s="779"/>
      <c r="EA74" s="779"/>
      <c r="EB74" s="779"/>
      <c r="EC74" s="779"/>
      <c r="ED74" s="779"/>
      <c r="EE74" s="779"/>
      <c r="EF74" s="779"/>
      <c r="EG74" s="779"/>
      <c r="EH74" s="779"/>
      <c r="EI74" s="779"/>
      <c r="EJ74" s="779"/>
      <c r="EK74" s="779"/>
      <c r="EL74" s="779"/>
      <c r="EM74" s="779"/>
      <c r="EN74" s="779"/>
      <c r="EO74" s="779"/>
      <c r="EP74" s="779"/>
      <c r="EQ74" s="779"/>
      <c r="ER74" s="779"/>
      <c r="ES74" s="779"/>
      <c r="ET74" s="779"/>
      <c r="EU74" s="779"/>
      <c r="EV74" s="779"/>
      <c r="EW74" s="779"/>
      <c r="EX74" s="779"/>
      <c r="EY74" s="779"/>
      <c r="EZ74" s="779"/>
      <c r="FA74" s="779"/>
      <c r="FB74" s="779"/>
      <c r="FC74" s="779"/>
      <c r="FD74" s="779"/>
      <c r="FE74" s="779"/>
      <c r="FF74" s="779"/>
      <c r="FG74" s="779"/>
      <c r="FH74" s="779"/>
      <c r="FI74" s="779"/>
      <c r="FJ74" s="779"/>
      <c r="FK74" s="779"/>
      <c r="FL74" s="779"/>
      <c r="FM74" s="779"/>
      <c r="FN74" s="779"/>
      <c r="FO74" s="779"/>
      <c r="FP74" s="779"/>
      <c r="FQ74" s="779"/>
      <c r="FR74" s="779"/>
      <c r="FS74" s="779"/>
      <c r="FT74" s="779"/>
      <c r="FU74" s="779"/>
      <c r="FV74" s="779"/>
      <c r="FW74" s="779"/>
      <c r="FX74" s="779"/>
      <c r="FY74" s="779"/>
      <c r="FZ74" s="779"/>
      <c r="GA74" s="779"/>
      <c r="GB74" s="779"/>
      <c r="GC74" s="779"/>
      <c r="GD74" s="779"/>
      <c r="GE74" s="779"/>
      <c r="GF74" s="779"/>
      <c r="GG74" s="779"/>
      <c r="GH74" s="779"/>
      <c r="GI74" s="779"/>
      <c r="GJ74" s="779"/>
      <c r="GK74" s="779"/>
      <c r="GL74" s="779"/>
      <c r="GM74" s="779"/>
      <c r="GN74" s="779"/>
      <c r="GO74" s="779"/>
      <c r="GP74" s="779"/>
      <c r="GQ74" s="779"/>
      <c r="GR74" s="779"/>
      <c r="GS74" s="779"/>
      <c r="GT74" s="779"/>
      <c r="GU74" s="779"/>
      <c r="GV74" s="779"/>
      <c r="GW74" s="779"/>
      <c r="GX74" s="779"/>
      <c r="GY74" s="779"/>
      <c r="GZ74" s="779"/>
      <c r="HA74" s="779"/>
      <c r="HB74" s="779"/>
      <c r="HC74" s="779"/>
      <c r="HD74" s="779"/>
      <c r="HE74" s="779"/>
      <c r="HF74" s="779"/>
      <c r="HG74" s="779"/>
      <c r="HH74" s="779"/>
      <c r="HI74" s="779"/>
      <c r="HJ74" s="779"/>
      <c r="HK74" s="779"/>
      <c r="HL74" s="779"/>
      <c r="HM74" s="779"/>
      <c r="HN74" s="779"/>
      <c r="HO74" s="779"/>
      <c r="HP74" s="779"/>
      <c r="HQ74" s="779"/>
      <c r="HR74" s="779"/>
      <c r="HS74" s="779"/>
      <c r="HT74" s="779"/>
      <c r="HU74" s="779"/>
      <c r="HV74" s="779"/>
      <c r="HW74" s="779"/>
      <c r="HX74" s="779"/>
      <c r="HY74" s="779"/>
      <c r="HZ74" s="779"/>
      <c r="IA74" s="779"/>
      <c r="IB74" s="779"/>
      <c r="IC74" s="779"/>
      <c r="ID74" s="779"/>
      <c r="IE74" s="779"/>
      <c r="IF74" s="779"/>
      <c r="IG74" s="779"/>
      <c r="IH74" s="779"/>
      <c r="II74" s="779"/>
      <c r="IJ74" s="779"/>
      <c r="IK74" s="779"/>
      <c r="IL74" s="779"/>
      <c r="IM74" s="779"/>
      <c r="IN74" s="779"/>
      <c r="IO74" s="779"/>
      <c r="IP74" s="779"/>
      <c r="IQ74" s="779"/>
      <c r="IR74" s="779"/>
      <c r="IS74" s="779"/>
      <c r="IT74" s="779"/>
      <c r="IU74" s="779"/>
      <c r="IV74" s="779"/>
      <c r="IW74" s="779"/>
      <c r="IX74" s="779"/>
      <c r="IY74" s="779"/>
      <c r="IZ74" s="779"/>
      <c r="JA74" s="779"/>
      <c r="JB74" s="779"/>
      <c r="JC74" s="779"/>
      <c r="JD74" s="779"/>
      <c r="JE74" s="779"/>
      <c r="JF74" s="779"/>
      <c r="JG74" s="779"/>
      <c r="JH74" s="779"/>
      <c r="JI74" s="779"/>
      <c r="JJ74" s="779"/>
      <c r="JK74" s="779"/>
      <c r="JL74" s="779"/>
      <c r="JM74" s="779"/>
      <c r="JN74" s="779"/>
      <c r="JO74" s="779"/>
      <c r="JP74" s="779"/>
      <c r="JQ74" s="779"/>
      <c r="JR74" s="779"/>
      <c r="JS74" s="779"/>
      <c r="JT74" s="779"/>
      <c r="JU74" s="779"/>
      <c r="JV74" s="779"/>
      <c r="JW74" s="779"/>
      <c r="JX74" s="779"/>
      <c r="JY74" s="779"/>
      <c r="JZ74" s="779"/>
      <c r="KA74" s="779"/>
      <c r="KB74" s="779"/>
      <c r="KC74" s="779"/>
      <c r="KD74" s="779"/>
      <c r="KE74" s="779"/>
      <c r="KF74" s="779"/>
      <c r="KG74" s="779"/>
      <c r="KH74" s="779"/>
      <c r="KI74" s="779"/>
      <c r="KJ74" s="779"/>
      <c r="KK74" s="779"/>
      <c r="KL74" s="779"/>
      <c r="KM74" s="779"/>
      <c r="KN74" s="779"/>
      <c r="KO74" s="779"/>
      <c r="KP74" s="779"/>
      <c r="KQ74" s="779"/>
      <c r="KR74" s="779"/>
      <c r="KS74" s="779"/>
      <c r="KT74" s="779"/>
      <c r="KU74" s="779"/>
      <c r="KV74" s="779"/>
      <c r="KW74" s="779"/>
      <c r="KX74" s="779"/>
      <c r="KY74" s="779"/>
      <c r="KZ74" s="779"/>
      <c r="LA74" s="779"/>
      <c r="LB74" s="779"/>
      <c r="LC74" s="779"/>
      <c r="LD74" s="779"/>
      <c r="LE74" s="779"/>
      <c r="LF74" s="779"/>
      <c r="LG74" s="779"/>
      <c r="LH74" s="779"/>
      <c r="LI74" s="779"/>
      <c r="LJ74" s="779"/>
      <c r="LK74" s="779"/>
      <c r="LL74" s="779"/>
      <c r="LM74" s="779"/>
      <c r="LN74" s="779"/>
      <c r="LO74" s="779"/>
      <c r="LP74" s="779"/>
      <c r="LQ74" s="779"/>
      <c r="LR74" s="779"/>
      <c r="LS74" s="779"/>
      <c r="LT74" s="779"/>
      <c r="LU74" s="779"/>
      <c r="LV74" s="779"/>
      <c r="LW74" s="779"/>
      <c r="LX74" s="779"/>
      <c r="LY74" s="779"/>
      <c r="LZ74" s="779"/>
      <c r="MA74" s="779"/>
      <c r="MB74" s="779"/>
      <c r="MC74" s="779"/>
      <c r="MD74" s="779"/>
      <c r="ME74" s="779"/>
      <c r="MF74" s="779"/>
      <c r="MG74" s="779"/>
      <c r="MH74" s="779"/>
      <c r="MI74" s="779"/>
      <c r="MJ74" s="779"/>
      <c r="MK74" s="779"/>
      <c r="ML74" s="779"/>
      <c r="MM74" s="779"/>
      <c r="MN74" s="779"/>
      <c r="MO74" s="779"/>
      <c r="MP74" s="779"/>
      <c r="MQ74" s="779"/>
      <c r="MR74" s="779"/>
      <c r="MS74" s="779"/>
      <c r="MT74" s="779"/>
      <c r="MU74" s="779"/>
      <c r="MV74" s="779"/>
      <c r="MW74" s="779"/>
      <c r="MX74" s="779"/>
      <c r="MY74" s="779"/>
      <c r="MZ74" s="779"/>
      <c r="NA74" s="779"/>
      <c r="NB74" s="779"/>
      <c r="NC74" s="779"/>
      <c r="ND74" s="779"/>
      <c r="NE74" s="779"/>
      <c r="NF74" s="779"/>
      <c r="NG74" s="779"/>
      <c r="NH74" s="779"/>
      <c r="NI74" s="779"/>
      <c r="NJ74" s="779"/>
      <c r="NK74" s="779"/>
      <c r="NL74" s="779"/>
      <c r="NM74" s="779"/>
      <c r="NN74" s="779"/>
      <c r="NO74" s="779"/>
      <c r="NP74" s="779"/>
      <c r="NQ74" s="779"/>
      <c r="NR74" s="779"/>
      <c r="NS74" s="779"/>
      <c r="NT74" s="779"/>
      <c r="NU74" s="779"/>
      <c r="NV74" s="779"/>
      <c r="NW74" s="779"/>
      <c r="NX74" s="779"/>
      <c r="NY74" s="779"/>
      <c r="NZ74" s="779"/>
      <c r="OA74" s="779"/>
      <c r="OB74" s="779"/>
      <c r="OC74" s="779"/>
      <c r="OD74" s="779"/>
      <c r="OE74" s="779"/>
      <c r="OF74" s="779"/>
      <c r="OG74" s="779"/>
      <c r="OH74" s="779"/>
      <c r="OI74" s="779"/>
      <c r="OJ74" s="779"/>
      <c r="OK74" s="779"/>
      <c r="OL74" s="779"/>
      <c r="OM74" s="779"/>
      <c r="ON74" s="779"/>
      <c r="OO74" s="779"/>
      <c r="OP74" s="779"/>
      <c r="OQ74" s="779"/>
      <c r="OR74" s="779"/>
      <c r="OS74" s="779"/>
      <c r="OT74" s="779"/>
      <c r="OU74" s="779"/>
      <c r="OV74" s="779"/>
      <c r="OW74" s="779"/>
      <c r="OX74" s="779"/>
      <c r="OY74" s="779"/>
      <c r="OZ74" s="779"/>
      <c r="PA74" s="779"/>
      <c r="PB74" s="779"/>
      <c r="PC74" s="779"/>
      <c r="PD74" s="779"/>
      <c r="PE74" s="779"/>
      <c r="PF74" s="779"/>
      <c r="PG74" s="779"/>
      <c r="PH74" s="779"/>
      <c r="PI74" s="779"/>
      <c r="PJ74" s="779"/>
      <c r="PK74" s="779"/>
      <c r="PL74" s="779"/>
      <c r="PM74" s="779"/>
      <c r="PN74" s="779"/>
      <c r="PO74" s="779"/>
      <c r="PP74" s="779"/>
      <c r="PQ74" s="779"/>
      <c r="PR74" s="779"/>
      <c r="PS74" s="779"/>
      <c r="PT74" s="779"/>
      <c r="PU74" s="779"/>
      <c r="PV74" s="779"/>
      <c r="PW74" s="779"/>
      <c r="PX74" s="779"/>
      <c r="PY74" s="779"/>
      <c r="PZ74" s="779"/>
      <c r="QA74" s="779"/>
      <c r="QB74" s="779"/>
      <c r="QC74" s="779"/>
      <c r="QD74" s="779"/>
      <c r="QE74" s="779"/>
      <c r="QF74" s="779"/>
      <c r="QG74" s="779"/>
      <c r="QH74" s="779"/>
      <c r="QI74" s="779"/>
      <c r="QJ74" s="779"/>
      <c r="QK74" s="779"/>
      <c r="QL74" s="779"/>
      <c r="QM74" s="779"/>
      <c r="QN74" s="779"/>
      <c r="QO74" s="779"/>
      <c r="QP74" s="779"/>
      <c r="QQ74" s="779"/>
      <c r="QR74" s="779"/>
      <c r="QS74" s="779"/>
      <c r="QT74" s="779"/>
      <c r="QU74" s="779"/>
      <c r="QV74" s="779"/>
      <c r="QW74" s="779"/>
      <c r="QX74" s="779"/>
      <c r="QY74" s="779"/>
      <c r="QZ74" s="779"/>
      <c r="RA74" s="779"/>
      <c r="RB74" s="779"/>
      <c r="RC74" s="779"/>
      <c r="RD74" s="779"/>
      <c r="RE74" s="779"/>
      <c r="RF74" s="779"/>
      <c r="RG74" s="779"/>
      <c r="RH74" s="779"/>
      <c r="RI74" s="779"/>
      <c r="RJ74" s="779"/>
      <c r="RK74" s="779"/>
      <c r="RL74" s="779"/>
      <c r="RM74" s="779"/>
      <c r="RN74" s="779"/>
      <c r="RO74" s="779"/>
      <c r="RP74" s="779"/>
      <c r="RQ74" s="779"/>
      <c r="RR74" s="779"/>
      <c r="RS74" s="779"/>
      <c r="RT74" s="779"/>
      <c r="RU74" s="779"/>
      <c r="RV74" s="779"/>
      <c r="RW74" s="779"/>
      <c r="RX74" s="779"/>
    </row>
    <row r="75" spans="1:492" s="143" customFormat="1">
      <c r="A75" s="779"/>
      <c r="B75" s="779"/>
      <c r="C75" s="779"/>
      <c r="D75" s="779"/>
      <c r="E75" s="779"/>
      <c r="F75" s="779"/>
      <c r="G75" s="779"/>
      <c r="H75" s="779"/>
      <c r="I75" s="779"/>
      <c r="J75" s="779"/>
      <c r="K75" s="779"/>
      <c r="L75" s="779"/>
      <c r="M75" s="779"/>
      <c r="N75" s="779"/>
      <c r="O75" s="779"/>
      <c r="P75" s="779"/>
      <c r="Q75" s="779"/>
      <c r="R75" s="779"/>
      <c r="S75" s="779"/>
      <c r="T75" s="779"/>
      <c r="U75" s="779"/>
      <c r="V75" s="779"/>
      <c r="W75" s="779"/>
      <c r="X75" s="779"/>
      <c r="Y75" s="779"/>
      <c r="Z75" s="779"/>
      <c r="AA75" s="779"/>
      <c r="AB75" s="779"/>
      <c r="AC75" s="779"/>
      <c r="AD75" s="779"/>
      <c r="AE75" s="779"/>
      <c r="AF75" s="779"/>
      <c r="AG75" s="779"/>
      <c r="AH75" s="779"/>
      <c r="AI75" s="779"/>
      <c r="AJ75" s="779"/>
      <c r="AK75" s="779"/>
      <c r="AL75" s="779"/>
      <c r="AM75" s="782"/>
      <c r="AN75" s="782"/>
      <c r="AO75" s="782"/>
      <c r="AP75" s="782"/>
      <c r="AQ75" s="782"/>
      <c r="AR75" s="782"/>
      <c r="AS75" s="782"/>
      <c r="AT75" s="782"/>
      <c r="AU75" s="782"/>
      <c r="AV75" s="782"/>
      <c r="AW75" s="782"/>
      <c r="AX75" s="782"/>
      <c r="AY75" s="782"/>
      <c r="AZ75" s="782"/>
      <c r="BA75" s="782"/>
      <c r="BB75" s="782"/>
      <c r="BC75" s="782"/>
      <c r="BD75" s="782"/>
      <c r="BE75" s="782"/>
      <c r="BF75" s="782"/>
      <c r="BG75" s="782"/>
      <c r="BH75" s="782"/>
      <c r="BI75" s="782"/>
      <c r="BJ75" s="782"/>
      <c r="BK75" s="782"/>
      <c r="BL75" s="782"/>
      <c r="BM75" s="782"/>
      <c r="BN75" s="782"/>
      <c r="BO75" s="782"/>
      <c r="BP75" s="782"/>
      <c r="BQ75" s="782"/>
      <c r="BR75" s="782"/>
      <c r="BS75" s="782"/>
      <c r="BT75" s="782"/>
      <c r="BU75" s="782"/>
      <c r="BV75" s="782"/>
      <c r="BW75" s="782"/>
      <c r="BX75" s="782"/>
      <c r="BY75" s="782"/>
      <c r="BZ75" s="782"/>
      <c r="CA75" s="779"/>
      <c r="CB75" s="779"/>
      <c r="CC75" s="779"/>
      <c r="CD75" s="779"/>
      <c r="CE75" s="779"/>
      <c r="CF75" s="779"/>
      <c r="CG75" s="779"/>
      <c r="CH75" s="779"/>
      <c r="CI75" s="779"/>
      <c r="CJ75" s="779"/>
      <c r="CK75" s="779"/>
      <c r="CL75" s="779"/>
      <c r="CM75" s="779"/>
      <c r="CN75" s="779"/>
      <c r="CO75" s="779"/>
      <c r="CP75" s="779"/>
      <c r="CQ75" s="779"/>
      <c r="CR75" s="779"/>
      <c r="CS75" s="779"/>
      <c r="CT75" s="779"/>
      <c r="CU75" s="779"/>
      <c r="CV75" s="779"/>
      <c r="CW75" s="779"/>
      <c r="CX75" s="779"/>
      <c r="CY75" s="779"/>
      <c r="CZ75" s="779"/>
      <c r="DA75" s="779"/>
      <c r="DB75" s="779"/>
      <c r="DC75" s="779"/>
      <c r="DD75" s="779"/>
      <c r="DE75" s="779"/>
      <c r="DF75" s="779"/>
      <c r="DG75" s="779"/>
      <c r="DH75" s="779"/>
      <c r="DI75" s="779"/>
      <c r="DJ75" s="779"/>
      <c r="DK75" s="779"/>
      <c r="DL75" s="779"/>
      <c r="DM75" s="779"/>
      <c r="DN75" s="779"/>
      <c r="DO75" s="779"/>
      <c r="DP75" s="779"/>
      <c r="DQ75" s="779"/>
      <c r="DR75" s="779"/>
      <c r="DS75" s="779"/>
      <c r="DT75" s="779"/>
      <c r="DU75" s="779"/>
      <c r="DV75" s="779"/>
      <c r="DW75" s="779"/>
      <c r="DX75" s="779"/>
      <c r="DY75" s="779"/>
      <c r="DZ75" s="779"/>
      <c r="EA75" s="779"/>
      <c r="EB75" s="779"/>
      <c r="EC75" s="779"/>
      <c r="ED75" s="779"/>
      <c r="EE75" s="779"/>
      <c r="EF75" s="779"/>
      <c r="EG75" s="779"/>
      <c r="EH75" s="779"/>
      <c r="EI75" s="779"/>
      <c r="EJ75" s="779"/>
      <c r="EK75" s="779"/>
      <c r="EL75" s="779"/>
      <c r="EM75" s="779"/>
      <c r="EN75" s="779"/>
      <c r="EO75" s="779"/>
      <c r="EP75" s="779"/>
      <c r="EQ75" s="779"/>
      <c r="ER75" s="779"/>
      <c r="ES75" s="779"/>
      <c r="ET75" s="779"/>
      <c r="EU75" s="779"/>
      <c r="EV75" s="779"/>
      <c r="EW75" s="779"/>
      <c r="EX75" s="779"/>
      <c r="EY75" s="779"/>
      <c r="EZ75" s="779"/>
      <c r="FA75" s="779"/>
      <c r="FB75" s="779"/>
      <c r="FC75" s="779"/>
      <c r="FD75" s="779"/>
      <c r="FE75" s="779"/>
      <c r="FF75" s="779"/>
      <c r="FG75" s="779"/>
      <c r="FH75" s="779"/>
      <c r="FI75" s="779"/>
      <c r="FJ75" s="779"/>
      <c r="FK75" s="779"/>
      <c r="FL75" s="779"/>
      <c r="FM75" s="779"/>
      <c r="FN75" s="779"/>
      <c r="FO75" s="779"/>
      <c r="FP75" s="779"/>
      <c r="FQ75" s="779"/>
      <c r="FR75" s="779"/>
      <c r="FS75" s="779"/>
      <c r="FT75" s="779"/>
      <c r="FU75" s="779"/>
      <c r="FV75" s="779"/>
      <c r="FW75" s="779"/>
      <c r="FX75" s="779"/>
      <c r="FY75" s="779"/>
      <c r="FZ75" s="779"/>
      <c r="GA75" s="779"/>
      <c r="GB75" s="779"/>
      <c r="GC75" s="779"/>
      <c r="GD75" s="779"/>
      <c r="GE75" s="779"/>
      <c r="GF75" s="779"/>
      <c r="GG75" s="779"/>
      <c r="GH75" s="779"/>
      <c r="GI75" s="779"/>
      <c r="GJ75" s="779"/>
      <c r="GK75" s="779"/>
      <c r="GL75" s="779"/>
      <c r="GM75" s="779"/>
      <c r="GN75" s="779"/>
      <c r="GO75" s="779"/>
      <c r="GP75" s="779"/>
      <c r="GQ75" s="779"/>
      <c r="GR75" s="779"/>
      <c r="GS75" s="779"/>
      <c r="GT75" s="779"/>
      <c r="GU75" s="779"/>
      <c r="GV75" s="779"/>
      <c r="GW75" s="779"/>
      <c r="GX75" s="779"/>
      <c r="GY75" s="779"/>
      <c r="GZ75" s="779"/>
      <c r="HA75" s="779"/>
      <c r="HB75" s="779"/>
      <c r="HC75" s="779"/>
      <c r="HD75" s="779"/>
      <c r="HE75" s="779"/>
      <c r="HF75" s="779"/>
      <c r="HG75" s="779"/>
      <c r="HH75" s="779"/>
      <c r="HI75" s="779"/>
      <c r="HJ75" s="779"/>
      <c r="HK75" s="779"/>
      <c r="HL75" s="779"/>
      <c r="HM75" s="779"/>
      <c r="HN75" s="779"/>
      <c r="HO75" s="779"/>
      <c r="HP75" s="779"/>
      <c r="HQ75" s="779"/>
      <c r="HR75" s="779"/>
      <c r="HS75" s="779"/>
      <c r="HT75" s="779"/>
      <c r="HU75" s="779"/>
      <c r="HV75" s="779"/>
      <c r="HW75" s="779"/>
      <c r="HX75" s="779"/>
      <c r="HY75" s="779"/>
      <c r="HZ75" s="779"/>
      <c r="IA75" s="779"/>
      <c r="IB75" s="779"/>
      <c r="IC75" s="779"/>
      <c r="ID75" s="779"/>
      <c r="IE75" s="779"/>
      <c r="IF75" s="779"/>
      <c r="IG75" s="779"/>
      <c r="IH75" s="779"/>
      <c r="II75" s="779"/>
      <c r="IJ75" s="779"/>
      <c r="IK75" s="779"/>
      <c r="IL75" s="779"/>
      <c r="IM75" s="779"/>
      <c r="IN75" s="779"/>
      <c r="IO75" s="779"/>
      <c r="IP75" s="779"/>
      <c r="IQ75" s="779"/>
      <c r="IR75" s="779"/>
      <c r="IS75" s="779"/>
      <c r="IT75" s="779"/>
      <c r="IU75" s="779"/>
      <c r="IV75" s="779"/>
      <c r="IW75" s="779"/>
      <c r="IX75" s="779"/>
      <c r="IY75" s="779"/>
      <c r="IZ75" s="779"/>
      <c r="JA75" s="779"/>
      <c r="JB75" s="779"/>
      <c r="JC75" s="779"/>
      <c r="JD75" s="779"/>
      <c r="JE75" s="779"/>
      <c r="JF75" s="779"/>
      <c r="JG75" s="779"/>
      <c r="JH75" s="779"/>
      <c r="JI75" s="779"/>
      <c r="JJ75" s="779"/>
      <c r="JK75" s="779"/>
      <c r="JL75" s="779"/>
      <c r="JM75" s="779"/>
      <c r="JN75" s="779"/>
      <c r="JO75" s="779"/>
      <c r="JP75" s="779"/>
      <c r="JQ75" s="779"/>
      <c r="JR75" s="779"/>
      <c r="JS75" s="779"/>
      <c r="JT75" s="779"/>
      <c r="JU75" s="779"/>
      <c r="JV75" s="779"/>
      <c r="JW75" s="779"/>
      <c r="JX75" s="779"/>
      <c r="JY75" s="779"/>
      <c r="JZ75" s="779"/>
      <c r="KA75" s="779"/>
      <c r="KB75" s="779"/>
      <c r="KC75" s="779"/>
      <c r="KD75" s="779"/>
      <c r="KE75" s="779"/>
      <c r="KF75" s="779"/>
      <c r="KG75" s="779"/>
      <c r="KH75" s="779"/>
      <c r="KI75" s="779"/>
      <c r="KJ75" s="779"/>
      <c r="KK75" s="779"/>
      <c r="KL75" s="779"/>
      <c r="KM75" s="779"/>
      <c r="KN75" s="779"/>
      <c r="KO75" s="779"/>
      <c r="KP75" s="779"/>
      <c r="KQ75" s="779"/>
      <c r="KR75" s="779"/>
      <c r="KS75" s="779"/>
      <c r="KT75" s="779"/>
      <c r="KU75" s="779"/>
      <c r="KV75" s="779"/>
      <c r="KW75" s="779"/>
      <c r="KX75" s="779"/>
      <c r="KY75" s="779"/>
      <c r="KZ75" s="779"/>
      <c r="LA75" s="779"/>
      <c r="LB75" s="779"/>
      <c r="LC75" s="779"/>
      <c r="LD75" s="779"/>
      <c r="LE75" s="779"/>
      <c r="LF75" s="779"/>
      <c r="LG75" s="779"/>
      <c r="LH75" s="779"/>
      <c r="LI75" s="779"/>
      <c r="LJ75" s="779"/>
      <c r="LK75" s="779"/>
      <c r="LL75" s="779"/>
      <c r="LM75" s="779"/>
      <c r="LN75" s="779"/>
      <c r="LO75" s="779"/>
      <c r="LP75" s="779"/>
      <c r="LQ75" s="779"/>
      <c r="LR75" s="779"/>
      <c r="LS75" s="779"/>
      <c r="LT75" s="779"/>
      <c r="LU75" s="779"/>
      <c r="LV75" s="779"/>
      <c r="LW75" s="779"/>
      <c r="LX75" s="779"/>
      <c r="LY75" s="779"/>
      <c r="LZ75" s="779"/>
      <c r="MA75" s="779"/>
      <c r="MB75" s="779"/>
      <c r="MC75" s="779"/>
      <c r="MD75" s="779"/>
      <c r="ME75" s="779"/>
      <c r="MF75" s="779"/>
      <c r="MG75" s="779"/>
      <c r="MH75" s="779"/>
      <c r="MI75" s="779"/>
      <c r="MJ75" s="779"/>
      <c r="MK75" s="779"/>
      <c r="ML75" s="779"/>
      <c r="MM75" s="779"/>
      <c r="MN75" s="779"/>
      <c r="MO75" s="779"/>
      <c r="MP75" s="779"/>
      <c r="MQ75" s="779"/>
      <c r="MR75" s="779"/>
      <c r="MS75" s="779"/>
      <c r="MT75" s="779"/>
      <c r="MU75" s="779"/>
      <c r="MV75" s="779"/>
      <c r="MW75" s="779"/>
      <c r="MX75" s="779"/>
      <c r="MY75" s="779"/>
      <c r="MZ75" s="779"/>
      <c r="NA75" s="779"/>
      <c r="NB75" s="779"/>
      <c r="NC75" s="779"/>
      <c r="ND75" s="779"/>
      <c r="NE75" s="779"/>
      <c r="NF75" s="779"/>
      <c r="NG75" s="779"/>
      <c r="NH75" s="779"/>
      <c r="NI75" s="779"/>
      <c r="NJ75" s="779"/>
      <c r="NK75" s="779"/>
      <c r="NL75" s="779"/>
      <c r="NM75" s="779"/>
      <c r="NN75" s="779"/>
      <c r="NO75" s="779"/>
      <c r="NP75" s="779"/>
      <c r="NQ75" s="779"/>
      <c r="NR75" s="779"/>
      <c r="NS75" s="779"/>
      <c r="NT75" s="779"/>
      <c r="NU75" s="779"/>
      <c r="NV75" s="779"/>
      <c r="NW75" s="779"/>
      <c r="NX75" s="779"/>
      <c r="NY75" s="779"/>
      <c r="NZ75" s="779"/>
      <c r="OA75" s="779"/>
      <c r="OB75" s="779"/>
      <c r="OC75" s="779"/>
      <c r="OD75" s="779"/>
      <c r="OE75" s="779"/>
      <c r="OF75" s="779"/>
      <c r="OG75" s="779"/>
      <c r="OH75" s="779"/>
      <c r="OI75" s="779"/>
      <c r="OJ75" s="779"/>
      <c r="OK75" s="779"/>
      <c r="OL75" s="779"/>
      <c r="OM75" s="779"/>
      <c r="ON75" s="779"/>
      <c r="OO75" s="779"/>
      <c r="OP75" s="779"/>
      <c r="OQ75" s="779"/>
      <c r="OR75" s="779"/>
      <c r="OS75" s="779"/>
      <c r="OT75" s="779"/>
      <c r="OU75" s="779"/>
      <c r="OV75" s="779"/>
      <c r="OW75" s="779"/>
      <c r="OX75" s="779"/>
      <c r="OY75" s="779"/>
      <c r="OZ75" s="779"/>
      <c r="PA75" s="779"/>
      <c r="PB75" s="779"/>
      <c r="PC75" s="779"/>
      <c r="PD75" s="779"/>
      <c r="PE75" s="779"/>
      <c r="PF75" s="779"/>
      <c r="PG75" s="779"/>
      <c r="PH75" s="779"/>
      <c r="PI75" s="779"/>
      <c r="PJ75" s="779"/>
      <c r="PK75" s="779"/>
      <c r="PL75" s="779"/>
      <c r="PM75" s="779"/>
      <c r="PN75" s="779"/>
      <c r="PO75" s="779"/>
      <c r="PP75" s="779"/>
      <c r="PQ75" s="779"/>
      <c r="PR75" s="779"/>
      <c r="PS75" s="779"/>
      <c r="PT75" s="779"/>
      <c r="PU75" s="779"/>
      <c r="PV75" s="779"/>
      <c r="PW75" s="779"/>
      <c r="PX75" s="779"/>
      <c r="PY75" s="779"/>
      <c r="PZ75" s="779"/>
      <c r="QA75" s="779"/>
      <c r="QB75" s="779"/>
      <c r="QC75" s="779"/>
      <c r="QD75" s="779"/>
      <c r="QE75" s="779"/>
      <c r="QF75" s="779"/>
      <c r="QG75" s="779"/>
      <c r="QH75" s="779"/>
      <c r="QI75" s="779"/>
      <c r="QJ75" s="779"/>
      <c r="QK75" s="779"/>
      <c r="QL75" s="779"/>
      <c r="QM75" s="779"/>
      <c r="QN75" s="779"/>
      <c r="QO75" s="779"/>
      <c r="QP75" s="779"/>
      <c r="QQ75" s="779"/>
      <c r="QR75" s="779"/>
      <c r="QS75" s="779"/>
      <c r="QT75" s="779"/>
      <c r="QU75" s="779"/>
      <c r="QV75" s="779"/>
      <c r="QW75" s="779"/>
      <c r="QX75" s="779"/>
      <c r="QY75" s="779"/>
      <c r="QZ75" s="779"/>
      <c r="RA75" s="779"/>
      <c r="RB75" s="779"/>
      <c r="RC75" s="779"/>
      <c r="RD75" s="779"/>
      <c r="RE75" s="779"/>
      <c r="RF75" s="779"/>
      <c r="RG75" s="779"/>
      <c r="RH75" s="779"/>
      <c r="RI75" s="779"/>
      <c r="RJ75" s="779"/>
      <c r="RK75" s="779"/>
      <c r="RL75" s="779"/>
      <c r="RM75" s="779"/>
      <c r="RN75" s="779"/>
      <c r="RO75" s="779"/>
      <c r="RP75" s="779"/>
      <c r="RQ75" s="779"/>
      <c r="RR75" s="779"/>
      <c r="RS75" s="779"/>
      <c r="RT75" s="779"/>
      <c r="RU75" s="779"/>
      <c r="RV75" s="779"/>
      <c r="RW75" s="779"/>
      <c r="RX75" s="779"/>
    </row>
    <row r="76" spans="1:492" s="143" customFormat="1">
      <c r="A76" s="779"/>
      <c r="B76" s="779"/>
      <c r="C76" s="779"/>
      <c r="D76" s="779"/>
      <c r="E76" s="779"/>
      <c r="F76" s="779"/>
      <c r="G76" s="779"/>
      <c r="H76" s="779"/>
      <c r="I76" s="779"/>
      <c r="J76" s="779"/>
      <c r="K76" s="779"/>
      <c r="L76" s="779"/>
      <c r="M76" s="779"/>
      <c r="N76" s="779"/>
      <c r="O76" s="779"/>
      <c r="P76" s="779"/>
      <c r="Q76" s="779"/>
      <c r="R76" s="779"/>
      <c r="S76" s="779"/>
      <c r="T76" s="779"/>
      <c r="U76" s="779"/>
      <c r="V76" s="779"/>
      <c r="W76" s="779"/>
      <c r="X76" s="779"/>
      <c r="Y76" s="779"/>
      <c r="Z76" s="779"/>
      <c r="AA76" s="779"/>
      <c r="AB76" s="779"/>
      <c r="AC76" s="779"/>
      <c r="AD76" s="779"/>
      <c r="AE76" s="779"/>
      <c r="AF76" s="779"/>
      <c r="AG76" s="779"/>
      <c r="AH76" s="779"/>
      <c r="AI76" s="779"/>
      <c r="AJ76" s="779"/>
      <c r="AK76" s="779"/>
      <c r="AL76" s="779"/>
      <c r="AM76" s="782"/>
      <c r="AN76" s="782"/>
      <c r="AO76" s="782"/>
      <c r="AP76" s="782"/>
      <c r="AQ76" s="782"/>
      <c r="AR76" s="782"/>
      <c r="AS76" s="782"/>
      <c r="AT76" s="782"/>
      <c r="AU76" s="782"/>
      <c r="AV76" s="782"/>
      <c r="AW76" s="782"/>
      <c r="AX76" s="782"/>
      <c r="AY76" s="782"/>
      <c r="AZ76" s="782"/>
      <c r="BA76" s="782"/>
      <c r="BB76" s="782"/>
      <c r="BC76" s="782"/>
      <c r="BD76" s="782"/>
      <c r="BE76" s="782"/>
      <c r="BF76" s="782"/>
      <c r="BG76" s="782"/>
      <c r="BH76" s="782"/>
      <c r="BI76" s="782"/>
      <c r="BJ76" s="782"/>
      <c r="BK76" s="782"/>
      <c r="BL76" s="782"/>
      <c r="BM76" s="782"/>
      <c r="BN76" s="782"/>
      <c r="BO76" s="782"/>
      <c r="BP76" s="782"/>
      <c r="BQ76" s="782"/>
      <c r="BR76" s="782"/>
      <c r="BS76" s="782"/>
      <c r="BT76" s="782"/>
      <c r="BU76" s="782"/>
      <c r="BV76" s="782"/>
      <c r="BW76" s="782"/>
      <c r="BX76" s="782"/>
      <c r="BY76" s="782"/>
      <c r="BZ76" s="782"/>
      <c r="CA76" s="779"/>
      <c r="CB76" s="779"/>
      <c r="CC76" s="779"/>
      <c r="CD76" s="779"/>
      <c r="CE76" s="779"/>
      <c r="CF76" s="779"/>
      <c r="CG76" s="779"/>
      <c r="CH76" s="779"/>
      <c r="CI76" s="779"/>
      <c r="CJ76" s="779"/>
      <c r="CK76" s="779"/>
      <c r="CL76" s="779"/>
      <c r="CM76" s="779"/>
      <c r="CN76" s="779"/>
      <c r="CO76" s="779"/>
      <c r="CP76" s="779"/>
      <c r="CQ76" s="779"/>
      <c r="CR76" s="779"/>
      <c r="CS76" s="779"/>
      <c r="CT76" s="779"/>
      <c r="CU76" s="779"/>
      <c r="CV76" s="779"/>
      <c r="CW76" s="779"/>
      <c r="CX76" s="779"/>
      <c r="CY76" s="779"/>
      <c r="CZ76" s="779"/>
      <c r="DA76" s="779"/>
      <c r="DB76" s="779"/>
      <c r="DC76" s="779"/>
      <c r="DD76" s="779"/>
      <c r="DE76" s="779"/>
      <c r="DF76" s="779"/>
      <c r="DG76" s="779"/>
      <c r="DH76" s="779"/>
      <c r="DI76" s="779"/>
      <c r="DJ76" s="779"/>
      <c r="DK76" s="779"/>
      <c r="DL76" s="779"/>
      <c r="DM76" s="779"/>
      <c r="DN76" s="779"/>
      <c r="DO76" s="779"/>
      <c r="DP76" s="779"/>
      <c r="DQ76" s="779"/>
      <c r="DR76" s="779"/>
      <c r="DS76" s="779"/>
      <c r="DT76" s="779"/>
      <c r="DU76" s="779"/>
      <c r="DV76" s="779"/>
      <c r="DW76" s="779"/>
      <c r="DX76" s="779"/>
      <c r="DY76" s="779"/>
      <c r="DZ76" s="779"/>
      <c r="EA76" s="779"/>
      <c r="EB76" s="779"/>
      <c r="EC76" s="779"/>
      <c r="ED76" s="779"/>
      <c r="EE76" s="779"/>
      <c r="EF76" s="779"/>
      <c r="EG76" s="779"/>
      <c r="EH76" s="779"/>
      <c r="EI76" s="779"/>
      <c r="EJ76" s="779"/>
      <c r="EK76" s="779"/>
      <c r="EL76" s="779"/>
      <c r="EM76" s="779"/>
      <c r="EN76" s="779"/>
      <c r="EO76" s="779"/>
      <c r="EP76" s="779"/>
      <c r="EQ76" s="779"/>
      <c r="ER76" s="779"/>
      <c r="ES76" s="779"/>
      <c r="ET76" s="779"/>
      <c r="EU76" s="779"/>
      <c r="EV76" s="779"/>
      <c r="EW76" s="779"/>
      <c r="EX76" s="779"/>
      <c r="EY76" s="779"/>
      <c r="EZ76" s="779"/>
      <c r="FA76" s="779"/>
      <c r="FB76" s="779"/>
      <c r="FC76" s="779"/>
      <c r="FD76" s="779"/>
      <c r="FE76" s="779"/>
      <c r="FF76" s="779"/>
      <c r="FG76" s="779"/>
      <c r="FH76" s="779"/>
      <c r="FI76" s="779"/>
      <c r="FJ76" s="779"/>
      <c r="FK76" s="779"/>
      <c r="FL76" s="779"/>
      <c r="FM76" s="779"/>
      <c r="FN76" s="779"/>
      <c r="FO76" s="779"/>
      <c r="FP76" s="779"/>
      <c r="FQ76" s="779"/>
      <c r="FR76" s="779"/>
      <c r="FS76" s="779"/>
      <c r="FT76" s="779"/>
      <c r="FU76" s="779"/>
      <c r="FV76" s="779"/>
      <c r="FW76" s="779"/>
      <c r="FX76" s="779"/>
      <c r="FY76" s="779"/>
      <c r="FZ76" s="779"/>
      <c r="GA76" s="779"/>
      <c r="GB76" s="779"/>
      <c r="GC76" s="779"/>
      <c r="GD76" s="779"/>
      <c r="GE76" s="779"/>
      <c r="GF76" s="779"/>
      <c r="GG76" s="779"/>
      <c r="GH76" s="779"/>
      <c r="GI76" s="779"/>
      <c r="GJ76" s="779"/>
      <c r="GK76" s="779"/>
      <c r="GL76" s="779"/>
      <c r="GM76" s="779"/>
      <c r="GN76" s="779"/>
      <c r="GO76" s="779"/>
      <c r="GP76" s="779"/>
      <c r="GQ76" s="779"/>
      <c r="GR76" s="779"/>
      <c r="GS76" s="779"/>
      <c r="GT76" s="779"/>
      <c r="GU76" s="779"/>
      <c r="GV76" s="779"/>
      <c r="GW76" s="779"/>
      <c r="GX76" s="779"/>
      <c r="GY76" s="779"/>
      <c r="GZ76" s="779"/>
      <c r="HA76" s="779"/>
      <c r="HB76" s="779"/>
      <c r="HC76" s="779"/>
      <c r="HD76" s="779"/>
      <c r="HE76" s="779"/>
      <c r="HF76" s="779"/>
      <c r="HG76" s="779"/>
      <c r="HH76" s="779"/>
      <c r="HI76" s="779"/>
      <c r="HJ76" s="779"/>
      <c r="HK76" s="779"/>
      <c r="HL76" s="779"/>
      <c r="HM76" s="779"/>
      <c r="HN76" s="779"/>
      <c r="HO76" s="779"/>
      <c r="HP76" s="779"/>
      <c r="HQ76" s="779"/>
      <c r="HR76" s="779"/>
      <c r="HS76" s="779"/>
      <c r="HT76" s="779"/>
      <c r="HU76" s="779"/>
      <c r="HV76" s="779"/>
      <c r="HW76" s="779"/>
      <c r="HX76" s="779"/>
      <c r="HY76" s="779"/>
      <c r="HZ76" s="779"/>
      <c r="IA76" s="779"/>
      <c r="IB76" s="779"/>
      <c r="IC76" s="779"/>
      <c r="ID76" s="779"/>
      <c r="IE76" s="779"/>
      <c r="IF76" s="779"/>
      <c r="IG76" s="779"/>
      <c r="IH76" s="779"/>
      <c r="II76" s="779"/>
      <c r="IJ76" s="779"/>
      <c r="IK76" s="779"/>
      <c r="IL76" s="779"/>
      <c r="IM76" s="779"/>
      <c r="IN76" s="779"/>
      <c r="IO76" s="779"/>
      <c r="IP76" s="779"/>
      <c r="IQ76" s="779"/>
      <c r="IR76" s="779"/>
      <c r="IS76" s="779"/>
      <c r="IT76" s="779"/>
      <c r="IU76" s="779"/>
      <c r="IV76" s="779"/>
      <c r="IW76" s="779"/>
      <c r="IX76" s="779"/>
      <c r="IY76" s="779"/>
      <c r="IZ76" s="779"/>
      <c r="JA76" s="779"/>
      <c r="JB76" s="779"/>
      <c r="JC76" s="779"/>
      <c r="JD76" s="779"/>
      <c r="JE76" s="779"/>
      <c r="JF76" s="779"/>
      <c r="JG76" s="779"/>
      <c r="JH76" s="779"/>
      <c r="JI76" s="779"/>
      <c r="JJ76" s="779"/>
      <c r="JK76" s="779"/>
      <c r="JL76" s="779"/>
      <c r="JM76" s="779"/>
      <c r="JN76" s="779"/>
      <c r="JO76" s="779"/>
      <c r="JP76" s="779"/>
      <c r="JQ76" s="779"/>
      <c r="JR76" s="779"/>
      <c r="JS76" s="779"/>
      <c r="JT76" s="779"/>
      <c r="JU76" s="779"/>
      <c r="JV76" s="779"/>
      <c r="JW76" s="779"/>
      <c r="JX76" s="779"/>
      <c r="JY76" s="779"/>
      <c r="JZ76" s="779"/>
      <c r="KA76" s="779"/>
      <c r="KB76" s="779"/>
      <c r="KC76" s="779"/>
      <c r="KD76" s="779"/>
      <c r="KE76" s="779"/>
      <c r="KF76" s="779"/>
      <c r="KG76" s="779"/>
      <c r="KH76" s="779"/>
      <c r="KI76" s="779"/>
      <c r="KJ76" s="779"/>
      <c r="KK76" s="779"/>
      <c r="KL76" s="779"/>
      <c r="KM76" s="779"/>
      <c r="KN76" s="779"/>
      <c r="KO76" s="779"/>
      <c r="KP76" s="779"/>
      <c r="KQ76" s="779"/>
      <c r="KR76" s="779"/>
      <c r="KS76" s="779"/>
      <c r="KT76" s="779"/>
      <c r="KU76" s="779"/>
      <c r="KV76" s="779"/>
      <c r="KW76" s="779"/>
      <c r="KX76" s="779"/>
      <c r="KY76" s="779"/>
      <c r="KZ76" s="779"/>
      <c r="LA76" s="779"/>
      <c r="LB76" s="779"/>
      <c r="LC76" s="779"/>
      <c r="LD76" s="779"/>
      <c r="LE76" s="779"/>
      <c r="LF76" s="779"/>
      <c r="LG76" s="779"/>
      <c r="LH76" s="779"/>
      <c r="LI76" s="779"/>
      <c r="LJ76" s="779"/>
      <c r="LK76" s="779"/>
      <c r="LL76" s="779"/>
      <c r="LM76" s="779"/>
      <c r="LN76" s="779"/>
      <c r="LO76" s="779"/>
      <c r="LP76" s="779"/>
      <c r="LQ76" s="779"/>
      <c r="LR76" s="779"/>
      <c r="LS76" s="779"/>
      <c r="LT76" s="779"/>
      <c r="LU76" s="779"/>
      <c r="LV76" s="779"/>
      <c r="LW76" s="779"/>
      <c r="LX76" s="779"/>
      <c r="LY76" s="779"/>
      <c r="LZ76" s="779"/>
      <c r="MA76" s="779"/>
      <c r="MB76" s="779"/>
      <c r="MC76" s="779"/>
      <c r="MD76" s="779"/>
      <c r="ME76" s="779"/>
      <c r="MF76" s="779"/>
      <c r="MG76" s="779"/>
      <c r="MH76" s="779"/>
      <c r="MI76" s="779"/>
      <c r="MJ76" s="779"/>
      <c r="MK76" s="779"/>
      <c r="ML76" s="779"/>
      <c r="MM76" s="779"/>
      <c r="MN76" s="779"/>
      <c r="MO76" s="779"/>
      <c r="MP76" s="779"/>
      <c r="MQ76" s="779"/>
      <c r="MR76" s="779"/>
      <c r="MS76" s="779"/>
      <c r="MT76" s="779"/>
      <c r="MU76" s="779"/>
      <c r="MV76" s="779"/>
      <c r="MW76" s="779"/>
      <c r="MX76" s="779"/>
      <c r="MY76" s="779"/>
      <c r="MZ76" s="779"/>
      <c r="NA76" s="779"/>
      <c r="NB76" s="779"/>
      <c r="NC76" s="779"/>
      <c r="ND76" s="779"/>
      <c r="NE76" s="779"/>
      <c r="NF76" s="779"/>
      <c r="NG76" s="779"/>
      <c r="NH76" s="779"/>
      <c r="NI76" s="779"/>
      <c r="NJ76" s="779"/>
      <c r="NK76" s="779"/>
      <c r="NL76" s="779"/>
      <c r="NM76" s="779"/>
      <c r="NN76" s="779"/>
      <c r="NO76" s="779"/>
      <c r="NP76" s="779"/>
      <c r="NQ76" s="779"/>
      <c r="NR76" s="779"/>
      <c r="NS76" s="779"/>
      <c r="NT76" s="779"/>
      <c r="NU76" s="779"/>
      <c r="NV76" s="779"/>
      <c r="NW76" s="779"/>
      <c r="NX76" s="779"/>
      <c r="NY76" s="779"/>
      <c r="NZ76" s="779"/>
      <c r="OA76" s="779"/>
      <c r="OB76" s="779"/>
      <c r="OC76" s="779"/>
      <c r="OD76" s="779"/>
      <c r="OE76" s="779"/>
      <c r="OF76" s="779"/>
      <c r="OG76" s="779"/>
      <c r="OH76" s="779"/>
      <c r="OI76" s="779"/>
      <c r="OJ76" s="779"/>
      <c r="OK76" s="779"/>
      <c r="OL76" s="779"/>
      <c r="OM76" s="779"/>
      <c r="ON76" s="779"/>
      <c r="OO76" s="779"/>
      <c r="OP76" s="779"/>
      <c r="OQ76" s="779"/>
      <c r="OR76" s="779"/>
      <c r="OS76" s="779"/>
      <c r="OT76" s="779"/>
      <c r="OU76" s="779"/>
      <c r="OV76" s="779"/>
      <c r="OW76" s="779"/>
      <c r="OX76" s="779"/>
      <c r="OY76" s="779"/>
      <c r="OZ76" s="779"/>
      <c r="PA76" s="779"/>
      <c r="PB76" s="779"/>
      <c r="PC76" s="779"/>
      <c r="PD76" s="779"/>
      <c r="PE76" s="779"/>
      <c r="PF76" s="779"/>
      <c r="PG76" s="779"/>
      <c r="PH76" s="779"/>
      <c r="PI76" s="779"/>
      <c r="PJ76" s="779"/>
      <c r="PK76" s="779"/>
      <c r="PL76" s="779"/>
      <c r="PM76" s="779"/>
      <c r="PN76" s="779"/>
      <c r="PO76" s="779"/>
      <c r="PP76" s="779"/>
      <c r="PQ76" s="779"/>
      <c r="PR76" s="779"/>
      <c r="PS76" s="779"/>
      <c r="PT76" s="779"/>
      <c r="PU76" s="779"/>
      <c r="PV76" s="779"/>
      <c r="PW76" s="779"/>
      <c r="PX76" s="779"/>
      <c r="PY76" s="779"/>
      <c r="PZ76" s="779"/>
      <c r="QA76" s="779"/>
      <c r="QB76" s="779"/>
      <c r="QC76" s="779"/>
      <c r="QD76" s="779"/>
      <c r="QE76" s="779"/>
      <c r="QF76" s="779"/>
      <c r="QG76" s="779"/>
      <c r="QH76" s="779"/>
      <c r="QI76" s="779"/>
      <c r="QJ76" s="779"/>
      <c r="QK76" s="779"/>
      <c r="QL76" s="779"/>
      <c r="QM76" s="779"/>
      <c r="QN76" s="779"/>
      <c r="QO76" s="779"/>
      <c r="QP76" s="779"/>
      <c r="QQ76" s="779"/>
      <c r="QR76" s="779"/>
      <c r="QS76" s="779"/>
      <c r="QT76" s="779"/>
      <c r="QU76" s="779"/>
      <c r="QV76" s="779"/>
      <c r="QW76" s="779"/>
      <c r="QX76" s="779"/>
      <c r="QY76" s="779"/>
      <c r="QZ76" s="779"/>
      <c r="RA76" s="779"/>
      <c r="RB76" s="779"/>
      <c r="RC76" s="779"/>
      <c r="RD76" s="779"/>
      <c r="RE76" s="779"/>
      <c r="RF76" s="779"/>
      <c r="RG76" s="779"/>
      <c r="RH76" s="779"/>
      <c r="RI76" s="779"/>
      <c r="RJ76" s="779"/>
      <c r="RK76" s="779"/>
      <c r="RL76" s="779"/>
      <c r="RM76" s="779"/>
      <c r="RN76" s="779"/>
      <c r="RO76" s="779"/>
      <c r="RP76" s="779"/>
      <c r="RQ76" s="779"/>
      <c r="RR76" s="779"/>
      <c r="RS76" s="779"/>
      <c r="RT76" s="779"/>
      <c r="RU76" s="779"/>
      <c r="RV76" s="779"/>
      <c r="RW76" s="779"/>
      <c r="RX76" s="779"/>
    </row>
    <row r="77" spans="1:492" s="143" customFormat="1">
      <c r="A77" s="779"/>
      <c r="B77" s="779"/>
      <c r="C77" s="779"/>
      <c r="D77" s="779"/>
      <c r="E77" s="779"/>
      <c r="F77" s="779"/>
      <c r="G77" s="779"/>
      <c r="H77" s="779"/>
      <c r="I77" s="779"/>
      <c r="J77" s="779"/>
      <c r="K77" s="779"/>
      <c r="L77" s="779"/>
      <c r="M77" s="779"/>
      <c r="N77" s="779"/>
      <c r="O77" s="779"/>
      <c r="P77" s="779"/>
      <c r="Q77" s="779"/>
      <c r="R77" s="779"/>
      <c r="S77" s="779"/>
      <c r="T77" s="779"/>
      <c r="U77" s="779"/>
      <c r="V77" s="779"/>
      <c r="W77" s="779"/>
      <c r="X77" s="779"/>
      <c r="Y77" s="779"/>
      <c r="Z77" s="779"/>
      <c r="AA77" s="779"/>
      <c r="AB77" s="779"/>
      <c r="AC77" s="779"/>
      <c r="AD77" s="779"/>
      <c r="AE77" s="779"/>
      <c r="AF77" s="779"/>
      <c r="AG77" s="779"/>
      <c r="AH77" s="779"/>
      <c r="AI77" s="779"/>
      <c r="AJ77" s="779"/>
      <c r="AK77" s="779"/>
      <c r="AL77" s="779"/>
      <c r="AM77" s="782"/>
      <c r="AN77" s="782"/>
      <c r="AO77" s="782"/>
      <c r="AP77" s="782"/>
      <c r="AQ77" s="782"/>
      <c r="AR77" s="782"/>
      <c r="AS77" s="782"/>
      <c r="AT77" s="782"/>
      <c r="AU77" s="782"/>
      <c r="AV77" s="782"/>
      <c r="AW77" s="782"/>
      <c r="AX77" s="782"/>
      <c r="AY77" s="782"/>
      <c r="AZ77" s="782"/>
      <c r="BA77" s="782"/>
      <c r="BB77" s="782"/>
      <c r="BC77" s="782"/>
      <c r="BD77" s="782"/>
      <c r="BE77" s="782"/>
      <c r="BF77" s="782"/>
      <c r="BG77" s="782"/>
      <c r="BH77" s="782"/>
      <c r="BI77" s="782"/>
      <c r="BJ77" s="782"/>
      <c r="BK77" s="782"/>
      <c r="BL77" s="782"/>
      <c r="BM77" s="782"/>
      <c r="BN77" s="782"/>
      <c r="BO77" s="782"/>
      <c r="BP77" s="782"/>
      <c r="BQ77" s="782"/>
      <c r="BR77" s="782"/>
      <c r="BS77" s="782"/>
      <c r="BT77" s="782"/>
      <c r="BU77" s="782"/>
      <c r="BV77" s="782"/>
      <c r="BW77" s="782"/>
      <c r="BX77" s="782"/>
      <c r="BY77" s="782"/>
      <c r="BZ77" s="782"/>
      <c r="CA77" s="779"/>
      <c r="CB77" s="779"/>
      <c r="CC77" s="779"/>
      <c r="CD77" s="779"/>
      <c r="CE77" s="779"/>
      <c r="CF77" s="779"/>
      <c r="CG77" s="779"/>
      <c r="CH77" s="779"/>
      <c r="CI77" s="779"/>
      <c r="CJ77" s="779"/>
      <c r="CK77" s="779"/>
      <c r="CL77" s="779"/>
      <c r="CM77" s="779"/>
      <c r="CN77" s="779"/>
      <c r="CO77" s="779"/>
      <c r="CP77" s="779"/>
      <c r="CQ77" s="779"/>
      <c r="CR77" s="779"/>
      <c r="CS77" s="779"/>
      <c r="CT77" s="779"/>
      <c r="CU77" s="779"/>
      <c r="CV77" s="779"/>
      <c r="CW77" s="779"/>
      <c r="CX77" s="779"/>
      <c r="CY77" s="779"/>
      <c r="CZ77" s="779"/>
      <c r="DA77" s="779"/>
      <c r="DB77" s="779"/>
      <c r="DC77" s="779"/>
      <c r="DD77" s="779"/>
      <c r="DE77" s="779"/>
      <c r="DF77" s="779"/>
      <c r="DG77" s="779"/>
      <c r="DH77" s="779"/>
      <c r="DI77" s="779"/>
      <c r="DJ77" s="779"/>
      <c r="DK77" s="779"/>
      <c r="DL77" s="779"/>
      <c r="DM77" s="779"/>
      <c r="DN77" s="779"/>
      <c r="DO77" s="779"/>
      <c r="DP77" s="779"/>
      <c r="DQ77" s="779"/>
      <c r="DR77" s="779"/>
      <c r="DS77" s="779"/>
      <c r="DT77" s="779"/>
      <c r="DU77" s="779"/>
      <c r="DV77" s="779"/>
      <c r="DW77" s="779"/>
      <c r="DX77" s="779"/>
      <c r="DY77" s="779"/>
      <c r="DZ77" s="779"/>
      <c r="EA77" s="779"/>
      <c r="EB77" s="779"/>
      <c r="EC77" s="779"/>
      <c r="ED77" s="779"/>
      <c r="EE77" s="779"/>
      <c r="EF77" s="779"/>
      <c r="EG77" s="779"/>
      <c r="EH77" s="779"/>
      <c r="EI77" s="779"/>
      <c r="EJ77" s="779"/>
      <c r="EK77" s="779"/>
      <c r="EL77" s="779"/>
      <c r="EM77" s="779"/>
      <c r="EN77" s="779"/>
      <c r="EO77" s="779"/>
      <c r="EP77" s="779"/>
      <c r="EQ77" s="779"/>
      <c r="ER77" s="779"/>
      <c r="ES77" s="779"/>
      <c r="ET77" s="779"/>
      <c r="EU77" s="779"/>
      <c r="EV77" s="779"/>
      <c r="EW77" s="779"/>
      <c r="EX77" s="779"/>
      <c r="EY77" s="779"/>
      <c r="EZ77" s="779"/>
      <c r="FA77" s="779"/>
      <c r="FB77" s="779"/>
      <c r="FC77" s="779"/>
      <c r="FD77" s="779"/>
      <c r="FE77" s="779"/>
      <c r="FF77" s="779"/>
      <c r="FG77" s="779"/>
      <c r="FH77" s="779"/>
      <c r="FI77" s="779"/>
      <c r="FJ77" s="779"/>
      <c r="FK77" s="779"/>
      <c r="FL77" s="779"/>
      <c r="FM77" s="779"/>
      <c r="FN77" s="779"/>
      <c r="FO77" s="779"/>
      <c r="FP77" s="779"/>
      <c r="FQ77" s="779"/>
      <c r="FR77" s="779"/>
      <c r="FS77" s="779"/>
      <c r="FT77" s="779"/>
      <c r="FU77" s="779"/>
      <c r="FV77" s="779"/>
      <c r="FW77" s="779"/>
      <c r="FX77" s="779"/>
      <c r="FY77" s="779"/>
      <c r="FZ77" s="779"/>
      <c r="GA77" s="779"/>
      <c r="GB77" s="779"/>
      <c r="GC77" s="779"/>
      <c r="GD77" s="779"/>
      <c r="GE77" s="779"/>
      <c r="GF77" s="779"/>
      <c r="GG77" s="779"/>
      <c r="GH77" s="779"/>
      <c r="GI77" s="779"/>
      <c r="GJ77" s="779"/>
      <c r="GK77" s="779"/>
      <c r="GL77" s="779"/>
      <c r="GM77" s="779"/>
      <c r="GN77" s="779"/>
      <c r="GO77" s="779"/>
      <c r="GP77" s="779"/>
      <c r="GQ77" s="779"/>
      <c r="GR77" s="779"/>
      <c r="GS77" s="779"/>
      <c r="GT77" s="779"/>
      <c r="GU77" s="779"/>
      <c r="GV77" s="779"/>
      <c r="GW77" s="779"/>
      <c r="GX77" s="779"/>
      <c r="GY77" s="779"/>
      <c r="GZ77" s="779"/>
      <c r="HA77" s="779"/>
      <c r="HB77" s="779"/>
      <c r="HC77" s="779"/>
      <c r="HD77" s="779"/>
      <c r="HE77" s="779"/>
      <c r="HF77" s="779"/>
      <c r="HG77" s="779"/>
      <c r="HH77" s="779"/>
      <c r="HI77" s="779"/>
      <c r="HJ77" s="779"/>
      <c r="HK77" s="779"/>
      <c r="HL77" s="779"/>
      <c r="HM77" s="779"/>
      <c r="HN77" s="779"/>
      <c r="HO77" s="779"/>
      <c r="HP77" s="779"/>
      <c r="HQ77" s="779"/>
      <c r="HR77" s="779"/>
      <c r="HS77" s="779"/>
      <c r="HT77" s="779"/>
      <c r="HU77" s="779"/>
      <c r="HV77" s="779"/>
      <c r="HW77" s="779"/>
      <c r="HX77" s="779"/>
      <c r="HY77" s="779"/>
      <c r="HZ77" s="779"/>
      <c r="IA77" s="779"/>
      <c r="IB77" s="779"/>
      <c r="IC77" s="779"/>
      <c r="ID77" s="779"/>
      <c r="IE77" s="779"/>
      <c r="IF77" s="779"/>
      <c r="IG77" s="779"/>
      <c r="IH77" s="779"/>
      <c r="II77" s="779"/>
      <c r="IJ77" s="779"/>
      <c r="IK77" s="779"/>
      <c r="IL77" s="779"/>
      <c r="IM77" s="779"/>
      <c r="IN77" s="779"/>
      <c r="IO77" s="779"/>
      <c r="IP77" s="779"/>
      <c r="IQ77" s="779"/>
      <c r="IR77" s="779"/>
      <c r="IS77" s="779"/>
      <c r="IT77" s="779"/>
      <c r="IU77" s="779"/>
      <c r="IV77" s="779"/>
      <c r="IW77" s="779"/>
      <c r="IX77" s="779"/>
      <c r="IY77" s="779"/>
      <c r="IZ77" s="779"/>
      <c r="JA77" s="779"/>
      <c r="JB77" s="779"/>
      <c r="JC77" s="779"/>
      <c r="JD77" s="779"/>
      <c r="JE77" s="779"/>
      <c r="JF77" s="779"/>
      <c r="JG77" s="779"/>
      <c r="JH77" s="779"/>
      <c r="JI77" s="779"/>
      <c r="JJ77" s="779"/>
      <c r="JK77" s="779"/>
      <c r="JL77" s="779"/>
      <c r="JM77" s="779"/>
      <c r="JN77" s="779"/>
      <c r="JO77" s="779"/>
      <c r="JP77" s="779"/>
      <c r="JQ77" s="779"/>
      <c r="JR77" s="779"/>
      <c r="JS77" s="779"/>
      <c r="JT77" s="779"/>
      <c r="JU77" s="779"/>
      <c r="JV77" s="779"/>
      <c r="JW77" s="779"/>
      <c r="JX77" s="779"/>
      <c r="JY77" s="779"/>
      <c r="JZ77" s="779"/>
      <c r="KA77" s="779"/>
      <c r="KB77" s="779"/>
      <c r="KC77" s="779"/>
      <c r="KD77" s="779"/>
      <c r="KE77" s="779"/>
      <c r="KF77" s="779"/>
      <c r="KG77" s="779"/>
      <c r="KH77" s="779"/>
      <c r="KI77" s="779"/>
      <c r="KJ77" s="779"/>
      <c r="KK77" s="779"/>
      <c r="KL77" s="779"/>
      <c r="KM77" s="779"/>
      <c r="KN77" s="779"/>
      <c r="KO77" s="779"/>
      <c r="KP77" s="779"/>
      <c r="KQ77" s="779"/>
      <c r="KR77" s="779"/>
      <c r="KS77" s="779"/>
      <c r="KT77" s="779"/>
      <c r="KU77" s="779"/>
      <c r="KV77" s="779"/>
      <c r="KW77" s="779"/>
      <c r="KX77" s="779"/>
      <c r="KY77" s="779"/>
      <c r="KZ77" s="779"/>
      <c r="LA77" s="779"/>
      <c r="LB77" s="779"/>
      <c r="LC77" s="779"/>
      <c r="LD77" s="779"/>
      <c r="LE77" s="779"/>
      <c r="LF77" s="779"/>
      <c r="LG77" s="779"/>
      <c r="LH77" s="779"/>
      <c r="LI77" s="779"/>
      <c r="LJ77" s="779"/>
      <c r="LK77" s="779"/>
      <c r="LL77" s="779"/>
      <c r="LM77" s="779"/>
      <c r="LN77" s="779"/>
      <c r="LO77" s="779"/>
      <c r="LP77" s="779"/>
      <c r="LQ77" s="779"/>
      <c r="LR77" s="779"/>
      <c r="LS77" s="779"/>
      <c r="LT77" s="779"/>
      <c r="LU77" s="779"/>
      <c r="LV77" s="779"/>
      <c r="LW77" s="779"/>
      <c r="LX77" s="779"/>
      <c r="LY77" s="779"/>
      <c r="LZ77" s="779"/>
      <c r="MA77" s="779"/>
      <c r="MB77" s="779"/>
      <c r="MC77" s="779"/>
      <c r="MD77" s="779"/>
      <c r="ME77" s="779"/>
      <c r="MF77" s="779"/>
      <c r="MG77" s="779"/>
      <c r="MH77" s="779"/>
      <c r="MI77" s="779"/>
      <c r="MJ77" s="779"/>
      <c r="MK77" s="779"/>
      <c r="ML77" s="779"/>
      <c r="MM77" s="779"/>
      <c r="MN77" s="779"/>
      <c r="MO77" s="779"/>
      <c r="MP77" s="779"/>
      <c r="MQ77" s="779"/>
      <c r="MR77" s="779"/>
      <c r="MS77" s="779"/>
      <c r="MT77" s="779"/>
      <c r="MU77" s="779"/>
      <c r="MV77" s="779"/>
      <c r="MW77" s="779"/>
      <c r="MX77" s="779"/>
      <c r="MY77" s="779"/>
      <c r="MZ77" s="779"/>
      <c r="NA77" s="779"/>
      <c r="NB77" s="779"/>
      <c r="NC77" s="779"/>
      <c r="ND77" s="779"/>
      <c r="NE77" s="779"/>
      <c r="NF77" s="779"/>
      <c r="NG77" s="779"/>
      <c r="NH77" s="779"/>
      <c r="NI77" s="779"/>
      <c r="NJ77" s="779"/>
      <c r="NK77" s="779"/>
      <c r="NL77" s="779"/>
      <c r="NM77" s="779"/>
      <c r="NN77" s="779"/>
      <c r="NO77" s="779"/>
      <c r="NP77" s="779"/>
      <c r="NQ77" s="779"/>
      <c r="NR77" s="779"/>
      <c r="NS77" s="779"/>
      <c r="NT77" s="779"/>
      <c r="NU77" s="779"/>
      <c r="NV77" s="779"/>
      <c r="NW77" s="779"/>
      <c r="NX77" s="779"/>
      <c r="NY77" s="779"/>
      <c r="NZ77" s="779"/>
      <c r="OA77" s="779"/>
      <c r="OB77" s="779"/>
      <c r="OC77" s="779"/>
      <c r="OD77" s="779"/>
      <c r="OE77" s="779"/>
      <c r="OF77" s="779"/>
      <c r="OG77" s="779"/>
      <c r="OH77" s="779"/>
      <c r="OI77" s="779"/>
      <c r="OJ77" s="779"/>
      <c r="OK77" s="779"/>
      <c r="OL77" s="779"/>
      <c r="OM77" s="779"/>
      <c r="ON77" s="779"/>
      <c r="OO77" s="779"/>
      <c r="OP77" s="779"/>
      <c r="OQ77" s="779"/>
      <c r="OR77" s="779"/>
      <c r="OS77" s="779"/>
      <c r="OT77" s="779"/>
      <c r="OU77" s="779"/>
      <c r="OV77" s="779"/>
      <c r="OW77" s="779"/>
      <c r="OX77" s="779"/>
      <c r="OY77" s="779"/>
      <c r="OZ77" s="779"/>
      <c r="PA77" s="779"/>
      <c r="PB77" s="779"/>
      <c r="PC77" s="779"/>
      <c r="PD77" s="779"/>
      <c r="PE77" s="779"/>
      <c r="PF77" s="779"/>
      <c r="PG77" s="779"/>
      <c r="PH77" s="779"/>
      <c r="PI77" s="779"/>
      <c r="PJ77" s="779"/>
      <c r="PK77" s="779"/>
      <c r="PL77" s="779"/>
      <c r="PM77" s="779"/>
      <c r="PN77" s="779"/>
      <c r="PO77" s="779"/>
      <c r="PP77" s="779"/>
      <c r="PQ77" s="779"/>
      <c r="PR77" s="779"/>
      <c r="PS77" s="779"/>
      <c r="PT77" s="779"/>
      <c r="PU77" s="779"/>
      <c r="PV77" s="779"/>
      <c r="PW77" s="779"/>
      <c r="PX77" s="779"/>
      <c r="PY77" s="779"/>
      <c r="PZ77" s="779"/>
      <c r="QA77" s="779"/>
      <c r="QB77" s="779"/>
      <c r="QC77" s="779"/>
      <c r="QD77" s="779"/>
      <c r="QE77" s="779"/>
      <c r="QF77" s="779"/>
      <c r="QG77" s="779"/>
      <c r="QH77" s="779"/>
      <c r="QI77" s="779"/>
      <c r="QJ77" s="779"/>
      <c r="QK77" s="779"/>
      <c r="QL77" s="779"/>
      <c r="QM77" s="779"/>
      <c r="QN77" s="779"/>
      <c r="QO77" s="779"/>
      <c r="QP77" s="779"/>
      <c r="QQ77" s="779"/>
      <c r="QR77" s="779"/>
      <c r="QS77" s="779"/>
      <c r="QT77" s="779"/>
      <c r="QU77" s="779"/>
      <c r="QV77" s="779"/>
      <c r="QW77" s="779"/>
      <c r="QX77" s="779"/>
      <c r="QY77" s="779"/>
      <c r="QZ77" s="779"/>
      <c r="RA77" s="779"/>
      <c r="RB77" s="779"/>
      <c r="RC77" s="779"/>
      <c r="RD77" s="779"/>
      <c r="RE77" s="779"/>
      <c r="RF77" s="779"/>
      <c r="RG77" s="779"/>
      <c r="RH77" s="779"/>
      <c r="RI77" s="779"/>
      <c r="RJ77" s="779"/>
      <c r="RK77" s="779"/>
      <c r="RL77" s="779"/>
      <c r="RM77" s="779"/>
      <c r="RN77" s="779"/>
      <c r="RO77" s="779"/>
      <c r="RP77" s="779"/>
      <c r="RQ77" s="779"/>
      <c r="RR77" s="779"/>
      <c r="RS77" s="779"/>
      <c r="RT77" s="779"/>
      <c r="RU77" s="779"/>
      <c r="RV77" s="779"/>
      <c r="RW77" s="779"/>
      <c r="RX77" s="779"/>
    </row>
    <row r="78" spans="1:492" s="143" customFormat="1">
      <c r="A78" s="779"/>
      <c r="B78" s="779"/>
      <c r="C78" s="779"/>
      <c r="D78" s="779"/>
      <c r="E78" s="779"/>
      <c r="F78" s="779"/>
      <c r="G78" s="779"/>
      <c r="H78" s="779"/>
      <c r="I78" s="779"/>
      <c r="J78" s="779"/>
      <c r="K78" s="779"/>
      <c r="L78" s="779"/>
      <c r="M78" s="779"/>
      <c r="N78" s="779"/>
      <c r="O78" s="779"/>
      <c r="P78" s="779"/>
      <c r="Q78" s="779"/>
      <c r="R78" s="779"/>
      <c r="S78" s="779"/>
      <c r="T78" s="779"/>
      <c r="U78" s="779"/>
      <c r="V78" s="779"/>
      <c r="W78" s="779"/>
      <c r="X78" s="779"/>
      <c r="Y78" s="779"/>
      <c r="Z78" s="779"/>
      <c r="AA78" s="779"/>
      <c r="AB78" s="779"/>
      <c r="AC78" s="779"/>
      <c r="AD78" s="779"/>
      <c r="AE78" s="779"/>
      <c r="AF78" s="779"/>
      <c r="AG78" s="779"/>
      <c r="AH78" s="779"/>
      <c r="AI78" s="779"/>
      <c r="AJ78" s="779"/>
      <c r="AK78" s="779"/>
      <c r="AL78" s="779"/>
      <c r="AM78" s="782"/>
      <c r="AN78" s="782"/>
      <c r="AO78" s="782"/>
      <c r="AP78" s="782"/>
      <c r="AQ78" s="782"/>
      <c r="AR78" s="782"/>
      <c r="AS78" s="782"/>
      <c r="AT78" s="782"/>
      <c r="AU78" s="782"/>
      <c r="AV78" s="782"/>
      <c r="AW78" s="782"/>
      <c r="AX78" s="782"/>
      <c r="AY78" s="782"/>
      <c r="AZ78" s="782"/>
      <c r="BA78" s="782"/>
      <c r="BB78" s="782"/>
      <c r="BC78" s="782"/>
      <c r="BD78" s="782"/>
      <c r="BE78" s="782"/>
      <c r="BF78" s="782"/>
      <c r="BG78" s="782"/>
      <c r="BH78" s="782"/>
      <c r="BI78" s="782"/>
      <c r="BJ78" s="782"/>
      <c r="BK78" s="782"/>
      <c r="BL78" s="782"/>
      <c r="BM78" s="782"/>
      <c r="BN78" s="782"/>
      <c r="BO78" s="782"/>
      <c r="BP78" s="782"/>
      <c r="BQ78" s="782"/>
      <c r="BR78" s="782"/>
      <c r="BS78" s="782"/>
      <c r="BT78" s="782"/>
      <c r="BU78" s="782"/>
      <c r="BV78" s="782"/>
      <c r="BW78" s="782"/>
      <c r="BX78" s="782"/>
      <c r="BY78" s="782"/>
      <c r="BZ78" s="782"/>
      <c r="CA78" s="779"/>
      <c r="CB78" s="779"/>
      <c r="CC78" s="779"/>
      <c r="CD78" s="779"/>
      <c r="CE78" s="779"/>
      <c r="CF78" s="779"/>
      <c r="CG78" s="779"/>
      <c r="CH78" s="779"/>
      <c r="CI78" s="779"/>
      <c r="CJ78" s="779"/>
      <c r="CK78" s="779"/>
      <c r="CL78" s="779"/>
      <c r="CM78" s="779"/>
      <c r="CN78" s="779"/>
      <c r="CO78" s="779"/>
      <c r="CP78" s="779"/>
      <c r="CQ78" s="779"/>
      <c r="CR78" s="779"/>
      <c r="CS78" s="779"/>
      <c r="CT78" s="779"/>
      <c r="CU78" s="779"/>
      <c r="CV78" s="779"/>
      <c r="CW78" s="779"/>
      <c r="CX78" s="779"/>
      <c r="CY78" s="779"/>
      <c r="CZ78" s="779"/>
      <c r="DA78" s="779"/>
      <c r="DB78" s="779"/>
      <c r="DC78" s="779"/>
      <c r="DD78" s="779"/>
      <c r="DE78" s="779"/>
      <c r="DF78" s="779"/>
      <c r="DG78" s="779"/>
      <c r="DH78" s="779"/>
      <c r="DI78" s="779"/>
      <c r="DJ78" s="779"/>
      <c r="DK78" s="779"/>
      <c r="DL78" s="779"/>
      <c r="DM78" s="779"/>
      <c r="DN78" s="779"/>
      <c r="DO78" s="779"/>
      <c r="DP78" s="779"/>
      <c r="DQ78" s="779"/>
      <c r="DR78" s="779"/>
      <c r="DS78" s="779"/>
      <c r="DT78" s="779"/>
      <c r="DU78" s="779"/>
      <c r="DV78" s="779"/>
      <c r="DW78" s="779"/>
      <c r="DX78" s="779"/>
      <c r="DY78" s="779"/>
      <c r="DZ78" s="779"/>
      <c r="EA78" s="779"/>
      <c r="EB78" s="779"/>
      <c r="EC78" s="779"/>
      <c r="ED78" s="779"/>
      <c r="EE78" s="779"/>
      <c r="EF78" s="779"/>
      <c r="EG78" s="779"/>
      <c r="EH78" s="779"/>
      <c r="EI78" s="779"/>
      <c r="EJ78" s="779"/>
      <c r="EK78" s="779"/>
      <c r="EL78" s="779"/>
      <c r="EM78" s="779"/>
      <c r="EN78" s="779"/>
      <c r="EO78" s="779"/>
      <c r="EP78" s="779"/>
      <c r="EQ78" s="779"/>
      <c r="ER78" s="779"/>
      <c r="ES78" s="779"/>
      <c r="ET78" s="779"/>
      <c r="EU78" s="779"/>
      <c r="EV78" s="779"/>
      <c r="EW78" s="779"/>
      <c r="EX78" s="779"/>
      <c r="EY78" s="779"/>
      <c r="EZ78" s="779"/>
      <c r="FA78" s="779"/>
      <c r="FB78" s="779"/>
      <c r="FC78" s="779"/>
      <c r="FD78" s="779"/>
      <c r="FE78" s="779"/>
      <c r="FF78" s="779"/>
      <c r="FG78" s="779"/>
      <c r="FH78" s="779"/>
      <c r="FI78" s="779"/>
      <c r="FJ78" s="779"/>
      <c r="FK78" s="779"/>
      <c r="FL78" s="779"/>
      <c r="FM78" s="779"/>
      <c r="FN78" s="779"/>
      <c r="FO78" s="779"/>
      <c r="FP78" s="779"/>
      <c r="FQ78" s="779"/>
      <c r="FR78" s="779"/>
      <c r="FS78" s="779"/>
      <c r="FT78" s="779"/>
      <c r="FU78" s="779"/>
      <c r="FV78" s="779"/>
      <c r="FW78" s="779"/>
      <c r="FX78" s="779"/>
      <c r="FY78" s="779"/>
      <c r="FZ78" s="779"/>
      <c r="GA78" s="779"/>
      <c r="GB78" s="779"/>
      <c r="GC78" s="779"/>
      <c r="GD78" s="779"/>
      <c r="GE78" s="779"/>
      <c r="GF78" s="779"/>
      <c r="GG78" s="779"/>
      <c r="GH78" s="779"/>
      <c r="GI78" s="779"/>
      <c r="GJ78" s="779"/>
      <c r="GK78" s="779"/>
      <c r="GL78" s="779"/>
      <c r="GM78" s="779"/>
      <c r="GN78" s="779"/>
      <c r="GO78" s="779"/>
      <c r="GP78" s="779"/>
      <c r="GQ78" s="779"/>
      <c r="GR78" s="779"/>
      <c r="GS78" s="779"/>
      <c r="GT78" s="779"/>
      <c r="GU78" s="779"/>
      <c r="GV78" s="779"/>
      <c r="GW78" s="779"/>
      <c r="GX78" s="779"/>
      <c r="GY78" s="779"/>
      <c r="GZ78" s="779"/>
      <c r="HA78" s="779"/>
      <c r="HB78" s="779"/>
      <c r="HC78" s="779"/>
      <c r="HD78" s="779"/>
      <c r="HE78" s="779"/>
      <c r="HF78" s="779"/>
      <c r="HG78" s="779"/>
      <c r="HH78" s="779"/>
      <c r="HI78" s="779"/>
      <c r="HJ78" s="779"/>
      <c r="HK78" s="779"/>
      <c r="HL78" s="779"/>
      <c r="HM78" s="779"/>
      <c r="HN78" s="779"/>
      <c r="HO78" s="779"/>
      <c r="HP78" s="779"/>
      <c r="HQ78" s="779"/>
      <c r="HR78" s="779"/>
      <c r="HS78" s="779"/>
      <c r="HT78" s="779"/>
      <c r="HU78" s="779"/>
      <c r="HV78" s="779"/>
      <c r="HW78" s="779"/>
      <c r="HX78" s="779"/>
      <c r="HY78" s="779"/>
      <c r="HZ78" s="779"/>
      <c r="IA78" s="779"/>
      <c r="IB78" s="779"/>
      <c r="IC78" s="779"/>
      <c r="ID78" s="779"/>
      <c r="IE78" s="779"/>
      <c r="IF78" s="779"/>
      <c r="IG78" s="779"/>
      <c r="IH78" s="779"/>
      <c r="II78" s="779"/>
      <c r="IJ78" s="779"/>
      <c r="IK78" s="779"/>
      <c r="IL78" s="779"/>
      <c r="IM78" s="779"/>
      <c r="IN78" s="779"/>
      <c r="IO78" s="779"/>
      <c r="IP78" s="779"/>
      <c r="IQ78" s="779"/>
      <c r="IR78" s="779"/>
      <c r="IS78" s="779"/>
      <c r="IT78" s="779"/>
      <c r="IU78" s="779"/>
      <c r="IV78" s="779"/>
      <c r="IW78" s="779"/>
      <c r="IX78" s="779"/>
      <c r="IY78" s="779"/>
      <c r="IZ78" s="779"/>
      <c r="JA78" s="779"/>
      <c r="JB78" s="779"/>
      <c r="JC78" s="779"/>
      <c r="JD78" s="779"/>
      <c r="JE78" s="779"/>
      <c r="JF78" s="779"/>
      <c r="JG78" s="779"/>
      <c r="JH78" s="779"/>
      <c r="JI78" s="779"/>
      <c r="JJ78" s="779"/>
      <c r="JK78" s="779"/>
      <c r="JL78" s="779"/>
      <c r="JM78" s="779"/>
      <c r="JN78" s="779"/>
      <c r="JO78" s="779"/>
      <c r="JP78" s="779"/>
      <c r="JQ78" s="779"/>
      <c r="JR78" s="779"/>
      <c r="JS78" s="779"/>
      <c r="JT78" s="779"/>
      <c r="JU78" s="779"/>
      <c r="JV78" s="779"/>
      <c r="JW78" s="779"/>
      <c r="JX78" s="779"/>
      <c r="JY78" s="779"/>
      <c r="JZ78" s="779"/>
      <c r="KA78" s="779"/>
      <c r="KB78" s="779"/>
      <c r="KC78" s="779"/>
      <c r="KD78" s="779"/>
      <c r="KE78" s="779"/>
      <c r="KF78" s="779"/>
      <c r="KG78" s="779"/>
      <c r="KH78" s="779"/>
      <c r="KI78" s="779"/>
      <c r="KJ78" s="779"/>
      <c r="KK78" s="779"/>
      <c r="KL78" s="779"/>
      <c r="KM78" s="779"/>
      <c r="KN78" s="779"/>
      <c r="KO78" s="779"/>
      <c r="KP78" s="779"/>
      <c r="KQ78" s="779"/>
      <c r="KR78" s="779"/>
      <c r="KS78" s="779"/>
      <c r="KT78" s="779"/>
      <c r="KU78" s="779"/>
      <c r="KV78" s="779"/>
      <c r="KW78" s="779"/>
      <c r="KX78" s="779"/>
      <c r="KY78" s="779"/>
      <c r="KZ78" s="779"/>
      <c r="LA78" s="779"/>
      <c r="LB78" s="779"/>
      <c r="LC78" s="779"/>
      <c r="LD78" s="779"/>
      <c r="LE78" s="779"/>
      <c r="LF78" s="779"/>
      <c r="LG78" s="779"/>
      <c r="LH78" s="779"/>
      <c r="LI78" s="779"/>
      <c r="LJ78" s="779"/>
      <c r="LK78" s="779"/>
      <c r="LL78" s="779"/>
      <c r="LM78" s="779"/>
      <c r="LN78" s="779"/>
      <c r="LO78" s="779"/>
      <c r="LP78" s="779"/>
      <c r="LQ78" s="779"/>
      <c r="LR78" s="779"/>
      <c r="LS78" s="779"/>
      <c r="LT78" s="779"/>
      <c r="LU78" s="779"/>
      <c r="LV78" s="779"/>
      <c r="LW78" s="779"/>
      <c r="LX78" s="779"/>
      <c r="LY78" s="779"/>
      <c r="LZ78" s="779"/>
      <c r="MA78" s="779"/>
      <c r="MB78" s="779"/>
      <c r="MC78" s="779"/>
      <c r="MD78" s="779"/>
      <c r="ME78" s="779"/>
      <c r="MF78" s="779"/>
      <c r="MG78" s="779"/>
      <c r="MH78" s="779"/>
      <c r="MI78" s="779"/>
      <c r="MJ78" s="779"/>
      <c r="MK78" s="779"/>
      <c r="ML78" s="779"/>
      <c r="MM78" s="779"/>
      <c r="MN78" s="779"/>
      <c r="MO78" s="779"/>
      <c r="MP78" s="779"/>
      <c r="MQ78" s="779"/>
      <c r="MR78" s="779"/>
      <c r="MS78" s="779"/>
      <c r="MT78" s="779"/>
      <c r="MU78" s="779"/>
      <c r="MV78" s="779"/>
      <c r="MW78" s="779"/>
      <c r="MX78" s="779"/>
      <c r="MY78" s="779"/>
      <c r="MZ78" s="779"/>
      <c r="NA78" s="779"/>
      <c r="NB78" s="779"/>
      <c r="NC78" s="779"/>
      <c r="ND78" s="779"/>
      <c r="NE78" s="779"/>
      <c r="NF78" s="779"/>
      <c r="NG78" s="779"/>
      <c r="NH78" s="779"/>
      <c r="NI78" s="779"/>
      <c r="NJ78" s="779"/>
      <c r="NK78" s="779"/>
      <c r="NL78" s="779"/>
      <c r="NM78" s="779"/>
      <c r="NN78" s="779"/>
      <c r="NO78" s="779"/>
      <c r="NP78" s="779"/>
      <c r="NQ78" s="779"/>
      <c r="NR78" s="779"/>
      <c r="NS78" s="779"/>
      <c r="NT78" s="779"/>
      <c r="NU78" s="779"/>
      <c r="NV78" s="779"/>
      <c r="NW78" s="779"/>
      <c r="NX78" s="779"/>
      <c r="NY78" s="779"/>
      <c r="NZ78" s="779"/>
      <c r="OA78" s="779"/>
      <c r="OB78" s="779"/>
      <c r="OC78" s="779"/>
      <c r="OD78" s="779"/>
      <c r="OE78" s="779"/>
      <c r="OF78" s="779"/>
      <c r="OG78" s="779"/>
      <c r="OH78" s="779"/>
      <c r="OI78" s="779"/>
      <c r="OJ78" s="779"/>
      <c r="OK78" s="779"/>
      <c r="OL78" s="779"/>
      <c r="OM78" s="779"/>
      <c r="ON78" s="779"/>
      <c r="OO78" s="779"/>
      <c r="OP78" s="779"/>
      <c r="OQ78" s="779"/>
      <c r="OR78" s="779"/>
      <c r="OS78" s="779"/>
      <c r="OT78" s="779"/>
      <c r="OU78" s="779"/>
      <c r="OV78" s="779"/>
      <c r="OW78" s="779"/>
      <c r="OX78" s="779"/>
      <c r="OY78" s="779"/>
      <c r="OZ78" s="779"/>
      <c r="PA78" s="779"/>
      <c r="PB78" s="779"/>
      <c r="PC78" s="779"/>
      <c r="PD78" s="779"/>
      <c r="PE78" s="779"/>
      <c r="PF78" s="779"/>
      <c r="PG78" s="779"/>
      <c r="PH78" s="779"/>
      <c r="PI78" s="779"/>
      <c r="PJ78" s="779"/>
      <c r="PK78" s="779"/>
      <c r="PL78" s="779"/>
      <c r="PM78" s="779"/>
      <c r="PN78" s="779"/>
      <c r="PO78" s="779"/>
      <c r="PP78" s="779"/>
      <c r="PQ78" s="779"/>
      <c r="PR78" s="779"/>
      <c r="PS78" s="779"/>
      <c r="PT78" s="779"/>
      <c r="PU78" s="779"/>
      <c r="PV78" s="779"/>
      <c r="PW78" s="779"/>
      <c r="PX78" s="779"/>
      <c r="PY78" s="779"/>
      <c r="PZ78" s="779"/>
      <c r="QA78" s="779"/>
      <c r="QB78" s="779"/>
      <c r="QC78" s="779"/>
      <c r="QD78" s="779"/>
      <c r="QE78" s="779"/>
      <c r="QF78" s="779"/>
      <c r="QG78" s="779"/>
      <c r="QH78" s="779"/>
      <c r="QI78" s="779"/>
      <c r="QJ78" s="779"/>
      <c r="QK78" s="779"/>
      <c r="QL78" s="779"/>
      <c r="QM78" s="779"/>
      <c r="QN78" s="779"/>
      <c r="QO78" s="779"/>
      <c r="QP78" s="779"/>
      <c r="QQ78" s="779"/>
      <c r="QR78" s="779"/>
      <c r="QS78" s="779"/>
      <c r="QT78" s="779"/>
      <c r="QU78" s="779"/>
      <c r="QV78" s="779"/>
      <c r="QW78" s="779"/>
      <c r="QX78" s="779"/>
      <c r="QY78" s="779"/>
      <c r="QZ78" s="779"/>
      <c r="RA78" s="779"/>
      <c r="RB78" s="779"/>
      <c r="RC78" s="779"/>
      <c r="RD78" s="779"/>
      <c r="RE78" s="779"/>
      <c r="RF78" s="779"/>
      <c r="RG78" s="779"/>
      <c r="RH78" s="779"/>
      <c r="RI78" s="779"/>
      <c r="RJ78" s="779"/>
      <c r="RK78" s="779"/>
      <c r="RL78" s="779"/>
      <c r="RM78" s="779"/>
      <c r="RN78" s="779"/>
      <c r="RO78" s="779"/>
      <c r="RP78" s="779"/>
      <c r="RQ78" s="779"/>
      <c r="RR78" s="779"/>
      <c r="RS78" s="779"/>
      <c r="RT78" s="779"/>
      <c r="RU78" s="779"/>
      <c r="RV78" s="779"/>
      <c r="RW78" s="779"/>
      <c r="RX78" s="779"/>
    </row>
    <row r="79" spans="1:492" s="143" customFormat="1">
      <c r="A79" s="779"/>
      <c r="B79" s="779"/>
      <c r="C79" s="779"/>
      <c r="D79" s="779"/>
      <c r="E79" s="779"/>
      <c r="F79" s="779"/>
      <c r="G79" s="779"/>
      <c r="H79" s="779"/>
      <c r="I79" s="779"/>
      <c r="J79" s="779"/>
      <c r="K79" s="779"/>
      <c r="L79" s="779"/>
      <c r="M79" s="779"/>
      <c r="N79" s="779"/>
      <c r="O79" s="779"/>
      <c r="P79" s="779"/>
      <c r="Q79" s="779"/>
      <c r="R79" s="779"/>
      <c r="S79" s="779"/>
      <c r="T79" s="779"/>
      <c r="U79" s="779"/>
      <c r="V79" s="779"/>
      <c r="W79" s="779"/>
      <c r="X79" s="779"/>
      <c r="Y79" s="779"/>
      <c r="Z79" s="779"/>
      <c r="AA79" s="779"/>
      <c r="AB79" s="779"/>
      <c r="AC79" s="779"/>
      <c r="AD79" s="779"/>
      <c r="AE79" s="779"/>
      <c r="AF79" s="779"/>
      <c r="AG79" s="779"/>
      <c r="AH79" s="779"/>
      <c r="AI79" s="779"/>
      <c r="AJ79" s="779"/>
      <c r="AK79" s="779"/>
      <c r="AL79" s="779"/>
      <c r="AM79" s="782"/>
      <c r="AN79" s="782"/>
      <c r="AO79" s="782"/>
      <c r="AP79" s="782"/>
      <c r="AQ79" s="782"/>
      <c r="AR79" s="782"/>
      <c r="AS79" s="782"/>
      <c r="AT79" s="782"/>
      <c r="AU79" s="782"/>
      <c r="AV79" s="782"/>
      <c r="AW79" s="782"/>
      <c r="AX79" s="782"/>
      <c r="AY79" s="782"/>
      <c r="AZ79" s="782"/>
      <c r="BA79" s="782"/>
      <c r="BB79" s="782"/>
      <c r="BC79" s="782"/>
      <c r="BD79" s="782"/>
      <c r="BE79" s="782"/>
      <c r="BF79" s="782"/>
      <c r="BG79" s="782"/>
      <c r="BH79" s="782"/>
      <c r="BI79" s="782"/>
      <c r="BJ79" s="782"/>
      <c r="BK79" s="782"/>
      <c r="BL79" s="782"/>
      <c r="BM79" s="782"/>
      <c r="BN79" s="782"/>
      <c r="BO79" s="782"/>
      <c r="BP79" s="782"/>
      <c r="BQ79" s="782"/>
      <c r="BR79" s="782"/>
      <c r="BS79" s="782"/>
      <c r="BT79" s="782"/>
      <c r="BU79" s="782"/>
      <c r="BV79" s="782"/>
      <c r="BW79" s="782"/>
      <c r="BX79" s="782"/>
      <c r="BY79" s="782"/>
      <c r="BZ79" s="782"/>
      <c r="CA79" s="779"/>
      <c r="CB79" s="779"/>
      <c r="CC79" s="779"/>
      <c r="CD79" s="779"/>
      <c r="CE79" s="779"/>
      <c r="CF79" s="779"/>
      <c r="CG79" s="779"/>
      <c r="CH79" s="779"/>
      <c r="CI79" s="779"/>
      <c r="CJ79" s="779"/>
      <c r="CK79" s="779"/>
      <c r="CL79" s="779"/>
      <c r="CM79" s="779"/>
      <c r="CN79" s="779"/>
      <c r="CO79" s="779"/>
      <c r="CP79" s="779"/>
      <c r="CQ79" s="779"/>
      <c r="CR79" s="779"/>
      <c r="CS79" s="779"/>
      <c r="CT79" s="779"/>
      <c r="CU79" s="779"/>
      <c r="CV79" s="779"/>
      <c r="CW79" s="779"/>
      <c r="CX79" s="779"/>
      <c r="CY79" s="779"/>
      <c r="CZ79" s="779"/>
      <c r="DA79" s="779"/>
      <c r="DB79" s="779"/>
      <c r="DC79" s="779"/>
      <c r="DD79" s="779"/>
      <c r="DE79" s="779"/>
      <c r="DF79" s="779"/>
      <c r="DG79" s="779"/>
      <c r="DH79" s="779"/>
      <c r="DI79" s="779"/>
      <c r="DJ79" s="779"/>
      <c r="DK79" s="779"/>
      <c r="DL79" s="779"/>
      <c r="DM79" s="779"/>
      <c r="DN79" s="779"/>
      <c r="DO79" s="779"/>
      <c r="DP79" s="779"/>
      <c r="DQ79" s="779"/>
      <c r="DR79" s="779"/>
      <c r="DS79" s="779"/>
      <c r="DT79" s="779"/>
      <c r="DU79" s="779"/>
      <c r="DV79" s="779"/>
      <c r="DW79" s="779"/>
      <c r="DX79" s="779"/>
      <c r="DY79" s="779"/>
      <c r="DZ79" s="779"/>
      <c r="EA79" s="779"/>
      <c r="EB79" s="779"/>
      <c r="EC79" s="779"/>
      <c r="ED79" s="779"/>
      <c r="EE79" s="779"/>
      <c r="EF79" s="779"/>
      <c r="EG79" s="779"/>
      <c r="EH79" s="779"/>
      <c r="EI79" s="779"/>
      <c r="EJ79" s="779"/>
      <c r="EK79" s="779"/>
      <c r="EL79" s="779"/>
      <c r="EM79" s="779"/>
      <c r="EN79" s="779"/>
      <c r="EO79" s="779"/>
      <c r="EP79" s="779"/>
      <c r="EQ79" s="779"/>
      <c r="ER79" s="779"/>
      <c r="ES79" s="779"/>
      <c r="ET79" s="779"/>
      <c r="EU79" s="779"/>
      <c r="EV79" s="779"/>
      <c r="EW79" s="779"/>
      <c r="EX79" s="779"/>
      <c r="EY79" s="779"/>
      <c r="EZ79" s="779"/>
      <c r="FA79" s="779"/>
      <c r="FB79" s="779"/>
      <c r="FC79" s="779"/>
      <c r="FD79" s="779"/>
      <c r="FE79" s="779"/>
      <c r="FF79" s="779"/>
      <c r="FG79" s="779"/>
      <c r="FH79" s="779"/>
      <c r="FI79" s="779"/>
      <c r="FJ79" s="779"/>
      <c r="FK79" s="779"/>
      <c r="FL79" s="779"/>
      <c r="FM79" s="779"/>
      <c r="FN79" s="779"/>
      <c r="FO79" s="779"/>
      <c r="FP79" s="779"/>
      <c r="FQ79" s="779"/>
      <c r="FR79" s="779"/>
      <c r="FS79" s="779"/>
      <c r="FT79" s="779"/>
      <c r="FU79" s="779"/>
      <c r="FV79" s="779"/>
      <c r="FW79" s="779"/>
      <c r="FX79" s="779"/>
      <c r="FY79" s="779"/>
      <c r="FZ79" s="779"/>
      <c r="GA79" s="779"/>
      <c r="GB79" s="779"/>
      <c r="GC79" s="779"/>
      <c r="GD79" s="779"/>
      <c r="GE79" s="779"/>
      <c r="GF79" s="779"/>
      <c r="GG79" s="779"/>
      <c r="GH79" s="779"/>
      <c r="GI79" s="779"/>
      <c r="GJ79" s="779"/>
      <c r="GK79" s="779"/>
      <c r="GL79" s="779"/>
      <c r="GM79" s="779"/>
      <c r="GN79" s="779"/>
      <c r="GO79" s="779"/>
      <c r="GP79" s="779"/>
      <c r="GQ79" s="779"/>
      <c r="GR79" s="779"/>
      <c r="GS79" s="779"/>
      <c r="GT79" s="779"/>
      <c r="GU79" s="779"/>
      <c r="GV79" s="779"/>
      <c r="GW79" s="779"/>
      <c r="GX79" s="779"/>
      <c r="GY79" s="779"/>
      <c r="GZ79" s="779"/>
      <c r="HA79" s="779"/>
      <c r="HB79" s="779"/>
      <c r="HC79" s="779"/>
      <c r="HD79" s="779"/>
      <c r="HE79" s="779"/>
      <c r="HF79" s="779"/>
      <c r="HG79" s="779"/>
      <c r="HH79" s="779"/>
      <c r="HI79" s="779"/>
      <c r="HJ79" s="779"/>
      <c r="HK79" s="779"/>
      <c r="HL79" s="779"/>
      <c r="HM79" s="779"/>
      <c r="HN79" s="779"/>
      <c r="HO79" s="779"/>
      <c r="HP79" s="779"/>
      <c r="HQ79" s="779"/>
      <c r="HR79" s="779"/>
      <c r="HS79" s="779"/>
      <c r="HT79" s="779"/>
      <c r="HU79" s="779"/>
      <c r="HV79" s="779"/>
      <c r="HW79" s="779"/>
      <c r="HX79" s="779"/>
      <c r="HY79" s="779"/>
      <c r="HZ79" s="779"/>
      <c r="IA79" s="779"/>
      <c r="IB79" s="779"/>
      <c r="IC79" s="779"/>
      <c r="ID79" s="779"/>
      <c r="IE79" s="779"/>
      <c r="IF79" s="779"/>
      <c r="IG79" s="779"/>
      <c r="IH79" s="779"/>
      <c r="II79" s="779"/>
      <c r="IJ79" s="779"/>
      <c r="IK79" s="779"/>
      <c r="IL79" s="779"/>
      <c r="IM79" s="779"/>
      <c r="IN79" s="779"/>
      <c r="IO79" s="779"/>
      <c r="IP79" s="779"/>
      <c r="IQ79" s="779"/>
      <c r="IR79" s="779"/>
      <c r="IS79" s="779"/>
      <c r="IT79" s="779"/>
      <c r="IU79" s="779"/>
      <c r="IV79" s="779"/>
      <c r="IW79" s="779"/>
      <c r="IX79" s="779"/>
      <c r="IY79" s="779"/>
      <c r="IZ79" s="779"/>
      <c r="JA79" s="779"/>
      <c r="JB79" s="779"/>
      <c r="JC79" s="779"/>
      <c r="JD79" s="779"/>
      <c r="JE79" s="779"/>
      <c r="JF79" s="779"/>
      <c r="JG79" s="779"/>
      <c r="JH79" s="779"/>
      <c r="JI79" s="779"/>
      <c r="JJ79" s="779"/>
      <c r="JK79" s="779"/>
      <c r="JL79" s="779"/>
      <c r="JM79" s="779"/>
      <c r="JN79" s="779"/>
      <c r="JO79" s="779"/>
      <c r="JP79" s="779"/>
      <c r="JQ79" s="779"/>
      <c r="JR79" s="779"/>
      <c r="JS79" s="779"/>
      <c r="JT79" s="779"/>
      <c r="JU79" s="779"/>
      <c r="JV79" s="779"/>
      <c r="JW79" s="779"/>
      <c r="JX79" s="779"/>
      <c r="JY79" s="779"/>
      <c r="JZ79" s="779"/>
      <c r="KA79" s="779"/>
      <c r="KB79" s="779"/>
      <c r="KC79" s="779"/>
      <c r="KD79" s="779"/>
      <c r="KE79" s="779"/>
      <c r="KF79" s="779"/>
      <c r="KG79" s="779"/>
      <c r="KH79" s="779"/>
      <c r="KI79" s="779"/>
      <c r="KJ79" s="779"/>
      <c r="KK79" s="779"/>
      <c r="KL79" s="779"/>
      <c r="KM79" s="779"/>
      <c r="KN79" s="779"/>
      <c r="KO79" s="779"/>
      <c r="KP79" s="779"/>
      <c r="KQ79" s="779"/>
      <c r="KR79" s="779"/>
      <c r="KS79" s="779"/>
      <c r="KT79" s="779"/>
      <c r="KU79" s="779"/>
      <c r="KV79" s="779"/>
      <c r="KW79" s="779"/>
      <c r="KX79" s="779"/>
      <c r="KY79" s="779"/>
      <c r="KZ79" s="779"/>
      <c r="LA79" s="779"/>
      <c r="LB79" s="779"/>
      <c r="LC79" s="779"/>
      <c r="LD79" s="779"/>
      <c r="LE79" s="779"/>
      <c r="LF79" s="779"/>
      <c r="LG79" s="779"/>
      <c r="LH79" s="779"/>
      <c r="LI79" s="779"/>
      <c r="LJ79" s="779"/>
      <c r="LK79" s="779"/>
      <c r="LL79" s="779"/>
      <c r="LM79" s="779"/>
      <c r="LN79" s="779"/>
      <c r="LO79" s="779"/>
      <c r="LP79" s="779"/>
      <c r="LQ79" s="779"/>
      <c r="LR79" s="779"/>
      <c r="LS79" s="779"/>
      <c r="LT79" s="779"/>
      <c r="LU79" s="779"/>
      <c r="LV79" s="779"/>
      <c r="LW79" s="779"/>
      <c r="LX79" s="779"/>
      <c r="LY79" s="779"/>
      <c r="LZ79" s="779"/>
      <c r="MA79" s="779"/>
      <c r="MB79" s="779"/>
      <c r="MC79" s="779"/>
      <c r="MD79" s="779"/>
      <c r="ME79" s="779"/>
      <c r="MF79" s="779"/>
      <c r="MG79" s="779"/>
      <c r="MH79" s="779"/>
      <c r="MI79" s="779"/>
      <c r="MJ79" s="779"/>
      <c r="MK79" s="779"/>
      <c r="ML79" s="779"/>
      <c r="MM79" s="779"/>
      <c r="MN79" s="779"/>
      <c r="MO79" s="779"/>
      <c r="MP79" s="779"/>
      <c r="MQ79" s="779"/>
      <c r="MR79" s="779"/>
      <c r="MS79" s="779"/>
      <c r="MT79" s="779"/>
      <c r="MU79" s="779"/>
      <c r="MV79" s="779"/>
      <c r="MW79" s="779"/>
      <c r="MX79" s="779"/>
      <c r="MY79" s="779"/>
      <c r="MZ79" s="779"/>
      <c r="NA79" s="779"/>
      <c r="NB79" s="779"/>
      <c r="NC79" s="779"/>
      <c r="ND79" s="779"/>
      <c r="NE79" s="779"/>
      <c r="NF79" s="779"/>
      <c r="NG79" s="779"/>
      <c r="NH79" s="779"/>
      <c r="NI79" s="779"/>
      <c r="NJ79" s="779"/>
      <c r="NK79" s="779"/>
      <c r="NL79" s="779"/>
      <c r="NM79" s="779"/>
      <c r="NN79" s="779"/>
      <c r="NO79" s="779"/>
      <c r="NP79" s="779"/>
      <c r="NQ79" s="779"/>
      <c r="NR79" s="779"/>
      <c r="NS79" s="779"/>
      <c r="NT79" s="779"/>
      <c r="NU79" s="779"/>
      <c r="NV79" s="779"/>
      <c r="NW79" s="779"/>
      <c r="NX79" s="779"/>
      <c r="NY79" s="779"/>
      <c r="NZ79" s="779"/>
      <c r="OA79" s="779"/>
      <c r="OB79" s="779"/>
      <c r="OC79" s="779"/>
      <c r="OD79" s="779"/>
      <c r="OE79" s="779"/>
      <c r="OF79" s="779"/>
      <c r="OG79" s="779"/>
      <c r="OH79" s="779"/>
      <c r="OI79" s="779"/>
      <c r="OJ79" s="779"/>
      <c r="OK79" s="779"/>
      <c r="OL79" s="779"/>
      <c r="OM79" s="779"/>
      <c r="ON79" s="779"/>
      <c r="OO79" s="779"/>
      <c r="OP79" s="779"/>
      <c r="OQ79" s="779"/>
      <c r="OR79" s="779"/>
      <c r="OS79" s="779"/>
      <c r="OT79" s="779"/>
      <c r="OU79" s="779"/>
      <c r="OV79" s="779"/>
      <c r="OW79" s="779"/>
      <c r="OX79" s="779"/>
      <c r="OY79" s="779"/>
      <c r="OZ79" s="779"/>
      <c r="PA79" s="779"/>
      <c r="PB79" s="779"/>
      <c r="PC79" s="779"/>
      <c r="PD79" s="779"/>
      <c r="PE79" s="779"/>
      <c r="PF79" s="779"/>
      <c r="PG79" s="779"/>
      <c r="PH79" s="779"/>
      <c r="PI79" s="779"/>
      <c r="PJ79" s="779"/>
      <c r="PK79" s="779"/>
      <c r="PL79" s="779"/>
      <c r="PM79" s="779"/>
      <c r="PN79" s="779"/>
      <c r="PO79" s="779"/>
      <c r="PP79" s="779"/>
      <c r="PQ79" s="779"/>
      <c r="PR79" s="779"/>
      <c r="PS79" s="779"/>
      <c r="PT79" s="779"/>
      <c r="PU79" s="779"/>
      <c r="PV79" s="779"/>
      <c r="PW79" s="779"/>
      <c r="PX79" s="779"/>
      <c r="PY79" s="779"/>
      <c r="PZ79" s="779"/>
      <c r="QA79" s="779"/>
      <c r="QB79" s="779"/>
      <c r="QC79" s="779"/>
      <c r="QD79" s="779"/>
      <c r="QE79" s="779"/>
      <c r="QF79" s="779"/>
      <c r="QG79" s="779"/>
      <c r="QH79" s="779"/>
      <c r="QI79" s="779"/>
      <c r="QJ79" s="779"/>
      <c r="QK79" s="779"/>
      <c r="QL79" s="779"/>
      <c r="QM79" s="779"/>
      <c r="QN79" s="779"/>
      <c r="QO79" s="779"/>
      <c r="QP79" s="779"/>
      <c r="QQ79" s="779"/>
      <c r="QR79" s="779"/>
      <c r="QS79" s="779"/>
      <c r="QT79" s="779"/>
      <c r="QU79" s="779"/>
      <c r="QV79" s="779"/>
      <c r="QW79" s="779"/>
      <c r="QX79" s="779"/>
      <c r="QY79" s="779"/>
      <c r="QZ79" s="779"/>
      <c r="RA79" s="779"/>
      <c r="RB79" s="779"/>
      <c r="RC79" s="779"/>
      <c r="RD79" s="779"/>
      <c r="RE79" s="779"/>
      <c r="RF79" s="779"/>
      <c r="RG79" s="779"/>
      <c r="RH79" s="779"/>
      <c r="RI79" s="779"/>
      <c r="RJ79" s="779"/>
      <c r="RK79" s="779"/>
      <c r="RL79" s="779"/>
      <c r="RM79" s="779"/>
      <c r="RN79" s="779"/>
      <c r="RO79" s="779"/>
      <c r="RP79" s="779"/>
      <c r="RQ79" s="779"/>
      <c r="RR79" s="779"/>
      <c r="RS79" s="779"/>
      <c r="RT79" s="779"/>
      <c r="RU79" s="779"/>
      <c r="RV79" s="779"/>
      <c r="RW79" s="779"/>
      <c r="RX79" s="779"/>
    </row>
    <row r="80" spans="1:492" s="143" customFormat="1">
      <c r="A80" s="779"/>
      <c r="B80" s="779"/>
      <c r="C80" s="779"/>
      <c r="D80" s="779"/>
      <c r="E80" s="779"/>
      <c r="F80" s="779"/>
      <c r="G80" s="779"/>
      <c r="H80" s="779"/>
      <c r="I80" s="779"/>
      <c r="J80" s="779"/>
      <c r="K80" s="779"/>
      <c r="L80" s="779"/>
      <c r="M80" s="779"/>
      <c r="N80" s="779"/>
      <c r="O80" s="779"/>
      <c r="P80" s="779"/>
      <c r="Q80" s="779"/>
      <c r="R80" s="779"/>
      <c r="S80" s="779"/>
      <c r="T80" s="779"/>
      <c r="U80" s="779"/>
      <c r="V80" s="779"/>
      <c r="W80" s="779"/>
      <c r="X80" s="779"/>
      <c r="Y80" s="779"/>
      <c r="Z80" s="779"/>
      <c r="AA80" s="779"/>
      <c r="AB80" s="779"/>
      <c r="AC80" s="779"/>
      <c r="AD80" s="779"/>
      <c r="AE80" s="779"/>
      <c r="AF80" s="779"/>
      <c r="AG80" s="779"/>
      <c r="AH80" s="779"/>
      <c r="AI80" s="779"/>
      <c r="AJ80" s="779"/>
      <c r="AK80" s="779"/>
      <c r="AL80" s="779"/>
      <c r="AM80" s="782"/>
      <c r="AN80" s="782"/>
      <c r="AO80" s="782"/>
      <c r="AP80" s="782"/>
      <c r="AQ80" s="782"/>
      <c r="AR80" s="782"/>
      <c r="AS80" s="782"/>
      <c r="AT80" s="782"/>
      <c r="AU80" s="782"/>
      <c r="AV80" s="782"/>
      <c r="AW80" s="782"/>
      <c r="AX80" s="782"/>
      <c r="AY80" s="782"/>
      <c r="AZ80" s="782"/>
      <c r="BA80" s="782"/>
      <c r="BB80" s="782"/>
      <c r="BC80" s="782"/>
      <c r="BD80" s="782"/>
      <c r="BE80" s="782"/>
      <c r="BF80" s="782"/>
      <c r="BG80" s="782"/>
      <c r="BH80" s="782"/>
      <c r="BI80" s="782"/>
      <c r="BJ80" s="782"/>
      <c r="BK80" s="782"/>
      <c r="BL80" s="782"/>
      <c r="BM80" s="782"/>
      <c r="BN80" s="782"/>
      <c r="BO80" s="782"/>
      <c r="BP80" s="782"/>
      <c r="BQ80" s="782"/>
      <c r="BR80" s="782"/>
      <c r="BS80" s="782"/>
      <c r="BT80" s="782"/>
      <c r="BU80" s="782"/>
      <c r="BV80" s="782"/>
      <c r="BW80" s="782"/>
      <c r="BX80" s="782"/>
      <c r="BY80" s="782"/>
      <c r="BZ80" s="782"/>
      <c r="CA80" s="779"/>
      <c r="CB80" s="779"/>
      <c r="CC80" s="779"/>
      <c r="CD80" s="779"/>
      <c r="CE80" s="779"/>
      <c r="CF80" s="779"/>
      <c r="CG80" s="779"/>
      <c r="CH80" s="779"/>
      <c r="CI80" s="779"/>
      <c r="CJ80" s="779"/>
      <c r="CK80" s="779"/>
      <c r="CL80" s="779"/>
      <c r="CM80" s="779"/>
      <c r="CN80" s="779"/>
      <c r="CO80" s="779"/>
      <c r="CP80" s="779"/>
      <c r="CQ80" s="779"/>
      <c r="CR80" s="779"/>
      <c r="CS80" s="779"/>
      <c r="CT80" s="779"/>
      <c r="CU80" s="779"/>
      <c r="CV80" s="779"/>
      <c r="CW80" s="779"/>
      <c r="CX80" s="779"/>
      <c r="CY80" s="779"/>
      <c r="CZ80" s="779"/>
      <c r="DA80" s="779"/>
      <c r="DB80" s="779"/>
      <c r="DC80" s="779"/>
      <c r="DD80" s="779"/>
      <c r="DE80" s="779"/>
      <c r="DF80" s="779"/>
      <c r="DG80" s="779"/>
      <c r="DH80" s="779"/>
      <c r="DI80" s="779"/>
      <c r="DJ80" s="779"/>
      <c r="DK80" s="779"/>
      <c r="DL80" s="779"/>
      <c r="DM80" s="779"/>
      <c r="DN80" s="779"/>
      <c r="DO80" s="779"/>
      <c r="DP80" s="779"/>
      <c r="DQ80" s="779"/>
      <c r="DR80" s="779"/>
      <c r="DS80" s="779"/>
      <c r="DT80" s="779"/>
      <c r="DU80" s="779"/>
      <c r="DV80" s="779"/>
      <c r="DW80" s="779"/>
      <c r="DX80" s="779"/>
      <c r="DY80" s="779"/>
      <c r="DZ80" s="779"/>
      <c r="EA80" s="779"/>
      <c r="EB80" s="779"/>
      <c r="EC80" s="779"/>
      <c r="ED80" s="779"/>
      <c r="EE80" s="779"/>
      <c r="EF80" s="779"/>
      <c r="EG80" s="779"/>
      <c r="EH80" s="779"/>
      <c r="EI80" s="779"/>
      <c r="EJ80" s="779"/>
      <c r="EK80" s="779"/>
      <c r="EL80" s="779"/>
      <c r="EM80" s="779"/>
      <c r="EN80" s="779"/>
      <c r="EO80" s="779"/>
      <c r="EP80" s="779"/>
      <c r="EQ80" s="779"/>
      <c r="ER80" s="779"/>
      <c r="ES80" s="779"/>
      <c r="ET80" s="779"/>
      <c r="EU80" s="779"/>
      <c r="EV80" s="779"/>
      <c r="EW80" s="779"/>
      <c r="EX80" s="779"/>
      <c r="EY80" s="779"/>
      <c r="EZ80" s="779"/>
      <c r="FA80" s="779"/>
      <c r="FB80" s="779"/>
      <c r="FC80" s="779"/>
      <c r="FD80" s="779"/>
      <c r="FE80" s="779"/>
      <c r="FF80" s="779"/>
      <c r="FG80" s="779"/>
      <c r="FH80" s="779"/>
      <c r="FI80" s="779"/>
      <c r="FJ80" s="779"/>
      <c r="FK80" s="779"/>
      <c r="FL80" s="779"/>
      <c r="FM80" s="779"/>
      <c r="FN80" s="779"/>
      <c r="FO80" s="779"/>
      <c r="FP80" s="779"/>
      <c r="FQ80" s="779"/>
      <c r="FR80" s="779"/>
      <c r="FS80" s="779"/>
      <c r="FT80" s="779"/>
      <c r="FU80" s="779"/>
      <c r="FV80" s="779"/>
      <c r="FW80" s="779"/>
      <c r="FX80" s="779"/>
      <c r="FY80" s="779"/>
      <c r="FZ80" s="779"/>
      <c r="GA80" s="779"/>
      <c r="GB80" s="779"/>
      <c r="GC80" s="779"/>
      <c r="GD80" s="779"/>
      <c r="GE80" s="779"/>
      <c r="GF80" s="779"/>
      <c r="GG80" s="779"/>
      <c r="GH80" s="779"/>
      <c r="GI80" s="779"/>
      <c r="GJ80" s="779"/>
      <c r="GK80" s="779"/>
      <c r="GL80" s="779"/>
      <c r="GM80" s="779"/>
      <c r="GN80" s="779"/>
      <c r="GO80" s="779"/>
      <c r="GP80" s="779"/>
      <c r="GQ80" s="779"/>
      <c r="GR80" s="779"/>
      <c r="GS80" s="779"/>
      <c r="GT80" s="779"/>
      <c r="GU80" s="779"/>
      <c r="GV80" s="779"/>
      <c r="GW80" s="779"/>
      <c r="GX80" s="779"/>
      <c r="GY80" s="779"/>
      <c r="GZ80" s="779"/>
      <c r="HA80" s="779"/>
      <c r="HB80" s="779"/>
      <c r="HC80" s="779"/>
      <c r="HD80" s="779"/>
      <c r="HE80" s="779"/>
      <c r="HF80" s="779"/>
      <c r="HG80" s="779"/>
      <c r="HH80" s="779"/>
      <c r="HI80" s="779"/>
      <c r="HJ80" s="779"/>
      <c r="HK80" s="779"/>
      <c r="HL80" s="779"/>
      <c r="HM80" s="779"/>
      <c r="HN80" s="779"/>
      <c r="HO80" s="779"/>
      <c r="HP80" s="779"/>
      <c r="HQ80" s="779"/>
      <c r="HR80" s="779"/>
      <c r="HS80" s="779"/>
      <c r="HT80" s="779"/>
      <c r="HU80" s="779"/>
      <c r="HV80" s="779"/>
      <c r="HW80" s="779"/>
      <c r="HX80" s="779"/>
      <c r="HY80" s="779"/>
      <c r="HZ80" s="779"/>
      <c r="IA80" s="779"/>
      <c r="IB80" s="779"/>
      <c r="IC80" s="779"/>
      <c r="ID80" s="779"/>
      <c r="IE80" s="779"/>
      <c r="IF80" s="779"/>
      <c r="IG80" s="779"/>
      <c r="IH80" s="779"/>
      <c r="II80" s="779"/>
      <c r="IJ80" s="779"/>
      <c r="IK80" s="779"/>
      <c r="IL80" s="779"/>
      <c r="IM80" s="779"/>
      <c r="IN80" s="779"/>
      <c r="IO80" s="779"/>
      <c r="IP80" s="779"/>
      <c r="IQ80" s="779"/>
      <c r="IR80" s="779"/>
      <c r="IS80" s="779"/>
      <c r="IT80" s="779"/>
      <c r="IU80" s="779"/>
      <c r="IV80" s="779"/>
      <c r="IW80" s="779"/>
      <c r="IX80" s="779"/>
      <c r="IY80" s="779"/>
      <c r="IZ80" s="779"/>
      <c r="JA80" s="779"/>
      <c r="JB80" s="779"/>
      <c r="JC80" s="779"/>
      <c r="JD80" s="779"/>
      <c r="JE80" s="779"/>
      <c r="JF80" s="779"/>
      <c r="JG80" s="779"/>
      <c r="JH80" s="779"/>
      <c r="JI80" s="779"/>
      <c r="JJ80" s="779"/>
      <c r="JK80" s="779"/>
      <c r="JL80" s="779"/>
      <c r="JM80" s="779"/>
      <c r="JN80" s="779"/>
      <c r="JO80" s="779"/>
      <c r="JP80" s="779"/>
      <c r="JQ80" s="779"/>
      <c r="JR80" s="779"/>
      <c r="JS80" s="779"/>
      <c r="JT80" s="779"/>
      <c r="JU80" s="779"/>
      <c r="JV80" s="779"/>
      <c r="JW80" s="779"/>
      <c r="JX80" s="779"/>
      <c r="JY80" s="779"/>
      <c r="JZ80" s="779"/>
      <c r="KA80" s="779"/>
      <c r="KB80" s="779"/>
      <c r="KC80" s="779"/>
      <c r="KD80" s="779"/>
      <c r="KE80" s="779"/>
      <c r="KF80" s="779"/>
      <c r="KG80" s="779"/>
      <c r="KH80" s="779"/>
      <c r="KI80" s="779"/>
      <c r="KJ80" s="779"/>
      <c r="KK80" s="779"/>
      <c r="KL80" s="779"/>
      <c r="KM80" s="779"/>
      <c r="KN80" s="779"/>
      <c r="KO80" s="779"/>
      <c r="KP80" s="779"/>
      <c r="KQ80" s="779"/>
      <c r="KR80" s="779"/>
      <c r="KS80" s="779"/>
      <c r="KT80" s="779"/>
      <c r="KU80" s="779"/>
      <c r="KV80" s="779"/>
      <c r="KW80" s="779"/>
      <c r="KX80" s="779"/>
      <c r="KY80" s="779"/>
      <c r="KZ80" s="779"/>
      <c r="LA80" s="779"/>
      <c r="LB80" s="779"/>
      <c r="LC80" s="779"/>
      <c r="LD80" s="779"/>
      <c r="LE80" s="779"/>
      <c r="LF80" s="779"/>
      <c r="LG80" s="779"/>
      <c r="LH80" s="779"/>
      <c r="LI80" s="779"/>
      <c r="LJ80" s="779"/>
      <c r="LK80" s="779"/>
      <c r="LL80" s="779"/>
      <c r="LM80" s="779"/>
      <c r="LN80" s="779"/>
      <c r="LO80" s="779"/>
      <c r="LP80" s="779"/>
      <c r="LQ80" s="779"/>
      <c r="LR80" s="779"/>
      <c r="LS80" s="779"/>
      <c r="LT80" s="779"/>
      <c r="LU80" s="779"/>
      <c r="LV80" s="779"/>
      <c r="LW80" s="779"/>
      <c r="LX80" s="779"/>
      <c r="LY80" s="779"/>
      <c r="LZ80" s="779"/>
      <c r="MA80" s="779"/>
      <c r="MB80" s="779"/>
      <c r="MC80" s="779"/>
      <c r="MD80" s="779"/>
      <c r="ME80" s="779"/>
      <c r="MF80" s="779"/>
      <c r="MG80" s="779"/>
      <c r="MH80" s="779"/>
      <c r="MI80" s="779"/>
      <c r="MJ80" s="779"/>
      <c r="MK80" s="779"/>
      <c r="ML80" s="779"/>
      <c r="MM80" s="779"/>
      <c r="MN80" s="779"/>
      <c r="MO80" s="779"/>
      <c r="MP80" s="779"/>
      <c r="MQ80" s="779"/>
      <c r="MR80" s="779"/>
      <c r="MS80" s="779"/>
      <c r="MT80" s="779"/>
      <c r="MU80" s="779"/>
      <c r="MV80" s="779"/>
      <c r="MW80" s="779"/>
      <c r="MX80" s="779"/>
      <c r="MY80" s="779"/>
      <c r="MZ80" s="779"/>
      <c r="NA80" s="779"/>
      <c r="NB80" s="779"/>
      <c r="NC80" s="779"/>
      <c r="ND80" s="779"/>
      <c r="NE80" s="779"/>
      <c r="NF80" s="779"/>
      <c r="NG80" s="779"/>
      <c r="NH80" s="779"/>
      <c r="NI80" s="779"/>
      <c r="NJ80" s="779"/>
      <c r="NK80" s="779"/>
      <c r="NL80" s="779"/>
      <c r="NM80" s="779"/>
      <c r="NN80" s="779"/>
      <c r="NO80" s="779"/>
      <c r="NP80" s="779"/>
      <c r="NQ80" s="779"/>
      <c r="NR80" s="779"/>
      <c r="NS80" s="779"/>
      <c r="NT80" s="779"/>
      <c r="NU80" s="779"/>
      <c r="NV80" s="779"/>
      <c r="NW80" s="779"/>
      <c r="NX80" s="779"/>
      <c r="NY80" s="779"/>
      <c r="NZ80" s="779"/>
      <c r="OA80" s="779"/>
      <c r="OB80" s="779"/>
      <c r="OC80" s="779"/>
      <c r="OD80" s="779"/>
      <c r="OE80" s="779"/>
      <c r="OF80" s="779"/>
      <c r="OG80" s="779"/>
      <c r="OH80" s="779"/>
      <c r="OI80" s="779"/>
      <c r="OJ80" s="779"/>
      <c r="OK80" s="779"/>
      <c r="OL80" s="779"/>
      <c r="OM80" s="779"/>
      <c r="ON80" s="779"/>
      <c r="OO80" s="779"/>
      <c r="OP80" s="779"/>
      <c r="OQ80" s="779"/>
      <c r="OR80" s="779"/>
      <c r="OS80" s="779"/>
      <c r="OT80" s="779"/>
      <c r="OU80" s="779"/>
      <c r="OV80" s="779"/>
      <c r="OW80" s="779"/>
      <c r="OX80" s="779"/>
      <c r="OY80" s="779"/>
      <c r="OZ80" s="779"/>
      <c r="PA80" s="779"/>
      <c r="PB80" s="779"/>
      <c r="PC80" s="779"/>
      <c r="PD80" s="779"/>
      <c r="PE80" s="779"/>
      <c r="PF80" s="779"/>
      <c r="PG80" s="779"/>
      <c r="PH80" s="779"/>
      <c r="PI80" s="779"/>
      <c r="PJ80" s="779"/>
      <c r="PK80" s="779"/>
      <c r="PL80" s="779"/>
      <c r="PM80" s="779"/>
      <c r="PN80" s="779"/>
      <c r="PO80" s="779"/>
      <c r="PP80" s="779"/>
      <c r="PQ80" s="779"/>
      <c r="PR80" s="779"/>
      <c r="PS80" s="779"/>
      <c r="PT80" s="779"/>
      <c r="PU80" s="779"/>
      <c r="PV80" s="779"/>
      <c r="PW80" s="779"/>
      <c r="PX80" s="779"/>
      <c r="PY80" s="779"/>
      <c r="PZ80" s="779"/>
      <c r="QA80" s="779"/>
      <c r="QB80" s="779"/>
      <c r="QC80" s="779"/>
      <c r="QD80" s="779"/>
      <c r="QE80" s="779"/>
      <c r="QF80" s="779"/>
      <c r="QG80" s="779"/>
      <c r="QH80" s="779"/>
      <c r="QI80" s="779"/>
      <c r="QJ80" s="779"/>
      <c r="QK80" s="779"/>
      <c r="QL80" s="779"/>
      <c r="QM80" s="779"/>
      <c r="QN80" s="779"/>
      <c r="QO80" s="779"/>
      <c r="QP80" s="779"/>
      <c r="QQ80" s="779"/>
      <c r="QR80" s="779"/>
      <c r="QS80" s="779"/>
      <c r="QT80" s="779"/>
      <c r="QU80" s="779"/>
      <c r="QV80" s="779"/>
      <c r="QW80" s="779"/>
      <c r="QX80" s="779"/>
      <c r="QY80" s="779"/>
      <c r="QZ80" s="779"/>
      <c r="RA80" s="779"/>
      <c r="RB80" s="779"/>
      <c r="RC80" s="779"/>
      <c r="RD80" s="779"/>
      <c r="RE80" s="779"/>
      <c r="RF80" s="779"/>
      <c r="RG80" s="779"/>
      <c r="RH80" s="779"/>
      <c r="RI80" s="779"/>
      <c r="RJ80" s="779"/>
      <c r="RK80" s="779"/>
      <c r="RL80" s="779"/>
      <c r="RM80" s="779"/>
      <c r="RN80" s="779"/>
      <c r="RO80" s="779"/>
      <c r="RP80" s="779"/>
      <c r="RQ80" s="779"/>
      <c r="RR80" s="779"/>
      <c r="RS80" s="779"/>
      <c r="RT80" s="779"/>
      <c r="RU80" s="779"/>
      <c r="RV80" s="779"/>
      <c r="RW80" s="779"/>
      <c r="RX80" s="779"/>
    </row>
    <row r="81" spans="1:492" s="143" customFormat="1">
      <c r="A81" s="779"/>
      <c r="B81" s="779"/>
      <c r="C81" s="779"/>
      <c r="D81" s="779"/>
      <c r="E81" s="779"/>
      <c r="F81" s="779"/>
      <c r="G81" s="779"/>
      <c r="H81" s="779"/>
      <c r="I81" s="779"/>
      <c r="J81" s="779"/>
      <c r="K81" s="779"/>
      <c r="L81" s="779"/>
      <c r="M81" s="779"/>
      <c r="N81" s="779"/>
      <c r="O81" s="779"/>
      <c r="P81" s="779"/>
      <c r="Q81" s="779"/>
      <c r="R81" s="779"/>
      <c r="S81" s="779"/>
      <c r="T81" s="779"/>
      <c r="U81" s="779"/>
      <c r="V81" s="779"/>
      <c r="W81" s="779"/>
      <c r="X81" s="779"/>
      <c r="Y81" s="779"/>
      <c r="Z81" s="779"/>
      <c r="AA81" s="779"/>
      <c r="AB81" s="779"/>
      <c r="AC81" s="779"/>
      <c r="AD81" s="779"/>
      <c r="AE81" s="779"/>
      <c r="AF81" s="779"/>
      <c r="AG81" s="779"/>
      <c r="AH81" s="779"/>
      <c r="AI81" s="779"/>
      <c r="AJ81" s="779"/>
      <c r="AK81" s="779"/>
      <c r="AL81" s="779"/>
      <c r="AM81" s="782"/>
      <c r="AN81" s="782"/>
      <c r="AO81" s="782"/>
      <c r="AP81" s="782"/>
      <c r="AQ81" s="782"/>
      <c r="AR81" s="782"/>
      <c r="AS81" s="782"/>
      <c r="AT81" s="782"/>
      <c r="AU81" s="782"/>
      <c r="AV81" s="782"/>
      <c r="AW81" s="782"/>
      <c r="AX81" s="782"/>
      <c r="AY81" s="782"/>
      <c r="AZ81" s="782"/>
      <c r="BA81" s="782"/>
      <c r="BB81" s="782"/>
      <c r="BC81" s="782"/>
      <c r="BD81" s="782"/>
      <c r="BE81" s="782"/>
      <c r="BF81" s="782"/>
      <c r="BG81" s="782"/>
      <c r="BH81" s="782"/>
      <c r="BI81" s="782"/>
      <c r="BJ81" s="782"/>
      <c r="BK81" s="782"/>
      <c r="BL81" s="782"/>
      <c r="BM81" s="782"/>
      <c r="BN81" s="782"/>
      <c r="BO81" s="782"/>
      <c r="BP81" s="782"/>
      <c r="BQ81" s="782"/>
      <c r="BR81" s="782"/>
      <c r="BS81" s="782"/>
      <c r="BT81" s="782"/>
      <c r="BU81" s="782"/>
      <c r="BV81" s="782"/>
      <c r="BW81" s="782"/>
      <c r="BX81" s="782"/>
      <c r="BY81" s="782"/>
      <c r="BZ81" s="782"/>
      <c r="CA81" s="779"/>
      <c r="CB81" s="779"/>
      <c r="CC81" s="779"/>
      <c r="CD81" s="779"/>
      <c r="CE81" s="779"/>
      <c r="CF81" s="779"/>
      <c r="CG81" s="779"/>
      <c r="CH81" s="779"/>
      <c r="CI81" s="779"/>
      <c r="CJ81" s="779"/>
      <c r="CK81" s="779"/>
      <c r="CL81" s="779"/>
      <c r="CM81" s="779"/>
      <c r="CN81" s="779"/>
      <c r="CO81" s="779"/>
      <c r="CP81" s="779"/>
      <c r="CQ81" s="779"/>
      <c r="CR81" s="779"/>
      <c r="CS81" s="779"/>
      <c r="CT81" s="779"/>
      <c r="CU81" s="779"/>
      <c r="CV81" s="779"/>
      <c r="CW81" s="779"/>
      <c r="CX81" s="779"/>
      <c r="CY81" s="779"/>
      <c r="CZ81" s="779"/>
      <c r="DA81" s="779"/>
      <c r="DB81" s="779"/>
      <c r="DC81" s="779"/>
      <c r="DD81" s="779"/>
      <c r="DE81" s="779"/>
      <c r="DF81" s="779"/>
      <c r="DG81" s="779"/>
      <c r="DH81" s="779"/>
      <c r="DI81" s="779"/>
      <c r="DJ81" s="779"/>
      <c r="DK81" s="779"/>
      <c r="DL81" s="779"/>
      <c r="DM81" s="779"/>
      <c r="DN81" s="779"/>
      <c r="DO81" s="779"/>
      <c r="DP81" s="779"/>
      <c r="DQ81" s="779"/>
      <c r="DR81" s="779"/>
      <c r="DS81" s="779"/>
      <c r="DT81" s="779"/>
      <c r="DU81" s="779"/>
      <c r="DV81" s="779"/>
      <c r="DW81" s="779"/>
      <c r="DX81" s="779"/>
      <c r="DY81" s="779"/>
      <c r="DZ81" s="779"/>
      <c r="EA81" s="779"/>
      <c r="EB81" s="779"/>
      <c r="EC81" s="779"/>
      <c r="ED81" s="779"/>
      <c r="EE81" s="779"/>
      <c r="EF81" s="779"/>
      <c r="EG81" s="779"/>
      <c r="EH81" s="779"/>
      <c r="EI81" s="779"/>
      <c r="EJ81" s="779"/>
      <c r="EK81" s="779"/>
      <c r="EL81" s="779"/>
      <c r="EM81" s="779"/>
      <c r="EN81" s="779"/>
      <c r="EO81" s="779"/>
      <c r="EP81" s="779"/>
      <c r="EQ81" s="779"/>
      <c r="ER81" s="779"/>
      <c r="ES81" s="779"/>
      <c r="ET81" s="779"/>
      <c r="EU81" s="779"/>
      <c r="EV81" s="779"/>
      <c r="EW81" s="779"/>
      <c r="EX81" s="779"/>
      <c r="EY81" s="779"/>
      <c r="EZ81" s="779"/>
      <c r="FA81" s="779"/>
      <c r="FB81" s="779"/>
      <c r="FC81" s="779"/>
      <c r="FD81" s="779"/>
      <c r="FE81" s="779"/>
      <c r="FF81" s="779"/>
      <c r="FG81" s="779"/>
      <c r="FH81" s="779"/>
      <c r="FI81" s="779"/>
      <c r="FJ81" s="779"/>
      <c r="FK81" s="779"/>
      <c r="FL81" s="779"/>
      <c r="FM81" s="779"/>
      <c r="FN81" s="779"/>
      <c r="FO81" s="779"/>
      <c r="FP81" s="779"/>
      <c r="FQ81" s="779"/>
      <c r="FR81" s="779"/>
      <c r="FS81" s="779"/>
      <c r="FT81" s="779"/>
      <c r="FU81" s="779"/>
      <c r="FV81" s="779"/>
      <c r="FW81" s="779"/>
      <c r="FX81" s="779"/>
      <c r="FY81" s="779"/>
      <c r="FZ81" s="779"/>
      <c r="GA81" s="779"/>
      <c r="GB81" s="779"/>
      <c r="GC81" s="779"/>
      <c r="GD81" s="779"/>
      <c r="GE81" s="779"/>
      <c r="GF81" s="779"/>
      <c r="GG81" s="779"/>
      <c r="GH81" s="779"/>
      <c r="GI81" s="779"/>
      <c r="GJ81" s="779"/>
      <c r="GK81" s="779"/>
      <c r="GL81" s="779"/>
      <c r="GM81" s="779"/>
      <c r="GN81" s="779"/>
      <c r="GO81" s="779"/>
      <c r="GP81" s="779"/>
      <c r="GQ81" s="779"/>
      <c r="GR81" s="779"/>
      <c r="GS81" s="779"/>
      <c r="GT81" s="779"/>
      <c r="GU81" s="779"/>
      <c r="GV81" s="779"/>
      <c r="GW81" s="779"/>
      <c r="GX81" s="779"/>
      <c r="GY81" s="779"/>
      <c r="GZ81" s="779"/>
      <c r="HA81" s="779"/>
      <c r="HB81" s="779"/>
      <c r="HC81" s="779"/>
      <c r="HD81" s="779"/>
      <c r="HE81" s="779"/>
      <c r="HF81" s="779"/>
      <c r="HG81" s="779"/>
      <c r="HH81" s="779"/>
      <c r="HI81" s="779"/>
      <c r="HJ81" s="779"/>
      <c r="HK81" s="779"/>
      <c r="HL81" s="779"/>
      <c r="HM81" s="779"/>
      <c r="HN81" s="779"/>
      <c r="HO81" s="779"/>
      <c r="HP81" s="779"/>
      <c r="HQ81" s="779"/>
      <c r="HR81" s="779"/>
      <c r="HS81" s="779"/>
      <c r="HT81" s="779"/>
      <c r="HU81" s="779"/>
      <c r="HV81" s="779"/>
      <c r="HW81" s="779"/>
      <c r="HX81" s="779"/>
      <c r="HY81" s="779"/>
      <c r="HZ81" s="779"/>
      <c r="IA81" s="779"/>
      <c r="IB81" s="779"/>
      <c r="IC81" s="779"/>
      <c r="ID81" s="779"/>
      <c r="IE81" s="779"/>
      <c r="IF81" s="779"/>
      <c r="IG81" s="779"/>
      <c r="IH81" s="779"/>
      <c r="II81" s="779"/>
      <c r="IJ81" s="779"/>
      <c r="IK81" s="779"/>
      <c r="IL81" s="779"/>
      <c r="IM81" s="779"/>
      <c r="IN81" s="779"/>
      <c r="IO81" s="779"/>
      <c r="IP81" s="779"/>
      <c r="IQ81" s="779"/>
      <c r="IR81" s="779"/>
      <c r="IS81" s="779"/>
      <c r="IT81" s="779"/>
      <c r="IU81" s="779"/>
      <c r="IV81" s="779"/>
      <c r="IW81" s="779"/>
      <c r="IX81" s="779"/>
      <c r="IY81" s="779"/>
      <c r="IZ81" s="779"/>
      <c r="JA81" s="779"/>
      <c r="JB81" s="779"/>
      <c r="JC81" s="779"/>
      <c r="JD81" s="779"/>
      <c r="JE81" s="779"/>
      <c r="JF81" s="779"/>
      <c r="JG81" s="779"/>
      <c r="JH81" s="779"/>
      <c r="JI81" s="779"/>
      <c r="JJ81" s="779"/>
      <c r="JK81" s="779"/>
      <c r="JL81" s="779"/>
      <c r="JM81" s="779"/>
      <c r="JN81" s="779"/>
      <c r="JO81" s="779"/>
      <c r="JP81" s="779"/>
      <c r="JQ81" s="779"/>
      <c r="JR81" s="779"/>
      <c r="JS81" s="779"/>
      <c r="JT81" s="779"/>
      <c r="JU81" s="779"/>
      <c r="JV81" s="779"/>
      <c r="JW81" s="779"/>
      <c r="JX81" s="779"/>
      <c r="JY81" s="779"/>
      <c r="JZ81" s="779"/>
      <c r="KA81" s="779"/>
      <c r="KB81" s="779"/>
      <c r="KC81" s="779"/>
      <c r="KD81" s="779"/>
      <c r="KE81" s="779"/>
      <c r="KF81" s="779"/>
      <c r="KG81" s="779"/>
      <c r="KH81" s="779"/>
      <c r="KI81" s="779"/>
      <c r="KJ81" s="779"/>
      <c r="KK81" s="779"/>
      <c r="KL81" s="779"/>
      <c r="KM81" s="779"/>
      <c r="KN81" s="779"/>
      <c r="KO81" s="779"/>
      <c r="KP81" s="779"/>
      <c r="KQ81" s="779"/>
      <c r="KR81" s="779"/>
      <c r="KS81" s="779"/>
      <c r="KT81" s="779"/>
      <c r="KU81" s="779"/>
      <c r="KV81" s="779"/>
      <c r="KW81" s="779"/>
      <c r="KX81" s="779"/>
      <c r="KY81" s="779"/>
      <c r="KZ81" s="779"/>
      <c r="LA81" s="779"/>
      <c r="LB81" s="779"/>
      <c r="LC81" s="779"/>
      <c r="LD81" s="779"/>
      <c r="LE81" s="779"/>
      <c r="LF81" s="779"/>
      <c r="LG81" s="779"/>
      <c r="LH81" s="779"/>
      <c r="LI81" s="779"/>
      <c r="LJ81" s="779"/>
      <c r="LK81" s="779"/>
      <c r="LL81" s="779"/>
      <c r="LM81" s="779"/>
      <c r="LN81" s="779"/>
      <c r="LO81" s="779"/>
      <c r="LP81" s="779"/>
      <c r="LQ81" s="779"/>
      <c r="LR81" s="779"/>
      <c r="LS81" s="779"/>
      <c r="LT81" s="779"/>
      <c r="LU81" s="779"/>
      <c r="LV81" s="779"/>
      <c r="LW81" s="779"/>
      <c r="LX81" s="779"/>
      <c r="LY81" s="779"/>
      <c r="LZ81" s="779"/>
      <c r="MA81" s="779"/>
      <c r="MB81" s="779"/>
      <c r="MC81" s="779"/>
      <c r="MD81" s="779"/>
      <c r="ME81" s="779"/>
      <c r="MF81" s="779"/>
      <c r="MG81" s="779"/>
      <c r="MH81" s="779"/>
      <c r="MI81" s="779"/>
      <c r="MJ81" s="779"/>
      <c r="MK81" s="779"/>
      <c r="ML81" s="779"/>
      <c r="MM81" s="779"/>
      <c r="MN81" s="779"/>
      <c r="MO81" s="779"/>
      <c r="MP81" s="779"/>
      <c r="MQ81" s="779"/>
      <c r="MR81" s="779"/>
      <c r="MS81" s="779"/>
      <c r="MT81" s="779"/>
      <c r="MU81" s="779"/>
      <c r="MV81" s="779"/>
      <c r="MW81" s="779"/>
      <c r="MX81" s="779"/>
      <c r="MY81" s="779"/>
      <c r="MZ81" s="779"/>
      <c r="NA81" s="779"/>
      <c r="NB81" s="779"/>
      <c r="NC81" s="779"/>
      <c r="ND81" s="779"/>
      <c r="NE81" s="779"/>
      <c r="NF81" s="779"/>
      <c r="NG81" s="779"/>
      <c r="NH81" s="779"/>
      <c r="NI81" s="779"/>
      <c r="NJ81" s="779"/>
      <c r="NK81" s="779"/>
      <c r="NL81" s="779"/>
      <c r="NM81" s="779"/>
      <c r="NN81" s="779"/>
      <c r="NO81" s="779"/>
      <c r="NP81" s="779"/>
      <c r="NQ81" s="779"/>
      <c r="NR81" s="779"/>
      <c r="NS81" s="779"/>
      <c r="NT81" s="779"/>
      <c r="NU81" s="779"/>
      <c r="NV81" s="779"/>
      <c r="NW81" s="779"/>
      <c r="NX81" s="779"/>
      <c r="NY81" s="779"/>
      <c r="NZ81" s="779"/>
      <c r="OA81" s="779"/>
      <c r="OB81" s="779"/>
      <c r="OC81" s="779"/>
      <c r="OD81" s="779"/>
      <c r="OE81" s="779"/>
      <c r="OF81" s="779"/>
      <c r="OG81" s="779"/>
      <c r="OH81" s="779"/>
      <c r="OI81" s="779"/>
      <c r="OJ81" s="779"/>
      <c r="OK81" s="779"/>
      <c r="OL81" s="779"/>
      <c r="OM81" s="779"/>
      <c r="ON81" s="779"/>
      <c r="OO81" s="779"/>
      <c r="OP81" s="779"/>
      <c r="OQ81" s="779"/>
      <c r="OR81" s="779"/>
      <c r="OS81" s="779"/>
      <c r="OT81" s="779"/>
      <c r="OU81" s="779"/>
      <c r="OV81" s="779"/>
      <c r="OW81" s="779"/>
      <c r="OX81" s="779"/>
      <c r="OY81" s="779"/>
      <c r="OZ81" s="779"/>
      <c r="PA81" s="779"/>
      <c r="PB81" s="779"/>
      <c r="PC81" s="779"/>
      <c r="PD81" s="779"/>
      <c r="PE81" s="779"/>
      <c r="PF81" s="779"/>
      <c r="PG81" s="779"/>
      <c r="PH81" s="779"/>
      <c r="PI81" s="779"/>
      <c r="PJ81" s="779"/>
      <c r="PK81" s="779"/>
      <c r="PL81" s="779"/>
      <c r="PM81" s="779"/>
      <c r="PN81" s="779"/>
      <c r="PO81" s="779"/>
      <c r="PP81" s="779"/>
      <c r="PQ81" s="779"/>
      <c r="PR81" s="779"/>
      <c r="PS81" s="779"/>
      <c r="PT81" s="779"/>
      <c r="PU81" s="779"/>
      <c r="PV81" s="779"/>
      <c r="PW81" s="779"/>
      <c r="PX81" s="779"/>
      <c r="PY81" s="779"/>
      <c r="PZ81" s="779"/>
      <c r="QA81" s="779"/>
      <c r="QB81" s="779"/>
      <c r="QC81" s="779"/>
      <c r="QD81" s="779"/>
      <c r="QE81" s="779"/>
      <c r="QF81" s="779"/>
      <c r="QG81" s="779"/>
      <c r="QH81" s="779"/>
      <c r="QI81" s="779"/>
      <c r="QJ81" s="779"/>
      <c r="QK81" s="779"/>
      <c r="QL81" s="779"/>
      <c r="QM81" s="779"/>
      <c r="QN81" s="779"/>
      <c r="QO81" s="779"/>
      <c r="QP81" s="779"/>
      <c r="QQ81" s="779"/>
      <c r="QR81" s="779"/>
      <c r="QS81" s="779"/>
      <c r="QT81" s="779"/>
      <c r="QU81" s="779"/>
      <c r="QV81" s="779"/>
      <c r="QW81" s="779"/>
      <c r="QX81" s="779"/>
      <c r="QY81" s="779"/>
      <c r="QZ81" s="779"/>
      <c r="RA81" s="779"/>
      <c r="RB81" s="779"/>
      <c r="RC81" s="779"/>
      <c r="RD81" s="779"/>
      <c r="RE81" s="779"/>
      <c r="RF81" s="779"/>
      <c r="RG81" s="779"/>
      <c r="RH81" s="779"/>
      <c r="RI81" s="779"/>
      <c r="RJ81" s="779"/>
      <c r="RK81" s="779"/>
      <c r="RL81" s="779"/>
      <c r="RM81" s="779"/>
      <c r="RN81" s="779"/>
      <c r="RO81" s="779"/>
      <c r="RP81" s="779"/>
      <c r="RQ81" s="779"/>
      <c r="RR81" s="779"/>
      <c r="RS81" s="779"/>
      <c r="RT81" s="779"/>
      <c r="RU81" s="779"/>
      <c r="RV81" s="779"/>
      <c r="RW81" s="779"/>
      <c r="RX81" s="779"/>
    </row>
    <row r="82" spans="1:492" s="143" customFormat="1">
      <c r="A82" s="779"/>
      <c r="B82" s="779"/>
      <c r="C82" s="779"/>
      <c r="D82" s="779"/>
      <c r="E82" s="779"/>
      <c r="F82" s="779"/>
      <c r="G82" s="779"/>
      <c r="H82" s="779"/>
      <c r="I82" s="779"/>
      <c r="J82" s="779"/>
      <c r="K82" s="779"/>
      <c r="L82" s="779"/>
      <c r="M82" s="779"/>
      <c r="N82" s="779"/>
      <c r="O82" s="779"/>
      <c r="P82" s="779"/>
      <c r="Q82" s="779"/>
      <c r="R82" s="779"/>
      <c r="S82" s="779"/>
      <c r="T82" s="779"/>
      <c r="U82" s="779"/>
      <c r="V82" s="779"/>
      <c r="W82" s="779"/>
      <c r="X82" s="779"/>
      <c r="Y82" s="779"/>
      <c r="Z82" s="779"/>
      <c r="AA82" s="779"/>
      <c r="AB82" s="779"/>
      <c r="AC82" s="779"/>
      <c r="AD82" s="779"/>
      <c r="AE82" s="779"/>
      <c r="AF82" s="779"/>
      <c r="AG82" s="779"/>
      <c r="AH82" s="779"/>
      <c r="AI82" s="779"/>
      <c r="AJ82" s="779"/>
      <c r="AK82" s="779"/>
      <c r="AL82" s="779"/>
      <c r="AM82" s="782"/>
      <c r="AN82" s="782"/>
      <c r="AO82" s="782"/>
      <c r="AP82" s="782"/>
      <c r="AQ82" s="782"/>
      <c r="AR82" s="782"/>
      <c r="AS82" s="782"/>
      <c r="AT82" s="782"/>
      <c r="AU82" s="782"/>
      <c r="AV82" s="782"/>
      <c r="AW82" s="782"/>
      <c r="AX82" s="782"/>
      <c r="AY82" s="782"/>
      <c r="AZ82" s="782"/>
      <c r="BA82" s="782"/>
      <c r="BB82" s="782"/>
      <c r="BC82" s="782"/>
      <c r="BD82" s="782"/>
      <c r="BE82" s="782"/>
      <c r="BF82" s="782"/>
      <c r="BG82" s="782"/>
      <c r="BH82" s="782"/>
      <c r="BI82" s="782"/>
      <c r="BJ82" s="782"/>
      <c r="BK82" s="782"/>
      <c r="BL82" s="782"/>
      <c r="BM82" s="782"/>
      <c r="BN82" s="782"/>
      <c r="BO82" s="782"/>
      <c r="BP82" s="782"/>
      <c r="BQ82" s="782"/>
      <c r="BR82" s="782"/>
      <c r="BS82" s="782"/>
      <c r="BT82" s="782"/>
      <c r="BU82" s="782"/>
      <c r="BV82" s="782"/>
      <c r="BW82" s="782"/>
      <c r="BX82" s="782"/>
      <c r="BY82" s="782"/>
      <c r="BZ82" s="782"/>
      <c r="CA82" s="779"/>
      <c r="CB82" s="779"/>
      <c r="CC82" s="779"/>
      <c r="CD82" s="779"/>
      <c r="CE82" s="779"/>
      <c r="CF82" s="779"/>
      <c r="CG82" s="779"/>
      <c r="CH82" s="779"/>
      <c r="CI82" s="779"/>
      <c r="CJ82" s="779"/>
      <c r="CK82" s="779"/>
      <c r="CL82" s="779"/>
      <c r="CM82" s="779"/>
      <c r="CN82" s="779"/>
      <c r="CO82" s="779"/>
      <c r="CP82" s="779"/>
      <c r="CQ82" s="779"/>
      <c r="CR82" s="779"/>
      <c r="CS82" s="779"/>
      <c r="CT82" s="779"/>
      <c r="CU82" s="779"/>
      <c r="CV82" s="779"/>
      <c r="CW82" s="779"/>
      <c r="CX82" s="779"/>
      <c r="CY82" s="779"/>
      <c r="CZ82" s="779"/>
      <c r="DA82" s="779"/>
      <c r="DB82" s="779"/>
      <c r="DC82" s="779"/>
      <c r="DD82" s="779"/>
      <c r="DE82" s="779"/>
      <c r="DF82" s="779"/>
      <c r="DG82" s="779"/>
      <c r="DH82" s="779"/>
      <c r="DI82" s="779"/>
      <c r="DJ82" s="779"/>
      <c r="DK82" s="779"/>
      <c r="DL82" s="779"/>
      <c r="DM82" s="779"/>
      <c r="DN82" s="779"/>
      <c r="DO82" s="779"/>
      <c r="DP82" s="779"/>
      <c r="DQ82" s="779"/>
      <c r="DR82" s="779"/>
      <c r="DS82" s="779"/>
      <c r="DT82" s="779"/>
      <c r="DU82" s="779"/>
      <c r="DV82" s="779"/>
      <c r="DW82" s="779"/>
      <c r="DX82" s="779"/>
      <c r="DY82" s="779"/>
      <c r="DZ82" s="779"/>
      <c r="EA82" s="779"/>
      <c r="EB82" s="779"/>
      <c r="EC82" s="779"/>
      <c r="ED82" s="779"/>
      <c r="EE82" s="779"/>
      <c r="EF82" s="779"/>
      <c r="EG82" s="779"/>
      <c r="EH82" s="779"/>
      <c r="EI82" s="779"/>
      <c r="EJ82" s="779"/>
      <c r="EK82" s="779"/>
      <c r="EL82" s="779"/>
      <c r="EM82" s="779"/>
      <c r="EN82" s="779"/>
      <c r="EO82" s="779"/>
      <c r="EP82" s="779"/>
      <c r="EQ82" s="779"/>
      <c r="ER82" s="779"/>
      <c r="ES82" s="779"/>
      <c r="ET82" s="779"/>
      <c r="EU82" s="779"/>
      <c r="EV82" s="779"/>
      <c r="EW82" s="779"/>
      <c r="EX82" s="779"/>
      <c r="EY82" s="779"/>
      <c r="EZ82" s="779"/>
      <c r="FA82" s="779"/>
      <c r="FB82" s="779"/>
      <c r="FC82" s="779"/>
      <c r="FD82" s="779"/>
      <c r="FE82" s="779"/>
      <c r="FF82" s="779"/>
      <c r="FG82" s="779"/>
      <c r="FH82" s="779"/>
      <c r="FI82" s="779"/>
      <c r="FJ82" s="779"/>
      <c r="FK82" s="779"/>
      <c r="FL82" s="779"/>
      <c r="FM82" s="779"/>
      <c r="FN82" s="779"/>
      <c r="FO82" s="779"/>
      <c r="FP82" s="779"/>
      <c r="FQ82" s="779"/>
      <c r="FR82" s="779"/>
      <c r="FS82" s="779"/>
      <c r="FT82" s="779"/>
      <c r="FU82" s="779"/>
      <c r="FV82" s="779"/>
      <c r="FW82" s="779"/>
      <c r="FX82" s="779"/>
      <c r="FY82" s="779"/>
      <c r="FZ82" s="779"/>
      <c r="GA82" s="779"/>
      <c r="GB82" s="779"/>
      <c r="GC82" s="779"/>
      <c r="GD82" s="779"/>
      <c r="GE82" s="779"/>
      <c r="GF82" s="779"/>
      <c r="GG82" s="779"/>
      <c r="GH82" s="779"/>
      <c r="GI82" s="779"/>
      <c r="GJ82" s="779"/>
      <c r="GK82" s="779"/>
      <c r="GL82" s="779"/>
      <c r="GM82" s="779"/>
      <c r="GN82" s="779"/>
      <c r="GO82" s="779"/>
      <c r="GP82" s="779"/>
      <c r="GQ82" s="779"/>
      <c r="GR82" s="779"/>
      <c r="GS82" s="779"/>
      <c r="GT82" s="779"/>
      <c r="GU82" s="779"/>
      <c r="GV82" s="779"/>
      <c r="GW82" s="779"/>
      <c r="GX82" s="779"/>
      <c r="GY82" s="779"/>
      <c r="GZ82" s="779"/>
      <c r="HA82" s="779"/>
      <c r="HB82" s="779"/>
      <c r="HC82" s="779"/>
      <c r="HD82" s="779"/>
      <c r="HE82" s="779"/>
      <c r="HF82" s="779"/>
      <c r="HG82" s="779"/>
      <c r="HH82" s="779"/>
      <c r="HI82" s="779"/>
      <c r="HJ82" s="779"/>
      <c r="HK82" s="779"/>
      <c r="HL82" s="779"/>
      <c r="HM82" s="779"/>
      <c r="HN82" s="779"/>
      <c r="HO82" s="779"/>
      <c r="HP82" s="779"/>
      <c r="HQ82" s="779"/>
      <c r="HR82" s="779"/>
      <c r="HS82" s="779"/>
      <c r="HT82" s="779"/>
      <c r="HU82" s="779"/>
      <c r="HV82" s="779"/>
      <c r="HW82" s="779"/>
      <c r="HX82" s="779"/>
      <c r="HY82" s="779"/>
      <c r="HZ82" s="779"/>
      <c r="IA82" s="779"/>
      <c r="IB82" s="779"/>
      <c r="IC82" s="779"/>
      <c r="ID82" s="779"/>
      <c r="IE82" s="779"/>
      <c r="IF82" s="779"/>
      <c r="IG82" s="779"/>
      <c r="IH82" s="779"/>
      <c r="II82" s="779"/>
      <c r="IJ82" s="779"/>
      <c r="IK82" s="779"/>
      <c r="IL82" s="779"/>
      <c r="IM82" s="779"/>
      <c r="IN82" s="779"/>
      <c r="IO82" s="779"/>
      <c r="IP82" s="779"/>
      <c r="IQ82" s="779"/>
      <c r="IR82" s="779"/>
      <c r="IS82" s="779"/>
      <c r="IT82" s="779"/>
      <c r="IU82" s="779"/>
      <c r="IV82" s="779"/>
      <c r="IW82" s="779"/>
      <c r="IX82" s="779"/>
      <c r="IY82" s="779"/>
      <c r="IZ82" s="779"/>
      <c r="JA82" s="779"/>
      <c r="JB82" s="779"/>
      <c r="JC82" s="779"/>
      <c r="JD82" s="779"/>
      <c r="JE82" s="779"/>
      <c r="JF82" s="779"/>
      <c r="JG82" s="779"/>
      <c r="JH82" s="779"/>
      <c r="JI82" s="779"/>
      <c r="JJ82" s="779"/>
      <c r="JK82" s="779"/>
      <c r="JL82" s="779"/>
      <c r="JM82" s="779"/>
      <c r="JN82" s="779"/>
      <c r="JO82" s="779"/>
      <c r="JP82" s="779"/>
      <c r="JQ82" s="779"/>
      <c r="JR82" s="779"/>
      <c r="JS82" s="779"/>
      <c r="JT82" s="779"/>
      <c r="JU82" s="779"/>
      <c r="JV82" s="779"/>
      <c r="JW82" s="779"/>
      <c r="JX82" s="779"/>
      <c r="JY82" s="779"/>
      <c r="JZ82" s="779"/>
      <c r="KA82" s="779"/>
      <c r="KB82" s="779"/>
      <c r="KC82" s="779"/>
      <c r="KD82" s="779"/>
      <c r="KE82" s="779"/>
      <c r="KF82" s="779"/>
      <c r="KG82" s="779"/>
      <c r="KH82" s="779"/>
      <c r="KI82" s="779"/>
      <c r="KJ82" s="779"/>
      <c r="KK82" s="779"/>
      <c r="KL82" s="779"/>
      <c r="KM82" s="779"/>
      <c r="KN82" s="779"/>
      <c r="KO82" s="779"/>
      <c r="KP82" s="779"/>
      <c r="KQ82" s="779"/>
      <c r="KR82" s="779"/>
      <c r="KS82" s="779"/>
      <c r="KT82" s="779"/>
      <c r="KU82" s="779"/>
      <c r="KV82" s="779"/>
      <c r="KW82" s="779"/>
      <c r="KX82" s="779"/>
      <c r="KY82" s="779"/>
      <c r="KZ82" s="779"/>
      <c r="LA82" s="779"/>
      <c r="LB82" s="779"/>
      <c r="LC82" s="779"/>
      <c r="LD82" s="779"/>
      <c r="LE82" s="779"/>
      <c r="LF82" s="779"/>
      <c r="LG82" s="779"/>
      <c r="LH82" s="779"/>
      <c r="LI82" s="779"/>
      <c r="LJ82" s="779"/>
      <c r="LK82" s="779"/>
      <c r="LL82" s="779"/>
      <c r="LM82" s="779"/>
      <c r="LN82" s="779"/>
      <c r="LO82" s="779"/>
      <c r="LP82" s="779"/>
      <c r="LQ82" s="779"/>
      <c r="LR82" s="779"/>
      <c r="LS82" s="779"/>
      <c r="LT82" s="779"/>
      <c r="LU82" s="779"/>
      <c r="LV82" s="779"/>
      <c r="LW82" s="779"/>
      <c r="LX82" s="779"/>
      <c r="LY82" s="779"/>
      <c r="LZ82" s="779"/>
      <c r="MA82" s="779"/>
      <c r="MB82" s="779"/>
      <c r="MC82" s="779"/>
      <c r="MD82" s="779"/>
      <c r="ME82" s="779"/>
      <c r="MF82" s="779"/>
      <c r="MG82" s="779"/>
      <c r="MH82" s="779"/>
      <c r="MI82" s="779"/>
      <c r="MJ82" s="779"/>
      <c r="MK82" s="779"/>
      <c r="ML82" s="779"/>
      <c r="MM82" s="779"/>
      <c r="MN82" s="779"/>
      <c r="MO82" s="779"/>
      <c r="MP82" s="779"/>
      <c r="MQ82" s="779"/>
      <c r="MR82" s="779"/>
      <c r="MS82" s="779"/>
      <c r="MT82" s="779"/>
      <c r="MU82" s="779"/>
      <c r="MV82" s="779"/>
      <c r="MW82" s="779"/>
      <c r="MX82" s="779"/>
      <c r="MY82" s="779"/>
      <c r="MZ82" s="779"/>
      <c r="NA82" s="779"/>
      <c r="NB82" s="779"/>
      <c r="NC82" s="779"/>
      <c r="ND82" s="779"/>
      <c r="NE82" s="779"/>
      <c r="NF82" s="779"/>
      <c r="NG82" s="779"/>
      <c r="NH82" s="779"/>
      <c r="NI82" s="779"/>
      <c r="NJ82" s="779"/>
      <c r="NK82" s="779"/>
      <c r="NL82" s="779"/>
      <c r="NM82" s="779"/>
      <c r="NN82" s="779"/>
      <c r="NO82" s="779"/>
      <c r="NP82" s="779"/>
      <c r="NQ82" s="779"/>
      <c r="NR82" s="779"/>
      <c r="NS82" s="779"/>
      <c r="NT82" s="779"/>
      <c r="NU82" s="779"/>
      <c r="NV82" s="779"/>
      <c r="NW82" s="779"/>
      <c r="NX82" s="779"/>
      <c r="NY82" s="779"/>
      <c r="NZ82" s="779"/>
      <c r="OA82" s="779"/>
      <c r="OB82" s="779"/>
      <c r="OC82" s="779"/>
      <c r="OD82" s="779"/>
      <c r="OE82" s="779"/>
      <c r="OF82" s="779"/>
      <c r="OG82" s="779"/>
      <c r="OH82" s="779"/>
      <c r="OI82" s="779"/>
      <c r="OJ82" s="779"/>
      <c r="OK82" s="779"/>
      <c r="OL82" s="779"/>
      <c r="OM82" s="779"/>
      <c r="ON82" s="779"/>
      <c r="OO82" s="779"/>
      <c r="OP82" s="779"/>
      <c r="OQ82" s="779"/>
      <c r="OR82" s="779"/>
      <c r="OS82" s="779"/>
      <c r="OT82" s="779"/>
      <c r="OU82" s="779"/>
      <c r="OV82" s="779"/>
      <c r="OW82" s="779"/>
      <c r="OX82" s="779"/>
      <c r="OY82" s="779"/>
      <c r="OZ82" s="779"/>
      <c r="PA82" s="779"/>
      <c r="PB82" s="779"/>
      <c r="PC82" s="779"/>
      <c r="PD82" s="779"/>
      <c r="PE82" s="779"/>
      <c r="PF82" s="779"/>
      <c r="PG82" s="779"/>
      <c r="PH82" s="779"/>
      <c r="PI82" s="779"/>
      <c r="PJ82" s="779"/>
      <c r="PK82" s="779"/>
      <c r="PL82" s="779"/>
      <c r="PM82" s="779"/>
      <c r="PN82" s="779"/>
      <c r="PO82" s="779"/>
      <c r="PP82" s="779"/>
      <c r="PQ82" s="779"/>
      <c r="PR82" s="779"/>
      <c r="PS82" s="779"/>
      <c r="PT82" s="779"/>
      <c r="PU82" s="779"/>
      <c r="PV82" s="779"/>
      <c r="PW82" s="779"/>
      <c r="PX82" s="779"/>
      <c r="PY82" s="779"/>
      <c r="PZ82" s="779"/>
      <c r="QA82" s="779"/>
      <c r="QB82" s="779"/>
      <c r="QC82" s="779"/>
      <c r="QD82" s="779"/>
      <c r="QE82" s="779"/>
      <c r="QF82" s="779"/>
      <c r="QG82" s="779"/>
      <c r="QH82" s="779"/>
      <c r="QI82" s="779"/>
      <c r="QJ82" s="779"/>
      <c r="QK82" s="779"/>
      <c r="QL82" s="779"/>
      <c r="QM82" s="779"/>
      <c r="QN82" s="779"/>
      <c r="QO82" s="779"/>
      <c r="QP82" s="779"/>
      <c r="QQ82" s="779"/>
      <c r="QR82" s="779"/>
      <c r="QS82" s="779"/>
      <c r="QT82" s="779"/>
      <c r="QU82" s="779"/>
      <c r="QV82" s="779"/>
      <c r="QW82" s="779"/>
      <c r="QX82" s="779"/>
      <c r="QY82" s="779"/>
      <c r="QZ82" s="779"/>
      <c r="RA82" s="779"/>
      <c r="RB82" s="779"/>
      <c r="RC82" s="779"/>
      <c r="RD82" s="779"/>
      <c r="RE82" s="779"/>
      <c r="RF82" s="779"/>
      <c r="RG82" s="779"/>
      <c r="RH82" s="779"/>
      <c r="RI82" s="779"/>
      <c r="RJ82" s="779"/>
      <c r="RK82" s="779"/>
      <c r="RL82" s="779"/>
      <c r="RM82" s="779"/>
      <c r="RN82" s="779"/>
      <c r="RO82" s="779"/>
      <c r="RP82" s="779"/>
      <c r="RQ82" s="779"/>
      <c r="RR82" s="779"/>
      <c r="RS82" s="779"/>
      <c r="RT82" s="779"/>
      <c r="RU82" s="779"/>
      <c r="RV82" s="779"/>
      <c r="RW82" s="779"/>
      <c r="RX82" s="779"/>
    </row>
    <row r="83" spans="1:492" s="143" customFormat="1">
      <c r="A83" s="779"/>
      <c r="B83" s="779"/>
      <c r="C83" s="779"/>
      <c r="D83" s="779"/>
      <c r="E83" s="779"/>
      <c r="F83" s="779"/>
      <c r="G83" s="779"/>
      <c r="H83" s="779"/>
      <c r="I83" s="779"/>
      <c r="J83" s="779"/>
      <c r="K83" s="779"/>
      <c r="L83" s="779"/>
      <c r="M83" s="779"/>
      <c r="N83" s="779"/>
      <c r="O83" s="779"/>
      <c r="P83" s="779"/>
      <c r="Q83" s="779"/>
      <c r="R83" s="779"/>
      <c r="S83" s="779"/>
      <c r="T83" s="779"/>
      <c r="U83" s="779"/>
      <c r="V83" s="779"/>
      <c r="W83" s="779"/>
      <c r="X83" s="779"/>
      <c r="Y83" s="779"/>
      <c r="Z83" s="779"/>
      <c r="AA83" s="779"/>
      <c r="AB83" s="779"/>
      <c r="AC83" s="779"/>
      <c r="AD83" s="779"/>
      <c r="AE83" s="779"/>
      <c r="AF83" s="779"/>
      <c r="AG83" s="779"/>
      <c r="AH83" s="779"/>
      <c r="AI83" s="779"/>
      <c r="AJ83" s="779"/>
      <c r="AK83" s="779"/>
      <c r="AL83" s="779"/>
      <c r="AM83" s="782"/>
      <c r="AN83" s="782"/>
      <c r="AO83" s="782"/>
      <c r="AP83" s="782"/>
      <c r="AQ83" s="782"/>
      <c r="AR83" s="782"/>
      <c r="AS83" s="782"/>
      <c r="AT83" s="782"/>
      <c r="AU83" s="782"/>
      <c r="AV83" s="782"/>
      <c r="AW83" s="782"/>
      <c r="AX83" s="782"/>
      <c r="AY83" s="782"/>
      <c r="AZ83" s="782"/>
      <c r="BA83" s="782"/>
      <c r="BB83" s="782"/>
      <c r="BC83" s="782"/>
      <c r="BD83" s="782"/>
      <c r="BE83" s="782"/>
      <c r="BF83" s="782"/>
      <c r="BG83" s="782"/>
      <c r="BH83" s="782"/>
      <c r="BI83" s="782"/>
      <c r="BJ83" s="782"/>
      <c r="BK83" s="782"/>
      <c r="BL83" s="782"/>
      <c r="BM83" s="782"/>
      <c r="BN83" s="782"/>
      <c r="BO83" s="782"/>
      <c r="BP83" s="782"/>
      <c r="BQ83" s="782"/>
      <c r="BR83" s="782"/>
      <c r="BS83" s="782"/>
      <c r="BT83" s="782"/>
      <c r="BU83" s="782"/>
      <c r="BV83" s="782"/>
      <c r="BW83" s="782"/>
      <c r="BX83" s="782"/>
      <c r="BY83" s="782"/>
      <c r="BZ83" s="782"/>
      <c r="CA83" s="779"/>
      <c r="CB83" s="779"/>
      <c r="CC83" s="779"/>
      <c r="CD83" s="779"/>
      <c r="CE83" s="779"/>
      <c r="CF83" s="779"/>
      <c r="CG83" s="779"/>
      <c r="CH83" s="779"/>
      <c r="CI83" s="779"/>
      <c r="CJ83" s="779"/>
      <c r="CK83" s="779"/>
      <c r="CL83" s="779"/>
      <c r="CM83" s="779"/>
      <c r="CN83" s="779"/>
      <c r="CO83" s="779"/>
      <c r="CP83" s="779"/>
      <c r="CQ83" s="779"/>
      <c r="CR83" s="779"/>
      <c r="CS83" s="779"/>
      <c r="CT83" s="779"/>
      <c r="CU83" s="779"/>
      <c r="CV83" s="779"/>
      <c r="CW83" s="779"/>
      <c r="CX83" s="779"/>
      <c r="CY83" s="779"/>
      <c r="CZ83" s="779"/>
      <c r="DA83" s="779"/>
      <c r="DB83" s="779"/>
      <c r="DC83" s="779"/>
      <c r="DD83" s="779"/>
      <c r="DE83" s="779"/>
      <c r="DF83" s="779"/>
      <c r="DG83" s="779"/>
      <c r="DH83" s="779"/>
      <c r="DI83" s="779"/>
      <c r="DJ83" s="779"/>
      <c r="DK83" s="779"/>
      <c r="DL83" s="779"/>
      <c r="DM83" s="779"/>
      <c r="DN83" s="779"/>
      <c r="DO83" s="779"/>
      <c r="DP83" s="779"/>
      <c r="DQ83" s="779"/>
      <c r="DR83" s="779"/>
      <c r="DS83" s="779"/>
      <c r="DT83" s="779"/>
      <c r="DU83" s="779"/>
      <c r="DV83" s="779"/>
      <c r="DW83" s="779"/>
      <c r="DX83" s="779"/>
      <c r="DY83" s="779"/>
      <c r="DZ83" s="779"/>
      <c r="EA83" s="779"/>
      <c r="EB83" s="779"/>
      <c r="EC83" s="779"/>
      <c r="ED83" s="779"/>
      <c r="EE83" s="779"/>
      <c r="EF83" s="779"/>
      <c r="EG83" s="779"/>
      <c r="EH83" s="779"/>
      <c r="EI83" s="779"/>
      <c r="EJ83" s="779"/>
      <c r="EK83" s="779"/>
      <c r="EL83" s="779"/>
      <c r="EM83" s="779"/>
      <c r="EN83" s="779"/>
      <c r="EO83" s="779"/>
      <c r="EP83" s="779"/>
      <c r="EQ83" s="779"/>
      <c r="ER83" s="779"/>
      <c r="ES83" s="779"/>
      <c r="ET83" s="779"/>
      <c r="EU83" s="779"/>
      <c r="EV83" s="779"/>
      <c r="EW83" s="779"/>
      <c r="EX83" s="779"/>
      <c r="EY83" s="779"/>
      <c r="EZ83" s="779"/>
      <c r="FA83" s="779"/>
      <c r="FB83" s="779"/>
      <c r="FC83" s="779"/>
      <c r="FD83" s="779"/>
      <c r="FE83" s="779"/>
      <c r="FF83" s="779"/>
      <c r="FG83" s="779"/>
      <c r="FH83" s="779"/>
      <c r="FI83" s="779"/>
      <c r="FJ83" s="779"/>
      <c r="FK83" s="779"/>
      <c r="FL83" s="779"/>
      <c r="FM83" s="779"/>
      <c r="FN83" s="779"/>
      <c r="FO83" s="779"/>
      <c r="FP83" s="779"/>
      <c r="FQ83" s="779"/>
      <c r="FR83" s="779"/>
      <c r="FS83" s="779"/>
      <c r="FT83" s="779"/>
      <c r="FU83" s="779"/>
      <c r="FV83" s="779"/>
      <c r="FW83" s="779"/>
      <c r="FX83" s="779"/>
      <c r="FY83" s="779"/>
      <c r="FZ83" s="779"/>
      <c r="GA83" s="779"/>
      <c r="GB83" s="779"/>
      <c r="GC83" s="779"/>
      <c r="GD83" s="779"/>
      <c r="GE83" s="779"/>
      <c r="GF83" s="779"/>
      <c r="GG83" s="779"/>
      <c r="GH83" s="779"/>
      <c r="GI83" s="779"/>
      <c r="GJ83" s="779"/>
      <c r="GK83" s="779"/>
      <c r="GL83" s="779"/>
      <c r="GM83" s="779"/>
      <c r="GN83" s="779"/>
      <c r="GO83" s="779"/>
      <c r="GP83" s="779"/>
      <c r="GQ83" s="779"/>
      <c r="GR83" s="779"/>
      <c r="GS83" s="779"/>
      <c r="GT83" s="779"/>
      <c r="GU83" s="779"/>
      <c r="GV83" s="779"/>
      <c r="GW83" s="779"/>
      <c r="GX83" s="779"/>
      <c r="GY83" s="779"/>
      <c r="GZ83" s="779"/>
      <c r="HA83" s="779"/>
      <c r="HB83" s="779"/>
      <c r="HC83" s="779"/>
      <c r="HD83" s="779"/>
      <c r="HE83" s="779"/>
      <c r="HF83" s="779"/>
      <c r="HG83" s="779"/>
      <c r="HH83" s="779"/>
      <c r="HI83" s="779"/>
      <c r="HJ83" s="779"/>
      <c r="HK83" s="779"/>
      <c r="HL83" s="779"/>
      <c r="HM83" s="779"/>
      <c r="HN83" s="779"/>
      <c r="HO83" s="779"/>
      <c r="HP83" s="779"/>
      <c r="HQ83" s="779"/>
      <c r="HR83" s="779"/>
      <c r="HS83" s="779"/>
      <c r="HT83" s="779"/>
      <c r="HU83" s="779"/>
      <c r="HV83" s="779"/>
      <c r="HW83" s="779"/>
      <c r="HX83" s="779"/>
      <c r="HY83" s="779"/>
      <c r="HZ83" s="779"/>
      <c r="IA83" s="779"/>
      <c r="IB83" s="779"/>
      <c r="IC83" s="779"/>
      <c r="ID83" s="779"/>
      <c r="IE83" s="779"/>
      <c r="IF83" s="779"/>
      <c r="IG83" s="779"/>
      <c r="IH83" s="779"/>
      <c r="II83" s="779"/>
      <c r="IJ83" s="779"/>
      <c r="IK83" s="779"/>
      <c r="IL83" s="779"/>
      <c r="IM83" s="779"/>
      <c r="IN83" s="779"/>
      <c r="IO83" s="779"/>
      <c r="IP83" s="779"/>
      <c r="IQ83" s="779"/>
      <c r="IR83" s="779"/>
      <c r="IS83" s="779"/>
      <c r="IT83" s="779"/>
      <c r="IU83" s="779"/>
      <c r="IV83" s="779"/>
      <c r="IW83" s="779"/>
      <c r="IX83" s="779"/>
      <c r="IY83" s="779"/>
      <c r="IZ83" s="779"/>
      <c r="JA83" s="779"/>
      <c r="JB83" s="779"/>
      <c r="JC83" s="779"/>
      <c r="JD83" s="779"/>
      <c r="JE83" s="779"/>
      <c r="JF83" s="779"/>
      <c r="JG83" s="779"/>
      <c r="JH83" s="779"/>
      <c r="JI83" s="779"/>
      <c r="JJ83" s="779"/>
      <c r="JK83" s="779"/>
      <c r="JL83" s="779"/>
      <c r="JM83" s="779"/>
      <c r="JN83" s="779"/>
      <c r="JO83" s="779"/>
      <c r="JP83" s="779"/>
      <c r="JQ83" s="779"/>
      <c r="JR83" s="779"/>
      <c r="JS83" s="779"/>
      <c r="JT83" s="779"/>
      <c r="JU83" s="779"/>
      <c r="JV83" s="779"/>
      <c r="JW83" s="779"/>
      <c r="JX83" s="779"/>
      <c r="JY83" s="779"/>
      <c r="JZ83" s="779"/>
      <c r="KA83" s="779"/>
      <c r="KB83" s="779"/>
      <c r="KC83" s="779"/>
      <c r="KD83" s="779"/>
      <c r="KE83" s="779"/>
      <c r="KF83" s="779"/>
      <c r="KG83" s="779"/>
      <c r="KH83" s="779"/>
      <c r="KI83" s="779"/>
      <c r="KJ83" s="779"/>
      <c r="KK83" s="779"/>
      <c r="KL83" s="779"/>
      <c r="KM83" s="779"/>
      <c r="KN83" s="779"/>
      <c r="KO83" s="779"/>
      <c r="KP83" s="779"/>
      <c r="KQ83" s="779"/>
      <c r="KR83" s="779"/>
      <c r="KS83" s="779"/>
      <c r="KT83" s="779"/>
      <c r="KU83" s="779"/>
      <c r="KV83" s="779"/>
      <c r="KW83" s="779"/>
      <c r="KX83" s="779"/>
      <c r="KY83" s="779"/>
      <c r="KZ83" s="779"/>
      <c r="LA83" s="779"/>
      <c r="LB83" s="779"/>
      <c r="LC83" s="779"/>
      <c r="LD83" s="779"/>
      <c r="LE83" s="779"/>
      <c r="LF83" s="779"/>
      <c r="LG83" s="779"/>
      <c r="LH83" s="779"/>
      <c r="LI83" s="779"/>
      <c r="LJ83" s="779"/>
      <c r="LK83" s="779"/>
      <c r="LL83" s="779"/>
      <c r="LM83" s="779"/>
      <c r="LN83" s="779"/>
      <c r="LO83" s="779"/>
      <c r="LP83" s="779"/>
      <c r="LQ83" s="779"/>
      <c r="LR83" s="779"/>
      <c r="LS83" s="779"/>
      <c r="LT83" s="779"/>
      <c r="LU83" s="779"/>
      <c r="LV83" s="779"/>
      <c r="LW83" s="779"/>
      <c r="LX83" s="779"/>
      <c r="LY83" s="779"/>
      <c r="LZ83" s="779"/>
      <c r="MA83" s="779"/>
      <c r="MB83" s="779"/>
      <c r="MC83" s="779"/>
      <c r="MD83" s="779"/>
      <c r="ME83" s="779"/>
      <c r="MF83" s="779"/>
      <c r="MG83" s="779"/>
      <c r="MH83" s="779"/>
      <c r="MI83" s="779"/>
      <c r="MJ83" s="779"/>
      <c r="MK83" s="779"/>
      <c r="ML83" s="779"/>
      <c r="MM83" s="779"/>
      <c r="MN83" s="779"/>
      <c r="MO83" s="779"/>
      <c r="MP83" s="779"/>
      <c r="MQ83" s="779"/>
      <c r="MR83" s="779"/>
      <c r="MS83" s="779"/>
      <c r="MT83" s="779"/>
      <c r="MU83" s="779"/>
      <c r="MV83" s="779"/>
      <c r="MW83" s="779"/>
      <c r="MX83" s="779"/>
      <c r="MY83" s="779"/>
      <c r="MZ83" s="779"/>
      <c r="NA83" s="779"/>
      <c r="NB83" s="779"/>
      <c r="NC83" s="779"/>
      <c r="ND83" s="779"/>
      <c r="NE83" s="779"/>
      <c r="NF83" s="779"/>
      <c r="NG83" s="779"/>
      <c r="NH83" s="779"/>
      <c r="NI83" s="779"/>
      <c r="NJ83" s="779"/>
      <c r="NK83" s="779"/>
      <c r="NL83" s="779"/>
      <c r="NM83" s="779"/>
      <c r="NN83" s="779"/>
      <c r="NO83" s="779"/>
      <c r="NP83" s="779"/>
      <c r="NQ83" s="779"/>
      <c r="NR83" s="779"/>
      <c r="NS83" s="779"/>
      <c r="NT83" s="779"/>
      <c r="NU83" s="779"/>
      <c r="NV83" s="779"/>
      <c r="NW83" s="779"/>
      <c r="NX83" s="779"/>
      <c r="NY83" s="779"/>
      <c r="NZ83" s="779"/>
      <c r="OA83" s="779"/>
      <c r="OB83" s="779"/>
      <c r="OC83" s="779"/>
      <c r="OD83" s="779"/>
      <c r="OE83" s="779"/>
      <c r="OF83" s="779"/>
      <c r="OG83" s="779"/>
      <c r="OH83" s="779"/>
      <c r="OI83" s="779"/>
      <c r="OJ83" s="779"/>
      <c r="OK83" s="779"/>
      <c r="OL83" s="779"/>
      <c r="OM83" s="779"/>
      <c r="ON83" s="779"/>
      <c r="OO83" s="779"/>
      <c r="OP83" s="779"/>
      <c r="OQ83" s="779"/>
      <c r="OR83" s="779"/>
      <c r="OS83" s="779"/>
      <c r="OT83" s="779"/>
      <c r="OU83" s="779"/>
      <c r="OV83" s="779"/>
      <c r="OW83" s="779"/>
      <c r="OX83" s="779"/>
      <c r="OY83" s="779"/>
      <c r="OZ83" s="779"/>
      <c r="PA83" s="779"/>
      <c r="PB83" s="779"/>
      <c r="PC83" s="779"/>
      <c r="PD83" s="779"/>
      <c r="PE83" s="779"/>
      <c r="PF83" s="779"/>
      <c r="PG83" s="779"/>
      <c r="PH83" s="779"/>
      <c r="PI83" s="779"/>
      <c r="PJ83" s="779"/>
      <c r="PK83" s="779"/>
      <c r="PL83" s="779"/>
      <c r="PM83" s="779"/>
      <c r="PN83" s="779"/>
      <c r="PO83" s="779"/>
      <c r="PP83" s="779"/>
      <c r="PQ83" s="779"/>
      <c r="PR83" s="779"/>
      <c r="PS83" s="779"/>
      <c r="PT83" s="779"/>
      <c r="PU83" s="779"/>
      <c r="PV83" s="779"/>
      <c r="PW83" s="779"/>
      <c r="PX83" s="779"/>
      <c r="PY83" s="779"/>
      <c r="PZ83" s="779"/>
      <c r="QA83" s="779"/>
      <c r="QB83" s="779"/>
      <c r="QC83" s="779"/>
      <c r="QD83" s="779"/>
      <c r="QE83" s="779"/>
      <c r="QF83" s="779"/>
      <c r="QG83" s="779"/>
      <c r="QH83" s="779"/>
      <c r="QI83" s="779"/>
      <c r="QJ83" s="779"/>
      <c r="QK83" s="779"/>
      <c r="QL83" s="779"/>
      <c r="QM83" s="779"/>
      <c r="QN83" s="779"/>
      <c r="QO83" s="779"/>
      <c r="QP83" s="779"/>
      <c r="QQ83" s="779"/>
      <c r="QR83" s="779"/>
      <c r="QS83" s="779"/>
      <c r="QT83" s="779"/>
      <c r="QU83" s="779"/>
      <c r="QV83" s="779"/>
      <c r="QW83" s="779"/>
      <c r="QX83" s="779"/>
      <c r="QY83" s="779"/>
      <c r="QZ83" s="779"/>
      <c r="RA83" s="779"/>
      <c r="RB83" s="779"/>
      <c r="RC83" s="779"/>
      <c r="RD83" s="779"/>
      <c r="RE83" s="779"/>
      <c r="RF83" s="779"/>
      <c r="RG83" s="779"/>
      <c r="RH83" s="779"/>
      <c r="RI83" s="779"/>
      <c r="RJ83" s="779"/>
      <c r="RK83" s="779"/>
      <c r="RL83" s="779"/>
      <c r="RM83" s="779"/>
      <c r="RN83" s="779"/>
      <c r="RO83" s="779"/>
      <c r="RP83" s="779"/>
      <c r="RQ83" s="779"/>
      <c r="RR83" s="779"/>
      <c r="RS83" s="779"/>
      <c r="RT83" s="779"/>
      <c r="RU83" s="779"/>
      <c r="RV83" s="779"/>
      <c r="RW83" s="779"/>
      <c r="RX83" s="779"/>
    </row>
    <row r="84" spans="1:492" s="143" customFormat="1">
      <c r="AM84" s="782"/>
      <c r="AN84" s="782"/>
      <c r="AO84" s="782"/>
      <c r="AP84" s="782"/>
      <c r="AQ84" s="782"/>
      <c r="AR84" s="782"/>
      <c r="AS84" s="782"/>
      <c r="AT84" s="782"/>
      <c r="AU84" s="782"/>
      <c r="AV84" s="782"/>
      <c r="AW84" s="782"/>
      <c r="AX84" s="782"/>
      <c r="AY84" s="782"/>
      <c r="AZ84" s="782"/>
      <c r="BA84" s="782"/>
      <c r="BB84" s="782"/>
      <c r="BC84" s="782"/>
      <c r="BD84" s="782"/>
      <c r="BE84" s="782"/>
      <c r="BF84" s="782"/>
      <c r="BG84" s="782"/>
      <c r="BH84" s="782"/>
      <c r="BI84" s="782"/>
      <c r="BJ84" s="782"/>
      <c r="BK84" s="782"/>
      <c r="BL84" s="782"/>
      <c r="BM84" s="782"/>
      <c r="BN84" s="782"/>
      <c r="BO84" s="782"/>
      <c r="BP84" s="782"/>
      <c r="BQ84" s="782"/>
      <c r="BR84" s="782"/>
      <c r="BS84" s="782"/>
      <c r="BT84" s="782"/>
      <c r="BU84" s="782"/>
      <c r="BV84" s="782"/>
      <c r="BW84" s="782"/>
      <c r="BX84" s="782"/>
      <c r="BY84" s="782"/>
      <c r="BZ84" s="782"/>
    </row>
    <row r="85" spans="1:492" s="143" customFormat="1">
      <c r="AM85" s="782"/>
      <c r="AN85" s="782"/>
      <c r="AO85" s="782"/>
      <c r="AP85" s="782"/>
      <c r="AQ85" s="782"/>
      <c r="AR85" s="782"/>
      <c r="AS85" s="782"/>
      <c r="AT85" s="782"/>
      <c r="AU85" s="782"/>
      <c r="AV85" s="782"/>
      <c r="AW85" s="782"/>
      <c r="AX85" s="782"/>
      <c r="AY85" s="782"/>
      <c r="AZ85" s="782"/>
      <c r="BA85" s="782"/>
      <c r="BB85" s="782"/>
      <c r="BC85" s="782"/>
      <c r="BD85" s="782"/>
      <c r="BE85" s="782"/>
      <c r="BF85" s="782"/>
      <c r="BG85" s="782"/>
      <c r="BH85" s="782"/>
      <c r="BI85" s="782"/>
      <c r="BJ85" s="782"/>
      <c r="BK85" s="782"/>
      <c r="BL85" s="782"/>
      <c r="BM85" s="782"/>
      <c r="BN85" s="782"/>
      <c r="BO85" s="782"/>
      <c r="BP85" s="782"/>
      <c r="BQ85" s="782"/>
      <c r="BR85" s="782"/>
      <c r="BS85" s="782"/>
      <c r="BT85" s="782"/>
      <c r="BU85" s="782"/>
      <c r="BV85" s="782"/>
      <c r="BW85" s="782"/>
      <c r="BX85" s="782"/>
      <c r="BY85" s="782"/>
      <c r="BZ85" s="782"/>
    </row>
    <row r="86" spans="1:492" s="143" customFormat="1">
      <c r="AM86" s="782"/>
      <c r="AN86" s="782"/>
      <c r="AO86" s="782"/>
      <c r="AP86" s="782"/>
      <c r="AQ86" s="782"/>
      <c r="AR86" s="782"/>
      <c r="AS86" s="782"/>
      <c r="AT86" s="782"/>
      <c r="AU86" s="782"/>
      <c r="AV86" s="782"/>
      <c r="AW86" s="782"/>
      <c r="AX86" s="782"/>
      <c r="AY86" s="782"/>
      <c r="AZ86" s="782"/>
      <c r="BA86" s="782"/>
      <c r="BB86" s="782"/>
      <c r="BC86" s="782"/>
      <c r="BD86" s="782"/>
      <c r="BE86" s="782"/>
      <c r="BF86" s="782"/>
      <c r="BG86" s="782"/>
      <c r="BH86" s="782"/>
      <c r="BI86" s="782"/>
      <c r="BJ86" s="782"/>
      <c r="BK86" s="782"/>
      <c r="BL86" s="782"/>
      <c r="BM86" s="782"/>
      <c r="BN86" s="782"/>
      <c r="BO86" s="782"/>
      <c r="BP86" s="782"/>
      <c r="BQ86" s="782"/>
      <c r="BR86" s="782"/>
      <c r="BS86" s="782"/>
      <c r="BT86" s="782"/>
      <c r="BU86" s="782"/>
      <c r="BV86" s="782"/>
      <c r="BW86" s="782"/>
      <c r="BX86" s="782"/>
      <c r="BY86" s="782"/>
      <c r="BZ86" s="782"/>
    </row>
    <row r="87" spans="1:492" s="143" customFormat="1">
      <c r="AM87" s="782"/>
      <c r="AN87" s="782"/>
      <c r="AO87" s="782"/>
      <c r="AP87" s="782"/>
      <c r="AQ87" s="782"/>
      <c r="AR87" s="782"/>
      <c r="AS87" s="782"/>
      <c r="AT87" s="782"/>
      <c r="AU87" s="782"/>
      <c r="AV87" s="782"/>
      <c r="AW87" s="782"/>
      <c r="AX87" s="782"/>
      <c r="AY87" s="782"/>
      <c r="AZ87" s="782"/>
      <c r="BA87" s="782"/>
      <c r="BB87" s="782"/>
      <c r="BC87" s="782"/>
      <c r="BD87" s="782"/>
      <c r="BE87" s="782"/>
      <c r="BF87" s="782"/>
      <c r="BG87" s="782"/>
      <c r="BH87" s="782"/>
      <c r="BI87" s="782"/>
      <c r="BJ87" s="782"/>
      <c r="BK87" s="782"/>
      <c r="BL87" s="782"/>
      <c r="BM87" s="782"/>
      <c r="BN87" s="782"/>
      <c r="BO87" s="782"/>
      <c r="BP87" s="782"/>
      <c r="BQ87" s="782"/>
      <c r="BR87" s="782"/>
      <c r="BS87" s="782"/>
      <c r="BT87" s="782"/>
      <c r="BU87" s="782"/>
      <c r="BV87" s="782"/>
      <c r="BW87" s="782"/>
      <c r="BX87" s="782"/>
      <c r="BY87" s="782"/>
      <c r="BZ87" s="782"/>
    </row>
    <row r="88" spans="1:492" s="143" customFormat="1">
      <c r="AM88" s="782"/>
      <c r="AN88" s="782"/>
      <c r="AO88" s="782"/>
      <c r="AP88" s="782"/>
      <c r="AQ88" s="782"/>
      <c r="AR88" s="782"/>
      <c r="AS88" s="782"/>
      <c r="AT88" s="782"/>
      <c r="AU88" s="782"/>
      <c r="AV88" s="782"/>
      <c r="AW88" s="782"/>
      <c r="AX88" s="782"/>
      <c r="AY88" s="782"/>
      <c r="AZ88" s="782"/>
      <c r="BA88" s="782"/>
      <c r="BB88" s="782"/>
      <c r="BC88" s="782"/>
      <c r="BD88" s="782"/>
      <c r="BE88" s="782"/>
      <c r="BF88" s="782"/>
      <c r="BG88" s="782"/>
      <c r="BH88" s="782"/>
      <c r="BI88" s="782"/>
      <c r="BJ88" s="782"/>
      <c r="BK88" s="782"/>
      <c r="BL88" s="782"/>
      <c r="BM88" s="782"/>
      <c r="BN88" s="782"/>
      <c r="BO88" s="782"/>
      <c r="BP88" s="782"/>
      <c r="BQ88" s="782"/>
      <c r="BR88" s="782"/>
      <c r="BS88" s="782"/>
      <c r="BT88" s="782"/>
      <c r="BU88" s="782"/>
      <c r="BV88" s="782"/>
      <c r="BW88" s="782"/>
      <c r="BX88" s="782"/>
      <c r="BY88" s="782"/>
      <c r="BZ88" s="782"/>
    </row>
    <row r="89" spans="1:492" s="143" customFormat="1">
      <c r="AM89" s="782"/>
      <c r="AN89" s="782"/>
      <c r="AO89" s="782"/>
      <c r="AP89" s="782"/>
      <c r="AQ89" s="782"/>
      <c r="AR89" s="782"/>
      <c r="AS89" s="782"/>
      <c r="AT89" s="782"/>
      <c r="AU89" s="782"/>
      <c r="AV89" s="782"/>
      <c r="AW89" s="782"/>
      <c r="AX89" s="782"/>
      <c r="AY89" s="782"/>
      <c r="AZ89" s="782"/>
      <c r="BA89" s="782"/>
      <c r="BB89" s="782"/>
      <c r="BC89" s="782"/>
      <c r="BD89" s="782"/>
      <c r="BE89" s="782"/>
      <c r="BF89" s="782"/>
      <c r="BG89" s="782"/>
      <c r="BH89" s="782"/>
      <c r="BI89" s="782"/>
      <c r="BJ89" s="782"/>
      <c r="BK89" s="782"/>
      <c r="BL89" s="782"/>
      <c r="BM89" s="782"/>
      <c r="BN89" s="782"/>
      <c r="BO89" s="782"/>
      <c r="BP89" s="782"/>
      <c r="BQ89" s="782"/>
      <c r="BR89" s="782"/>
      <c r="BS89" s="782"/>
      <c r="BT89" s="782"/>
      <c r="BU89" s="782"/>
      <c r="BV89" s="782"/>
      <c r="BW89" s="782"/>
      <c r="BX89" s="782"/>
      <c r="BY89" s="782"/>
      <c r="BZ89" s="782"/>
    </row>
    <row r="90" spans="1:492" s="143" customFormat="1">
      <c r="AM90" s="782"/>
      <c r="AN90" s="782"/>
      <c r="AO90" s="782"/>
      <c r="AP90" s="782"/>
      <c r="AQ90" s="782"/>
      <c r="AR90" s="782"/>
      <c r="AS90" s="782"/>
      <c r="AT90" s="782"/>
      <c r="AU90" s="782"/>
      <c r="AV90" s="782"/>
      <c r="AW90" s="782"/>
      <c r="AX90" s="782"/>
      <c r="AY90" s="782"/>
      <c r="AZ90" s="782"/>
      <c r="BA90" s="782"/>
      <c r="BB90" s="782"/>
      <c r="BC90" s="782"/>
      <c r="BD90" s="782"/>
      <c r="BE90" s="782"/>
      <c r="BF90" s="782"/>
      <c r="BG90" s="782"/>
      <c r="BH90" s="782"/>
      <c r="BI90" s="782"/>
      <c r="BJ90" s="782"/>
      <c r="BK90" s="782"/>
      <c r="BL90" s="782"/>
      <c r="BM90" s="782"/>
      <c r="BN90" s="782"/>
      <c r="BO90" s="782"/>
      <c r="BP90" s="782"/>
      <c r="BQ90" s="782"/>
      <c r="BR90" s="782"/>
      <c r="BS90" s="782"/>
      <c r="BT90" s="782"/>
      <c r="BU90" s="782"/>
      <c r="BV90" s="782"/>
      <c r="BW90" s="782"/>
      <c r="BX90" s="782"/>
      <c r="BY90" s="782"/>
      <c r="BZ90" s="782"/>
    </row>
    <row r="91" spans="1:492" s="143" customFormat="1">
      <c r="AM91" s="782"/>
      <c r="AN91" s="782"/>
      <c r="AO91" s="782"/>
      <c r="AP91" s="782"/>
      <c r="AQ91" s="782"/>
      <c r="AR91" s="782"/>
      <c r="AS91" s="782"/>
      <c r="AT91" s="782"/>
      <c r="AU91" s="782"/>
      <c r="AV91" s="782"/>
      <c r="AW91" s="782"/>
      <c r="AX91" s="782"/>
      <c r="AY91" s="782"/>
      <c r="AZ91" s="782"/>
      <c r="BA91" s="782"/>
      <c r="BB91" s="782"/>
      <c r="BC91" s="782"/>
      <c r="BD91" s="782"/>
      <c r="BE91" s="782"/>
      <c r="BF91" s="782"/>
      <c r="BG91" s="782"/>
      <c r="BH91" s="782"/>
      <c r="BI91" s="782"/>
      <c r="BJ91" s="782"/>
      <c r="BK91" s="782"/>
      <c r="BL91" s="782"/>
      <c r="BM91" s="782"/>
      <c r="BN91" s="782"/>
      <c r="BO91" s="782"/>
      <c r="BP91" s="782"/>
      <c r="BQ91" s="782"/>
      <c r="BR91" s="782"/>
      <c r="BS91" s="782"/>
      <c r="BT91" s="782"/>
      <c r="BU91" s="782"/>
      <c r="BV91" s="782"/>
      <c r="BW91" s="782"/>
      <c r="BX91" s="782"/>
      <c r="BY91" s="782"/>
      <c r="BZ91" s="782"/>
    </row>
    <row r="92" spans="1:492" s="143" customFormat="1">
      <c r="AM92" s="782"/>
      <c r="AN92" s="782"/>
      <c r="AO92" s="782"/>
      <c r="AP92" s="782"/>
      <c r="AQ92" s="782"/>
      <c r="AR92" s="782"/>
      <c r="AS92" s="782"/>
      <c r="AT92" s="782"/>
      <c r="AU92" s="782"/>
      <c r="AV92" s="782"/>
      <c r="AW92" s="782"/>
      <c r="AX92" s="782"/>
      <c r="AY92" s="782"/>
      <c r="AZ92" s="782"/>
      <c r="BA92" s="782"/>
      <c r="BB92" s="782"/>
      <c r="BC92" s="782"/>
      <c r="BD92" s="782"/>
      <c r="BE92" s="782"/>
      <c r="BF92" s="782"/>
      <c r="BG92" s="782"/>
      <c r="BH92" s="782"/>
      <c r="BI92" s="782"/>
      <c r="BJ92" s="782"/>
      <c r="BK92" s="782"/>
      <c r="BL92" s="782"/>
      <c r="BM92" s="782"/>
      <c r="BN92" s="782"/>
      <c r="BO92" s="782"/>
      <c r="BP92" s="782"/>
      <c r="BQ92" s="782"/>
      <c r="BR92" s="782"/>
      <c r="BS92" s="782"/>
      <c r="BT92" s="782"/>
      <c r="BU92" s="782"/>
      <c r="BV92" s="782"/>
      <c r="BW92" s="782"/>
      <c r="BX92" s="782"/>
      <c r="BY92" s="782"/>
      <c r="BZ92" s="782"/>
    </row>
    <row r="93" spans="1:492" s="143" customFormat="1">
      <c r="AM93" s="782"/>
      <c r="AN93" s="782"/>
      <c r="AO93" s="782"/>
      <c r="AP93" s="782"/>
      <c r="AQ93" s="782"/>
      <c r="AR93" s="782"/>
      <c r="AS93" s="782"/>
      <c r="AT93" s="782"/>
      <c r="AU93" s="782"/>
      <c r="AV93" s="782"/>
      <c r="AW93" s="782"/>
      <c r="AX93" s="782"/>
      <c r="AY93" s="782"/>
      <c r="AZ93" s="782"/>
      <c r="BA93" s="782"/>
      <c r="BB93" s="782"/>
      <c r="BC93" s="782"/>
      <c r="BD93" s="782"/>
      <c r="BE93" s="782"/>
      <c r="BF93" s="782"/>
      <c r="BG93" s="782"/>
      <c r="BH93" s="782"/>
      <c r="BI93" s="782"/>
      <c r="BJ93" s="782"/>
      <c r="BK93" s="782"/>
      <c r="BL93" s="782"/>
      <c r="BM93" s="782"/>
      <c r="BN93" s="782"/>
      <c r="BO93" s="782"/>
      <c r="BP93" s="782"/>
      <c r="BQ93" s="782"/>
      <c r="BR93" s="782"/>
      <c r="BS93" s="782"/>
      <c r="BT93" s="782"/>
      <c r="BU93" s="782"/>
      <c r="BV93" s="782"/>
      <c r="BW93" s="782"/>
      <c r="BX93" s="782"/>
      <c r="BY93" s="782"/>
      <c r="BZ93" s="782"/>
    </row>
    <row r="94" spans="1:492" s="143" customFormat="1">
      <c r="AM94" s="782"/>
      <c r="AN94" s="782"/>
      <c r="AO94" s="782"/>
      <c r="AP94" s="782"/>
      <c r="AQ94" s="782"/>
      <c r="AR94" s="782"/>
      <c r="AS94" s="782"/>
      <c r="AT94" s="782"/>
      <c r="AU94" s="782"/>
      <c r="AV94" s="782"/>
      <c r="AW94" s="782"/>
      <c r="AX94" s="782"/>
      <c r="AY94" s="782"/>
      <c r="AZ94" s="782"/>
      <c r="BA94" s="782"/>
      <c r="BB94" s="782"/>
      <c r="BC94" s="782"/>
      <c r="BD94" s="782"/>
      <c r="BE94" s="782"/>
      <c r="BF94" s="782"/>
      <c r="BG94" s="782"/>
      <c r="BH94" s="782"/>
      <c r="BI94" s="782"/>
      <c r="BJ94" s="782"/>
      <c r="BK94" s="782"/>
      <c r="BL94" s="782"/>
      <c r="BM94" s="782"/>
      <c r="BN94" s="782"/>
      <c r="BO94" s="782"/>
      <c r="BP94" s="782"/>
      <c r="BQ94" s="782"/>
      <c r="BR94" s="782"/>
      <c r="BS94" s="782"/>
      <c r="BT94" s="782"/>
      <c r="BU94" s="782"/>
      <c r="BV94" s="782"/>
      <c r="BW94" s="782"/>
      <c r="BX94" s="782"/>
      <c r="BY94" s="782"/>
      <c r="BZ94" s="782"/>
    </row>
    <row r="95" spans="1:492" s="143" customFormat="1">
      <c r="AM95" s="782"/>
      <c r="AN95" s="782"/>
      <c r="AO95" s="782"/>
      <c r="AP95" s="782"/>
      <c r="AQ95" s="782"/>
      <c r="AR95" s="782"/>
      <c r="AS95" s="782"/>
      <c r="AT95" s="782"/>
      <c r="AU95" s="782"/>
      <c r="AV95" s="782"/>
      <c r="AW95" s="782"/>
      <c r="AX95" s="782"/>
      <c r="AY95" s="782"/>
      <c r="AZ95" s="782"/>
      <c r="BA95" s="782"/>
      <c r="BB95" s="782"/>
      <c r="BC95" s="782"/>
      <c r="BD95" s="782"/>
      <c r="BE95" s="782"/>
      <c r="BF95" s="782"/>
      <c r="BG95" s="782"/>
      <c r="BH95" s="782"/>
      <c r="BI95" s="782"/>
      <c r="BJ95" s="782"/>
      <c r="BK95" s="782"/>
      <c r="BL95" s="782"/>
      <c r="BM95" s="782"/>
      <c r="BN95" s="782"/>
      <c r="BO95" s="782"/>
      <c r="BP95" s="782"/>
      <c r="BQ95" s="782"/>
      <c r="BR95" s="782"/>
      <c r="BS95" s="782"/>
      <c r="BT95" s="782"/>
      <c r="BU95" s="782"/>
      <c r="BV95" s="782"/>
      <c r="BW95" s="782"/>
      <c r="BX95" s="782"/>
      <c r="BY95" s="782"/>
      <c r="BZ95" s="782"/>
    </row>
    <row r="96" spans="1:492" s="143" customFormat="1">
      <c r="AM96" s="782"/>
      <c r="AN96" s="782"/>
      <c r="AO96" s="782"/>
      <c r="AP96" s="782"/>
      <c r="AQ96" s="782"/>
      <c r="AR96" s="782"/>
      <c r="AS96" s="782"/>
      <c r="AT96" s="782"/>
      <c r="AU96" s="782"/>
      <c r="AV96" s="782"/>
      <c r="AW96" s="782"/>
      <c r="AX96" s="782"/>
      <c r="AY96" s="782"/>
      <c r="AZ96" s="782"/>
      <c r="BA96" s="782"/>
      <c r="BB96" s="782"/>
      <c r="BC96" s="782"/>
      <c r="BD96" s="782"/>
      <c r="BE96" s="782"/>
      <c r="BF96" s="782"/>
      <c r="BG96" s="782"/>
      <c r="BH96" s="782"/>
      <c r="BI96" s="782"/>
      <c r="BJ96" s="782"/>
      <c r="BK96" s="782"/>
      <c r="BL96" s="782"/>
      <c r="BM96" s="782"/>
      <c r="BN96" s="782"/>
      <c r="BO96" s="782"/>
      <c r="BP96" s="782"/>
      <c r="BQ96" s="782"/>
      <c r="BR96" s="782"/>
      <c r="BS96" s="782"/>
      <c r="BT96" s="782"/>
      <c r="BU96" s="782"/>
      <c r="BV96" s="782"/>
      <c r="BW96" s="782"/>
      <c r="BX96" s="782"/>
      <c r="BY96" s="782"/>
      <c r="BZ96" s="782"/>
    </row>
    <row r="97" spans="39:78" s="143" customFormat="1">
      <c r="AM97" s="782"/>
      <c r="AN97" s="782"/>
      <c r="AO97" s="782"/>
      <c r="AP97" s="782"/>
      <c r="AQ97" s="782"/>
      <c r="AR97" s="782"/>
      <c r="AS97" s="782"/>
      <c r="AT97" s="782"/>
      <c r="AU97" s="782"/>
      <c r="AV97" s="782"/>
      <c r="AW97" s="782"/>
      <c r="AX97" s="782"/>
      <c r="AY97" s="782"/>
      <c r="AZ97" s="782"/>
      <c r="BA97" s="782"/>
      <c r="BB97" s="782"/>
      <c r="BC97" s="782"/>
      <c r="BD97" s="782"/>
      <c r="BE97" s="782"/>
      <c r="BF97" s="782"/>
      <c r="BG97" s="782"/>
      <c r="BH97" s="782"/>
      <c r="BI97" s="782"/>
      <c r="BJ97" s="782"/>
      <c r="BK97" s="782"/>
      <c r="BL97" s="782"/>
      <c r="BM97" s="782"/>
      <c r="BN97" s="782"/>
      <c r="BO97" s="782"/>
      <c r="BP97" s="782"/>
      <c r="BQ97" s="782"/>
      <c r="BR97" s="782"/>
      <c r="BS97" s="782"/>
      <c r="BT97" s="782"/>
      <c r="BU97" s="782"/>
      <c r="BV97" s="782"/>
      <c r="BW97" s="782"/>
      <c r="BX97" s="782"/>
      <c r="BY97" s="782"/>
      <c r="BZ97" s="782"/>
    </row>
    <row r="98" spans="39:78" s="143" customFormat="1">
      <c r="AM98" s="782"/>
      <c r="AN98" s="782"/>
      <c r="AO98" s="782"/>
      <c r="AP98" s="782"/>
      <c r="AQ98" s="782"/>
      <c r="AR98" s="782"/>
      <c r="AS98" s="782"/>
      <c r="AT98" s="782"/>
      <c r="AU98" s="782"/>
      <c r="AV98" s="782"/>
      <c r="AW98" s="782"/>
      <c r="AX98" s="782"/>
      <c r="AY98" s="782"/>
      <c r="AZ98" s="782"/>
      <c r="BA98" s="782"/>
      <c r="BB98" s="782"/>
      <c r="BC98" s="782"/>
      <c r="BD98" s="782"/>
      <c r="BE98" s="782"/>
      <c r="BF98" s="782"/>
      <c r="BG98" s="782"/>
      <c r="BH98" s="782"/>
      <c r="BI98" s="782"/>
      <c r="BJ98" s="782"/>
      <c r="BK98" s="782"/>
      <c r="BL98" s="782"/>
      <c r="BM98" s="782"/>
      <c r="BN98" s="782"/>
      <c r="BO98" s="782"/>
      <c r="BP98" s="782"/>
      <c r="BQ98" s="782"/>
      <c r="BR98" s="782"/>
      <c r="BS98" s="782"/>
      <c r="BT98" s="782"/>
      <c r="BU98" s="782"/>
      <c r="BV98" s="782"/>
      <c r="BW98" s="782"/>
      <c r="BX98" s="782"/>
      <c r="BY98" s="782"/>
      <c r="BZ98" s="782"/>
    </row>
    <row r="99" spans="39:78" s="143" customFormat="1">
      <c r="AM99" s="782"/>
      <c r="AN99" s="782"/>
      <c r="AO99" s="782"/>
      <c r="AP99" s="782"/>
      <c r="AQ99" s="782"/>
      <c r="AR99" s="782"/>
      <c r="AS99" s="782"/>
      <c r="AT99" s="782"/>
      <c r="AU99" s="782"/>
      <c r="AV99" s="782"/>
      <c r="AW99" s="782"/>
      <c r="AX99" s="782"/>
      <c r="AY99" s="782"/>
      <c r="AZ99" s="782"/>
      <c r="BA99" s="782"/>
      <c r="BB99" s="782"/>
      <c r="BC99" s="782"/>
      <c r="BD99" s="782"/>
      <c r="BE99" s="782"/>
      <c r="BF99" s="782"/>
      <c r="BG99" s="782"/>
      <c r="BH99" s="782"/>
      <c r="BI99" s="782"/>
      <c r="BJ99" s="782"/>
      <c r="BK99" s="782"/>
      <c r="BL99" s="782"/>
      <c r="BM99" s="782"/>
      <c r="BN99" s="782"/>
      <c r="BO99" s="782"/>
      <c r="BP99" s="782"/>
      <c r="BQ99" s="782"/>
      <c r="BR99" s="782"/>
      <c r="BS99" s="782"/>
      <c r="BT99" s="782"/>
      <c r="BU99" s="782"/>
      <c r="BV99" s="782"/>
      <c r="BW99" s="782"/>
      <c r="BX99" s="782"/>
      <c r="BY99" s="782"/>
      <c r="BZ99" s="782"/>
    </row>
    <row r="100" spans="39:78" s="143" customFormat="1">
      <c r="AM100" s="782"/>
      <c r="AN100" s="782"/>
      <c r="AO100" s="782"/>
      <c r="AP100" s="782"/>
      <c r="AQ100" s="782"/>
      <c r="AR100" s="782"/>
      <c r="AS100" s="782"/>
      <c r="AT100" s="782"/>
      <c r="AU100" s="782"/>
      <c r="AV100" s="782"/>
      <c r="AW100" s="782"/>
      <c r="AX100" s="782"/>
      <c r="AY100" s="782"/>
      <c r="AZ100" s="782"/>
      <c r="BA100" s="782"/>
      <c r="BB100" s="782"/>
      <c r="BC100" s="782"/>
      <c r="BD100" s="782"/>
      <c r="BE100" s="782"/>
      <c r="BF100" s="782"/>
      <c r="BG100" s="782"/>
      <c r="BH100" s="782"/>
      <c r="BI100" s="782"/>
      <c r="BJ100" s="782"/>
      <c r="BK100" s="782"/>
      <c r="BL100" s="782"/>
      <c r="BM100" s="782"/>
      <c r="BN100" s="782"/>
      <c r="BO100" s="782"/>
      <c r="BP100" s="782"/>
      <c r="BQ100" s="782"/>
      <c r="BR100" s="782"/>
      <c r="BS100" s="782"/>
      <c r="BT100" s="782"/>
      <c r="BU100" s="782"/>
      <c r="BV100" s="782"/>
      <c r="BW100" s="782"/>
      <c r="BX100" s="782"/>
      <c r="BY100" s="782"/>
      <c r="BZ100" s="782"/>
    </row>
    <row r="101" spans="39:78" s="143" customFormat="1">
      <c r="AM101" s="782"/>
      <c r="AN101" s="782"/>
      <c r="AO101" s="782"/>
      <c r="AP101" s="782"/>
      <c r="AQ101" s="782"/>
      <c r="AR101" s="782"/>
      <c r="AS101" s="782"/>
      <c r="AT101" s="782"/>
      <c r="AU101" s="782"/>
      <c r="AV101" s="782"/>
      <c r="AW101" s="782"/>
      <c r="AX101" s="782"/>
      <c r="AY101" s="782"/>
      <c r="AZ101" s="782"/>
      <c r="BA101" s="782"/>
      <c r="BB101" s="782"/>
      <c r="BC101" s="782"/>
      <c r="BD101" s="782"/>
      <c r="BE101" s="782"/>
      <c r="BF101" s="782"/>
      <c r="BG101" s="782"/>
      <c r="BH101" s="782"/>
      <c r="BI101" s="782"/>
      <c r="BJ101" s="782"/>
      <c r="BK101" s="782"/>
      <c r="BL101" s="782"/>
      <c r="BM101" s="782"/>
      <c r="BN101" s="782"/>
      <c r="BO101" s="782"/>
      <c r="BP101" s="782"/>
      <c r="BQ101" s="782"/>
      <c r="BR101" s="782"/>
      <c r="BS101" s="782"/>
      <c r="BT101" s="782"/>
      <c r="BU101" s="782"/>
      <c r="BV101" s="782"/>
      <c r="BW101" s="782"/>
      <c r="BX101" s="782"/>
      <c r="BY101" s="782"/>
      <c r="BZ101" s="782"/>
    </row>
    <row r="102" spans="39:78" s="143" customFormat="1">
      <c r="AM102" s="782"/>
      <c r="AN102" s="782"/>
      <c r="AO102" s="782"/>
      <c r="AP102" s="782"/>
      <c r="AQ102" s="782"/>
      <c r="AR102" s="782"/>
      <c r="AS102" s="782"/>
      <c r="AT102" s="782"/>
      <c r="AU102" s="782"/>
      <c r="AV102" s="782"/>
      <c r="AW102" s="782"/>
      <c r="AX102" s="782"/>
      <c r="AY102" s="782"/>
      <c r="AZ102" s="782"/>
      <c r="BA102" s="782"/>
      <c r="BB102" s="782"/>
      <c r="BC102" s="782"/>
      <c r="BD102" s="782"/>
      <c r="BE102" s="782"/>
      <c r="BF102" s="782"/>
      <c r="BG102" s="782"/>
      <c r="BH102" s="782"/>
      <c r="BI102" s="782"/>
      <c r="BJ102" s="782"/>
      <c r="BK102" s="782"/>
      <c r="BL102" s="782"/>
      <c r="BM102" s="782"/>
      <c r="BN102" s="782"/>
      <c r="BO102" s="782"/>
      <c r="BP102" s="782"/>
      <c r="BQ102" s="782"/>
      <c r="BR102" s="782"/>
      <c r="BS102" s="782"/>
      <c r="BT102" s="782"/>
      <c r="BU102" s="782"/>
      <c r="BV102" s="782"/>
      <c r="BW102" s="782"/>
      <c r="BX102" s="782"/>
      <c r="BY102" s="782"/>
      <c r="BZ102" s="782"/>
    </row>
    <row r="103" spans="39:78" s="143" customFormat="1">
      <c r="AM103" s="782"/>
      <c r="AN103" s="782"/>
      <c r="AO103" s="782"/>
      <c r="AP103" s="782"/>
      <c r="AQ103" s="782"/>
      <c r="AR103" s="782"/>
      <c r="AS103" s="782"/>
      <c r="AT103" s="782"/>
      <c r="AU103" s="782"/>
      <c r="AV103" s="782"/>
      <c r="AW103" s="782"/>
      <c r="AX103" s="782"/>
      <c r="AY103" s="782"/>
      <c r="AZ103" s="782"/>
      <c r="BA103" s="782"/>
      <c r="BB103" s="782"/>
      <c r="BC103" s="782"/>
      <c r="BD103" s="782"/>
      <c r="BE103" s="782"/>
      <c r="BF103" s="782"/>
      <c r="BG103" s="782"/>
      <c r="BH103" s="782"/>
      <c r="BI103" s="782"/>
      <c r="BJ103" s="782"/>
      <c r="BK103" s="782"/>
      <c r="BL103" s="782"/>
      <c r="BM103" s="782"/>
      <c r="BN103" s="782"/>
      <c r="BO103" s="782"/>
      <c r="BP103" s="782"/>
      <c r="BQ103" s="782"/>
      <c r="BR103" s="782"/>
      <c r="BS103" s="782"/>
      <c r="BT103" s="782"/>
      <c r="BU103" s="782"/>
      <c r="BV103" s="782"/>
      <c r="BW103" s="782"/>
      <c r="BX103" s="782"/>
      <c r="BY103" s="782"/>
      <c r="BZ103" s="782"/>
    </row>
    <row r="104" spans="39:78" s="143" customFormat="1">
      <c r="AM104" s="782"/>
      <c r="AN104" s="782"/>
      <c r="AO104" s="782"/>
      <c r="AP104" s="782"/>
      <c r="AQ104" s="782"/>
      <c r="AR104" s="782"/>
      <c r="AS104" s="782"/>
      <c r="AT104" s="782"/>
      <c r="AU104" s="782"/>
      <c r="AV104" s="782"/>
      <c r="AW104" s="782"/>
      <c r="AX104" s="782"/>
      <c r="AY104" s="782"/>
      <c r="AZ104" s="782"/>
      <c r="BA104" s="782"/>
      <c r="BB104" s="782"/>
      <c r="BC104" s="782"/>
      <c r="BD104" s="782"/>
      <c r="BE104" s="782"/>
      <c r="BF104" s="782"/>
      <c r="BG104" s="782"/>
      <c r="BH104" s="782"/>
      <c r="BI104" s="782"/>
      <c r="BJ104" s="782"/>
      <c r="BK104" s="782"/>
      <c r="BL104" s="782"/>
      <c r="BM104" s="782"/>
      <c r="BN104" s="782"/>
      <c r="BO104" s="782"/>
      <c r="BP104" s="782"/>
      <c r="BQ104" s="782"/>
      <c r="BR104" s="782"/>
      <c r="BS104" s="782"/>
      <c r="BT104" s="782"/>
      <c r="BU104" s="782"/>
      <c r="BV104" s="782"/>
      <c r="BW104" s="782"/>
      <c r="BX104" s="782"/>
      <c r="BY104" s="782"/>
      <c r="BZ104" s="782"/>
    </row>
    <row r="105" spans="39:78" s="143" customFormat="1">
      <c r="AM105" s="782"/>
      <c r="AN105" s="782"/>
      <c r="AO105" s="782"/>
      <c r="AP105" s="782"/>
      <c r="AQ105" s="782"/>
      <c r="AR105" s="782"/>
      <c r="AS105" s="782"/>
      <c r="AT105" s="782"/>
      <c r="AU105" s="782"/>
      <c r="AV105" s="782"/>
      <c r="AW105" s="782"/>
      <c r="AX105" s="782"/>
      <c r="AY105" s="782"/>
      <c r="AZ105" s="782"/>
      <c r="BA105" s="782"/>
      <c r="BB105" s="782"/>
      <c r="BC105" s="782"/>
      <c r="BD105" s="782"/>
      <c r="BE105" s="782"/>
      <c r="BF105" s="782"/>
      <c r="BG105" s="782"/>
      <c r="BH105" s="782"/>
      <c r="BI105" s="782"/>
      <c r="BJ105" s="782"/>
      <c r="BK105" s="782"/>
      <c r="BL105" s="782"/>
      <c r="BM105" s="782"/>
      <c r="BN105" s="782"/>
      <c r="BO105" s="782"/>
      <c r="BP105" s="782"/>
      <c r="BQ105" s="782"/>
      <c r="BR105" s="782"/>
      <c r="BS105" s="782"/>
      <c r="BT105" s="782"/>
      <c r="BU105" s="782"/>
      <c r="BV105" s="782"/>
      <c r="BW105" s="782"/>
      <c r="BX105" s="782"/>
      <c r="BY105" s="782"/>
      <c r="BZ105" s="782"/>
    </row>
    <row r="106" spans="39:78" s="143" customFormat="1">
      <c r="AM106" s="782"/>
      <c r="AN106" s="782"/>
      <c r="AO106" s="782"/>
      <c r="AP106" s="782"/>
      <c r="AQ106" s="782"/>
      <c r="AR106" s="782"/>
      <c r="AS106" s="782"/>
      <c r="AT106" s="782"/>
      <c r="AU106" s="782"/>
      <c r="AV106" s="782"/>
      <c r="AW106" s="782"/>
      <c r="AX106" s="782"/>
      <c r="AY106" s="782"/>
      <c r="AZ106" s="782"/>
      <c r="BA106" s="782"/>
      <c r="BB106" s="782"/>
      <c r="BC106" s="782"/>
      <c r="BD106" s="782"/>
      <c r="BE106" s="782"/>
      <c r="BF106" s="782"/>
      <c r="BG106" s="782"/>
      <c r="BH106" s="782"/>
      <c r="BI106" s="782"/>
      <c r="BJ106" s="782"/>
      <c r="BK106" s="782"/>
      <c r="BL106" s="782"/>
      <c r="BM106" s="782"/>
      <c r="BN106" s="782"/>
      <c r="BO106" s="782"/>
      <c r="BP106" s="782"/>
      <c r="BQ106" s="782"/>
      <c r="BR106" s="782"/>
      <c r="BS106" s="782"/>
      <c r="BT106" s="782"/>
      <c r="BU106" s="782"/>
      <c r="BV106" s="782"/>
      <c r="BW106" s="782"/>
      <c r="BX106" s="782"/>
      <c r="BY106" s="782"/>
      <c r="BZ106" s="782"/>
    </row>
    <row r="107" spans="39:78" s="143" customFormat="1">
      <c r="AM107" s="782"/>
      <c r="AN107" s="782"/>
      <c r="AO107" s="782"/>
      <c r="AP107" s="782"/>
      <c r="AQ107" s="782"/>
      <c r="AR107" s="782"/>
      <c r="AS107" s="782"/>
      <c r="AT107" s="782"/>
      <c r="AU107" s="782"/>
      <c r="AV107" s="782"/>
      <c r="AW107" s="782"/>
      <c r="AX107" s="782"/>
      <c r="AY107" s="782"/>
      <c r="AZ107" s="782"/>
      <c r="BA107" s="782"/>
      <c r="BB107" s="782"/>
      <c r="BC107" s="782"/>
      <c r="BD107" s="782"/>
      <c r="BE107" s="782"/>
      <c r="BF107" s="782"/>
      <c r="BG107" s="782"/>
      <c r="BH107" s="782"/>
      <c r="BI107" s="782"/>
      <c r="BJ107" s="782"/>
      <c r="BK107" s="782"/>
      <c r="BL107" s="782"/>
      <c r="BM107" s="782"/>
      <c r="BN107" s="782"/>
      <c r="BO107" s="782"/>
      <c r="BP107" s="782"/>
      <c r="BQ107" s="782"/>
      <c r="BR107" s="782"/>
      <c r="BS107" s="782"/>
      <c r="BT107" s="782"/>
      <c r="BU107" s="782"/>
      <c r="BV107" s="782"/>
      <c r="BW107" s="782"/>
      <c r="BX107" s="782"/>
      <c r="BY107" s="782"/>
      <c r="BZ107" s="782"/>
    </row>
    <row r="108" spans="39:78" s="143" customFormat="1">
      <c r="AM108" s="782"/>
      <c r="AN108" s="782"/>
      <c r="AO108" s="782"/>
      <c r="AP108" s="782"/>
      <c r="AQ108" s="782"/>
      <c r="AR108" s="782"/>
      <c r="AS108" s="782"/>
      <c r="AT108" s="782"/>
      <c r="AU108" s="782"/>
      <c r="AV108" s="782"/>
      <c r="AW108" s="782"/>
      <c r="AX108" s="782"/>
      <c r="AY108" s="782"/>
      <c r="AZ108" s="782"/>
      <c r="BA108" s="782"/>
      <c r="BB108" s="782"/>
      <c r="BC108" s="782"/>
      <c r="BD108" s="782"/>
      <c r="BE108" s="782"/>
      <c r="BF108" s="782"/>
      <c r="BG108" s="782"/>
      <c r="BH108" s="782"/>
      <c r="BI108" s="782"/>
      <c r="BJ108" s="782"/>
      <c r="BK108" s="782"/>
      <c r="BL108" s="782"/>
      <c r="BM108" s="782"/>
      <c r="BN108" s="782"/>
      <c r="BO108" s="782"/>
      <c r="BP108" s="782"/>
      <c r="BQ108" s="782"/>
      <c r="BR108" s="782"/>
      <c r="BS108" s="782"/>
      <c r="BT108" s="782"/>
      <c r="BU108" s="782"/>
      <c r="BV108" s="782"/>
      <c r="BW108" s="782"/>
      <c r="BX108" s="782"/>
      <c r="BY108" s="782"/>
      <c r="BZ108" s="782"/>
    </row>
    <row r="109" spans="39:78" s="143" customFormat="1">
      <c r="AM109" s="782"/>
      <c r="AN109" s="782"/>
      <c r="AO109" s="782"/>
      <c r="AP109" s="782"/>
      <c r="AQ109" s="782"/>
      <c r="AR109" s="782"/>
      <c r="AS109" s="782"/>
      <c r="AT109" s="782"/>
      <c r="AU109" s="782"/>
      <c r="AV109" s="782"/>
      <c r="AW109" s="782"/>
      <c r="AX109" s="782"/>
      <c r="AY109" s="782"/>
      <c r="AZ109" s="782"/>
      <c r="BA109" s="782"/>
      <c r="BB109" s="782"/>
      <c r="BC109" s="782"/>
      <c r="BD109" s="782"/>
      <c r="BE109" s="782"/>
      <c r="BF109" s="782"/>
      <c r="BG109" s="782"/>
      <c r="BH109" s="782"/>
      <c r="BI109" s="782"/>
      <c r="BJ109" s="782"/>
      <c r="BK109" s="782"/>
      <c r="BL109" s="782"/>
      <c r="BM109" s="782"/>
      <c r="BN109" s="782"/>
      <c r="BO109" s="782"/>
      <c r="BP109" s="782"/>
      <c r="BQ109" s="782"/>
      <c r="BR109" s="782"/>
      <c r="BS109" s="782"/>
      <c r="BT109" s="782"/>
      <c r="BU109" s="782"/>
      <c r="BV109" s="782"/>
      <c r="BW109" s="782"/>
      <c r="BX109" s="782"/>
      <c r="BY109" s="782"/>
      <c r="BZ109" s="782"/>
    </row>
    <row r="110" spans="39:78" s="143" customFormat="1">
      <c r="AM110" s="782"/>
      <c r="AN110" s="782"/>
      <c r="AO110" s="782"/>
      <c r="AP110" s="782"/>
      <c r="AQ110" s="782"/>
      <c r="AR110" s="782"/>
      <c r="AS110" s="782"/>
      <c r="AT110" s="782"/>
      <c r="AU110" s="782"/>
      <c r="AV110" s="782"/>
      <c r="AW110" s="782"/>
      <c r="AX110" s="782"/>
      <c r="AY110" s="782"/>
      <c r="AZ110" s="782"/>
      <c r="BA110" s="782"/>
      <c r="BB110" s="782"/>
      <c r="BC110" s="782"/>
      <c r="BD110" s="782"/>
      <c r="BE110" s="782"/>
      <c r="BF110" s="782"/>
      <c r="BG110" s="782"/>
      <c r="BH110" s="782"/>
      <c r="BI110" s="782"/>
      <c r="BJ110" s="782"/>
      <c r="BK110" s="782"/>
      <c r="BL110" s="782"/>
      <c r="BM110" s="782"/>
      <c r="BN110" s="782"/>
      <c r="BO110" s="782"/>
      <c r="BP110" s="782"/>
      <c r="BQ110" s="782"/>
      <c r="BR110" s="782"/>
      <c r="BS110" s="782"/>
      <c r="BT110" s="782"/>
      <c r="BU110" s="782"/>
      <c r="BV110" s="782"/>
      <c r="BW110" s="782"/>
      <c r="BX110" s="782"/>
      <c r="BY110" s="782"/>
      <c r="BZ110" s="782"/>
    </row>
    <row r="111" spans="39:78" s="143" customFormat="1">
      <c r="AM111" s="782"/>
      <c r="AN111" s="782"/>
      <c r="AO111" s="782"/>
      <c r="AP111" s="782"/>
      <c r="AQ111" s="782"/>
      <c r="AR111" s="782"/>
      <c r="AS111" s="782"/>
      <c r="AT111" s="782"/>
      <c r="AU111" s="782"/>
      <c r="AV111" s="782"/>
      <c r="AW111" s="782"/>
      <c r="AX111" s="782"/>
      <c r="AY111" s="782"/>
      <c r="AZ111" s="782"/>
      <c r="BA111" s="782"/>
      <c r="BB111" s="782"/>
      <c r="BC111" s="782"/>
      <c r="BD111" s="782"/>
      <c r="BE111" s="782"/>
      <c r="BF111" s="782"/>
      <c r="BG111" s="782"/>
      <c r="BH111" s="782"/>
      <c r="BI111" s="782"/>
      <c r="BJ111" s="782"/>
      <c r="BK111" s="782"/>
      <c r="BL111" s="782"/>
      <c r="BM111" s="782"/>
      <c r="BN111" s="782"/>
      <c r="BO111" s="782"/>
      <c r="BP111" s="782"/>
      <c r="BQ111" s="782"/>
      <c r="BR111" s="782"/>
      <c r="BS111" s="782"/>
      <c r="BT111" s="782"/>
      <c r="BU111" s="782"/>
      <c r="BV111" s="782"/>
      <c r="BW111" s="782"/>
      <c r="BX111" s="782"/>
      <c r="BY111" s="782"/>
      <c r="BZ111" s="782"/>
    </row>
    <row r="112" spans="39:78" s="143" customFormat="1">
      <c r="AM112" s="782"/>
      <c r="AN112" s="782"/>
      <c r="AO112" s="782"/>
      <c r="AP112" s="782"/>
      <c r="AQ112" s="782"/>
      <c r="AR112" s="782"/>
      <c r="AS112" s="782"/>
      <c r="AT112" s="782"/>
      <c r="AU112" s="782"/>
      <c r="AV112" s="782"/>
      <c r="AW112" s="782"/>
      <c r="AX112" s="782"/>
      <c r="AY112" s="782"/>
      <c r="AZ112" s="782"/>
      <c r="BA112" s="782"/>
      <c r="BB112" s="782"/>
      <c r="BC112" s="782"/>
      <c r="BD112" s="782"/>
      <c r="BE112" s="782"/>
      <c r="BF112" s="782"/>
      <c r="BG112" s="782"/>
      <c r="BH112" s="782"/>
      <c r="BI112" s="782"/>
      <c r="BJ112" s="782"/>
      <c r="BK112" s="782"/>
      <c r="BL112" s="782"/>
      <c r="BM112" s="782"/>
      <c r="BN112" s="782"/>
      <c r="BO112" s="782"/>
      <c r="BP112" s="782"/>
      <c r="BQ112" s="782"/>
      <c r="BR112" s="782"/>
      <c r="BS112" s="782"/>
      <c r="BT112" s="782"/>
      <c r="BU112" s="782"/>
      <c r="BV112" s="782"/>
      <c r="BW112" s="782"/>
      <c r="BX112" s="782"/>
      <c r="BY112" s="782"/>
      <c r="BZ112" s="782"/>
    </row>
    <row r="113" spans="39:78" s="143" customFormat="1">
      <c r="AM113" s="782"/>
      <c r="AN113" s="782"/>
      <c r="AO113" s="782"/>
      <c r="AP113" s="782"/>
      <c r="AQ113" s="782"/>
      <c r="AR113" s="782"/>
      <c r="AS113" s="782"/>
      <c r="AT113" s="782"/>
      <c r="AU113" s="782"/>
      <c r="AV113" s="782"/>
      <c r="AW113" s="782"/>
      <c r="AX113" s="782"/>
      <c r="AY113" s="782"/>
      <c r="AZ113" s="782"/>
      <c r="BA113" s="782"/>
      <c r="BB113" s="782"/>
      <c r="BC113" s="782"/>
      <c r="BD113" s="782"/>
      <c r="BE113" s="782"/>
      <c r="BF113" s="782"/>
      <c r="BG113" s="782"/>
      <c r="BH113" s="782"/>
      <c r="BI113" s="782"/>
      <c r="BJ113" s="782"/>
      <c r="BK113" s="782"/>
      <c r="BL113" s="782"/>
      <c r="BM113" s="782"/>
      <c r="BN113" s="782"/>
      <c r="BO113" s="782"/>
      <c r="BP113" s="782"/>
      <c r="BQ113" s="782"/>
      <c r="BR113" s="782"/>
      <c r="BS113" s="782"/>
      <c r="BT113" s="782"/>
      <c r="BU113" s="782"/>
      <c r="BV113" s="782"/>
      <c r="BW113" s="782"/>
      <c r="BX113" s="782"/>
      <c r="BY113" s="782"/>
      <c r="BZ113" s="782"/>
    </row>
    <row r="114" spans="39:78" s="143" customFormat="1">
      <c r="AM114" s="782"/>
      <c r="AN114" s="782"/>
      <c r="AO114" s="782"/>
      <c r="AP114" s="782"/>
      <c r="AQ114" s="782"/>
      <c r="AR114" s="782"/>
      <c r="AS114" s="782"/>
      <c r="AT114" s="782"/>
      <c r="AU114" s="782"/>
      <c r="AV114" s="782"/>
      <c r="AW114" s="782"/>
      <c r="AX114" s="782"/>
      <c r="AY114" s="782"/>
      <c r="AZ114" s="782"/>
      <c r="BA114" s="782"/>
      <c r="BB114" s="782"/>
      <c r="BC114" s="782"/>
      <c r="BD114" s="782"/>
      <c r="BE114" s="782"/>
      <c r="BF114" s="782"/>
      <c r="BG114" s="782"/>
      <c r="BH114" s="782"/>
      <c r="BI114" s="782"/>
      <c r="BJ114" s="782"/>
      <c r="BK114" s="782"/>
      <c r="BL114" s="782"/>
      <c r="BM114" s="782"/>
      <c r="BN114" s="782"/>
      <c r="BO114" s="782"/>
      <c r="BP114" s="782"/>
      <c r="BQ114" s="782"/>
      <c r="BR114" s="782"/>
      <c r="BS114" s="782"/>
      <c r="BT114" s="782"/>
      <c r="BU114" s="782"/>
      <c r="BV114" s="782"/>
      <c r="BW114" s="782"/>
      <c r="BX114" s="782"/>
      <c r="BY114" s="782"/>
      <c r="BZ114" s="782"/>
    </row>
    <row r="115" spans="39:78" s="143" customFormat="1">
      <c r="AM115" s="782"/>
      <c r="AN115" s="782"/>
      <c r="AO115" s="782"/>
      <c r="AP115" s="782"/>
      <c r="AQ115" s="782"/>
      <c r="AR115" s="782"/>
      <c r="AS115" s="782"/>
      <c r="AT115" s="782"/>
      <c r="AU115" s="782"/>
      <c r="AV115" s="782"/>
      <c r="AW115" s="782"/>
      <c r="AX115" s="782"/>
      <c r="AY115" s="782"/>
      <c r="AZ115" s="782"/>
      <c r="BA115" s="782"/>
      <c r="BB115" s="782"/>
      <c r="BC115" s="782"/>
      <c r="BD115" s="782"/>
      <c r="BE115" s="782"/>
      <c r="BF115" s="782"/>
      <c r="BG115" s="782"/>
      <c r="BH115" s="782"/>
      <c r="BI115" s="782"/>
      <c r="BJ115" s="782"/>
      <c r="BK115" s="782"/>
      <c r="BL115" s="782"/>
      <c r="BM115" s="782"/>
      <c r="BN115" s="782"/>
      <c r="BO115" s="782"/>
      <c r="BP115" s="782"/>
      <c r="BQ115" s="782"/>
      <c r="BR115" s="782"/>
      <c r="BS115" s="782"/>
      <c r="BT115" s="782"/>
      <c r="BU115" s="782"/>
      <c r="BV115" s="782"/>
      <c r="BW115" s="782"/>
      <c r="BX115" s="782"/>
      <c r="BY115" s="782"/>
      <c r="BZ115" s="782"/>
    </row>
    <row r="116" spans="39:78" s="143" customFormat="1">
      <c r="AM116" s="782"/>
      <c r="AN116" s="782"/>
      <c r="AO116" s="782"/>
      <c r="AP116" s="782"/>
      <c r="AQ116" s="782"/>
      <c r="AR116" s="782"/>
      <c r="AS116" s="782"/>
      <c r="AT116" s="782"/>
      <c r="AU116" s="782"/>
      <c r="AV116" s="782"/>
      <c r="AW116" s="782"/>
      <c r="AX116" s="782"/>
      <c r="AY116" s="782"/>
      <c r="AZ116" s="782"/>
      <c r="BA116" s="782"/>
      <c r="BB116" s="782"/>
      <c r="BC116" s="782"/>
      <c r="BD116" s="782"/>
      <c r="BE116" s="782"/>
      <c r="BF116" s="782"/>
      <c r="BG116" s="782"/>
      <c r="BH116" s="782"/>
      <c r="BI116" s="782"/>
      <c r="BJ116" s="782"/>
      <c r="BK116" s="782"/>
      <c r="BL116" s="782"/>
      <c r="BM116" s="782"/>
      <c r="BN116" s="782"/>
      <c r="BO116" s="782"/>
      <c r="BP116" s="782"/>
      <c r="BQ116" s="782"/>
      <c r="BR116" s="782"/>
      <c r="BS116" s="782"/>
      <c r="BT116" s="782"/>
      <c r="BU116" s="782"/>
      <c r="BV116" s="782"/>
      <c r="BW116" s="782"/>
      <c r="BX116" s="782"/>
      <c r="BY116" s="782"/>
      <c r="BZ116" s="782"/>
    </row>
    <row r="117" spans="39:78" s="143" customFormat="1">
      <c r="AM117" s="782"/>
      <c r="AN117" s="782"/>
      <c r="AO117" s="782"/>
      <c r="AP117" s="782"/>
      <c r="AQ117" s="782"/>
      <c r="AR117" s="782"/>
      <c r="AS117" s="782"/>
      <c r="AT117" s="782"/>
      <c r="AU117" s="782"/>
      <c r="AV117" s="782"/>
      <c r="AW117" s="782"/>
      <c r="AX117" s="782"/>
      <c r="AY117" s="782"/>
      <c r="AZ117" s="782"/>
      <c r="BA117" s="782"/>
      <c r="BB117" s="782"/>
      <c r="BC117" s="782"/>
      <c r="BD117" s="782"/>
      <c r="BE117" s="782"/>
      <c r="BF117" s="782"/>
      <c r="BG117" s="782"/>
      <c r="BH117" s="782"/>
      <c r="BI117" s="782"/>
      <c r="BJ117" s="782"/>
      <c r="BK117" s="782"/>
      <c r="BL117" s="782"/>
      <c r="BM117" s="782"/>
      <c r="BN117" s="782"/>
      <c r="BO117" s="782"/>
      <c r="BP117" s="782"/>
      <c r="BQ117" s="782"/>
      <c r="BR117" s="782"/>
      <c r="BS117" s="782"/>
      <c r="BT117" s="782"/>
      <c r="BU117" s="782"/>
      <c r="BV117" s="782"/>
      <c r="BW117" s="782"/>
      <c r="BX117" s="782"/>
      <c r="BY117" s="782"/>
      <c r="BZ117" s="782"/>
    </row>
    <row r="118" spans="39:78" s="143" customFormat="1">
      <c r="AM118" s="782"/>
      <c r="AN118" s="782"/>
      <c r="AO118" s="782"/>
      <c r="AP118" s="782"/>
      <c r="AQ118" s="782"/>
      <c r="AR118" s="782"/>
      <c r="AS118" s="782"/>
      <c r="AT118" s="782"/>
      <c r="AU118" s="782"/>
      <c r="AV118" s="782"/>
      <c r="AW118" s="782"/>
      <c r="AX118" s="782"/>
      <c r="AY118" s="782"/>
      <c r="AZ118" s="782"/>
      <c r="BA118" s="782"/>
      <c r="BB118" s="782"/>
      <c r="BC118" s="782"/>
      <c r="BD118" s="782"/>
      <c r="BE118" s="782"/>
      <c r="BF118" s="782"/>
      <c r="BG118" s="782"/>
      <c r="BH118" s="782"/>
      <c r="BI118" s="782"/>
      <c r="BJ118" s="782"/>
      <c r="BK118" s="782"/>
      <c r="BL118" s="782"/>
      <c r="BM118" s="782"/>
      <c r="BN118" s="782"/>
      <c r="BO118" s="782"/>
      <c r="BP118" s="782"/>
      <c r="BQ118" s="782"/>
      <c r="BR118" s="782"/>
      <c r="BS118" s="782"/>
      <c r="BT118" s="782"/>
      <c r="BU118" s="782"/>
      <c r="BV118" s="782"/>
      <c r="BW118" s="782"/>
      <c r="BX118" s="782"/>
      <c r="BY118" s="782"/>
      <c r="BZ118" s="782"/>
    </row>
    <row r="119" spans="39:78" s="143" customFormat="1">
      <c r="AM119" s="782"/>
      <c r="AN119" s="782"/>
      <c r="AO119" s="782"/>
      <c r="AP119" s="782"/>
      <c r="AQ119" s="782"/>
      <c r="AR119" s="782"/>
      <c r="AS119" s="782"/>
      <c r="AT119" s="782"/>
      <c r="AU119" s="782"/>
      <c r="AV119" s="782"/>
      <c r="AW119" s="782"/>
      <c r="AX119" s="782"/>
      <c r="AY119" s="782"/>
      <c r="AZ119" s="782"/>
      <c r="BA119" s="782"/>
      <c r="BB119" s="782"/>
      <c r="BC119" s="782"/>
      <c r="BD119" s="782"/>
      <c r="BE119" s="782"/>
      <c r="BF119" s="782"/>
      <c r="BG119" s="782"/>
      <c r="BH119" s="782"/>
      <c r="BI119" s="782"/>
      <c r="BJ119" s="782"/>
      <c r="BK119" s="782"/>
      <c r="BL119" s="782"/>
      <c r="BM119" s="782"/>
      <c r="BN119" s="782"/>
      <c r="BO119" s="782"/>
      <c r="BP119" s="782"/>
      <c r="BQ119" s="782"/>
      <c r="BR119" s="782"/>
      <c r="BS119" s="782"/>
      <c r="BT119" s="782"/>
      <c r="BU119" s="782"/>
      <c r="BV119" s="782"/>
      <c r="BW119" s="782"/>
      <c r="BX119" s="782"/>
      <c r="BY119" s="782"/>
      <c r="BZ119" s="782"/>
    </row>
    <row r="120" spans="39:78" s="143" customFormat="1">
      <c r="AM120" s="782"/>
      <c r="AN120" s="782"/>
      <c r="AO120" s="782"/>
      <c r="AP120" s="782"/>
      <c r="AQ120" s="782"/>
      <c r="AR120" s="782"/>
      <c r="AS120" s="782"/>
      <c r="AT120" s="782"/>
      <c r="AU120" s="782"/>
      <c r="AV120" s="782"/>
      <c r="AW120" s="782"/>
      <c r="AX120" s="782"/>
      <c r="AY120" s="782"/>
      <c r="AZ120" s="782"/>
      <c r="BA120" s="782"/>
      <c r="BB120" s="782"/>
      <c r="BC120" s="782"/>
      <c r="BD120" s="782"/>
      <c r="BE120" s="782"/>
      <c r="BF120" s="782"/>
      <c r="BG120" s="782"/>
      <c r="BH120" s="782"/>
      <c r="BI120" s="782"/>
      <c r="BJ120" s="782"/>
      <c r="BK120" s="782"/>
      <c r="BL120" s="782"/>
      <c r="BM120" s="782"/>
      <c r="BN120" s="782"/>
      <c r="BO120" s="782"/>
      <c r="BP120" s="782"/>
      <c r="BQ120" s="782"/>
      <c r="BR120" s="782"/>
      <c r="BS120" s="782"/>
      <c r="BT120" s="782"/>
      <c r="BU120" s="782"/>
      <c r="BV120" s="782"/>
      <c r="BW120" s="782"/>
      <c r="BX120" s="782"/>
      <c r="BY120" s="782"/>
      <c r="BZ120" s="782"/>
    </row>
    <row r="121" spans="39:78" s="143" customFormat="1">
      <c r="AM121" s="782"/>
      <c r="AN121" s="782"/>
      <c r="AO121" s="782"/>
      <c r="AP121" s="782"/>
      <c r="AQ121" s="782"/>
      <c r="AR121" s="782"/>
      <c r="AS121" s="782"/>
      <c r="AT121" s="782"/>
      <c r="AU121" s="782"/>
      <c r="AV121" s="782"/>
      <c r="AW121" s="782"/>
      <c r="AX121" s="782"/>
      <c r="AY121" s="782"/>
      <c r="AZ121" s="782"/>
      <c r="BA121" s="782"/>
      <c r="BB121" s="782"/>
      <c r="BC121" s="782"/>
      <c r="BD121" s="782"/>
      <c r="BE121" s="782"/>
      <c r="BF121" s="782"/>
      <c r="BG121" s="782"/>
      <c r="BH121" s="782"/>
      <c r="BI121" s="782"/>
      <c r="BJ121" s="782"/>
      <c r="BK121" s="782"/>
      <c r="BL121" s="782"/>
      <c r="BM121" s="782"/>
      <c r="BN121" s="782"/>
      <c r="BO121" s="782"/>
      <c r="BP121" s="782"/>
      <c r="BQ121" s="782"/>
      <c r="BR121" s="782"/>
      <c r="BS121" s="782"/>
      <c r="BT121" s="782"/>
      <c r="BU121" s="782"/>
      <c r="BV121" s="782"/>
      <c r="BW121" s="782"/>
      <c r="BX121" s="782"/>
      <c r="BY121" s="782"/>
      <c r="BZ121" s="782"/>
    </row>
    <row r="122" spans="39:78" s="143" customFormat="1">
      <c r="AM122" s="782"/>
      <c r="AN122" s="782"/>
      <c r="AO122" s="782"/>
      <c r="AP122" s="782"/>
      <c r="AQ122" s="782"/>
      <c r="AR122" s="782"/>
      <c r="AS122" s="782"/>
      <c r="AT122" s="782"/>
      <c r="AU122" s="782"/>
      <c r="AV122" s="782"/>
      <c r="AW122" s="782"/>
      <c r="AX122" s="782"/>
      <c r="AY122" s="782"/>
      <c r="AZ122" s="782"/>
      <c r="BA122" s="782"/>
      <c r="BB122" s="782"/>
      <c r="BC122" s="782"/>
      <c r="BD122" s="782"/>
      <c r="BE122" s="782"/>
      <c r="BF122" s="782"/>
      <c r="BG122" s="782"/>
      <c r="BH122" s="782"/>
      <c r="BI122" s="782"/>
      <c r="BJ122" s="782"/>
      <c r="BK122" s="782"/>
      <c r="BL122" s="782"/>
      <c r="BM122" s="782"/>
      <c r="BN122" s="782"/>
      <c r="BO122" s="782"/>
      <c r="BP122" s="782"/>
      <c r="BQ122" s="782"/>
      <c r="BR122" s="782"/>
      <c r="BS122" s="782"/>
      <c r="BT122" s="782"/>
      <c r="BU122" s="782"/>
      <c r="BV122" s="782"/>
      <c r="BW122" s="782"/>
      <c r="BX122" s="782"/>
      <c r="BY122" s="782"/>
      <c r="BZ122" s="782"/>
    </row>
    <row r="123" spans="39:78" s="143" customFormat="1">
      <c r="AM123" s="782"/>
      <c r="AN123" s="782"/>
      <c r="AO123" s="782"/>
      <c r="AP123" s="782"/>
      <c r="AQ123" s="782"/>
      <c r="AR123" s="782"/>
      <c r="AS123" s="782"/>
      <c r="AT123" s="782"/>
      <c r="AU123" s="782"/>
      <c r="AV123" s="782"/>
      <c r="AW123" s="782"/>
      <c r="AX123" s="782"/>
      <c r="AY123" s="782"/>
      <c r="AZ123" s="782"/>
      <c r="BA123" s="782"/>
      <c r="BB123" s="782"/>
      <c r="BC123" s="782"/>
      <c r="BD123" s="782"/>
      <c r="BE123" s="782"/>
      <c r="BF123" s="782"/>
      <c r="BG123" s="782"/>
      <c r="BH123" s="782"/>
      <c r="BI123" s="782"/>
      <c r="BJ123" s="782"/>
      <c r="BK123" s="782"/>
      <c r="BL123" s="782"/>
      <c r="BM123" s="782"/>
      <c r="BN123" s="782"/>
      <c r="BO123" s="782"/>
      <c r="BP123" s="782"/>
      <c r="BQ123" s="782"/>
      <c r="BR123" s="782"/>
      <c r="BS123" s="782"/>
      <c r="BT123" s="782"/>
      <c r="BU123" s="782"/>
      <c r="BV123" s="782"/>
      <c r="BW123" s="782"/>
      <c r="BX123" s="782"/>
      <c r="BY123" s="782"/>
      <c r="BZ123" s="782"/>
    </row>
    <row r="124" spans="39:78" s="143" customFormat="1">
      <c r="AM124" s="782"/>
      <c r="AN124" s="782"/>
      <c r="AO124" s="782"/>
      <c r="AP124" s="782"/>
      <c r="AQ124" s="782"/>
      <c r="AR124" s="782"/>
      <c r="AS124" s="782"/>
      <c r="AT124" s="782"/>
      <c r="AU124" s="782"/>
      <c r="AV124" s="782"/>
      <c r="AW124" s="782"/>
      <c r="AX124" s="782"/>
      <c r="AY124" s="782"/>
      <c r="AZ124" s="782"/>
      <c r="BA124" s="782"/>
      <c r="BB124" s="782"/>
      <c r="BC124" s="782"/>
      <c r="BD124" s="782"/>
      <c r="BE124" s="782"/>
      <c r="BF124" s="782"/>
      <c r="BG124" s="782"/>
      <c r="BH124" s="782"/>
      <c r="BI124" s="782"/>
      <c r="BJ124" s="782"/>
      <c r="BK124" s="782"/>
      <c r="BL124" s="782"/>
      <c r="BM124" s="782"/>
      <c r="BN124" s="782"/>
      <c r="BO124" s="782"/>
      <c r="BP124" s="782"/>
      <c r="BQ124" s="782"/>
      <c r="BR124" s="782"/>
      <c r="BS124" s="782"/>
      <c r="BT124" s="782"/>
      <c r="BU124" s="782"/>
      <c r="BV124" s="782"/>
      <c r="BW124" s="782"/>
      <c r="BX124" s="782"/>
      <c r="BY124" s="782"/>
      <c r="BZ124" s="782"/>
    </row>
    <row r="125" spans="39:78" s="143" customFormat="1">
      <c r="AM125" s="782"/>
      <c r="AN125" s="782"/>
      <c r="AO125" s="782"/>
      <c r="AP125" s="782"/>
      <c r="AQ125" s="782"/>
      <c r="AR125" s="782"/>
      <c r="AS125" s="782"/>
      <c r="AT125" s="782"/>
      <c r="AU125" s="782"/>
      <c r="AV125" s="782"/>
      <c r="AW125" s="782"/>
      <c r="AX125" s="782"/>
      <c r="AY125" s="782"/>
      <c r="AZ125" s="782"/>
      <c r="BA125" s="782"/>
      <c r="BB125" s="782"/>
      <c r="BC125" s="782"/>
      <c r="BD125" s="782"/>
      <c r="BE125" s="782"/>
      <c r="BF125" s="782"/>
      <c r="BG125" s="782"/>
      <c r="BH125" s="782"/>
      <c r="BI125" s="782"/>
      <c r="BJ125" s="782"/>
      <c r="BK125" s="782"/>
      <c r="BL125" s="782"/>
      <c r="BM125" s="782"/>
      <c r="BN125" s="782"/>
      <c r="BO125" s="782"/>
      <c r="BP125" s="782"/>
      <c r="BQ125" s="782"/>
      <c r="BR125" s="782"/>
      <c r="BS125" s="782"/>
      <c r="BT125" s="782"/>
      <c r="BU125" s="782"/>
      <c r="BV125" s="782"/>
      <c r="BW125" s="782"/>
      <c r="BX125" s="782"/>
      <c r="BY125" s="782"/>
      <c r="BZ125" s="782"/>
    </row>
    <row r="126" spans="39:78" s="143" customFormat="1">
      <c r="AM126" s="782"/>
      <c r="AN126" s="782"/>
      <c r="AO126" s="782"/>
      <c r="AP126" s="782"/>
      <c r="AQ126" s="782"/>
      <c r="AR126" s="782"/>
      <c r="AS126" s="782"/>
      <c r="AT126" s="782"/>
      <c r="AU126" s="782"/>
      <c r="AV126" s="782"/>
      <c r="AW126" s="782"/>
      <c r="AX126" s="782"/>
      <c r="AY126" s="782"/>
      <c r="AZ126" s="782"/>
      <c r="BA126" s="782"/>
      <c r="BB126" s="782"/>
      <c r="BC126" s="782"/>
      <c r="BD126" s="782"/>
      <c r="BE126" s="782"/>
      <c r="BF126" s="782"/>
      <c r="BG126" s="782"/>
      <c r="BH126" s="782"/>
      <c r="BI126" s="782"/>
      <c r="BJ126" s="782"/>
      <c r="BK126" s="782"/>
      <c r="BL126" s="782"/>
      <c r="BM126" s="782"/>
      <c r="BN126" s="782"/>
      <c r="BO126" s="782"/>
      <c r="BP126" s="782"/>
      <c r="BQ126" s="782"/>
      <c r="BR126" s="782"/>
      <c r="BS126" s="782"/>
      <c r="BT126" s="782"/>
      <c r="BU126" s="782"/>
      <c r="BV126" s="782"/>
      <c r="BW126" s="782"/>
      <c r="BX126" s="782"/>
      <c r="BY126" s="782"/>
      <c r="BZ126" s="782"/>
    </row>
    <row r="127" spans="39:78" s="143" customFormat="1">
      <c r="AM127" s="782"/>
      <c r="AN127" s="782"/>
      <c r="AO127" s="782"/>
      <c r="AP127" s="782"/>
      <c r="AQ127" s="782"/>
      <c r="AR127" s="782"/>
      <c r="AS127" s="782"/>
      <c r="AT127" s="782"/>
      <c r="AU127" s="782"/>
      <c r="AV127" s="782"/>
      <c r="AW127" s="782"/>
      <c r="AX127" s="782"/>
      <c r="AY127" s="782"/>
      <c r="AZ127" s="782"/>
      <c r="BA127" s="782"/>
      <c r="BB127" s="782"/>
      <c r="BC127" s="782"/>
      <c r="BD127" s="782"/>
      <c r="BE127" s="782"/>
      <c r="BF127" s="782"/>
      <c r="BG127" s="782"/>
      <c r="BH127" s="782"/>
      <c r="BI127" s="782"/>
      <c r="BJ127" s="782"/>
      <c r="BK127" s="782"/>
      <c r="BL127" s="782"/>
      <c r="BM127" s="782"/>
      <c r="BN127" s="782"/>
      <c r="BO127" s="782"/>
      <c r="BP127" s="782"/>
      <c r="BQ127" s="782"/>
      <c r="BR127" s="782"/>
      <c r="BS127" s="782"/>
      <c r="BT127" s="782"/>
      <c r="BU127" s="782"/>
      <c r="BV127" s="782"/>
      <c r="BW127" s="782"/>
      <c r="BX127" s="782"/>
      <c r="BY127" s="782"/>
      <c r="BZ127" s="782"/>
    </row>
    <row r="128" spans="39:78" s="143" customFormat="1">
      <c r="AM128" s="782"/>
      <c r="AN128" s="782"/>
      <c r="AO128" s="782"/>
      <c r="AP128" s="782"/>
      <c r="AQ128" s="782"/>
      <c r="AR128" s="782"/>
      <c r="AS128" s="782"/>
      <c r="AT128" s="782"/>
      <c r="AU128" s="782"/>
      <c r="AV128" s="782"/>
      <c r="AW128" s="782"/>
      <c r="AX128" s="782"/>
      <c r="AY128" s="782"/>
      <c r="AZ128" s="782"/>
      <c r="BA128" s="782"/>
      <c r="BB128" s="782"/>
      <c r="BC128" s="782"/>
      <c r="BD128" s="782"/>
      <c r="BE128" s="782"/>
      <c r="BF128" s="782"/>
      <c r="BG128" s="782"/>
      <c r="BH128" s="782"/>
      <c r="BI128" s="782"/>
      <c r="BJ128" s="782"/>
      <c r="BK128" s="782"/>
      <c r="BL128" s="782"/>
      <c r="BM128" s="782"/>
      <c r="BN128" s="782"/>
      <c r="BO128" s="782"/>
      <c r="BP128" s="782"/>
      <c r="BQ128" s="782"/>
      <c r="BR128" s="782"/>
      <c r="BS128" s="782"/>
      <c r="BT128" s="782"/>
      <c r="BU128" s="782"/>
      <c r="BV128" s="782"/>
      <c r="BW128" s="782"/>
      <c r="BX128" s="782"/>
      <c r="BY128" s="782"/>
      <c r="BZ128" s="782"/>
    </row>
    <row r="129" spans="39:78" s="143" customFormat="1">
      <c r="AM129" s="782"/>
      <c r="AN129" s="782"/>
      <c r="AO129" s="782"/>
      <c r="AP129" s="782"/>
      <c r="AQ129" s="782"/>
      <c r="AR129" s="782"/>
      <c r="AS129" s="782"/>
      <c r="AT129" s="782"/>
      <c r="AU129" s="782"/>
      <c r="AV129" s="782"/>
      <c r="AW129" s="782"/>
      <c r="AX129" s="782"/>
      <c r="AY129" s="782"/>
      <c r="AZ129" s="782"/>
      <c r="BA129" s="782"/>
      <c r="BB129" s="782"/>
      <c r="BC129" s="782"/>
      <c r="BD129" s="782"/>
      <c r="BE129" s="782"/>
      <c r="BF129" s="782"/>
      <c r="BG129" s="782"/>
      <c r="BH129" s="782"/>
      <c r="BI129" s="782"/>
      <c r="BJ129" s="782"/>
      <c r="BK129" s="782"/>
      <c r="BL129" s="782"/>
      <c r="BM129" s="782"/>
      <c r="BN129" s="782"/>
      <c r="BO129" s="782"/>
      <c r="BP129" s="782"/>
      <c r="BQ129" s="782"/>
      <c r="BR129" s="782"/>
      <c r="BS129" s="782"/>
      <c r="BT129" s="782"/>
      <c r="BU129" s="782"/>
      <c r="BV129" s="782"/>
      <c r="BW129" s="782"/>
      <c r="BX129" s="782"/>
      <c r="BY129" s="782"/>
      <c r="BZ129" s="782"/>
    </row>
    <row r="130" spans="39:78" s="143" customFormat="1">
      <c r="AM130" s="782"/>
      <c r="AN130" s="782"/>
      <c r="AO130" s="782"/>
      <c r="AP130" s="782"/>
      <c r="AQ130" s="782"/>
      <c r="AR130" s="782"/>
      <c r="AS130" s="782"/>
      <c r="AT130" s="782"/>
      <c r="AU130" s="782"/>
      <c r="AV130" s="782"/>
      <c r="AW130" s="782"/>
      <c r="AX130" s="782"/>
      <c r="AY130" s="782"/>
      <c r="AZ130" s="782"/>
      <c r="BA130" s="782"/>
      <c r="BB130" s="782"/>
      <c r="BC130" s="782"/>
      <c r="BD130" s="782"/>
      <c r="BE130" s="782"/>
      <c r="BF130" s="782"/>
      <c r="BG130" s="782"/>
      <c r="BH130" s="782"/>
      <c r="BI130" s="782"/>
      <c r="BJ130" s="782"/>
      <c r="BK130" s="782"/>
      <c r="BL130" s="782"/>
      <c r="BM130" s="782"/>
      <c r="BN130" s="782"/>
      <c r="BO130" s="782"/>
      <c r="BP130" s="782"/>
      <c r="BQ130" s="782"/>
      <c r="BR130" s="782"/>
      <c r="BS130" s="782"/>
      <c r="BT130" s="782"/>
      <c r="BU130" s="782"/>
      <c r="BV130" s="782"/>
      <c r="BW130" s="782"/>
      <c r="BX130" s="782"/>
      <c r="BY130" s="782"/>
      <c r="BZ130" s="782"/>
    </row>
    <row r="131" spans="39:78" s="143" customFormat="1">
      <c r="AM131" s="782"/>
      <c r="AN131" s="782"/>
      <c r="AO131" s="782"/>
      <c r="AP131" s="782"/>
      <c r="AQ131" s="782"/>
      <c r="AR131" s="782"/>
      <c r="AS131" s="782"/>
      <c r="AT131" s="782"/>
      <c r="AU131" s="782"/>
      <c r="AV131" s="782"/>
      <c r="AW131" s="782"/>
      <c r="AX131" s="782"/>
      <c r="AY131" s="782"/>
      <c r="AZ131" s="782"/>
      <c r="BA131" s="782"/>
      <c r="BB131" s="782"/>
      <c r="BC131" s="782"/>
      <c r="BD131" s="782"/>
      <c r="BE131" s="782"/>
      <c r="BF131" s="782"/>
      <c r="BG131" s="782"/>
      <c r="BH131" s="782"/>
      <c r="BI131" s="782"/>
      <c r="BJ131" s="782"/>
      <c r="BK131" s="782"/>
      <c r="BL131" s="782"/>
      <c r="BM131" s="782"/>
      <c r="BN131" s="782"/>
      <c r="BO131" s="782"/>
      <c r="BP131" s="782"/>
      <c r="BQ131" s="782"/>
      <c r="BR131" s="782"/>
      <c r="BS131" s="782"/>
      <c r="BT131" s="782"/>
      <c r="BU131" s="782"/>
      <c r="BV131" s="782"/>
      <c r="BW131" s="782"/>
      <c r="BX131" s="782"/>
      <c r="BY131" s="782"/>
      <c r="BZ131" s="782"/>
    </row>
    <row r="132" spans="39:78" s="143" customFormat="1">
      <c r="AM132" s="782"/>
      <c r="AN132" s="782"/>
      <c r="AO132" s="782"/>
      <c r="AP132" s="782"/>
      <c r="AQ132" s="782"/>
      <c r="AR132" s="782"/>
      <c r="AS132" s="782"/>
      <c r="AT132" s="782"/>
      <c r="AU132" s="782"/>
      <c r="AV132" s="782"/>
      <c r="AW132" s="782"/>
      <c r="AX132" s="782"/>
      <c r="AY132" s="782"/>
      <c r="AZ132" s="782"/>
      <c r="BA132" s="782"/>
      <c r="BB132" s="782"/>
      <c r="BC132" s="782"/>
      <c r="BD132" s="782"/>
      <c r="BE132" s="782"/>
      <c r="BF132" s="782"/>
      <c r="BG132" s="782"/>
      <c r="BH132" s="782"/>
      <c r="BI132" s="782"/>
      <c r="BJ132" s="782"/>
      <c r="BK132" s="782"/>
      <c r="BL132" s="782"/>
      <c r="BM132" s="782"/>
      <c r="BN132" s="782"/>
      <c r="BO132" s="782"/>
      <c r="BP132" s="782"/>
      <c r="BQ132" s="782"/>
      <c r="BR132" s="782"/>
      <c r="BS132" s="782"/>
      <c r="BT132" s="782"/>
      <c r="BU132" s="782"/>
      <c r="BV132" s="782"/>
      <c r="BW132" s="782"/>
      <c r="BX132" s="782"/>
      <c r="BY132" s="782"/>
      <c r="BZ132" s="782"/>
    </row>
    <row r="133" spans="39:78" s="143" customFormat="1">
      <c r="AM133" s="782"/>
      <c r="AN133" s="782"/>
      <c r="AO133" s="782"/>
      <c r="AP133" s="782"/>
      <c r="AQ133" s="782"/>
      <c r="AR133" s="782"/>
      <c r="AS133" s="782"/>
      <c r="AT133" s="782"/>
      <c r="AU133" s="782"/>
      <c r="AV133" s="782"/>
      <c r="AW133" s="782"/>
      <c r="AX133" s="782"/>
      <c r="AY133" s="782"/>
      <c r="AZ133" s="782"/>
      <c r="BA133" s="782"/>
      <c r="BB133" s="782"/>
      <c r="BC133" s="782"/>
      <c r="BD133" s="782"/>
      <c r="BE133" s="782"/>
      <c r="BF133" s="782"/>
      <c r="BG133" s="782"/>
      <c r="BH133" s="782"/>
      <c r="BI133" s="782"/>
      <c r="BJ133" s="782"/>
      <c r="BK133" s="782"/>
      <c r="BL133" s="782"/>
      <c r="BM133" s="782"/>
      <c r="BN133" s="782"/>
      <c r="BO133" s="782"/>
      <c r="BP133" s="782"/>
      <c r="BQ133" s="782"/>
      <c r="BR133" s="782"/>
      <c r="BS133" s="782"/>
      <c r="BT133" s="782"/>
      <c r="BU133" s="782"/>
      <c r="BV133" s="782"/>
      <c r="BW133" s="782"/>
      <c r="BX133" s="782"/>
      <c r="BY133" s="782"/>
      <c r="BZ133" s="782"/>
    </row>
    <row r="134" spans="39:78" s="143" customFormat="1">
      <c r="AM134" s="782"/>
      <c r="AN134" s="782"/>
      <c r="AO134" s="782"/>
      <c r="AP134" s="782"/>
      <c r="AQ134" s="782"/>
      <c r="AR134" s="782"/>
      <c r="AS134" s="782"/>
      <c r="AT134" s="782"/>
      <c r="AU134" s="782"/>
      <c r="AV134" s="782"/>
      <c r="AW134" s="782"/>
      <c r="AX134" s="782"/>
      <c r="AY134" s="782"/>
      <c r="AZ134" s="782"/>
      <c r="BA134" s="782"/>
      <c r="BB134" s="782"/>
      <c r="BC134" s="782"/>
      <c r="BD134" s="782"/>
      <c r="BE134" s="782"/>
      <c r="BF134" s="782"/>
      <c r="BG134" s="782"/>
      <c r="BH134" s="782"/>
      <c r="BI134" s="782"/>
      <c r="BJ134" s="782"/>
      <c r="BK134" s="782"/>
      <c r="BL134" s="782"/>
      <c r="BM134" s="782"/>
      <c r="BN134" s="782"/>
      <c r="BO134" s="782"/>
      <c r="BP134" s="782"/>
      <c r="BQ134" s="782"/>
      <c r="BR134" s="782"/>
      <c r="BS134" s="782"/>
      <c r="BT134" s="782"/>
      <c r="BU134" s="782"/>
      <c r="BV134" s="782"/>
      <c r="BW134" s="782"/>
      <c r="BX134" s="782"/>
      <c r="BY134" s="782"/>
      <c r="BZ134" s="782"/>
    </row>
    <row r="135" spans="39:78" s="143" customFormat="1">
      <c r="AM135" s="782"/>
      <c r="AN135" s="782"/>
      <c r="AO135" s="782"/>
      <c r="AP135" s="782"/>
      <c r="AQ135" s="782"/>
      <c r="AR135" s="782"/>
      <c r="AS135" s="782"/>
      <c r="AT135" s="782"/>
      <c r="AU135" s="782"/>
      <c r="AV135" s="782"/>
      <c r="AW135" s="782"/>
      <c r="AX135" s="782"/>
      <c r="AY135" s="782"/>
      <c r="AZ135" s="782"/>
      <c r="BA135" s="782"/>
      <c r="BB135" s="782"/>
      <c r="BC135" s="782"/>
      <c r="BD135" s="782"/>
      <c r="BE135" s="782"/>
      <c r="BF135" s="782"/>
      <c r="BG135" s="782"/>
      <c r="BH135" s="782"/>
      <c r="BI135" s="782"/>
      <c r="BJ135" s="782"/>
      <c r="BK135" s="782"/>
      <c r="BL135" s="782"/>
      <c r="BM135" s="782"/>
      <c r="BN135" s="782"/>
      <c r="BO135" s="782"/>
      <c r="BP135" s="782"/>
      <c r="BQ135" s="782"/>
      <c r="BR135" s="782"/>
      <c r="BS135" s="782"/>
      <c r="BT135" s="782"/>
      <c r="BU135" s="782"/>
      <c r="BV135" s="782"/>
      <c r="BW135" s="782"/>
      <c r="BX135" s="782"/>
      <c r="BY135" s="782"/>
      <c r="BZ135" s="782"/>
    </row>
    <row r="136" spans="39:78" s="143" customFormat="1">
      <c r="AM136" s="782"/>
      <c r="AN136" s="782"/>
      <c r="AO136" s="782"/>
      <c r="AP136" s="782"/>
      <c r="AQ136" s="782"/>
      <c r="AR136" s="782"/>
      <c r="AS136" s="782"/>
      <c r="AT136" s="782"/>
      <c r="AU136" s="782"/>
      <c r="AV136" s="782"/>
      <c r="AW136" s="782"/>
      <c r="AX136" s="782"/>
      <c r="AY136" s="782"/>
      <c r="AZ136" s="782"/>
      <c r="BA136" s="782"/>
      <c r="BB136" s="782"/>
      <c r="BC136" s="782"/>
      <c r="BD136" s="782"/>
      <c r="BE136" s="782"/>
      <c r="BF136" s="782"/>
      <c r="BG136" s="782"/>
      <c r="BH136" s="782"/>
      <c r="BI136" s="782"/>
      <c r="BJ136" s="782"/>
      <c r="BK136" s="782"/>
      <c r="BL136" s="782"/>
      <c r="BM136" s="782"/>
      <c r="BN136" s="782"/>
      <c r="BO136" s="782"/>
      <c r="BP136" s="782"/>
      <c r="BQ136" s="782"/>
      <c r="BR136" s="782"/>
      <c r="BS136" s="782"/>
      <c r="BT136" s="782"/>
      <c r="BU136" s="782"/>
      <c r="BV136" s="782"/>
      <c r="BW136" s="782"/>
      <c r="BX136" s="782"/>
      <c r="BY136" s="782"/>
      <c r="BZ136" s="782"/>
    </row>
    <row r="137" spans="39:78" s="143" customFormat="1">
      <c r="AM137" s="782"/>
      <c r="AN137" s="782"/>
      <c r="AO137" s="782"/>
      <c r="AP137" s="782"/>
      <c r="AQ137" s="782"/>
      <c r="AR137" s="782"/>
      <c r="AS137" s="782"/>
      <c r="AT137" s="782"/>
      <c r="AU137" s="782"/>
      <c r="AV137" s="782"/>
      <c r="AW137" s="782"/>
      <c r="AX137" s="782"/>
      <c r="AY137" s="782"/>
      <c r="AZ137" s="782"/>
      <c r="BA137" s="782"/>
      <c r="BB137" s="782"/>
      <c r="BC137" s="782"/>
      <c r="BD137" s="782"/>
      <c r="BE137" s="782"/>
      <c r="BF137" s="782"/>
      <c r="BG137" s="782"/>
      <c r="BH137" s="782"/>
      <c r="BI137" s="782"/>
      <c r="BJ137" s="782"/>
      <c r="BK137" s="782"/>
      <c r="BL137" s="782"/>
      <c r="BM137" s="782"/>
      <c r="BN137" s="782"/>
      <c r="BO137" s="782"/>
      <c r="BP137" s="782"/>
      <c r="BQ137" s="782"/>
      <c r="BR137" s="782"/>
      <c r="BS137" s="782"/>
      <c r="BT137" s="782"/>
      <c r="BU137" s="782"/>
      <c r="BV137" s="782"/>
      <c r="BW137" s="782"/>
      <c r="BX137" s="782"/>
      <c r="BY137" s="782"/>
      <c r="BZ137" s="782"/>
    </row>
    <row r="138" spans="39:78" s="143" customFormat="1">
      <c r="AM138" s="782"/>
      <c r="AN138" s="782"/>
      <c r="AO138" s="782"/>
      <c r="AP138" s="782"/>
      <c r="AQ138" s="782"/>
      <c r="AR138" s="782"/>
      <c r="AS138" s="782"/>
      <c r="AT138" s="782"/>
      <c r="AU138" s="782"/>
      <c r="AV138" s="782"/>
      <c r="AW138" s="782"/>
      <c r="AX138" s="782"/>
      <c r="AY138" s="782"/>
      <c r="AZ138" s="782"/>
      <c r="BA138" s="782"/>
      <c r="BB138" s="782"/>
      <c r="BC138" s="782"/>
      <c r="BD138" s="782"/>
      <c r="BE138" s="782"/>
      <c r="BF138" s="782"/>
      <c r="BG138" s="782"/>
      <c r="BH138" s="782"/>
      <c r="BI138" s="782"/>
      <c r="BJ138" s="782"/>
      <c r="BK138" s="782"/>
      <c r="BL138" s="782"/>
      <c r="BM138" s="782"/>
      <c r="BN138" s="782"/>
      <c r="BO138" s="782"/>
      <c r="BP138" s="782"/>
      <c r="BQ138" s="782"/>
      <c r="BR138" s="782"/>
      <c r="BS138" s="782"/>
      <c r="BT138" s="782"/>
      <c r="BU138" s="782"/>
      <c r="BV138" s="782"/>
      <c r="BW138" s="782"/>
      <c r="BX138" s="782"/>
      <c r="BY138" s="782"/>
      <c r="BZ138" s="782"/>
    </row>
    <row r="139" spans="39:78" s="143" customFormat="1">
      <c r="AM139" s="782"/>
      <c r="AN139" s="782"/>
      <c r="AO139" s="782"/>
      <c r="AP139" s="782"/>
      <c r="AQ139" s="782"/>
      <c r="AR139" s="782"/>
      <c r="AS139" s="782"/>
      <c r="AT139" s="782"/>
      <c r="AU139" s="782"/>
      <c r="AV139" s="782"/>
      <c r="AW139" s="782"/>
      <c r="AX139" s="782"/>
      <c r="AY139" s="782"/>
      <c r="AZ139" s="782"/>
      <c r="BA139" s="782"/>
      <c r="BB139" s="782"/>
      <c r="BC139" s="782"/>
      <c r="BD139" s="782"/>
      <c r="BE139" s="782"/>
      <c r="BF139" s="782"/>
      <c r="BG139" s="782"/>
      <c r="BH139" s="782"/>
      <c r="BI139" s="782"/>
      <c r="BJ139" s="782"/>
      <c r="BK139" s="782"/>
      <c r="BL139" s="782"/>
      <c r="BM139" s="782"/>
      <c r="BN139" s="782"/>
      <c r="BO139" s="782"/>
      <c r="BP139" s="782"/>
      <c r="BQ139" s="782"/>
      <c r="BR139" s="782"/>
      <c r="BS139" s="782"/>
      <c r="BT139" s="782"/>
      <c r="BU139" s="782"/>
      <c r="BV139" s="782"/>
      <c r="BW139" s="782"/>
      <c r="BX139" s="782"/>
      <c r="BY139" s="782"/>
      <c r="BZ139" s="782"/>
    </row>
    <row r="140" spans="39:78" s="143" customFormat="1">
      <c r="AM140" s="782"/>
      <c r="AN140" s="782"/>
      <c r="AO140" s="782"/>
      <c r="AP140" s="782"/>
      <c r="AQ140" s="782"/>
      <c r="AR140" s="782"/>
      <c r="AS140" s="782"/>
      <c r="AT140" s="782"/>
      <c r="AU140" s="782"/>
      <c r="AV140" s="782"/>
      <c r="AW140" s="782"/>
      <c r="AX140" s="782"/>
      <c r="AY140" s="782"/>
      <c r="AZ140" s="782"/>
      <c r="BA140" s="782"/>
      <c r="BB140" s="782"/>
      <c r="BC140" s="782"/>
      <c r="BD140" s="782"/>
      <c r="BE140" s="782"/>
      <c r="BF140" s="782"/>
      <c r="BG140" s="782"/>
      <c r="BH140" s="782"/>
      <c r="BI140" s="782"/>
      <c r="BJ140" s="782"/>
      <c r="BK140" s="782"/>
      <c r="BL140" s="782"/>
      <c r="BM140" s="782"/>
      <c r="BN140" s="782"/>
      <c r="BO140" s="782"/>
      <c r="BP140" s="782"/>
      <c r="BQ140" s="782"/>
      <c r="BR140" s="782"/>
      <c r="BS140" s="782"/>
      <c r="BT140" s="782"/>
      <c r="BU140" s="782"/>
      <c r="BV140" s="782"/>
      <c r="BW140" s="782"/>
      <c r="BX140" s="782"/>
      <c r="BY140" s="782"/>
      <c r="BZ140" s="782"/>
    </row>
    <row r="141" spans="39:78" s="143" customFormat="1">
      <c r="AM141" s="782"/>
      <c r="AN141" s="782"/>
      <c r="AO141" s="782"/>
      <c r="AP141" s="782"/>
      <c r="AQ141" s="782"/>
      <c r="AR141" s="782"/>
      <c r="AS141" s="782"/>
      <c r="AT141" s="782"/>
      <c r="AU141" s="782"/>
      <c r="AV141" s="782"/>
      <c r="AW141" s="782"/>
      <c r="AX141" s="782"/>
      <c r="AY141" s="782"/>
      <c r="AZ141" s="782"/>
      <c r="BA141" s="782"/>
      <c r="BB141" s="782"/>
      <c r="BC141" s="782"/>
      <c r="BD141" s="782"/>
      <c r="BE141" s="782"/>
      <c r="BF141" s="782"/>
      <c r="BG141" s="782"/>
      <c r="BH141" s="782"/>
      <c r="BI141" s="782"/>
      <c r="BJ141" s="782"/>
      <c r="BK141" s="782"/>
      <c r="BL141" s="782"/>
      <c r="BM141" s="782"/>
      <c r="BN141" s="782"/>
      <c r="BO141" s="782"/>
      <c r="BP141" s="782"/>
      <c r="BQ141" s="782"/>
      <c r="BR141" s="782"/>
      <c r="BS141" s="782"/>
      <c r="BT141" s="782"/>
      <c r="BU141" s="782"/>
      <c r="BV141" s="782"/>
      <c r="BW141" s="782"/>
      <c r="BX141" s="782"/>
      <c r="BY141" s="782"/>
      <c r="BZ141" s="782"/>
    </row>
    <row r="142" spans="39:78" s="143" customFormat="1">
      <c r="AM142" s="782"/>
      <c r="AN142" s="782"/>
      <c r="AO142" s="782"/>
      <c r="AP142" s="782"/>
      <c r="AQ142" s="782"/>
      <c r="AR142" s="782"/>
      <c r="AS142" s="782"/>
      <c r="AT142" s="782"/>
      <c r="AU142" s="782"/>
      <c r="AV142" s="782"/>
      <c r="AW142" s="782"/>
      <c r="AX142" s="782"/>
      <c r="AY142" s="782"/>
      <c r="AZ142" s="782"/>
      <c r="BA142" s="782"/>
      <c r="BB142" s="782"/>
      <c r="BC142" s="782"/>
      <c r="BD142" s="782"/>
      <c r="BE142" s="782"/>
      <c r="BF142" s="782"/>
      <c r="BG142" s="782"/>
      <c r="BH142" s="782"/>
      <c r="BI142" s="782"/>
      <c r="BJ142" s="782"/>
      <c r="BK142" s="782"/>
      <c r="BL142" s="782"/>
      <c r="BM142" s="782"/>
      <c r="BN142" s="782"/>
      <c r="BO142" s="782"/>
      <c r="BP142" s="782"/>
      <c r="BQ142" s="782"/>
      <c r="BR142" s="782"/>
      <c r="BS142" s="782"/>
      <c r="BT142" s="782"/>
      <c r="BU142" s="782"/>
      <c r="BV142" s="782"/>
      <c r="BW142" s="782"/>
      <c r="BX142" s="782"/>
      <c r="BY142" s="782"/>
      <c r="BZ142" s="782"/>
    </row>
    <row r="143" spans="39:78" s="143" customFormat="1">
      <c r="AM143" s="782"/>
      <c r="AN143" s="782"/>
      <c r="AO143" s="782"/>
      <c r="AP143" s="782"/>
      <c r="AQ143" s="782"/>
      <c r="AR143" s="782"/>
      <c r="AS143" s="782"/>
      <c r="AT143" s="782"/>
      <c r="AU143" s="782"/>
      <c r="AV143" s="782"/>
      <c r="AW143" s="782"/>
      <c r="AX143" s="782"/>
      <c r="AY143" s="782"/>
      <c r="AZ143" s="782"/>
      <c r="BA143" s="782"/>
      <c r="BB143" s="782"/>
      <c r="BC143" s="782"/>
      <c r="BD143" s="782"/>
      <c r="BE143" s="782"/>
      <c r="BF143" s="782"/>
      <c r="BG143" s="782"/>
      <c r="BH143" s="782"/>
      <c r="BI143" s="782"/>
      <c r="BJ143" s="782"/>
      <c r="BK143" s="782"/>
      <c r="BL143" s="782"/>
      <c r="BM143" s="782"/>
      <c r="BN143" s="782"/>
      <c r="BO143" s="782"/>
      <c r="BP143" s="782"/>
      <c r="BQ143" s="782"/>
      <c r="BR143" s="782"/>
      <c r="BS143" s="782"/>
      <c r="BT143" s="782"/>
      <c r="BU143" s="782"/>
      <c r="BV143" s="782"/>
      <c r="BW143" s="782"/>
      <c r="BX143" s="782"/>
      <c r="BY143" s="782"/>
      <c r="BZ143" s="782"/>
    </row>
    <row r="144" spans="39:78" s="143" customFormat="1">
      <c r="AM144" s="782"/>
      <c r="AN144" s="782"/>
      <c r="AO144" s="782"/>
      <c r="AP144" s="782"/>
      <c r="AQ144" s="782"/>
      <c r="AR144" s="782"/>
      <c r="AS144" s="782"/>
      <c r="AT144" s="782"/>
      <c r="AU144" s="782"/>
      <c r="AV144" s="782"/>
      <c r="AW144" s="782"/>
      <c r="AX144" s="782"/>
      <c r="AY144" s="782"/>
      <c r="AZ144" s="782"/>
      <c r="BA144" s="782"/>
      <c r="BB144" s="782"/>
      <c r="BC144" s="782"/>
      <c r="BD144" s="782"/>
      <c r="BE144" s="782"/>
      <c r="BF144" s="782"/>
      <c r="BG144" s="782"/>
      <c r="BH144" s="782"/>
      <c r="BI144" s="782"/>
      <c r="BJ144" s="782"/>
      <c r="BK144" s="782"/>
      <c r="BL144" s="782"/>
      <c r="BM144" s="782"/>
      <c r="BN144" s="782"/>
      <c r="BO144" s="782"/>
      <c r="BP144" s="782"/>
      <c r="BQ144" s="782"/>
      <c r="BR144" s="782"/>
      <c r="BS144" s="782"/>
      <c r="BT144" s="782"/>
      <c r="BU144" s="782"/>
      <c r="BV144" s="782"/>
      <c r="BW144" s="782"/>
      <c r="BX144" s="782"/>
      <c r="BY144" s="782"/>
      <c r="BZ144" s="782"/>
    </row>
    <row r="145" spans="39:78" s="143" customFormat="1">
      <c r="AM145" s="782"/>
      <c r="AN145" s="782"/>
      <c r="AO145" s="782"/>
      <c r="AP145" s="782"/>
      <c r="AQ145" s="782"/>
      <c r="AR145" s="782"/>
      <c r="AS145" s="782"/>
      <c r="AT145" s="782"/>
      <c r="AU145" s="782"/>
      <c r="AV145" s="782"/>
      <c r="AW145" s="782"/>
      <c r="AX145" s="782"/>
      <c r="AY145" s="782"/>
      <c r="AZ145" s="782"/>
      <c r="BA145" s="782"/>
      <c r="BB145" s="782"/>
      <c r="BC145" s="782"/>
      <c r="BD145" s="782"/>
      <c r="BE145" s="782"/>
      <c r="BF145" s="782"/>
      <c r="BG145" s="782"/>
      <c r="BH145" s="782"/>
      <c r="BI145" s="782"/>
      <c r="BJ145" s="782"/>
      <c r="BK145" s="782"/>
      <c r="BL145" s="782"/>
      <c r="BM145" s="782"/>
      <c r="BN145" s="782"/>
      <c r="BO145" s="782"/>
      <c r="BP145" s="782"/>
      <c r="BQ145" s="782"/>
      <c r="BR145" s="782"/>
      <c r="BS145" s="782"/>
      <c r="BT145" s="782"/>
      <c r="BU145" s="782"/>
      <c r="BV145" s="782"/>
      <c r="BW145" s="782"/>
      <c r="BX145" s="782"/>
      <c r="BY145" s="782"/>
      <c r="BZ145" s="782"/>
    </row>
    <row r="146" spans="39:78" s="143" customFormat="1">
      <c r="AM146" s="782"/>
      <c r="AN146" s="782"/>
      <c r="AO146" s="782"/>
      <c r="AP146" s="782"/>
      <c r="AQ146" s="782"/>
      <c r="AR146" s="782"/>
      <c r="AS146" s="782"/>
      <c r="AT146" s="782"/>
      <c r="AU146" s="782"/>
      <c r="AV146" s="782"/>
      <c r="AW146" s="782"/>
      <c r="AX146" s="782"/>
      <c r="AY146" s="782"/>
      <c r="AZ146" s="782"/>
      <c r="BA146" s="782"/>
      <c r="BB146" s="782"/>
      <c r="BC146" s="782"/>
      <c r="BD146" s="782"/>
      <c r="BE146" s="782"/>
      <c r="BF146" s="782"/>
      <c r="BG146" s="782"/>
      <c r="BH146" s="782"/>
      <c r="BI146" s="782"/>
      <c r="BJ146" s="782"/>
      <c r="BK146" s="782"/>
      <c r="BL146" s="782"/>
      <c r="BM146" s="782"/>
      <c r="BN146" s="782"/>
      <c r="BO146" s="782"/>
      <c r="BP146" s="782"/>
      <c r="BQ146" s="782"/>
      <c r="BR146" s="782"/>
      <c r="BS146" s="782"/>
      <c r="BT146" s="782"/>
      <c r="BU146" s="782"/>
      <c r="BV146" s="782"/>
      <c r="BW146" s="782"/>
      <c r="BX146" s="782"/>
      <c r="BY146" s="782"/>
      <c r="BZ146" s="782"/>
    </row>
    <row r="147" spans="39:78" s="143" customFormat="1">
      <c r="AM147" s="782"/>
      <c r="AN147" s="782"/>
      <c r="AO147" s="782"/>
      <c r="AP147" s="782"/>
      <c r="AQ147" s="782"/>
      <c r="AR147" s="782"/>
      <c r="AS147" s="782"/>
      <c r="AT147" s="782"/>
      <c r="AU147" s="782"/>
      <c r="AV147" s="782"/>
      <c r="AW147" s="782"/>
      <c r="AX147" s="782"/>
      <c r="AY147" s="782"/>
      <c r="AZ147" s="782"/>
      <c r="BA147" s="782"/>
      <c r="BB147" s="782"/>
      <c r="BC147" s="782"/>
      <c r="BD147" s="782"/>
      <c r="BE147" s="782"/>
      <c r="BF147" s="782"/>
      <c r="BG147" s="782"/>
      <c r="BH147" s="782"/>
      <c r="BI147" s="782"/>
      <c r="BJ147" s="782"/>
      <c r="BK147" s="782"/>
      <c r="BL147" s="782"/>
      <c r="BM147" s="782"/>
      <c r="BN147" s="782"/>
      <c r="BO147" s="782"/>
      <c r="BP147" s="782"/>
      <c r="BQ147" s="782"/>
      <c r="BR147" s="782"/>
      <c r="BS147" s="782"/>
      <c r="BT147" s="782"/>
      <c r="BU147" s="782"/>
      <c r="BV147" s="782"/>
      <c r="BW147" s="782"/>
      <c r="BX147" s="782"/>
      <c r="BY147" s="782"/>
      <c r="BZ147" s="782"/>
    </row>
    <row r="148" spans="39:78" s="143" customFormat="1">
      <c r="AM148" s="782"/>
      <c r="AN148" s="782"/>
      <c r="AO148" s="782"/>
      <c r="AP148" s="782"/>
      <c r="AQ148" s="782"/>
      <c r="AR148" s="782"/>
      <c r="AS148" s="782"/>
      <c r="AT148" s="782"/>
      <c r="AU148" s="782"/>
      <c r="AV148" s="782"/>
      <c r="AW148" s="782"/>
      <c r="AX148" s="782"/>
      <c r="AY148" s="782"/>
      <c r="AZ148" s="782"/>
      <c r="BA148" s="782"/>
      <c r="BB148" s="782"/>
      <c r="BC148" s="782"/>
      <c r="BD148" s="782"/>
      <c r="BE148" s="782"/>
      <c r="BF148" s="782"/>
      <c r="BG148" s="782"/>
      <c r="BH148" s="782"/>
      <c r="BI148" s="782"/>
      <c r="BJ148" s="782"/>
      <c r="BK148" s="782"/>
      <c r="BL148" s="782"/>
      <c r="BM148" s="782"/>
      <c r="BN148" s="782"/>
      <c r="BO148" s="782"/>
      <c r="BP148" s="782"/>
      <c r="BQ148" s="782"/>
      <c r="BR148" s="782"/>
      <c r="BS148" s="782"/>
      <c r="BT148" s="782"/>
      <c r="BU148" s="782"/>
      <c r="BV148" s="782"/>
      <c r="BW148" s="782"/>
      <c r="BX148" s="782"/>
      <c r="BY148" s="782"/>
      <c r="BZ148" s="782"/>
    </row>
    <row r="149" spans="39:78" s="143" customFormat="1">
      <c r="AM149" s="782"/>
      <c r="AN149" s="782"/>
      <c r="AO149" s="782"/>
      <c r="AP149" s="782"/>
      <c r="AQ149" s="782"/>
      <c r="AR149" s="782"/>
      <c r="AS149" s="782"/>
      <c r="AT149" s="782"/>
      <c r="AU149" s="782"/>
      <c r="AV149" s="782"/>
      <c r="AW149" s="782"/>
      <c r="AX149" s="782"/>
      <c r="AY149" s="782"/>
      <c r="AZ149" s="782"/>
      <c r="BA149" s="782"/>
      <c r="BB149" s="782"/>
      <c r="BC149" s="782"/>
      <c r="BD149" s="782"/>
      <c r="BE149" s="782"/>
      <c r="BF149" s="782"/>
      <c r="BG149" s="782"/>
      <c r="BH149" s="782"/>
      <c r="BI149" s="782"/>
      <c r="BJ149" s="782"/>
      <c r="BK149" s="782"/>
      <c r="BL149" s="782"/>
      <c r="BM149" s="782"/>
      <c r="BN149" s="782"/>
      <c r="BO149" s="782"/>
      <c r="BP149" s="782"/>
      <c r="BQ149" s="782"/>
      <c r="BR149" s="782"/>
      <c r="BS149" s="782"/>
      <c r="BT149" s="782"/>
      <c r="BU149" s="782"/>
      <c r="BV149" s="782"/>
      <c r="BW149" s="782"/>
      <c r="BX149" s="782"/>
      <c r="BY149" s="782"/>
      <c r="BZ149" s="782"/>
    </row>
    <row r="150" spans="39:78" s="143" customFormat="1">
      <c r="AM150" s="782"/>
      <c r="AN150" s="782"/>
      <c r="AO150" s="782"/>
      <c r="AP150" s="782"/>
      <c r="AQ150" s="782"/>
      <c r="AR150" s="782"/>
      <c r="AS150" s="782"/>
      <c r="AT150" s="782"/>
      <c r="AU150" s="782"/>
      <c r="AV150" s="782"/>
      <c r="AW150" s="782"/>
      <c r="AX150" s="782"/>
      <c r="AY150" s="782"/>
      <c r="AZ150" s="782"/>
      <c r="BA150" s="782"/>
      <c r="BB150" s="782"/>
      <c r="BC150" s="782"/>
      <c r="BD150" s="782"/>
      <c r="BE150" s="782"/>
      <c r="BF150" s="782"/>
      <c r="BG150" s="782"/>
      <c r="BH150" s="782"/>
      <c r="BI150" s="782"/>
      <c r="BJ150" s="782"/>
      <c r="BK150" s="782"/>
      <c r="BL150" s="782"/>
      <c r="BM150" s="782"/>
      <c r="BN150" s="782"/>
      <c r="BO150" s="782"/>
      <c r="BP150" s="782"/>
      <c r="BQ150" s="782"/>
      <c r="BR150" s="782"/>
      <c r="BS150" s="782"/>
      <c r="BT150" s="782"/>
      <c r="BU150" s="782"/>
      <c r="BV150" s="782"/>
      <c r="BW150" s="782"/>
      <c r="BX150" s="782"/>
      <c r="BY150" s="782"/>
      <c r="BZ150" s="782"/>
    </row>
    <row r="151" spans="39:78" s="143" customFormat="1">
      <c r="AM151" s="782"/>
      <c r="AN151" s="782"/>
      <c r="AO151" s="782"/>
      <c r="AP151" s="782"/>
      <c r="AQ151" s="782"/>
      <c r="AR151" s="782"/>
      <c r="AS151" s="782"/>
      <c r="AT151" s="782"/>
      <c r="AU151" s="782"/>
      <c r="AV151" s="782"/>
      <c r="AW151" s="782"/>
      <c r="AX151" s="782"/>
      <c r="AY151" s="782"/>
      <c r="AZ151" s="782"/>
      <c r="BA151" s="782"/>
      <c r="BB151" s="782"/>
      <c r="BC151" s="782"/>
      <c r="BD151" s="782"/>
      <c r="BE151" s="782"/>
      <c r="BF151" s="782"/>
      <c r="BG151" s="782"/>
      <c r="BH151" s="782"/>
      <c r="BI151" s="782"/>
      <c r="BJ151" s="782"/>
      <c r="BK151" s="782"/>
      <c r="BL151" s="782"/>
      <c r="BM151" s="782"/>
      <c r="BN151" s="782"/>
      <c r="BO151" s="782"/>
      <c r="BP151" s="782"/>
      <c r="BQ151" s="782"/>
      <c r="BR151" s="782"/>
      <c r="BS151" s="782"/>
      <c r="BT151" s="782"/>
      <c r="BU151" s="782"/>
      <c r="BV151" s="782"/>
      <c r="BW151" s="782"/>
      <c r="BX151" s="782"/>
      <c r="BY151" s="782"/>
      <c r="BZ151" s="782"/>
    </row>
    <row r="152" spans="39:78" s="143" customFormat="1">
      <c r="AM152" s="782"/>
      <c r="AN152" s="782"/>
      <c r="AO152" s="782"/>
      <c r="AP152" s="782"/>
      <c r="AQ152" s="782"/>
      <c r="AR152" s="782"/>
      <c r="AS152" s="782"/>
      <c r="AT152" s="782"/>
      <c r="AU152" s="782"/>
      <c r="AV152" s="782"/>
      <c r="AW152" s="782"/>
      <c r="AX152" s="782"/>
      <c r="AY152" s="782"/>
      <c r="AZ152" s="782"/>
      <c r="BA152" s="782"/>
      <c r="BB152" s="782"/>
      <c r="BC152" s="782"/>
      <c r="BD152" s="782"/>
      <c r="BE152" s="782"/>
      <c r="BF152" s="782"/>
      <c r="BG152" s="782"/>
      <c r="BH152" s="782"/>
      <c r="BI152" s="782"/>
      <c r="BJ152" s="782"/>
      <c r="BK152" s="782"/>
      <c r="BL152" s="782"/>
      <c r="BM152" s="782"/>
      <c r="BN152" s="782"/>
      <c r="BO152" s="782"/>
      <c r="BP152" s="782"/>
      <c r="BQ152" s="782"/>
      <c r="BR152" s="782"/>
      <c r="BS152" s="782"/>
      <c r="BT152" s="782"/>
      <c r="BU152" s="782"/>
      <c r="BV152" s="782"/>
      <c r="BW152" s="782"/>
      <c r="BX152" s="782"/>
      <c r="BY152" s="782"/>
      <c r="BZ152" s="782"/>
    </row>
    <row r="153" spans="39:78" s="143" customFormat="1">
      <c r="AM153" s="782"/>
      <c r="AN153" s="782"/>
      <c r="AO153" s="782"/>
      <c r="AP153" s="782"/>
      <c r="AQ153" s="782"/>
      <c r="AR153" s="782"/>
      <c r="AS153" s="782"/>
      <c r="AT153" s="782"/>
      <c r="AU153" s="782"/>
      <c r="AV153" s="782"/>
      <c r="AW153" s="782"/>
      <c r="AX153" s="782"/>
      <c r="AY153" s="782"/>
      <c r="AZ153" s="782"/>
      <c r="BA153" s="782"/>
      <c r="BB153" s="782"/>
      <c r="BC153" s="782"/>
      <c r="BD153" s="782"/>
      <c r="BE153" s="782"/>
      <c r="BF153" s="782"/>
      <c r="BG153" s="782"/>
      <c r="BH153" s="782"/>
      <c r="BI153" s="782"/>
      <c r="BJ153" s="782"/>
      <c r="BK153" s="782"/>
      <c r="BL153" s="782"/>
      <c r="BM153" s="782"/>
      <c r="BN153" s="782"/>
      <c r="BO153" s="782"/>
      <c r="BP153" s="782"/>
      <c r="BQ153" s="782"/>
      <c r="BR153" s="782"/>
      <c r="BS153" s="782"/>
      <c r="BT153" s="782"/>
      <c r="BU153" s="782"/>
      <c r="BV153" s="782"/>
      <c r="BW153" s="782"/>
      <c r="BX153" s="782"/>
      <c r="BY153" s="782"/>
      <c r="BZ153" s="782"/>
    </row>
    <row r="154" spans="39:78" s="143" customFormat="1">
      <c r="AM154" s="782"/>
      <c r="AN154" s="782"/>
      <c r="AO154" s="782"/>
      <c r="AP154" s="782"/>
      <c r="AQ154" s="782"/>
      <c r="AR154" s="782"/>
      <c r="AS154" s="782"/>
      <c r="AT154" s="782"/>
      <c r="AU154" s="782"/>
      <c r="AV154" s="782"/>
      <c r="AW154" s="782"/>
      <c r="AX154" s="782"/>
      <c r="AY154" s="782"/>
      <c r="AZ154" s="782"/>
      <c r="BA154" s="782"/>
      <c r="BB154" s="782"/>
      <c r="BC154" s="782"/>
      <c r="BD154" s="782"/>
      <c r="BE154" s="782"/>
      <c r="BF154" s="782"/>
      <c r="BG154" s="782"/>
      <c r="BH154" s="782"/>
      <c r="BI154" s="782"/>
      <c r="BJ154" s="782"/>
      <c r="BK154" s="782"/>
      <c r="BL154" s="782"/>
      <c r="BM154" s="782"/>
      <c r="BN154" s="782"/>
      <c r="BO154" s="782"/>
      <c r="BP154" s="782"/>
      <c r="BQ154" s="782"/>
      <c r="BR154" s="782"/>
      <c r="BS154" s="782"/>
      <c r="BT154" s="782"/>
      <c r="BU154" s="782"/>
      <c r="BV154" s="782"/>
      <c r="BW154" s="782"/>
      <c r="BX154" s="782"/>
      <c r="BY154" s="782"/>
      <c r="BZ154" s="782"/>
    </row>
    <row r="155" spans="39:78" s="143" customFormat="1">
      <c r="AM155" s="782"/>
      <c r="AN155" s="782"/>
      <c r="AO155" s="782"/>
      <c r="AP155" s="782"/>
      <c r="AQ155" s="782"/>
      <c r="AR155" s="782"/>
      <c r="AS155" s="782"/>
      <c r="AT155" s="782"/>
      <c r="AU155" s="782"/>
      <c r="AV155" s="782"/>
      <c r="AW155" s="782"/>
      <c r="AX155" s="782"/>
      <c r="AY155" s="782"/>
      <c r="AZ155" s="782"/>
      <c r="BA155" s="782"/>
      <c r="BB155" s="782"/>
      <c r="BC155" s="782"/>
      <c r="BD155" s="782"/>
      <c r="BE155" s="782"/>
      <c r="BF155" s="782"/>
      <c r="BG155" s="782"/>
      <c r="BH155" s="782"/>
      <c r="BI155" s="782"/>
      <c r="BJ155" s="782"/>
      <c r="BK155" s="782"/>
      <c r="BL155" s="782"/>
      <c r="BM155" s="782"/>
      <c r="BN155" s="782"/>
      <c r="BO155" s="782"/>
      <c r="BP155" s="782"/>
      <c r="BQ155" s="782"/>
      <c r="BR155" s="782"/>
      <c r="BS155" s="782"/>
      <c r="BT155" s="782"/>
      <c r="BU155" s="782"/>
      <c r="BV155" s="782"/>
      <c r="BW155" s="782"/>
      <c r="BX155" s="782"/>
      <c r="BY155" s="782"/>
      <c r="BZ155" s="782"/>
    </row>
    <row r="156" spans="39:78" s="143" customFormat="1">
      <c r="AM156" s="782"/>
      <c r="AN156" s="782"/>
      <c r="AO156" s="782"/>
      <c r="AP156" s="782"/>
      <c r="AQ156" s="782"/>
      <c r="AR156" s="782"/>
      <c r="AS156" s="782"/>
      <c r="AT156" s="782"/>
      <c r="AU156" s="782"/>
      <c r="AV156" s="782"/>
      <c r="AW156" s="782"/>
      <c r="AX156" s="782"/>
      <c r="AY156" s="782"/>
      <c r="AZ156" s="782"/>
      <c r="BA156" s="782"/>
      <c r="BB156" s="782"/>
      <c r="BC156" s="782"/>
      <c r="BD156" s="782"/>
      <c r="BE156" s="782"/>
      <c r="BF156" s="782"/>
      <c r="BG156" s="782"/>
      <c r="BH156" s="782"/>
      <c r="BI156" s="782"/>
      <c r="BJ156" s="782"/>
      <c r="BK156" s="782"/>
      <c r="BL156" s="782"/>
      <c r="BM156" s="782"/>
      <c r="BN156" s="782"/>
      <c r="BO156" s="782"/>
      <c r="BP156" s="782"/>
      <c r="BQ156" s="782"/>
      <c r="BR156" s="782"/>
      <c r="BS156" s="782"/>
      <c r="BT156" s="782"/>
      <c r="BU156" s="782"/>
      <c r="BV156" s="782"/>
      <c r="BW156" s="782"/>
      <c r="BX156" s="782"/>
      <c r="BY156" s="782"/>
      <c r="BZ156" s="782"/>
    </row>
    <row r="157" spans="39:78" s="143" customFormat="1">
      <c r="AM157" s="782"/>
      <c r="AN157" s="782"/>
      <c r="AO157" s="782"/>
      <c r="AP157" s="782"/>
      <c r="AQ157" s="782"/>
      <c r="AR157" s="782"/>
      <c r="AS157" s="782"/>
      <c r="AT157" s="782"/>
      <c r="AU157" s="782"/>
      <c r="AV157" s="782"/>
      <c r="AW157" s="782"/>
      <c r="AX157" s="782"/>
      <c r="AY157" s="782"/>
      <c r="AZ157" s="782"/>
      <c r="BA157" s="782"/>
      <c r="BB157" s="782"/>
      <c r="BC157" s="782"/>
      <c r="BD157" s="782"/>
      <c r="BE157" s="782"/>
      <c r="BF157" s="782"/>
      <c r="BG157" s="782"/>
      <c r="BH157" s="782"/>
      <c r="BI157" s="782"/>
      <c r="BJ157" s="782"/>
      <c r="BK157" s="782"/>
      <c r="BL157" s="782"/>
      <c r="BM157" s="782"/>
      <c r="BN157" s="782"/>
      <c r="BO157" s="782"/>
      <c r="BP157" s="782"/>
      <c r="BQ157" s="782"/>
      <c r="BR157" s="782"/>
      <c r="BS157" s="782"/>
      <c r="BT157" s="782"/>
      <c r="BU157" s="782"/>
      <c r="BV157" s="782"/>
      <c r="BW157" s="782"/>
      <c r="BX157" s="782"/>
      <c r="BY157" s="782"/>
      <c r="BZ157" s="782"/>
    </row>
    <row r="158" spans="39:78" s="143" customFormat="1">
      <c r="AM158" s="782"/>
      <c r="AN158" s="782"/>
      <c r="AO158" s="782"/>
      <c r="AP158" s="782"/>
      <c r="AQ158" s="782"/>
      <c r="AR158" s="782"/>
      <c r="AS158" s="782"/>
      <c r="AT158" s="782"/>
      <c r="AU158" s="782"/>
      <c r="AV158" s="782"/>
      <c r="AW158" s="782"/>
      <c r="AX158" s="782"/>
      <c r="AY158" s="782"/>
      <c r="AZ158" s="782"/>
      <c r="BA158" s="782"/>
      <c r="BB158" s="782"/>
      <c r="BC158" s="782"/>
      <c r="BD158" s="782"/>
      <c r="BE158" s="782"/>
      <c r="BF158" s="782"/>
      <c r="BG158" s="782"/>
      <c r="BH158" s="782"/>
      <c r="BI158" s="782"/>
      <c r="BJ158" s="782"/>
      <c r="BK158" s="782"/>
      <c r="BL158" s="782"/>
      <c r="BM158" s="782"/>
      <c r="BN158" s="782"/>
      <c r="BO158" s="782"/>
      <c r="BP158" s="782"/>
      <c r="BQ158" s="782"/>
      <c r="BR158" s="782"/>
      <c r="BS158" s="782"/>
      <c r="BT158" s="782"/>
      <c r="BU158" s="782"/>
      <c r="BV158" s="782"/>
      <c r="BW158" s="782"/>
      <c r="BX158" s="782"/>
      <c r="BY158" s="782"/>
      <c r="BZ158" s="782"/>
    </row>
    <row r="159" spans="39:78" s="143" customFormat="1">
      <c r="AM159" s="782"/>
      <c r="AN159" s="782"/>
      <c r="AO159" s="782"/>
      <c r="AP159" s="782"/>
      <c r="AQ159" s="782"/>
      <c r="AR159" s="782"/>
      <c r="AS159" s="782"/>
      <c r="AT159" s="782"/>
      <c r="AU159" s="782"/>
      <c r="AV159" s="782"/>
      <c r="AW159" s="782"/>
      <c r="AX159" s="782"/>
      <c r="AY159" s="782"/>
      <c r="AZ159" s="782"/>
      <c r="BA159" s="782"/>
      <c r="BB159" s="782"/>
      <c r="BC159" s="782"/>
      <c r="BD159" s="782"/>
      <c r="BE159" s="782"/>
      <c r="BF159" s="782"/>
      <c r="BG159" s="782"/>
      <c r="BH159" s="782"/>
      <c r="BI159" s="782"/>
      <c r="BJ159" s="782"/>
      <c r="BK159" s="782"/>
      <c r="BL159" s="782"/>
      <c r="BM159" s="782"/>
      <c r="BN159" s="782"/>
      <c r="BO159" s="782"/>
      <c r="BP159" s="782"/>
      <c r="BQ159" s="782"/>
      <c r="BR159" s="782"/>
      <c r="BS159" s="782"/>
      <c r="BT159" s="782"/>
      <c r="BU159" s="782"/>
      <c r="BV159" s="782"/>
      <c r="BW159" s="782"/>
      <c r="BX159" s="782"/>
      <c r="BY159" s="782"/>
      <c r="BZ159" s="782"/>
    </row>
    <row r="160" spans="39:78" s="143" customFormat="1">
      <c r="AM160" s="782"/>
      <c r="AN160" s="782"/>
      <c r="AO160" s="782"/>
      <c r="AP160" s="782"/>
      <c r="AQ160" s="782"/>
      <c r="AR160" s="782"/>
      <c r="AS160" s="782"/>
      <c r="AT160" s="782"/>
      <c r="AU160" s="782"/>
      <c r="AV160" s="782"/>
      <c r="AW160" s="782"/>
      <c r="AX160" s="782"/>
      <c r="AY160" s="782"/>
      <c r="AZ160" s="782"/>
      <c r="BA160" s="782"/>
      <c r="BB160" s="782"/>
      <c r="BC160" s="782"/>
      <c r="BD160" s="782"/>
      <c r="BE160" s="782"/>
      <c r="BF160" s="782"/>
      <c r="BG160" s="782"/>
      <c r="BH160" s="782"/>
      <c r="BI160" s="782"/>
      <c r="BJ160" s="782"/>
      <c r="BK160" s="782"/>
      <c r="BL160" s="782"/>
      <c r="BM160" s="782"/>
      <c r="BN160" s="782"/>
      <c r="BO160" s="782"/>
      <c r="BP160" s="782"/>
      <c r="BQ160" s="782"/>
      <c r="BR160" s="782"/>
      <c r="BS160" s="782"/>
      <c r="BT160" s="782"/>
      <c r="BU160" s="782"/>
      <c r="BV160" s="782"/>
      <c r="BW160" s="782"/>
      <c r="BX160" s="782"/>
      <c r="BY160" s="782"/>
      <c r="BZ160" s="782"/>
    </row>
    <row r="161" spans="39:78" s="143" customFormat="1">
      <c r="AM161" s="782"/>
      <c r="AN161" s="782"/>
      <c r="AO161" s="782"/>
      <c r="AP161" s="782"/>
      <c r="AQ161" s="782"/>
      <c r="AR161" s="782"/>
      <c r="AS161" s="782"/>
      <c r="AT161" s="782"/>
      <c r="AU161" s="782"/>
      <c r="AV161" s="782"/>
      <c r="AW161" s="782"/>
      <c r="AX161" s="782"/>
      <c r="AY161" s="782"/>
      <c r="AZ161" s="782"/>
      <c r="BA161" s="782"/>
      <c r="BB161" s="782"/>
      <c r="BC161" s="782"/>
      <c r="BD161" s="782"/>
      <c r="BE161" s="782"/>
      <c r="BF161" s="782"/>
      <c r="BG161" s="782"/>
      <c r="BH161" s="782"/>
      <c r="BI161" s="782"/>
      <c r="BJ161" s="782"/>
      <c r="BK161" s="782"/>
      <c r="BL161" s="782"/>
      <c r="BM161" s="782"/>
      <c r="BN161" s="782"/>
      <c r="BO161" s="782"/>
      <c r="BP161" s="782"/>
      <c r="BQ161" s="782"/>
      <c r="BR161" s="782"/>
      <c r="BS161" s="782"/>
      <c r="BT161" s="782"/>
      <c r="BU161" s="782"/>
      <c r="BV161" s="782"/>
      <c r="BW161" s="782"/>
      <c r="BX161" s="782"/>
      <c r="BY161" s="782"/>
      <c r="BZ161" s="782"/>
    </row>
    <row r="162" spans="39:78" s="143" customFormat="1">
      <c r="AM162" s="782"/>
      <c r="AN162" s="782"/>
      <c r="AO162" s="782"/>
      <c r="AP162" s="782"/>
      <c r="AQ162" s="782"/>
      <c r="AR162" s="782"/>
      <c r="AS162" s="782"/>
      <c r="AT162" s="782"/>
      <c r="AU162" s="782"/>
      <c r="AV162" s="782"/>
      <c r="AW162" s="782"/>
      <c r="AX162" s="782"/>
      <c r="AY162" s="782"/>
      <c r="AZ162" s="782"/>
      <c r="BA162" s="782"/>
      <c r="BB162" s="782"/>
      <c r="BC162" s="782"/>
      <c r="BD162" s="782"/>
      <c r="BE162" s="782"/>
      <c r="BF162" s="782"/>
      <c r="BG162" s="782"/>
      <c r="BH162" s="782"/>
      <c r="BI162" s="782"/>
      <c r="BJ162" s="782"/>
      <c r="BK162" s="782"/>
      <c r="BL162" s="782"/>
      <c r="BM162" s="782"/>
      <c r="BN162" s="782"/>
      <c r="BO162" s="782"/>
      <c r="BP162" s="782"/>
      <c r="BQ162" s="782"/>
      <c r="BR162" s="782"/>
      <c r="BS162" s="782"/>
      <c r="BT162" s="782"/>
      <c r="BU162" s="782"/>
      <c r="BV162" s="782"/>
      <c r="BW162" s="782"/>
      <c r="BX162" s="782"/>
      <c r="BY162" s="782"/>
      <c r="BZ162" s="782"/>
    </row>
    <row r="163" spans="39:78" s="143" customFormat="1">
      <c r="AM163" s="782"/>
      <c r="AN163" s="782"/>
      <c r="AO163" s="782"/>
      <c r="AP163" s="782"/>
      <c r="AQ163" s="782"/>
      <c r="AR163" s="782"/>
      <c r="AS163" s="782"/>
      <c r="AT163" s="782"/>
      <c r="AU163" s="782"/>
      <c r="AV163" s="782"/>
      <c r="AW163" s="782"/>
      <c r="AX163" s="782"/>
      <c r="AY163" s="782"/>
      <c r="AZ163" s="782"/>
      <c r="BA163" s="782"/>
      <c r="BB163" s="782"/>
      <c r="BC163" s="782"/>
      <c r="BD163" s="782"/>
      <c r="BE163" s="782"/>
      <c r="BF163" s="782"/>
      <c r="BG163" s="782"/>
      <c r="BH163" s="782"/>
      <c r="BI163" s="782"/>
      <c r="BJ163" s="782"/>
      <c r="BK163" s="782"/>
      <c r="BL163" s="782"/>
      <c r="BM163" s="782"/>
      <c r="BN163" s="782"/>
      <c r="BO163" s="782"/>
      <c r="BP163" s="782"/>
      <c r="BQ163" s="782"/>
      <c r="BR163" s="782"/>
      <c r="BS163" s="782"/>
      <c r="BT163" s="782"/>
      <c r="BU163" s="782"/>
      <c r="BV163" s="782"/>
      <c r="BW163" s="782"/>
      <c r="BX163" s="782"/>
      <c r="BY163" s="782"/>
      <c r="BZ163" s="782"/>
    </row>
    <row r="164" spans="39:78" s="143" customFormat="1">
      <c r="AM164" s="782"/>
      <c r="AN164" s="782"/>
      <c r="AO164" s="782"/>
      <c r="AP164" s="782"/>
      <c r="AQ164" s="782"/>
      <c r="AR164" s="782"/>
      <c r="AS164" s="782"/>
      <c r="AT164" s="782"/>
      <c r="AU164" s="782"/>
      <c r="AV164" s="782"/>
      <c r="AW164" s="782"/>
      <c r="AX164" s="782"/>
      <c r="AY164" s="782"/>
      <c r="AZ164" s="782"/>
      <c r="BA164" s="782"/>
      <c r="BB164" s="782"/>
      <c r="BC164" s="782"/>
      <c r="BD164" s="782"/>
      <c r="BE164" s="782"/>
      <c r="BF164" s="782"/>
      <c r="BG164" s="782"/>
      <c r="BH164" s="782"/>
      <c r="BI164" s="782"/>
      <c r="BJ164" s="782"/>
      <c r="BK164" s="782"/>
      <c r="BL164" s="782"/>
      <c r="BM164" s="782"/>
      <c r="BN164" s="782"/>
      <c r="BO164" s="782"/>
      <c r="BP164" s="782"/>
      <c r="BQ164" s="782"/>
      <c r="BR164" s="782"/>
      <c r="BS164" s="782"/>
      <c r="BT164" s="782"/>
      <c r="BU164" s="782"/>
      <c r="BV164" s="782"/>
      <c r="BW164" s="782"/>
      <c r="BX164" s="782"/>
      <c r="BY164" s="782"/>
      <c r="BZ164" s="782"/>
    </row>
    <row r="165" spans="39:78" s="143" customFormat="1">
      <c r="AM165" s="782"/>
      <c r="AN165" s="782"/>
      <c r="AO165" s="782"/>
      <c r="AP165" s="782"/>
      <c r="AQ165" s="782"/>
      <c r="AR165" s="782"/>
      <c r="AS165" s="782"/>
      <c r="AT165" s="782"/>
      <c r="AU165" s="782"/>
      <c r="AV165" s="782"/>
      <c r="AW165" s="782"/>
      <c r="AX165" s="782"/>
      <c r="AY165" s="782"/>
      <c r="AZ165" s="782"/>
      <c r="BA165" s="782"/>
      <c r="BB165" s="782"/>
      <c r="BC165" s="782"/>
      <c r="BD165" s="782"/>
      <c r="BE165" s="782"/>
      <c r="BF165" s="782"/>
      <c r="BG165" s="782"/>
      <c r="BH165" s="782"/>
      <c r="BI165" s="782"/>
      <c r="BJ165" s="782"/>
      <c r="BK165" s="782"/>
      <c r="BL165" s="782"/>
      <c r="BM165" s="782"/>
      <c r="BN165" s="782"/>
      <c r="BO165" s="782"/>
      <c r="BP165" s="782"/>
      <c r="BQ165" s="782"/>
      <c r="BR165" s="782"/>
      <c r="BS165" s="782"/>
      <c r="BT165" s="782"/>
      <c r="BU165" s="782"/>
      <c r="BV165" s="782"/>
      <c r="BW165" s="782"/>
      <c r="BX165" s="782"/>
      <c r="BY165" s="782"/>
      <c r="BZ165" s="782"/>
    </row>
    <row r="166" spans="39:78" s="143" customFormat="1">
      <c r="AM166" s="782"/>
      <c r="AN166" s="782"/>
      <c r="AO166" s="782"/>
      <c r="AP166" s="782"/>
      <c r="AQ166" s="782"/>
      <c r="AR166" s="782"/>
      <c r="AS166" s="782"/>
      <c r="AT166" s="782"/>
      <c r="AU166" s="782"/>
      <c r="AV166" s="782"/>
      <c r="AW166" s="782"/>
      <c r="AX166" s="782"/>
      <c r="AY166" s="782"/>
      <c r="AZ166" s="782"/>
      <c r="BA166" s="782"/>
      <c r="BB166" s="782"/>
      <c r="BC166" s="782"/>
      <c r="BD166" s="782"/>
      <c r="BE166" s="782"/>
      <c r="BF166" s="782"/>
      <c r="BG166" s="782"/>
      <c r="BH166" s="782"/>
      <c r="BI166" s="782"/>
      <c r="BJ166" s="782"/>
      <c r="BK166" s="782"/>
      <c r="BL166" s="782"/>
      <c r="BM166" s="782"/>
      <c r="BN166" s="782"/>
      <c r="BO166" s="782"/>
      <c r="BP166" s="782"/>
      <c r="BQ166" s="782"/>
      <c r="BR166" s="782"/>
      <c r="BS166" s="782"/>
      <c r="BT166" s="782"/>
      <c r="BU166" s="782"/>
      <c r="BV166" s="782"/>
      <c r="BW166" s="782"/>
      <c r="BX166" s="782"/>
      <c r="BY166" s="782"/>
      <c r="BZ166" s="782"/>
    </row>
    <row r="167" spans="39:78" s="143" customFormat="1">
      <c r="AM167" s="782"/>
      <c r="AN167" s="782"/>
      <c r="AO167" s="782"/>
      <c r="AP167" s="782"/>
      <c r="AQ167" s="782"/>
      <c r="AR167" s="782"/>
      <c r="AS167" s="782"/>
      <c r="AT167" s="782"/>
      <c r="AU167" s="782"/>
      <c r="AV167" s="782"/>
      <c r="AW167" s="782"/>
      <c r="AX167" s="782"/>
      <c r="AY167" s="782"/>
      <c r="AZ167" s="782"/>
      <c r="BA167" s="782"/>
      <c r="BB167" s="782"/>
      <c r="BC167" s="782"/>
      <c r="BD167" s="782"/>
      <c r="BE167" s="782"/>
      <c r="BF167" s="782"/>
      <c r="BG167" s="782"/>
      <c r="BH167" s="782"/>
      <c r="BI167" s="782"/>
      <c r="BJ167" s="782"/>
      <c r="BK167" s="782"/>
      <c r="BL167" s="782"/>
      <c r="BM167" s="782"/>
      <c r="BN167" s="782"/>
      <c r="BO167" s="782"/>
      <c r="BP167" s="782"/>
      <c r="BQ167" s="782"/>
      <c r="BR167" s="782"/>
      <c r="BS167" s="782"/>
      <c r="BT167" s="782"/>
      <c r="BU167" s="782"/>
      <c r="BV167" s="782"/>
      <c r="BW167" s="782"/>
      <c r="BX167" s="782"/>
      <c r="BY167" s="782"/>
      <c r="BZ167" s="782"/>
    </row>
    <row r="168" spans="39:78" s="143" customFormat="1">
      <c r="AM168" s="782"/>
      <c r="AN168" s="782"/>
      <c r="AO168" s="782"/>
      <c r="AP168" s="782"/>
      <c r="AQ168" s="782"/>
      <c r="AR168" s="782"/>
      <c r="AS168" s="782"/>
      <c r="AT168" s="782"/>
      <c r="AU168" s="782"/>
      <c r="AV168" s="782"/>
      <c r="AW168" s="782"/>
      <c r="AX168" s="782"/>
      <c r="AY168" s="782"/>
      <c r="AZ168" s="782"/>
      <c r="BA168" s="782"/>
      <c r="BB168" s="782"/>
      <c r="BC168" s="782"/>
      <c r="BD168" s="782"/>
      <c r="BE168" s="782"/>
      <c r="BF168" s="782"/>
      <c r="BG168" s="782"/>
      <c r="BH168" s="782"/>
      <c r="BI168" s="782"/>
      <c r="BJ168" s="782"/>
      <c r="BK168" s="782"/>
      <c r="BL168" s="782"/>
      <c r="BM168" s="782"/>
      <c r="BN168" s="782"/>
      <c r="BO168" s="782"/>
      <c r="BP168" s="782"/>
      <c r="BQ168" s="782"/>
      <c r="BR168" s="782"/>
      <c r="BS168" s="782"/>
      <c r="BT168" s="782"/>
      <c r="BU168" s="782"/>
      <c r="BV168" s="782"/>
      <c r="BW168" s="782"/>
      <c r="BX168" s="782"/>
      <c r="BY168" s="782"/>
      <c r="BZ168" s="782"/>
    </row>
    <row r="169" spans="39:78" s="143" customFormat="1">
      <c r="AM169" s="782"/>
      <c r="AN169" s="782"/>
      <c r="AO169" s="782"/>
      <c r="AP169" s="782"/>
      <c r="AQ169" s="782"/>
      <c r="AR169" s="782"/>
      <c r="AS169" s="782"/>
      <c r="AT169" s="782"/>
      <c r="AU169" s="782"/>
      <c r="AV169" s="782"/>
      <c r="AW169" s="782"/>
      <c r="AX169" s="782"/>
      <c r="AY169" s="782"/>
      <c r="AZ169" s="782"/>
      <c r="BA169" s="782"/>
      <c r="BB169" s="782"/>
      <c r="BC169" s="782"/>
      <c r="BD169" s="782"/>
      <c r="BE169" s="782"/>
      <c r="BF169" s="782"/>
      <c r="BG169" s="782"/>
      <c r="BH169" s="782"/>
      <c r="BI169" s="782"/>
      <c r="BJ169" s="782"/>
      <c r="BK169" s="782"/>
      <c r="BL169" s="782"/>
      <c r="BM169" s="782"/>
      <c r="BN169" s="782"/>
      <c r="BO169" s="782"/>
      <c r="BP169" s="782"/>
      <c r="BQ169" s="782"/>
      <c r="BR169" s="782"/>
      <c r="BS169" s="782"/>
      <c r="BT169" s="782"/>
      <c r="BU169" s="782"/>
      <c r="BV169" s="782"/>
      <c r="BW169" s="782"/>
      <c r="BX169" s="782"/>
      <c r="BY169" s="782"/>
      <c r="BZ169" s="782"/>
    </row>
    <row r="170" spans="39:78" s="143" customFormat="1">
      <c r="AM170" s="782"/>
      <c r="AN170" s="782"/>
      <c r="AO170" s="782"/>
      <c r="AP170" s="782"/>
      <c r="AQ170" s="782"/>
      <c r="AR170" s="782"/>
      <c r="AS170" s="782"/>
      <c r="AT170" s="782"/>
      <c r="AU170" s="782"/>
      <c r="AV170" s="782"/>
      <c r="AW170" s="782"/>
      <c r="AX170" s="782"/>
      <c r="AY170" s="782"/>
      <c r="AZ170" s="782"/>
      <c r="BA170" s="782"/>
      <c r="BB170" s="782"/>
      <c r="BC170" s="782"/>
      <c r="BD170" s="782"/>
      <c r="BE170" s="782"/>
      <c r="BF170" s="782"/>
      <c r="BG170" s="782"/>
      <c r="BH170" s="782"/>
      <c r="BI170" s="782"/>
      <c r="BJ170" s="782"/>
      <c r="BK170" s="782"/>
      <c r="BL170" s="782"/>
      <c r="BM170" s="782"/>
      <c r="BN170" s="782"/>
      <c r="BO170" s="782"/>
      <c r="BP170" s="782"/>
      <c r="BQ170" s="782"/>
      <c r="BR170" s="782"/>
      <c r="BS170" s="782"/>
      <c r="BT170" s="782"/>
      <c r="BU170" s="782"/>
      <c r="BV170" s="782"/>
      <c r="BW170" s="782"/>
      <c r="BX170" s="782"/>
      <c r="BY170" s="782"/>
      <c r="BZ170" s="782"/>
    </row>
    <row r="171" spans="39:78" s="143" customFormat="1">
      <c r="AM171" s="782"/>
      <c r="AN171" s="782"/>
      <c r="AO171" s="782"/>
      <c r="AP171" s="782"/>
      <c r="AQ171" s="782"/>
      <c r="AR171" s="782"/>
      <c r="AS171" s="782"/>
      <c r="AT171" s="782"/>
      <c r="AU171" s="782"/>
      <c r="AV171" s="782"/>
      <c r="AW171" s="782"/>
      <c r="AX171" s="782"/>
      <c r="AY171" s="782"/>
      <c r="AZ171" s="782"/>
      <c r="BA171" s="782"/>
      <c r="BB171" s="782"/>
      <c r="BC171" s="782"/>
      <c r="BD171" s="782"/>
      <c r="BE171" s="782"/>
      <c r="BF171" s="782"/>
      <c r="BG171" s="782"/>
      <c r="BH171" s="782"/>
      <c r="BI171" s="782"/>
      <c r="BJ171" s="782"/>
      <c r="BK171" s="782"/>
      <c r="BL171" s="782"/>
      <c r="BM171" s="782"/>
      <c r="BN171" s="782"/>
      <c r="BO171" s="782"/>
      <c r="BP171" s="782"/>
      <c r="BQ171" s="782"/>
      <c r="BR171" s="782"/>
      <c r="BS171" s="782"/>
      <c r="BT171" s="782"/>
      <c r="BU171" s="782"/>
      <c r="BV171" s="782"/>
      <c r="BW171" s="782"/>
      <c r="BX171" s="782"/>
      <c r="BY171" s="782"/>
      <c r="BZ171" s="782"/>
    </row>
    <row r="172" spans="39:78" s="143" customFormat="1">
      <c r="AM172" s="782"/>
      <c r="AN172" s="782"/>
      <c r="AO172" s="782"/>
      <c r="AP172" s="782"/>
      <c r="AQ172" s="782"/>
      <c r="AR172" s="782"/>
      <c r="AS172" s="782"/>
      <c r="AT172" s="782"/>
      <c r="AU172" s="782"/>
      <c r="AV172" s="782"/>
      <c r="AW172" s="782"/>
      <c r="AX172" s="782"/>
      <c r="AY172" s="782"/>
      <c r="AZ172" s="782"/>
      <c r="BA172" s="782"/>
      <c r="BB172" s="782"/>
      <c r="BC172" s="782"/>
      <c r="BD172" s="782"/>
      <c r="BE172" s="782"/>
      <c r="BF172" s="782"/>
      <c r="BG172" s="782"/>
      <c r="BH172" s="782"/>
      <c r="BI172" s="782"/>
      <c r="BJ172" s="782"/>
      <c r="BK172" s="782"/>
      <c r="BL172" s="782"/>
      <c r="BM172" s="782"/>
      <c r="BN172" s="782"/>
      <c r="BO172" s="782"/>
      <c r="BP172" s="782"/>
      <c r="BQ172" s="782"/>
      <c r="BR172" s="782"/>
      <c r="BS172" s="782"/>
      <c r="BT172" s="782"/>
      <c r="BU172" s="782"/>
      <c r="BV172" s="782"/>
      <c r="BW172" s="782"/>
      <c r="BX172" s="782"/>
      <c r="BY172" s="782"/>
      <c r="BZ172" s="782"/>
    </row>
    <row r="173" spans="39:78" s="143" customFormat="1">
      <c r="AM173" s="782"/>
      <c r="AN173" s="782"/>
      <c r="AO173" s="782"/>
      <c r="AP173" s="782"/>
      <c r="AQ173" s="782"/>
      <c r="AR173" s="782"/>
      <c r="AS173" s="782"/>
      <c r="AT173" s="782"/>
      <c r="AU173" s="782"/>
      <c r="AV173" s="782"/>
      <c r="AW173" s="782"/>
      <c r="AX173" s="782"/>
      <c r="AY173" s="782"/>
      <c r="AZ173" s="782"/>
      <c r="BA173" s="782"/>
      <c r="BB173" s="782"/>
      <c r="BC173" s="782"/>
      <c r="BD173" s="782"/>
      <c r="BE173" s="782"/>
      <c r="BF173" s="782"/>
      <c r="BG173" s="782"/>
      <c r="BH173" s="782"/>
      <c r="BI173" s="782"/>
      <c r="BJ173" s="782"/>
      <c r="BK173" s="782"/>
      <c r="BL173" s="782"/>
      <c r="BM173" s="782"/>
      <c r="BN173" s="782"/>
      <c r="BO173" s="782"/>
      <c r="BP173" s="782"/>
      <c r="BQ173" s="782"/>
      <c r="BR173" s="782"/>
      <c r="BS173" s="782"/>
      <c r="BT173" s="782"/>
      <c r="BU173" s="782"/>
      <c r="BV173" s="782"/>
      <c r="BW173" s="782"/>
      <c r="BX173" s="782"/>
      <c r="BY173" s="782"/>
      <c r="BZ173" s="782"/>
    </row>
    <row r="174" spans="39:78" s="143" customFormat="1">
      <c r="AM174" s="782"/>
      <c r="AN174" s="782"/>
      <c r="AO174" s="782"/>
      <c r="AP174" s="782"/>
      <c r="AQ174" s="782"/>
      <c r="AR174" s="782"/>
      <c r="AS174" s="782"/>
      <c r="AT174" s="782"/>
      <c r="AU174" s="782"/>
      <c r="AV174" s="782"/>
      <c r="AW174" s="782"/>
      <c r="AX174" s="782"/>
      <c r="AY174" s="782"/>
      <c r="AZ174" s="782"/>
      <c r="BA174" s="782"/>
      <c r="BB174" s="782"/>
      <c r="BC174" s="782"/>
      <c r="BD174" s="782"/>
      <c r="BE174" s="782"/>
      <c r="BF174" s="782"/>
      <c r="BG174" s="782"/>
      <c r="BH174" s="782"/>
      <c r="BI174" s="782"/>
      <c r="BJ174" s="782"/>
      <c r="BK174" s="782"/>
      <c r="BL174" s="782"/>
      <c r="BM174" s="782"/>
      <c r="BN174" s="782"/>
      <c r="BO174" s="782"/>
      <c r="BP174" s="782"/>
      <c r="BQ174" s="782"/>
      <c r="BR174" s="782"/>
      <c r="BS174" s="782"/>
      <c r="BT174" s="782"/>
      <c r="BU174" s="782"/>
      <c r="BV174" s="782"/>
      <c r="BW174" s="782"/>
      <c r="BX174" s="782"/>
      <c r="BY174" s="782"/>
      <c r="BZ174" s="782"/>
    </row>
    <row r="175" spans="39:78" s="143" customFormat="1">
      <c r="AM175" s="782"/>
      <c r="AN175" s="782"/>
      <c r="AO175" s="782"/>
      <c r="AP175" s="782"/>
      <c r="AQ175" s="782"/>
      <c r="AR175" s="782"/>
      <c r="AS175" s="782"/>
      <c r="AT175" s="782"/>
      <c r="AU175" s="782"/>
      <c r="AV175" s="782"/>
      <c r="AW175" s="782"/>
      <c r="AX175" s="782"/>
      <c r="AY175" s="782"/>
      <c r="AZ175" s="782"/>
      <c r="BA175" s="782"/>
      <c r="BB175" s="782"/>
      <c r="BC175" s="782"/>
      <c r="BD175" s="782"/>
      <c r="BE175" s="782"/>
      <c r="BF175" s="782"/>
      <c r="BG175" s="782"/>
      <c r="BH175" s="782"/>
      <c r="BI175" s="782"/>
      <c r="BJ175" s="782"/>
      <c r="BK175" s="782"/>
      <c r="BL175" s="782"/>
      <c r="BM175" s="782"/>
      <c r="BN175" s="782"/>
      <c r="BO175" s="782"/>
      <c r="BP175" s="782"/>
      <c r="BQ175" s="782"/>
      <c r="BR175" s="782"/>
      <c r="BS175" s="782"/>
      <c r="BT175" s="782"/>
      <c r="BU175" s="782"/>
      <c r="BV175" s="782"/>
      <c r="BW175" s="782"/>
      <c r="BX175" s="782"/>
      <c r="BY175" s="782"/>
      <c r="BZ175" s="782"/>
    </row>
    <row r="176" spans="39:78" s="143" customFormat="1">
      <c r="AM176" s="782"/>
      <c r="AN176" s="782"/>
      <c r="AO176" s="782"/>
      <c r="AP176" s="782"/>
      <c r="AQ176" s="782"/>
      <c r="AR176" s="782"/>
      <c r="AS176" s="782"/>
      <c r="AT176" s="782"/>
      <c r="AU176" s="782"/>
      <c r="AV176" s="782"/>
      <c r="AW176" s="782"/>
      <c r="AX176" s="782"/>
      <c r="AY176" s="782"/>
      <c r="AZ176" s="782"/>
      <c r="BA176" s="782"/>
      <c r="BB176" s="782"/>
      <c r="BC176" s="782"/>
      <c r="BD176" s="782"/>
      <c r="BE176" s="782"/>
      <c r="BF176" s="782"/>
      <c r="BG176" s="782"/>
      <c r="BH176" s="782"/>
      <c r="BI176" s="782"/>
      <c r="BJ176" s="782"/>
      <c r="BK176" s="782"/>
      <c r="BL176" s="782"/>
      <c r="BM176" s="782"/>
      <c r="BN176" s="782"/>
      <c r="BO176" s="782"/>
      <c r="BP176" s="782"/>
      <c r="BQ176" s="782"/>
      <c r="BR176" s="782"/>
      <c r="BS176" s="782"/>
      <c r="BT176" s="782"/>
      <c r="BU176" s="782"/>
      <c r="BV176" s="782"/>
      <c r="BW176" s="782"/>
      <c r="BX176" s="782"/>
      <c r="BY176" s="782"/>
      <c r="BZ176" s="782"/>
    </row>
    <row r="177" spans="39:78" s="143" customFormat="1">
      <c r="AM177" s="782"/>
      <c r="AN177" s="782"/>
      <c r="AO177" s="782"/>
      <c r="AP177" s="782"/>
      <c r="AQ177" s="782"/>
      <c r="AR177" s="782"/>
      <c r="AS177" s="782"/>
      <c r="AT177" s="782"/>
      <c r="AU177" s="782"/>
      <c r="AV177" s="782"/>
      <c r="AW177" s="782"/>
      <c r="AX177" s="782"/>
      <c r="AY177" s="782"/>
      <c r="AZ177" s="782"/>
      <c r="BA177" s="782"/>
      <c r="BB177" s="782"/>
      <c r="BC177" s="782"/>
      <c r="BD177" s="782"/>
      <c r="BE177" s="782"/>
      <c r="BF177" s="782"/>
      <c r="BG177" s="782"/>
      <c r="BH177" s="782"/>
      <c r="BI177" s="782"/>
      <c r="BJ177" s="782"/>
      <c r="BK177" s="782"/>
      <c r="BL177" s="782"/>
      <c r="BM177" s="782"/>
      <c r="BN177" s="782"/>
      <c r="BO177" s="782"/>
      <c r="BP177" s="782"/>
      <c r="BQ177" s="782"/>
      <c r="BR177" s="782"/>
      <c r="BS177" s="782"/>
      <c r="BT177" s="782"/>
      <c r="BU177" s="782"/>
      <c r="BV177" s="782"/>
      <c r="BW177" s="782"/>
      <c r="BX177" s="782"/>
      <c r="BY177" s="782"/>
      <c r="BZ177" s="782"/>
    </row>
    <row r="178" spans="39:78" s="143" customFormat="1">
      <c r="AM178" s="782"/>
      <c r="AN178" s="782"/>
      <c r="AO178" s="782"/>
      <c r="AP178" s="782"/>
      <c r="AQ178" s="782"/>
      <c r="AR178" s="782"/>
      <c r="AS178" s="782"/>
      <c r="AT178" s="782"/>
      <c r="AU178" s="782"/>
      <c r="AV178" s="782"/>
      <c r="AW178" s="782"/>
      <c r="AX178" s="782"/>
      <c r="AY178" s="782"/>
      <c r="AZ178" s="782"/>
      <c r="BA178" s="782"/>
      <c r="BB178" s="782"/>
      <c r="BC178" s="782"/>
      <c r="BD178" s="782"/>
      <c r="BE178" s="782"/>
      <c r="BF178" s="782"/>
      <c r="BG178" s="782"/>
      <c r="BH178" s="782"/>
      <c r="BI178" s="782"/>
      <c r="BJ178" s="782"/>
      <c r="BK178" s="782"/>
      <c r="BL178" s="782"/>
      <c r="BM178" s="782"/>
      <c r="BN178" s="782"/>
      <c r="BO178" s="782"/>
      <c r="BP178" s="782"/>
      <c r="BQ178" s="782"/>
      <c r="BR178" s="782"/>
      <c r="BS178" s="782"/>
      <c r="BT178" s="782"/>
      <c r="BU178" s="782"/>
      <c r="BV178" s="782"/>
      <c r="BW178" s="782"/>
      <c r="BX178" s="782"/>
      <c r="BY178" s="782"/>
      <c r="BZ178" s="782"/>
    </row>
    <row r="179" spans="39:78" s="143" customFormat="1">
      <c r="AM179" s="782"/>
      <c r="AN179" s="782"/>
      <c r="AO179" s="782"/>
      <c r="AP179" s="782"/>
      <c r="AQ179" s="782"/>
      <c r="AR179" s="782"/>
      <c r="AS179" s="782"/>
      <c r="AT179" s="782"/>
      <c r="AU179" s="782"/>
      <c r="AV179" s="782"/>
      <c r="AW179" s="782"/>
      <c r="AX179" s="782"/>
      <c r="AY179" s="782"/>
      <c r="AZ179" s="782"/>
      <c r="BA179" s="782"/>
      <c r="BB179" s="782"/>
      <c r="BC179" s="782"/>
      <c r="BD179" s="782"/>
      <c r="BE179" s="782"/>
      <c r="BF179" s="782"/>
      <c r="BG179" s="782"/>
      <c r="BH179" s="782"/>
      <c r="BI179" s="782"/>
      <c r="BJ179" s="782"/>
      <c r="BK179" s="782"/>
      <c r="BL179" s="782"/>
      <c r="BM179" s="782"/>
      <c r="BN179" s="782"/>
      <c r="BO179" s="782"/>
      <c r="BP179" s="782"/>
      <c r="BQ179" s="782"/>
      <c r="BR179" s="782"/>
      <c r="BS179" s="782"/>
      <c r="BT179" s="782"/>
      <c r="BU179" s="782"/>
      <c r="BV179" s="782"/>
      <c r="BW179" s="782"/>
      <c r="BX179" s="782"/>
      <c r="BY179" s="782"/>
      <c r="BZ179" s="782"/>
    </row>
    <row r="180" spans="39:78" s="143" customFormat="1">
      <c r="AM180" s="782"/>
      <c r="AN180" s="782"/>
      <c r="AO180" s="782"/>
      <c r="AP180" s="782"/>
      <c r="AQ180" s="782"/>
      <c r="AR180" s="782"/>
      <c r="AS180" s="782"/>
      <c r="AT180" s="782"/>
      <c r="AU180" s="782"/>
      <c r="AV180" s="782"/>
      <c r="AW180" s="782"/>
      <c r="AX180" s="782"/>
      <c r="AY180" s="782"/>
      <c r="AZ180" s="782"/>
      <c r="BA180" s="782"/>
      <c r="BB180" s="782"/>
      <c r="BC180" s="782"/>
      <c r="BD180" s="782"/>
      <c r="BE180" s="782"/>
      <c r="BF180" s="782"/>
      <c r="BG180" s="782"/>
      <c r="BH180" s="782"/>
      <c r="BI180" s="782"/>
      <c r="BJ180" s="782"/>
      <c r="BK180" s="782"/>
      <c r="BL180" s="782"/>
      <c r="BM180" s="782"/>
      <c r="BN180" s="782"/>
      <c r="BO180" s="782"/>
      <c r="BP180" s="782"/>
      <c r="BQ180" s="782"/>
      <c r="BR180" s="782"/>
      <c r="BS180" s="782"/>
      <c r="BT180" s="782"/>
      <c r="BU180" s="782"/>
      <c r="BV180" s="782"/>
      <c r="BW180" s="782"/>
      <c r="BX180" s="782"/>
      <c r="BY180" s="782"/>
      <c r="BZ180" s="782"/>
    </row>
    <row r="181" spans="39:78" s="143" customFormat="1">
      <c r="AM181" s="782"/>
      <c r="AN181" s="782"/>
      <c r="AO181" s="782"/>
      <c r="AP181" s="782"/>
      <c r="AQ181" s="782"/>
      <c r="AR181" s="782"/>
      <c r="AS181" s="782"/>
      <c r="AT181" s="782"/>
      <c r="AU181" s="782"/>
      <c r="AV181" s="782"/>
      <c r="AW181" s="782"/>
      <c r="AX181" s="782"/>
      <c r="AY181" s="782"/>
      <c r="AZ181" s="782"/>
      <c r="BA181" s="782"/>
      <c r="BB181" s="782"/>
      <c r="BC181" s="782"/>
      <c r="BD181" s="782"/>
      <c r="BE181" s="782"/>
      <c r="BF181" s="782"/>
      <c r="BG181" s="782"/>
      <c r="BH181" s="782"/>
      <c r="BI181" s="782"/>
      <c r="BJ181" s="782"/>
      <c r="BK181" s="782"/>
      <c r="BL181" s="782"/>
      <c r="BM181" s="782"/>
      <c r="BN181" s="782"/>
      <c r="BO181" s="782"/>
      <c r="BP181" s="782"/>
      <c r="BQ181" s="782"/>
      <c r="BR181" s="782"/>
      <c r="BS181" s="782"/>
      <c r="BT181" s="782"/>
      <c r="BU181" s="782"/>
      <c r="BV181" s="782"/>
      <c r="BW181" s="782"/>
      <c r="BX181" s="782"/>
      <c r="BY181" s="782"/>
      <c r="BZ181" s="782"/>
    </row>
    <row r="182" spans="39:78" s="143" customFormat="1">
      <c r="AM182" s="782"/>
      <c r="AN182" s="782"/>
      <c r="AO182" s="782"/>
      <c r="AP182" s="782"/>
      <c r="AQ182" s="782"/>
      <c r="AR182" s="782"/>
      <c r="AS182" s="782"/>
      <c r="AT182" s="782"/>
      <c r="AU182" s="782"/>
      <c r="AV182" s="782"/>
      <c r="AW182" s="782"/>
      <c r="AX182" s="782"/>
      <c r="AY182" s="782"/>
      <c r="AZ182" s="782"/>
      <c r="BA182" s="782"/>
      <c r="BB182" s="782"/>
      <c r="BC182" s="782"/>
      <c r="BD182" s="782"/>
      <c r="BE182" s="782"/>
      <c r="BF182" s="782"/>
      <c r="BG182" s="782"/>
      <c r="BH182" s="782"/>
      <c r="BI182" s="782"/>
      <c r="BJ182" s="782"/>
      <c r="BK182" s="782"/>
      <c r="BL182" s="782"/>
      <c r="BM182" s="782"/>
      <c r="BN182" s="782"/>
      <c r="BO182" s="782"/>
      <c r="BP182" s="782"/>
      <c r="BQ182" s="782"/>
      <c r="BR182" s="782"/>
      <c r="BS182" s="782"/>
      <c r="BT182" s="782"/>
      <c r="BU182" s="782"/>
      <c r="BV182" s="782"/>
      <c r="BW182" s="782"/>
      <c r="BX182" s="782"/>
      <c r="BY182" s="782"/>
      <c r="BZ182" s="782"/>
    </row>
    <row r="183" spans="39:78" s="143" customFormat="1">
      <c r="AM183" s="782"/>
      <c r="AN183" s="782"/>
      <c r="AO183" s="782"/>
      <c r="AP183" s="782"/>
      <c r="AQ183" s="782"/>
      <c r="AR183" s="782"/>
      <c r="AS183" s="782"/>
      <c r="AT183" s="782"/>
      <c r="AU183" s="782"/>
      <c r="AV183" s="782"/>
      <c r="AW183" s="782"/>
      <c r="AX183" s="782"/>
      <c r="AY183" s="782"/>
      <c r="AZ183" s="782"/>
      <c r="BA183" s="782"/>
      <c r="BB183" s="782"/>
      <c r="BC183" s="782"/>
      <c r="BD183" s="782"/>
      <c r="BE183" s="782"/>
      <c r="BF183" s="782"/>
      <c r="BG183" s="782"/>
      <c r="BH183" s="782"/>
      <c r="BI183" s="782"/>
      <c r="BJ183" s="782"/>
      <c r="BK183" s="782"/>
      <c r="BL183" s="782"/>
      <c r="BM183" s="782"/>
      <c r="BN183" s="782"/>
      <c r="BO183" s="782"/>
      <c r="BP183" s="782"/>
      <c r="BQ183" s="782"/>
      <c r="BR183" s="782"/>
      <c r="BS183" s="782"/>
      <c r="BT183" s="782"/>
      <c r="BU183" s="782"/>
      <c r="BV183" s="782"/>
      <c r="BW183" s="782"/>
      <c r="BX183" s="782"/>
      <c r="BY183" s="782"/>
      <c r="BZ183" s="782"/>
    </row>
    <row r="184" spans="39:78" s="143" customFormat="1">
      <c r="AM184" s="782"/>
      <c r="AN184" s="782"/>
      <c r="AO184" s="782"/>
      <c r="AP184" s="782"/>
      <c r="AQ184" s="782"/>
      <c r="AR184" s="782"/>
      <c r="AS184" s="782"/>
      <c r="AT184" s="782"/>
      <c r="AU184" s="782"/>
      <c r="AV184" s="782"/>
      <c r="AW184" s="782"/>
      <c r="AX184" s="782"/>
      <c r="AY184" s="782"/>
      <c r="AZ184" s="782"/>
      <c r="BA184" s="782"/>
      <c r="BB184" s="782"/>
      <c r="BC184" s="782"/>
      <c r="BD184" s="782"/>
      <c r="BE184" s="782"/>
      <c r="BF184" s="782"/>
      <c r="BG184" s="782"/>
      <c r="BH184" s="782"/>
      <c r="BI184" s="782"/>
      <c r="BJ184" s="782"/>
      <c r="BK184" s="782"/>
      <c r="BL184" s="782"/>
      <c r="BM184" s="782"/>
      <c r="BN184" s="782"/>
      <c r="BO184" s="782"/>
      <c r="BP184" s="782"/>
      <c r="BQ184" s="782"/>
      <c r="BR184" s="782"/>
      <c r="BS184" s="782"/>
      <c r="BT184" s="782"/>
      <c r="BU184" s="782"/>
      <c r="BV184" s="782"/>
      <c r="BW184" s="782"/>
      <c r="BX184" s="782"/>
      <c r="BY184" s="782"/>
      <c r="BZ184" s="782"/>
    </row>
    <row r="185" spans="39:78" s="143" customFormat="1">
      <c r="AM185" s="782"/>
      <c r="AN185" s="782"/>
      <c r="AO185" s="782"/>
      <c r="AP185" s="782"/>
      <c r="AQ185" s="782"/>
      <c r="AR185" s="782"/>
      <c r="AS185" s="782"/>
      <c r="AT185" s="782"/>
      <c r="AU185" s="782"/>
      <c r="AV185" s="782"/>
      <c r="AW185" s="782"/>
      <c r="AX185" s="782"/>
      <c r="AY185" s="782"/>
      <c r="AZ185" s="782"/>
      <c r="BA185" s="782"/>
      <c r="BB185" s="782"/>
      <c r="BC185" s="782"/>
      <c r="BD185" s="782"/>
      <c r="BE185" s="782"/>
      <c r="BF185" s="782"/>
      <c r="BG185" s="782"/>
      <c r="BH185" s="782"/>
      <c r="BI185" s="782"/>
      <c r="BJ185" s="782"/>
      <c r="BK185" s="782"/>
      <c r="BL185" s="782"/>
      <c r="BM185" s="782"/>
      <c r="BN185" s="782"/>
      <c r="BO185" s="782"/>
      <c r="BP185" s="782"/>
      <c r="BQ185" s="782"/>
      <c r="BR185" s="782"/>
      <c r="BS185" s="782"/>
      <c r="BT185" s="782"/>
      <c r="BU185" s="782"/>
      <c r="BV185" s="782"/>
      <c r="BW185" s="782"/>
      <c r="BX185" s="782"/>
      <c r="BY185" s="782"/>
      <c r="BZ185" s="782"/>
    </row>
    <row r="186" spans="39:78" s="143" customFormat="1">
      <c r="AM186" s="782"/>
      <c r="AN186" s="782"/>
      <c r="AO186" s="782"/>
      <c r="AP186" s="782"/>
      <c r="AQ186" s="782"/>
      <c r="AR186" s="782"/>
      <c r="AS186" s="782"/>
      <c r="AT186" s="782"/>
      <c r="AU186" s="782"/>
      <c r="AV186" s="782"/>
      <c r="AW186" s="782"/>
      <c r="AX186" s="782"/>
      <c r="AY186" s="782"/>
      <c r="AZ186" s="782"/>
      <c r="BA186" s="782"/>
      <c r="BB186" s="782"/>
      <c r="BC186" s="782"/>
      <c r="BD186" s="782"/>
      <c r="BE186" s="782"/>
      <c r="BF186" s="782"/>
      <c r="BG186" s="782"/>
      <c r="BH186" s="782"/>
      <c r="BI186" s="782"/>
      <c r="BJ186" s="782"/>
      <c r="BK186" s="782"/>
      <c r="BL186" s="782"/>
      <c r="BM186" s="782"/>
      <c r="BN186" s="782"/>
      <c r="BO186" s="782"/>
      <c r="BP186" s="782"/>
      <c r="BQ186" s="782"/>
      <c r="BR186" s="782"/>
      <c r="BS186" s="782"/>
      <c r="BT186" s="782"/>
      <c r="BU186" s="782"/>
      <c r="BV186" s="782"/>
      <c r="BW186" s="782"/>
      <c r="BX186" s="782"/>
      <c r="BY186" s="782"/>
      <c r="BZ186" s="782"/>
    </row>
    <row r="187" spans="39:78" s="143" customFormat="1">
      <c r="AM187" s="782"/>
      <c r="AN187" s="782"/>
      <c r="AO187" s="782"/>
      <c r="AP187" s="782"/>
      <c r="AQ187" s="782"/>
      <c r="AR187" s="782"/>
      <c r="AS187" s="782"/>
      <c r="AT187" s="782"/>
      <c r="AU187" s="782"/>
      <c r="AV187" s="782"/>
      <c r="AW187" s="782"/>
      <c r="AX187" s="782"/>
      <c r="AY187" s="782"/>
      <c r="AZ187" s="782"/>
      <c r="BA187" s="782"/>
      <c r="BB187" s="782"/>
      <c r="BC187" s="782"/>
      <c r="BD187" s="782"/>
      <c r="BE187" s="782"/>
      <c r="BF187" s="782"/>
      <c r="BG187" s="782"/>
      <c r="BH187" s="782"/>
      <c r="BI187" s="782"/>
      <c r="BJ187" s="782"/>
      <c r="BK187" s="782"/>
      <c r="BL187" s="782"/>
      <c r="BM187" s="782"/>
      <c r="BN187" s="782"/>
      <c r="BO187" s="782"/>
      <c r="BP187" s="782"/>
      <c r="BQ187" s="782"/>
      <c r="BR187" s="782"/>
      <c r="BS187" s="782"/>
      <c r="BT187" s="782"/>
      <c r="BU187" s="782"/>
      <c r="BV187" s="782"/>
      <c r="BW187" s="782"/>
      <c r="BX187" s="782"/>
      <c r="BY187" s="782"/>
      <c r="BZ187" s="782"/>
    </row>
    <row r="188" spans="39:78" s="143" customFormat="1">
      <c r="AM188" s="782"/>
      <c r="AN188" s="782"/>
      <c r="AO188" s="782"/>
      <c r="AP188" s="782"/>
      <c r="AQ188" s="782"/>
      <c r="AR188" s="782"/>
      <c r="AS188" s="782"/>
      <c r="AT188" s="782"/>
      <c r="AU188" s="782"/>
      <c r="AV188" s="782"/>
      <c r="AW188" s="782"/>
      <c r="AX188" s="782"/>
      <c r="AY188" s="782"/>
      <c r="AZ188" s="782"/>
      <c r="BA188" s="782"/>
      <c r="BB188" s="782"/>
      <c r="BC188" s="782"/>
      <c r="BD188" s="782"/>
      <c r="BE188" s="782"/>
      <c r="BF188" s="782"/>
      <c r="BG188" s="782"/>
      <c r="BH188" s="782"/>
      <c r="BI188" s="782"/>
      <c r="BJ188" s="782"/>
      <c r="BK188" s="782"/>
      <c r="BL188" s="782"/>
      <c r="BM188" s="782"/>
      <c r="BN188" s="782"/>
      <c r="BO188" s="782"/>
      <c r="BP188" s="782"/>
      <c r="BQ188" s="782"/>
      <c r="BR188" s="782"/>
      <c r="BS188" s="782"/>
      <c r="BT188" s="782"/>
      <c r="BU188" s="782"/>
      <c r="BV188" s="782"/>
      <c r="BW188" s="782"/>
      <c r="BX188" s="782"/>
      <c r="BY188" s="782"/>
      <c r="BZ188" s="782"/>
    </row>
    <row r="189" spans="39:78" s="143" customFormat="1">
      <c r="AM189" s="782"/>
      <c r="AN189" s="782"/>
      <c r="AO189" s="782"/>
      <c r="AP189" s="782"/>
      <c r="AQ189" s="782"/>
      <c r="AR189" s="782"/>
      <c r="AS189" s="782"/>
      <c r="AT189" s="782"/>
      <c r="AU189" s="782"/>
      <c r="AV189" s="782"/>
      <c r="AW189" s="782"/>
      <c r="AX189" s="782"/>
      <c r="AY189" s="782"/>
      <c r="AZ189" s="782"/>
      <c r="BA189" s="782"/>
      <c r="BB189" s="782"/>
      <c r="BC189" s="782"/>
      <c r="BD189" s="782"/>
      <c r="BE189" s="782"/>
      <c r="BF189" s="782"/>
      <c r="BG189" s="782"/>
      <c r="BH189" s="782"/>
      <c r="BI189" s="782"/>
      <c r="BJ189" s="782"/>
      <c r="BK189" s="782"/>
      <c r="BL189" s="782"/>
      <c r="BM189" s="782"/>
      <c r="BN189" s="782"/>
      <c r="BO189" s="782"/>
      <c r="BP189" s="782"/>
      <c r="BQ189" s="782"/>
      <c r="BR189" s="782"/>
      <c r="BS189" s="782"/>
      <c r="BT189" s="782"/>
      <c r="BU189" s="782"/>
      <c r="BV189" s="782"/>
      <c r="BW189" s="782"/>
      <c r="BX189" s="782"/>
      <c r="BY189" s="782"/>
      <c r="BZ189" s="782"/>
    </row>
    <row r="190" spans="39:78" s="143" customFormat="1">
      <c r="AM190" s="782"/>
      <c r="AN190" s="782"/>
      <c r="AO190" s="782"/>
      <c r="AP190" s="782"/>
      <c r="AQ190" s="782"/>
      <c r="AR190" s="782"/>
      <c r="AS190" s="782"/>
      <c r="AT190" s="782"/>
      <c r="AU190" s="782"/>
      <c r="AV190" s="782"/>
      <c r="AW190" s="782"/>
      <c r="AX190" s="782"/>
      <c r="AY190" s="782"/>
      <c r="AZ190" s="782"/>
      <c r="BA190" s="782"/>
      <c r="BB190" s="782"/>
      <c r="BC190" s="782"/>
      <c r="BD190" s="782"/>
      <c r="BE190" s="782"/>
      <c r="BF190" s="782"/>
      <c r="BG190" s="782"/>
      <c r="BH190" s="782"/>
      <c r="BI190" s="782"/>
      <c r="BJ190" s="782"/>
      <c r="BK190" s="782"/>
      <c r="BL190" s="782"/>
      <c r="BM190" s="782"/>
      <c r="BN190" s="782"/>
      <c r="BO190" s="782"/>
      <c r="BP190" s="782"/>
      <c r="BQ190" s="782"/>
      <c r="BR190" s="782"/>
      <c r="BS190" s="782"/>
      <c r="BT190" s="782"/>
      <c r="BU190" s="782"/>
      <c r="BV190" s="782"/>
      <c r="BW190" s="782"/>
      <c r="BX190" s="782"/>
      <c r="BY190" s="782"/>
      <c r="BZ190" s="782"/>
    </row>
    <row r="191" spans="39:78" s="143" customFormat="1">
      <c r="AM191" s="782"/>
      <c r="AN191" s="782"/>
      <c r="AO191" s="782"/>
      <c r="AP191" s="782"/>
      <c r="AQ191" s="782"/>
      <c r="AR191" s="782"/>
      <c r="AS191" s="782"/>
      <c r="AT191" s="782"/>
      <c r="AU191" s="782"/>
      <c r="AV191" s="782"/>
      <c r="AW191" s="782"/>
      <c r="AX191" s="782"/>
      <c r="AY191" s="782"/>
      <c r="AZ191" s="782"/>
      <c r="BA191" s="782"/>
      <c r="BB191" s="782"/>
      <c r="BC191" s="782"/>
      <c r="BD191" s="782"/>
      <c r="BE191" s="782"/>
      <c r="BF191" s="782"/>
      <c r="BG191" s="782"/>
      <c r="BH191" s="782"/>
      <c r="BI191" s="782"/>
      <c r="BJ191" s="782"/>
      <c r="BK191" s="782"/>
      <c r="BL191" s="782"/>
      <c r="BM191" s="782"/>
      <c r="BN191" s="782"/>
      <c r="BO191" s="782"/>
      <c r="BP191" s="782"/>
      <c r="BQ191" s="782"/>
      <c r="BR191" s="782"/>
      <c r="BS191" s="782"/>
      <c r="BT191" s="782"/>
      <c r="BU191" s="782"/>
      <c r="BV191" s="782"/>
      <c r="BW191" s="782"/>
      <c r="BX191" s="782"/>
      <c r="BY191" s="782"/>
      <c r="BZ191" s="782"/>
    </row>
    <row r="192" spans="39:78" s="143" customFormat="1">
      <c r="AM192" s="782"/>
      <c r="AN192" s="782"/>
      <c r="AO192" s="782"/>
      <c r="AP192" s="782"/>
      <c r="AQ192" s="782"/>
      <c r="AR192" s="782"/>
      <c r="AS192" s="782"/>
      <c r="AT192" s="782"/>
      <c r="AU192" s="782"/>
      <c r="AV192" s="782"/>
      <c r="AW192" s="782"/>
      <c r="AX192" s="782"/>
      <c r="AY192" s="782"/>
      <c r="AZ192" s="782"/>
      <c r="BA192" s="782"/>
      <c r="BB192" s="782"/>
      <c r="BC192" s="782"/>
      <c r="BD192" s="782"/>
      <c r="BE192" s="782"/>
      <c r="BF192" s="782"/>
      <c r="BG192" s="782"/>
      <c r="BH192" s="782"/>
      <c r="BI192" s="782"/>
      <c r="BJ192" s="782"/>
      <c r="BK192" s="782"/>
      <c r="BL192" s="782"/>
      <c r="BM192" s="782"/>
      <c r="BN192" s="782"/>
      <c r="BO192" s="782"/>
      <c r="BP192" s="782"/>
      <c r="BQ192" s="782"/>
      <c r="BR192" s="782"/>
      <c r="BS192" s="782"/>
      <c r="BT192" s="782"/>
      <c r="BU192" s="782"/>
      <c r="BV192" s="782"/>
      <c r="BW192" s="782"/>
      <c r="BX192" s="782"/>
      <c r="BY192" s="782"/>
      <c r="BZ192" s="782"/>
    </row>
    <row r="193" spans="39:78" s="143" customFormat="1">
      <c r="AM193" s="782"/>
      <c r="AN193" s="782"/>
      <c r="AO193" s="782"/>
      <c r="AP193" s="782"/>
      <c r="AQ193" s="782"/>
      <c r="AR193" s="782"/>
      <c r="AS193" s="782"/>
      <c r="AT193" s="782"/>
      <c r="AU193" s="782"/>
      <c r="AV193" s="782"/>
      <c r="AW193" s="782"/>
      <c r="AX193" s="782"/>
      <c r="AY193" s="782"/>
      <c r="AZ193" s="782"/>
      <c r="BA193" s="782"/>
      <c r="BB193" s="782"/>
      <c r="BC193" s="782"/>
      <c r="BD193" s="782"/>
      <c r="BE193" s="782"/>
      <c r="BF193" s="782"/>
      <c r="BG193" s="782"/>
      <c r="BH193" s="782"/>
      <c r="BI193" s="782"/>
      <c r="BJ193" s="782"/>
      <c r="BK193" s="782"/>
      <c r="BL193" s="782"/>
      <c r="BM193" s="782"/>
      <c r="BN193" s="782"/>
      <c r="BO193" s="782"/>
      <c r="BP193" s="782"/>
      <c r="BQ193" s="782"/>
      <c r="BR193" s="782"/>
      <c r="BS193" s="782"/>
      <c r="BT193" s="782"/>
      <c r="BU193" s="782"/>
      <c r="BV193" s="782"/>
      <c r="BW193" s="782"/>
      <c r="BX193" s="782"/>
      <c r="BY193" s="782"/>
      <c r="BZ193" s="782"/>
    </row>
    <row r="194" spans="39:78" s="143" customFormat="1">
      <c r="AM194" s="782"/>
      <c r="AN194" s="782"/>
      <c r="AO194" s="782"/>
      <c r="AP194" s="782"/>
      <c r="AQ194" s="782"/>
      <c r="AR194" s="782"/>
      <c r="AS194" s="782"/>
      <c r="AT194" s="782"/>
      <c r="AU194" s="782"/>
      <c r="AV194" s="782"/>
      <c r="AW194" s="782"/>
      <c r="AX194" s="782"/>
      <c r="AY194" s="782"/>
      <c r="AZ194" s="782"/>
      <c r="BA194" s="782"/>
      <c r="BB194" s="782"/>
      <c r="BC194" s="782"/>
      <c r="BD194" s="782"/>
      <c r="BE194" s="782"/>
      <c r="BF194" s="782"/>
      <c r="BG194" s="782"/>
      <c r="BH194" s="782"/>
      <c r="BI194" s="782"/>
      <c r="BJ194" s="782"/>
      <c r="BK194" s="782"/>
      <c r="BL194" s="782"/>
      <c r="BM194" s="782"/>
      <c r="BN194" s="782"/>
      <c r="BO194" s="782"/>
      <c r="BP194" s="782"/>
      <c r="BQ194" s="782"/>
      <c r="BR194" s="782"/>
      <c r="BS194" s="782"/>
      <c r="BT194" s="782"/>
      <c r="BU194" s="782"/>
      <c r="BV194" s="782"/>
      <c r="BW194" s="782"/>
      <c r="BX194" s="782"/>
      <c r="BY194" s="782"/>
      <c r="BZ194" s="782"/>
    </row>
    <row r="195" spans="39:78" s="143" customFormat="1">
      <c r="AM195" s="782"/>
      <c r="AN195" s="782"/>
      <c r="AO195" s="782"/>
      <c r="AP195" s="782"/>
      <c r="AQ195" s="782"/>
      <c r="AR195" s="782"/>
      <c r="AS195" s="782"/>
      <c r="AT195" s="782"/>
      <c r="AU195" s="782"/>
      <c r="AV195" s="782"/>
      <c r="AW195" s="782"/>
      <c r="AX195" s="782"/>
      <c r="AY195" s="782"/>
      <c r="AZ195" s="782"/>
      <c r="BA195" s="782"/>
      <c r="BB195" s="782"/>
      <c r="BC195" s="782"/>
      <c r="BD195" s="782"/>
      <c r="BE195" s="782"/>
      <c r="BF195" s="782"/>
      <c r="BG195" s="782"/>
      <c r="BH195" s="782"/>
      <c r="BI195" s="782"/>
      <c r="BJ195" s="782"/>
      <c r="BK195" s="782"/>
      <c r="BL195" s="782"/>
      <c r="BM195" s="782"/>
      <c r="BN195" s="782"/>
      <c r="BO195" s="782"/>
      <c r="BP195" s="782"/>
      <c r="BQ195" s="782"/>
      <c r="BR195" s="782"/>
      <c r="BS195" s="782"/>
      <c r="BT195" s="782"/>
      <c r="BU195" s="782"/>
      <c r="BV195" s="782"/>
      <c r="BW195" s="782"/>
      <c r="BX195" s="782"/>
      <c r="BY195" s="782"/>
      <c r="BZ195" s="782"/>
    </row>
    <row r="196" spans="39:78" s="143" customFormat="1">
      <c r="AM196" s="782"/>
      <c r="AN196" s="782"/>
      <c r="AO196" s="782"/>
      <c r="AP196" s="782"/>
      <c r="AQ196" s="782"/>
      <c r="AR196" s="782"/>
      <c r="AS196" s="782"/>
      <c r="AT196" s="782"/>
      <c r="AU196" s="782"/>
      <c r="AV196" s="782"/>
      <c r="AW196" s="782"/>
      <c r="AX196" s="782"/>
      <c r="AY196" s="782"/>
      <c r="AZ196" s="782"/>
      <c r="BA196" s="782"/>
      <c r="BB196" s="782"/>
      <c r="BC196" s="782"/>
      <c r="BD196" s="782"/>
      <c r="BE196" s="782"/>
      <c r="BF196" s="782"/>
      <c r="BG196" s="782"/>
      <c r="BH196" s="782"/>
      <c r="BI196" s="782"/>
      <c r="BJ196" s="782"/>
      <c r="BK196" s="782"/>
      <c r="BL196" s="782"/>
      <c r="BM196" s="782"/>
      <c r="BN196" s="782"/>
      <c r="BO196" s="782"/>
      <c r="BP196" s="782"/>
      <c r="BQ196" s="782"/>
      <c r="BR196" s="782"/>
      <c r="BS196" s="782"/>
      <c r="BT196" s="782"/>
      <c r="BU196" s="782"/>
      <c r="BV196" s="782"/>
      <c r="BW196" s="782"/>
      <c r="BX196" s="782"/>
      <c r="BY196" s="782"/>
      <c r="BZ196" s="782"/>
    </row>
    <row r="197" spans="39:78" s="143" customFormat="1">
      <c r="AM197" s="782"/>
      <c r="AN197" s="782"/>
      <c r="AO197" s="782"/>
      <c r="AP197" s="782"/>
      <c r="AQ197" s="782"/>
      <c r="AR197" s="782"/>
      <c r="AS197" s="782"/>
      <c r="AT197" s="782"/>
      <c r="AU197" s="782"/>
      <c r="AV197" s="782"/>
      <c r="AW197" s="782"/>
      <c r="AX197" s="782"/>
      <c r="AY197" s="782"/>
      <c r="AZ197" s="782"/>
      <c r="BA197" s="782"/>
      <c r="BB197" s="782"/>
      <c r="BC197" s="782"/>
      <c r="BD197" s="782"/>
      <c r="BE197" s="782"/>
      <c r="BF197" s="782"/>
      <c r="BG197" s="782"/>
      <c r="BH197" s="782"/>
      <c r="BI197" s="782"/>
      <c r="BJ197" s="782"/>
      <c r="BK197" s="782"/>
      <c r="BL197" s="782"/>
      <c r="BM197" s="782"/>
      <c r="BN197" s="782"/>
      <c r="BO197" s="782"/>
      <c r="BP197" s="782"/>
      <c r="BQ197" s="782"/>
      <c r="BR197" s="782"/>
      <c r="BS197" s="782"/>
      <c r="BT197" s="782"/>
      <c r="BU197" s="782"/>
      <c r="BV197" s="782"/>
      <c r="BW197" s="782"/>
      <c r="BX197" s="782"/>
      <c r="BY197" s="782"/>
      <c r="BZ197" s="782"/>
    </row>
    <row r="198" spans="39:78" s="143" customFormat="1">
      <c r="AM198" s="782"/>
      <c r="AN198" s="782"/>
      <c r="AO198" s="782"/>
      <c r="AP198" s="782"/>
      <c r="AQ198" s="782"/>
      <c r="AR198" s="782"/>
      <c r="AS198" s="782"/>
      <c r="AT198" s="782"/>
      <c r="AU198" s="782"/>
      <c r="AV198" s="782"/>
      <c r="AW198" s="782"/>
      <c r="AX198" s="782"/>
      <c r="AY198" s="782"/>
      <c r="AZ198" s="782"/>
      <c r="BA198" s="782"/>
      <c r="BB198" s="782"/>
      <c r="BC198" s="782"/>
      <c r="BD198" s="782"/>
      <c r="BE198" s="782"/>
      <c r="BF198" s="782"/>
      <c r="BG198" s="782"/>
      <c r="BH198" s="782"/>
      <c r="BI198" s="782"/>
      <c r="BJ198" s="782"/>
      <c r="BK198" s="782"/>
      <c r="BL198" s="782"/>
      <c r="BM198" s="782"/>
      <c r="BN198" s="782"/>
      <c r="BO198" s="782"/>
      <c r="BP198" s="782"/>
      <c r="BQ198" s="782"/>
      <c r="BR198" s="782"/>
      <c r="BS198" s="782"/>
      <c r="BT198" s="782"/>
      <c r="BU198" s="782"/>
      <c r="BV198" s="782"/>
      <c r="BW198" s="782"/>
      <c r="BX198" s="782"/>
      <c r="BY198" s="782"/>
      <c r="BZ198" s="782"/>
    </row>
    <row r="199" spans="39:78" s="143" customFormat="1">
      <c r="AM199" s="782"/>
      <c r="AN199" s="782"/>
      <c r="AO199" s="782"/>
      <c r="AP199" s="782"/>
      <c r="AQ199" s="782"/>
      <c r="AR199" s="782"/>
      <c r="AS199" s="782"/>
      <c r="AT199" s="782"/>
      <c r="AU199" s="782"/>
      <c r="AV199" s="782"/>
      <c r="AW199" s="782"/>
      <c r="AX199" s="782"/>
      <c r="AY199" s="782"/>
      <c r="AZ199" s="782"/>
      <c r="BA199" s="782"/>
      <c r="BB199" s="782"/>
      <c r="BC199" s="782"/>
      <c r="BD199" s="782"/>
      <c r="BE199" s="782"/>
      <c r="BF199" s="782"/>
      <c r="BG199" s="782"/>
      <c r="BH199" s="782"/>
      <c r="BI199" s="782"/>
      <c r="BJ199" s="782"/>
      <c r="BK199" s="782"/>
      <c r="BL199" s="782"/>
      <c r="BM199" s="782"/>
      <c r="BN199" s="782"/>
      <c r="BO199" s="782"/>
      <c r="BP199" s="782"/>
      <c r="BQ199" s="782"/>
      <c r="BR199" s="782"/>
      <c r="BS199" s="782"/>
      <c r="BT199" s="782"/>
      <c r="BU199" s="782"/>
      <c r="BV199" s="782"/>
      <c r="BW199" s="782"/>
      <c r="BX199" s="782"/>
      <c r="BY199" s="782"/>
      <c r="BZ199" s="782"/>
    </row>
    <row r="200" spans="39:78" s="143" customFormat="1">
      <c r="AM200" s="782"/>
      <c r="AN200" s="782"/>
      <c r="AO200" s="782"/>
      <c r="AP200" s="782"/>
      <c r="AQ200" s="782"/>
      <c r="AR200" s="782"/>
      <c r="AS200" s="782"/>
      <c r="AT200" s="782"/>
      <c r="AU200" s="782"/>
      <c r="AV200" s="782"/>
      <c r="AW200" s="782"/>
      <c r="AX200" s="782"/>
      <c r="AY200" s="782"/>
      <c r="AZ200" s="782"/>
      <c r="BA200" s="782"/>
      <c r="BB200" s="782"/>
      <c r="BC200" s="782"/>
      <c r="BD200" s="782"/>
      <c r="BE200" s="782"/>
      <c r="BF200" s="782"/>
      <c r="BG200" s="782"/>
      <c r="BH200" s="782"/>
      <c r="BI200" s="782"/>
      <c r="BJ200" s="782"/>
      <c r="BK200" s="782"/>
      <c r="BL200" s="782"/>
      <c r="BM200" s="782"/>
      <c r="BN200" s="782"/>
      <c r="BO200" s="782"/>
      <c r="BP200" s="782"/>
      <c r="BQ200" s="782"/>
      <c r="BR200" s="782"/>
      <c r="BS200" s="782"/>
      <c r="BT200" s="782"/>
      <c r="BU200" s="782"/>
      <c r="BV200" s="782"/>
      <c r="BW200" s="782"/>
      <c r="BX200" s="782"/>
      <c r="BY200" s="782"/>
      <c r="BZ200" s="782"/>
    </row>
    <row r="201" spans="39:78" s="143" customFormat="1">
      <c r="AM201" s="782"/>
      <c r="AN201" s="782"/>
      <c r="AO201" s="782"/>
      <c r="AP201" s="782"/>
      <c r="AQ201" s="782"/>
      <c r="AR201" s="782"/>
      <c r="AS201" s="782"/>
      <c r="AT201" s="782"/>
      <c r="AU201" s="782"/>
      <c r="AV201" s="782"/>
      <c r="AW201" s="782"/>
      <c r="AX201" s="782"/>
      <c r="AY201" s="782"/>
      <c r="AZ201" s="782"/>
      <c r="BA201" s="782"/>
      <c r="BB201" s="782"/>
      <c r="BC201" s="782"/>
      <c r="BD201" s="782"/>
      <c r="BE201" s="782"/>
      <c r="BF201" s="782"/>
      <c r="BG201" s="782"/>
      <c r="BH201" s="782"/>
      <c r="BI201" s="782"/>
      <c r="BJ201" s="782"/>
      <c r="BK201" s="782"/>
      <c r="BL201" s="782"/>
      <c r="BM201" s="782"/>
      <c r="BN201" s="782"/>
      <c r="BO201" s="782"/>
      <c r="BP201" s="782"/>
      <c r="BQ201" s="782"/>
      <c r="BR201" s="782"/>
      <c r="BS201" s="782"/>
      <c r="BT201" s="782"/>
      <c r="BU201" s="782"/>
      <c r="BV201" s="782"/>
      <c r="BW201" s="782"/>
      <c r="BX201" s="782"/>
      <c r="BY201" s="782"/>
      <c r="BZ201" s="782"/>
    </row>
    <row r="202" spans="39:78" s="143" customFormat="1">
      <c r="AM202" s="782"/>
      <c r="AN202" s="782"/>
      <c r="AO202" s="782"/>
      <c r="AP202" s="782"/>
      <c r="AQ202" s="782"/>
      <c r="AR202" s="782"/>
      <c r="AS202" s="782"/>
      <c r="AT202" s="782"/>
      <c r="AU202" s="782"/>
      <c r="AV202" s="782"/>
      <c r="AW202" s="782"/>
      <c r="AX202" s="782"/>
      <c r="AY202" s="782"/>
      <c r="AZ202" s="782"/>
      <c r="BA202" s="782"/>
      <c r="BB202" s="782"/>
      <c r="BC202" s="782"/>
      <c r="BD202" s="782"/>
      <c r="BE202" s="782"/>
      <c r="BF202" s="782"/>
      <c r="BG202" s="782"/>
      <c r="BH202" s="782"/>
      <c r="BI202" s="782"/>
      <c r="BJ202" s="782"/>
      <c r="BK202" s="782"/>
      <c r="BL202" s="782"/>
      <c r="BM202" s="782"/>
      <c r="BN202" s="782"/>
      <c r="BO202" s="782"/>
      <c r="BP202" s="782"/>
      <c r="BQ202" s="782"/>
      <c r="BR202" s="782"/>
      <c r="BS202" s="782"/>
      <c r="BT202" s="782"/>
      <c r="BU202" s="782"/>
      <c r="BV202" s="782"/>
      <c r="BW202" s="782"/>
      <c r="BX202" s="782"/>
      <c r="BY202" s="782"/>
      <c r="BZ202" s="782"/>
    </row>
    <row r="203" spans="39:78" s="143" customFormat="1">
      <c r="AM203" s="782"/>
      <c r="AN203" s="782"/>
      <c r="AO203" s="782"/>
      <c r="AP203" s="782"/>
      <c r="AQ203" s="782"/>
      <c r="AR203" s="782"/>
      <c r="AS203" s="782"/>
      <c r="AT203" s="782"/>
      <c r="AU203" s="782"/>
      <c r="AV203" s="782"/>
      <c r="AW203" s="782"/>
      <c r="AX203" s="782"/>
      <c r="AY203" s="782"/>
      <c r="AZ203" s="782"/>
      <c r="BA203" s="782"/>
      <c r="BB203" s="782"/>
      <c r="BC203" s="782"/>
      <c r="BD203" s="782"/>
      <c r="BE203" s="782"/>
      <c r="BF203" s="782"/>
      <c r="BG203" s="782"/>
      <c r="BH203" s="782"/>
      <c r="BI203" s="782"/>
      <c r="BJ203" s="782"/>
      <c r="BK203" s="782"/>
      <c r="BL203" s="782"/>
      <c r="BM203" s="782"/>
      <c r="BN203" s="782"/>
      <c r="BO203" s="782"/>
      <c r="BP203" s="782"/>
      <c r="BQ203" s="782"/>
      <c r="BR203" s="782"/>
      <c r="BS203" s="782"/>
      <c r="BT203" s="782"/>
      <c r="BU203" s="782"/>
      <c r="BV203" s="782"/>
      <c r="BW203" s="782"/>
      <c r="BX203" s="782"/>
      <c r="BY203" s="782"/>
      <c r="BZ203" s="782"/>
    </row>
    <row r="204" spans="39:78" s="143" customFormat="1">
      <c r="AM204" s="782"/>
      <c r="AN204" s="782"/>
      <c r="AO204" s="782"/>
      <c r="AP204" s="782"/>
      <c r="AQ204" s="782"/>
      <c r="AR204" s="782"/>
      <c r="AS204" s="782"/>
      <c r="AT204" s="782"/>
      <c r="AU204" s="782"/>
      <c r="AV204" s="782"/>
      <c r="AW204" s="782"/>
      <c r="AX204" s="782"/>
      <c r="AY204" s="782"/>
      <c r="AZ204" s="782"/>
      <c r="BA204" s="782"/>
      <c r="BB204" s="782"/>
      <c r="BC204" s="782"/>
      <c r="BD204" s="782"/>
      <c r="BE204" s="782"/>
      <c r="BF204" s="782"/>
      <c r="BG204" s="782"/>
      <c r="BH204" s="782"/>
      <c r="BI204" s="782"/>
      <c r="BJ204" s="782"/>
      <c r="BK204" s="782"/>
      <c r="BL204" s="782"/>
      <c r="BM204" s="782"/>
      <c r="BN204" s="782"/>
      <c r="BO204" s="782"/>
      <c r="BP204" s="782"/>
      <c r="BQ204" s="782"/>
      <c r="BR204" s="782"/>
      <c r="BS204" s="782"/>
      <c r="BT204" s="782"/>
      <c r="BU204" s="782"/>
      <c r="BV204" s="782"/>
      <c r="BW204" s="782"/>
      <c r="BX204" s="782"/>
      <c r="BY204" s="782"/>
      <c r="BZ204" s="782"/>
    </row>
    <row r="205" spans="39:78" s="143" customFormat="1">
      <c r="AM205" s="782"/>
      <c r="AN205" s="782"/>
      <c r="AO205" s="782"/>
      <c r="AP205" s="782"/>
      <c r="AQ205" s="782"/>
      <c r="AR205" s="782"/>
      <c r="AS205" s="782"/>
      <c r="AT205" s="782"/>
      <c r="AU205" s="782"/>
      <c r="AV205" s="782"/>
      <c r="AW205" s="782"/>
      <c r="AX205" s="782"/>
      <c r="AY205" s="782"/>
      <c r="AZ205" s="782"/>
      <c r="BA205" s="782"/>
      <c r="BB205" s="782"/>
      <c r="BC205" s="782"/>
      <c r="BD205" s="782"/>
      <c r="BE205" s="782"/>
      <c r="BF205" s="782"/>
      <c r="BG205" s="782"/>
      <c r="BH205" s="782"/>
      <c r="BI205" s="782"/>
      <c r="BJ205" s="782"/>
      <c r="BK205" s="782"/>
      <c r="BL205" s="782"/>
      <c r="BM205" s="782"/>
      <c r="BN205" s="782"/>
      <c r="BO205" s="782"/>
      <c r="BP205" s="782"/>
      <c r="BQ205" s="782"/>
      <c r="BR205" s="782"/>
      <c r="BS205" s="782"/>
      <c r="BT205" s="782"/>
      <c r="BU205" s="782"/>
      <c r="BV205" s="782"/>
      <c r="BW205" s="782"/>
      <c r="BX205" s="782"/>
      <c r="BY205" s="782"/>
      <c r="BZ205" s="782"/>
    </row>
    <row r="206" spans="39:78" s="143" customFormat="1">
      <c r="AM206" s="782"/>
      <c r="AN206" s="782"/>
      <c r="AO206" s="782"/>
      <c r="AP206" s="782"/>
      <c r="AQ206" s="782"/>
      <c r="AR206" s="782"/>
      <c r="AS206" s="782"/>
      <c r="AT206" s="782"/>
      <c r="AU206" s="782"/>
      <c r="AV206" s="782"/>
      <c r="AW206" s="782"/>
      <c r="AX206" s="782"/>
      <c r="AY206" s="782"/>
      <c r="AZ206" s="782"/>
      <c r="BA206" s="782"/>
      <c r="BB206" s="782"/>
      <c r="BC206" s="782"/>
      <c r="BD206" s="782"/>
      <c r="BE206" s="782"/>
      <c r="BF206" s="782"/>
      <c r="BG206" s="782"/>
      <c r="BH206" s="782"/>
      <c r="BI206" s="782"/>
      <c r="BJ206" s="782"/>
      <c r="BK206" s="782"/>
      <c r="BL206" s="782"/>
      <c r="BM206" s="782"/>
      <c r="BN206" s="782"/>
      <c r="BO206" s="782"/>
      <c r="BP206" s="782"/>
      <c r="BQ206" s="782"/>
      <c r="BR206" s="782"/>
      <c r="BS206" s="782"/>
      <c r="BT206" s="782"/>
      <c r="BU206" s="782"/>
      <c r="BV206" s="782"/>
      <c r="BW206" s="782"/>
      <c r="BX206" s="782"/>
      <c r="BY206" s="782"/>
      <c r="BZ206" s="782"/>
    </row>
    <row r="207" spans="39:78" s="143" customFormat="1">
      <c r="AM207" s="782"/>
      <c r="AN207" s="782"/>
      <c r="AO207" s="782"/>
      <c r="AP207" s="782"/>
      <c r="AQ207" s="782"/>
      <c r="AR207" s="782"/>
      <c r="AS207" s="782"/>
      <c r="AT207" s="782"/>
      <c r="AU207" s="782"/>
      <c r="AV207" s="782"/>
      <c r="AW207" s="782"/>
      <c r="AX207" s="782"/>
      <c r="AY207" s="782"/>
      <c r="AZ207" s="782"/>
      <c r="BA207" s="782"/>
      <c r="BB207" s="782"/>
      <c r="BC207" s="782"/>
      <c r="BD207" s="782"/>
      <c r="BE207" s="782"/>
      <c r="BF207" s="782"/>
      <c r="BG207" s="782"/>
      <c r="BH207" s="782"/>
      <c r="BI207" s="782"/>
      <c r="BJ207" s="782"/>
      <c r="BK207" s="782"/>
      <c r="BL207" s="782"/>
      <c r="BM207" s="782"/>
      <c r="BN207" s="782"/>
      <c r="BO207" s="782"/>
      <c r="BP207" s="782"/>
      <c r="BQ207" s="782"/>
      <c r="BR207" s="782"/>
      <c r="BS207" s="782"/>
      <c r="BT207" s="782"/>
      <c r="BU207" s="782"/>
      <c r="BV207" s="782"/>
      <c r="BW207" s="782"/>
      <c r="BX207" s="782"/>
      <c r="BY207" s="782"/>
      <c r="BZ207" s="782"/>
    </row>
    <row r="208" spans="39:78" s="143" customFormat="1">
      <c r="AM208" s="782"/>
      <c r="AN208" s="782"/>
      <c r="AO208" s="782"/>
      <c r="AP208" s="782"/>
      <c r="AQ208" s="782"/>
      <c r="AR208" s="782"/>
      <c r="AS208" s="782"/>
      <c r="AT208" s="782"/>
      <c r="AU208" s="782"/>
      <c r="AV208" s="782"/>
      <c r="AW208" s="782"/>
      <c r="AX208" s="782"/>
      <c r="AY208" s="782"/>
      <c r="AZ208" s="782"/>
      <c r="BA208" s="782"/>
      <c r="BB208" s="782"/>
      <c r="BC208" s="782"/>
      <c r="BD208" s="782"/>
      <c r="BE208" s="782"/>
      <c r="BF208" s="782"/>
      <c r="BG208" s="782"/>
      <c r="BH208" s="782"/>
      <c r="BI208" s="782"/>
      <c r="BJ208" s="782"/>
      <c r="BK208" s="782"/>
      <c r="BL208" s="782"/>
      <c r="BM208" s="782"/>
      <c r="BN208" s="782"/>
      <c r="BO208" s="782"/>
      <c r="BP208" s="782"/>
      <c r="BQ208" s="782"/>
      <c r="BR208" s="782"/>
      <c r="BS208" s="782"/>
      <c r="BT208" s="782"/>
      <c r="BU208" s="782"/>
      <c r="BV208" s="782"/>
      <c r="BW208" s="782"/>
      <c r="BX208" s="782"/>
      <c r="BY208" s="782"/>
      <c r="BZ208" s="782"/>
    </row>
    <row r="209" spans="39:78" s="143" customFormat="1">
      <c r="AM209" s="782"/>
      <c r="AN209" s="782"/>
      <c r="AO209" s="782"/>
      <c r="AP209" s="782"/>
      <c r="AQ209" s="782"/>
      <c r="AR209" s="782"/>
      <c r="AS209" s="782"/>
      <c r="AT209" s="782"/>
      <c r="AU209" s="782"/>
      <c r="AV209" s="782"/>
      <c r="AW209" s="782"/>
      <c r="AX209" s="782"/>
      <c r="AY209" s="782"/>
      <c r="AZ209" s="782"/>
      <c r="BA209" s="782"/>
      <c r="BB209" s="782"/>
      <c r="BC209" s="782"/>
      <c r="BD209" s="782"/>
      <c r="BE209" s="782"/>
      <c r="BF209" s="782"/>
      <c r="BG209" s="782"/>
      <c r="BH209" s="782"/>
      <c r="BI209" s="782"/>
      <c r="BJ209" s="782"/>
      <c r="BK209" s="782"/>
      <c r="BL209" s="782"/>
      <c r="BM209" s="782"/>
      <c r="BN209" s="782"/>
      <c r="BO209" s="782"/>
      <c r="BP209" s="782"/>
      <c r="BQ209" s="782"/>
      <c r="BR209" s="782"/>
      <c r="BS209" s="782"/>
      <c r="BT209" s="782"/>
      <c r="BU209" s="782"/>
      <c r="BV209" s="782"/>
      <c r="BW209" s="782"/>
      <c r="BX209" s="782"/>
      <c r="BY209" s="782"/>
      <c r="BZ209" s="782"/>
    </row>
    <row r="210" spans="39:78" s="143" customFormat="1">
      <c r="AM210" s="782"/>
      <c r="AN210" s="782"/>
      <c r="AO210" s="782"/>
      <c r="AP210" s="782"/>
      <c r="AQ210" s="782"/>
      <c r="AR210" s="782"/>
      <c r="AS210" s="782"/>
      <c r="AT210" s="782"/>
      <c r="AU210" s="782"/>
      <c r="AV210" s="782"/>
      <c r="AW210" s="782"/>
      <c r="AX210" s="782"/>
      <c r="AY210" s="782"/>
      <c r="AZ210" s="782"/>
      <c r="BA210" s="782"/>
      <c r="BB210" s="782"/>
      <c r="BC210" s="782"/>
      <c r="BD210" s="782"/>
      <c r="BE210" s="782"/>
      <c r="BF210" s="782"/>
      <c r="BG210" s="782"/>
      <c r="BH210" s="782"/>
      <c r="BI210" s="782"/>
      <c r="BJ210" s="782"/>
      <c r="BK210" s="782"/>
      <c r="BL210" s="782"/>
      <c r="BM210" s="782"/>
      <c r="BN210" s="782"/>
      <c r="BO210" s="782"/>
      <c r="BP210" s="782"/>
      <c r="BQ210" s="782"/>
      <c r="BR210" s="782"/>
      <c r="BS210" s="782"/>
      <c r="BT210" s="782"/>
      <c r="BU210" s="782"/>
      <c r="BV210" s="782"/>
      <c r="BW210" s="782"/>
      <c r="BX210" s="782"/>
      <c r="BY210" s="782"/>
      <c r="BZ210" s="782"/>
    </row>
    <row r="211" spans="39:78" s="143" customFormat="1">
      <c r="AM211" s="782"/>
      <c r="AN211" s="782"/>
      <c r="AO211" s="782"/>
      <c r="AP211" s="782"/>
      <c r="AQ211" s="782"/>
      <c r="AR211" s="782"/>
      <c r="AS211" s="782"/>
      <c r="AT211" s="782"/>
      <c r="AU211" s="782"/>
      <c r="AV211" s="782"/>
      <c r="AW211" s="782"/>
      <c r="AX211" s="782"/>
      <c r="AY211" s="782"/>
      <c r="AZ211" s="782"/>
      <c r="BA211" s="782"/>
      <c r="BB211" s="782"/>
      <c r="BC211" s="782"/>
      <c r="BD211" s="782"/>
      <c r="BE211" s="782"/>
      <c r="BF211" s="782"/>
      <c r="BG211" s="782"/>
      <c r="BH211" s="782"/>
      <c r="BI211" s="782"/>
      <c r="BJ211" s="782"/>
      <c r="BK211" s="782"/>
      <c r="BL211" s="782"/>
      <c r="BM211" s="782"/>
      <c r="BN211" s="782"/>
      <c r="BO211" s="782"/>
      <c r="BP211" s="782"/>
      <c r="BQ211" s="782"/>
      <c r="BR211" s="782"/>
      <c r="BS211" s="782"/>
      <c r="BT211" s="782"/>
      <c r="BU211" s="782"/>
      <c r="BV211" s="782"/>
      <c r="BW211" s="782"/>
      <c r="BX211" s="782"/>
      <c r="BY211" s="782"/>
      <c r="BZ211" s="782"/>
    </row>
    <row r="212" spans="39:78" s="143" customFormat="1">
      <c r="AM212" s="782"/>
      <c r="AN212" s="782"/>
      <c r="AO212" s="782"/>
      <c r="AP212" s="782"/>
      <c r="AQ212" s="782"/>
      <c r="AR212" s="782"/>
      <c r="AS212" s="782"/>
      <c r="AT212" s="782"/>
      <c r="AU212" s="782"/>
      <c r="AV212" s="782"/>
      <c r="AW212" s="782"/>
      <c r="AX212" s="782"/>
      <c r="AY212" s="782"/>
      <c r="AZ212" s="782"/>
      <c r="BA212" s="782"/>
      <c r="BB212" s="782"/>
      <c r="BC212" s="782"/>
      <c r="BD212" s="782"/>
      <c r="BE212" s="782"/>
      <c r="BF212" s="782"/>
      <c r="BG212" s="782"/>
      <c r="BH212" s="782"/>
      <c r="BI212" s="782"/>
      <c r="BJ212" s="782"/>
      <c r="BK212" s="782"/>
      <c r="BL212" s="782"/>
      <c r="BM212" s="782"/>
      <c r="BN212" s="782"/>
      <c r="BO212" s="782"/>
      <c r="BP212" s="782"/>
      <c r="BQ212" s="782"/>
      <c r="BR212" s="782"/>
      <c r="BS212" s="782"/>
      <c r="BT212" s="782"/>
      <c r="BU212" s="782"/>
      <c r="BV212" s="782"/>
      <c r="BW212" s="782"/>
      <c r="BX212" s="782"/>
      <c r="BY212" s="782"/>
      <c r="BZ212" s="782"/>
    </row>
    <row r="213" spans="39:78" s="143" customFormat="1">
      <c r="AM213" s="782"/>
      <c r="AN213" s="782"/>
      <c r="AO213" s="782"/>
      <c r="AP213" s="782"/>
      <c r="AQ213" s="782"/>
      <c r="AR213" s="782"/>
      <c r="AS213" s="782"/>
      <c r="AT213" s="782"/>
      <c r="AU213" s="782"/>
      <c r="AV213" s="782"/>
      <c r="AW213" s="782"/>
      <c r="AX213" s="782"/>
      <c r="AY213" s="782"/>
      <c r="AZ213" s="782"/>
      <c r="BA213" s="782"/>
      <c r="BB213" s="782"/>
      <c r="BC213" s="782"/>
      <c r="BD213" s="782"/>
      <c r="BE213" s="782"/>
      <c r="BF213" s="782"/>
      <c r="BG213" s="782"/>
      <c r="BH213" s="782"/>
      <c r="BI213" s="782"/>
      <c r="BJ213" s="782"/>
      <c r="BK213" s="782"/>
      <c r="BL213" s="782"/>
      <c r="BM213" s="782"/>
      <c r="BN213" s="782"/>
      <c r="BO213" s="782"/>
      <c r="BP213" s="782"/>
      <c r="BQ213" s="782"/>
      <c r="BR213" s="782"/>
      <c r="BS213" s="782"/>
      <c r="BT213" s="782"/>
      <c r="BU213" s="782"/>
      <c r="BV213" s="782"/>
      <c r="BW213" s="782"/>
      <c r="BX213" s="782"/>
      <c r="BY213" s="782"/>
      <c r="BZ213" s="782"/>
    </row>
    <row r="214" spans="39:78" s="143" customFormat="1">
      <c r="AM214" s="782"/>
      <c r="AN214" s="782"/>
      <c r="AO214" s="782"/>
      <c r="AP214" s="782"/>
      <c r="AQ214" s="782"/>
      <c r="AR214" s="782"/>
      <c r="AS214" s="782"/>
      <c r="AT214" s="782"/>
      <c r="AU214" s="782"/>
      <c r="AV214" s="782"/>
      <c r="AW214" s="782"/>
      <c r="AX214" s="782"/>
      <c r="AY214" s="782"/>
      <c r="AZ214" s="782"/>
      <c r="BA214" s="782"/>
      <c r="BB214" s="782"/>
      <c r="BC214" s="782"/>
      <c r="BD214" s="782"/>
      <c r="BE214" s="782"/>
      <c r="BF214" s="782"/>
      <c r="BG214" s="782"/>
      <c r="BH214" s="782"/>
      <c r="BI214" s="782"/>
      <c r="BJ214" s="782"/>
      <c r="BK214" s="782"/>
      <c r="BL214" s="782"/>
      <c r="BM214" s="782"/>
      <c r="BN214" s="782"/>
      <c r="BO214" s="782"/>
      <c r="BP214" s="782"/>
      <c r="BQ214" s="782"/>
      <c r="BR214" s="782"/>
      <c r="BS214" s="782"/>
      <c r="BT214" s="782"/>
      <c r="BU214" s="782"/>
      <c r="BV214" s="782"/>
      <c r="BW214" s="782"/>
      <c r="BX214" s="782"/>
      <c r="BY214" s="782"/>
      <c r="BZ214" s="782"/>
    </row>
    <row r="215" spans="39:78" s="143" customFormat="1">
      <c r="AM215" s="782"/>
      <c r="AN215" s="782"/>
      <c r="AO215" s="782"/>
      <c r="AP215" s="782"/>
      <c r="AQ215" s="782"/>
      <c r="AR215" s="782"/>
      <c r="AS215" s="782"/>
      <c r="AT215" s="782"/>
      <c r="AU215" s="782"/>
      <c r="AV215" s="782"/>
      <c r="AW215" s="782"/>
      <c r="AX215" s="782"/>
      <c r="AY215" s="782"/>
      <c r="AZ215" s="782"/>
      <c r="BA215" s="782"/>
      <c r="BB215" s="782"/>
      <c r="BC215" s="782"/>
      <c r="BD215" s="782"/>
      <c r="BE215" s="782"/>
      <c r="BF215" s="782"/>
      <c r="BG215" s="782"/>
      <c r="BH215" s="782"/>
      <c r="BI215" s="782"/>
      <c r="BJ215" s="782"/>
      <c r="BK215" s="782"/>
      <c r="BL215" s="782"/>
      <c r="BM215" s="782"/>
      <c r="BN215" s="782"/>
      <c r="BO215" s="782"/>
      <c r="BP215" s="782"/>
      <c r="BQ215" s="782"/>
      <c r="BR215" s="782"/>
      <c r="BS215" s="782"/>
      <c r="BT215" s="782"/>
      <c r="BU215" s="782"/>
      <c r="BV215" s="782"/>
      <c r="BW215" s="782"/>
      <c r="BX215" s="782"/>
      <c r="BY215" s="782"/>
      <c r="BZ215" s="782"/>
    </row>
    <row r="216" spans="39:78" s="143" customFormat="1">
      <c r="AM216" s="782"/>
      <c r="AN216" s="782"/>
      <c r="AO216" s="782"/>
      <c r="AP216" s="782"/>
      <c r="AQ216" s="782"/>
      <c r="AR216" s="782"/>
      <c r="AS216" s="782"/>
      <c r="AT216" s="782"/>
      <c r="AU216" s="782"/>
      <c r="AV216" s="782"/>
      <c r="AW216" s="782"/>
      <c r="AX216" s="782"/>
      <c r="AY216" s="782"/>
      <c r="AZ216" s="782"/>
      <c r="BA216" s="782"/>
      <c r="BB216" s="782"/>
      <c r="BC216" s="782"/>
      <c r="BD216" s="782"/>
      <c r="BE216" s="782"/>
      <c r="BF216" s="782"/>
      <c r="BG216" s="782"/>
      <c r="BH216" s="782"/>
      <c r="BI216" s="782"/>
      <c r="BJ216" s="782"/>
      <c r="BK216" s="782"/>
      <c r="BL216" s="782"/>
      <c r="BM216" s="782"/>
      <c r="BN216" s="782"/>
      <c r="BO216" s="782"/>
      <c r="BP216" s="782"/>
      <c r="BQ216" s="782"/>
      <c r="BR216" s="782"/>
      <c r="BS216" s="782"/>
      <c r="BT216" s="782"/>
      <c r="BU216" s="782"/>
      <c r="BV216" s="782"/>
      <c r="BW216" s="782"/>
      <c r="BX216" s="782"/>
      <c r="BY216" s="782"/>
      <c r="BZ216" s="782"/>
    </row>
    <row r="217" spans="39:78" s="143" customFormat="1">
      <c r="AM217" s="782"/>
      <c r="AN217" s="782"/>
      <c r="AO217" s="782"/>
      <c r="AP217" s="782"/>
      <c r="AQ217" s="782"/>
      <c r="AR217" s="782"/>
      <c r="AS217" s="782"/>
      <c r="AT217" s="782"/>
      <c r="AU217" s="782"/>
      <c r="AV217" s="782"/>
      <c r="AW217" s="782"/>
      <c r="AX217" s="782"/>
      <c r="AY217" s="782"/>
      <c r="AZ217" s="782"/>
      <c r="BA217" s="782"/>
      <c r="BB217" s="782"/>
      <c r="BC217" s="782"/>
      <c r="BD217" s="782"/>
      <c r="BE217" s="782"/>
      <c r="BF217" s="782"/>
      <c r="BG217" s="782"/>
      <c r="BH217" s="782"/>
      <c r="BI217" s="782"/>
      <c r="BJ217" s="782"/>
      <c r="BK217" s="782"/>
      <c r="BL217" s="782"/>
      <c r="BM217" s="782"/>
      <c r="BN217" s="782"/>
      <c r="BO217" s="782"/>
      <c r="BP217" s="782"/>
      <c r="BQ217" s="782"/>
      <c r="BR217" s="782"/>
      <c r="BS217" s="782"/>
      <c r="BT217" s="782"/>
      <c r="BU217" s="782"/>
      <c r="BV217" s="782"/>
      <c r="BW217" s="782"/>
      <c r="BX217" s="782"/>
      <c r="BY217" s="782"/>
      <c r="BZ217" s="782"/>
    </row>
    <row r="218" spans="39:78" s="143" customFormat="1">
      <c r="AM218" s="782"/>
      <c r="AN218" s="782"/>
      <c r="AO218" s="782"/>
      <c r="AP218" s="782"/>
      <c r="AQ218" s="782"/>
      <c r="AR218" s="782"/>
      <c r="AS218" s="782"/>
      <c r="AT218" s="782"/>
      <c r="AU218" s="782"/>
      <c r="AV218" s="782"/>
      <c r="AW218" s="782"/>
      <c r="AX218" s="782"/>
      <c r="AY218" s="782"/>
      <c r="AZ218" s="782"/>
      <c r="BA218" s="782"/>
      <c r="BB218" s="782"/>
      <c r="BC218" s="782"/>
      <c r="BD218" s="782"/>
      <c r="BE218" s="782"/>
      <c r="BF218" s="782"/>
      <c r="BG218" s="782"/>
      <c r="BH218" s="782"/>
      <c r="BI218" s="782"/>
      <c r="BJ218" s="782"/>
      <c r="BK218" s="782"/>
      <c r="BL218" s="782"/>
      <c r="BM218" s="782"/>
      <c r="BN218" s="782"/>
      <c r="BO218" s="782"/>
      <c r="BP218" s="782"/>
      <c r="BQ218" s="782"/>
      <c r="BR218" s="782"/>
      <c r="BS218" s="782"/>
      <c r="BT218" s="782"/>
      <c r="BU218" s="782"/>
      <c r="BV218" s="782"/>
      <c r="BW218" s="782"/>
      <c r="BX218" s="782"/>
      <c r="BY218" s="782"/>
      <c r="BZ218" s="782"/>
    </row>
    <row r="219" spans="39:78" s="143" customFormat="1">
      <c r="AM219" s="782"/>
      <c r="AN219" s="782"/>
      <c r="AO219" s="782"/>
      <c r="AP219" s="782"/>
      <c r="AQ219" s="782"/>
      <c r="AR219" s="782"/>
      <c r="AS219" s="782"/>
      <c r="AT219" s="782"/>
      <c r="AU219" s="782"/>
      <c r="AV219" s="782"/>
      <c r="AW219" s="782"/>
      <c r="AX219" s="782"/>
      <c r="AY219" s="782"/>
      <c r="AZ219" s="782"/>
      <c r="BA219" s="782"/>
      <c r="BB219" s="782"/>
      <c r="BC219" s="782"/>
      <c r="BD219" s="782"/>
      <c r="BE219" s="782"/>
      <c r="BF219" s="782"/>
      <c r="BG219" s="782"/>
      <c r="BH219" s="782"/>
      <c r="BI219" s="782"/>
      <c r="BJ219" s="782"/>
      <c r="BK219" s="782"/>
      <c r="BL219" s="782"/>
      <c r="BM219" s="782"/>
      <c r="BN219" s="782"/>
      <c r="BO219" s="782"/>
      <c r="BP219" s="782"/>
      <c r="BQ219" s="782"/>
      <c r="BR219" s="782"/>
      <c r="BS219" s="782"/>
      <c r="BT219" s="782"/>
      <c r="BU219" s="782"/>
      <c r="BV219" s="782"/>
      <c r="BW219" s="782"/>
      <c r="BX219" s="782"/>
      <c r="BY219" s="782"/>
      <c r="BZ219" s="782"/>
    </row>
    <row r="220" spans="39:78" s="143" customFormat="1">
      <c r="AM220" s="782"/>
      <c r="AN220" s="782"/>
      <c r="AO220" s="782"/>
      <c r="AP220" s="782"/>
      <c r="AQ220" s="782"/>
      <c r="AR220" s="782"/>
      <c r="AS220" s="782"/>
      <c r="AT220" s="782"/>
      <c r="AU220" s="782"/>
      <c r="AV220" s="782"/>
      <c r="AW220" s="782"/>
      <c r="AX220" s="782"/>
      <c r="AY220" s="782"/>
      <c r="AZ220" s="782"/>
      <c r="BA220" s="782"/>
      <c r="BB220" s="782"/>
      <c r="BC220" s="782"/>
      <c r="BD220" s="782"/>
      <c r="BE220" s="782"/>
      <c r="BF220" s="782"/>
      <c r="BG220" s="782"/>
      <c r="BH220" s="782"/>
      <c r="BI220" s="782"/>
      <c r="BJ220" s="782"/>
      <c r="BK220" s="782"/>
      <c r="BL220" s="782"/>
      <c r="BM220" s="782"/>
      <c r="BN220" s="782"/>
      <c r="BO220" s="782"/>
      <c r="BP220" s="782"/>
      <c r="BQ220" s="782"/>
      <c r="BR220" s="782"/>
      <c r="BS220" s="782"/>
      <c r="BT220" s="782"/>
      <c r="BU220" s="782"/>
      <c r="BV220" s="782"/>
      <c r="BW220" s="782"/>
      <c r="BX220" s="782"/>
      <c r="BY220" s="782"/>
      <c r="BZ220" s="782"/>
    </row>
    <row r="221" spans="39:78" s="143" customFormat="1">
      <c r="AM221" s="782"/>
      <c r="AN221" s="782"/>
      <c r="AO221" s="782"/>
      <c r="AP221" s="782"/>
      <c r="AQ221" s="782"/>
      <c r="AR221" s="782"/>
      <c r="AS221" s="782"/>
      <c r="AT221" s="782"/>
      <c r="AU221" s="782"/>
      <c r="AV221" s="782"/>
      <c r="AW221" s="782"/>
      <c r="AX221" s="782"/>
      <c r="AY221" s="782"/>
      <c r="AZ221" s="782"/>
      <c r="BA221" s="782"/>
      <c r="BB221" s="782"/>
      <c r="BC221" s="782"/>
      <c r="BD221" s="782"/>
      <c r="BE221" s="782"/>
      <c r="BF221" s="782"/>
      <c r="BG221" s="782"/>
      <c r="BH221" s="782"/>
      <c r="BI221" s="782"/>
      <c r="BJ221" s="782"/>
      <c r="BK221" s="782"/>
      <c r="BL221" s="782"/>
      <c r="BM221" s="782"/>
      <c r="BN221" s="782"/>
      <c r="BO221" s="782"/>
      <c r="BP221" s="782"/>
      <c r="BQ221" s="782"/>
      <c r="BR221" s="782"/>
      <c r="BS221" s="782"/>
      <c r="BT221" s="782"/>
      <c r="BU221" s="782"/>
      <c r="BV221" s="782"/>
      <c r="BW221" s="782"/>
      <c r="BX221" s="782"/>
      <c r="BY221" s="782"/>
      <c r="BZ221" s="782"/>
    </row>
    <row r="222" spans="39:78" s="143" customFormat="1">
      <c r="AM222" s="782"/>
      <c r="AN222" s="782"/>
      <c r="AO222" s="782"/>
      <c r="AP222" s="782"/>
      <c r="AQ222" s="782"/>
      <c r="AR222" s="782"/>
      <c r="AS222" s="782"/>
      <c r="AT222" s="782"/>
      <c r="AU222" s="782"/>
      <c r="AV222" s="782"/>
      <c r="AW222" s="782"/>
      <c r="AX222" s="782"/>
      <c r="AY222" s="782"/>
      <c r="AZ222" s="782"/>
      <c r="BA222" s="782"/>
      <c r="BB222" s="782"/>
      <c r="BC222" s="782"/>
      <c r="BD222" s="782"/>
      <c r="BE222" s="782"/>
      <c r="BF222" s="782"/>
      <c r="BG222" s="782"/>
      <c r="BH222" s="782"/>
      <c r="BI222" s="782"/>
      <c r="BJ222" s="782"/>
      <c r="BK222" s="782"/>
      <c r="BL222" s="782"/>
      <c r="BM222" s="782"/>
      <c r="BN222" s="782"/>
      <c r="BO222" s="782"/>
      <c r="BP222" s="782"/>
      <c r="BQ222" s="782"/>
      <c r="BR222" s="782"/>
      <c r="BS222" s="782"/>
      <c r="BT222" s="782"/>
      <c r="BU222" s="782"/>
      <c r="BV222" s="782"/>
      <c r="BW222" s="782"/>
      <c r="BX222" s="782"/>
      <c r="BY222" s="782"/>
      <c r="BZ222" s="782"/>
    </row>
    <row r="223" spans="39:78" s="143" customFormat="1">
      <c r="AM223" s="782"/>
      <c r="AN223" s="782"/>
      <c r="AO223" s="782"/>
      <c r="AP223" s="782"/>
      <c r="AQ223" s="782"/>
      <c r="AR223" s="782"/>
      <c r="AS223" s="782"/>
      <c r="AT223" s="782"/>
      <c r="AU223" s="782"/>
      <c r="AV223" s="782"/>
      <c r="AW223" s="782"/>
      <c r="AX223" s="782"/>
      <c r="AY223" s="782"/>
      <c r="AZ223" s="782"/>
      <c r="BA223" s="782"/>
      <c r="BB223" s="782"/>
      <c r="BC223" s="782"/>
      <c r="BD223" s="782"/>
      <c r="BE223" s="782"/>
      <c r="BF223" s="782"/>
      <c r="BG223" s="782"/>
      <c r="BH223" s="782"/>
      <c r="BI223" s="782"/>
      <c r="BJ223" s="782"/>
      <c r="BK223" s="782"/>
      <c r="BL223" s="782"/>
      <c r="BM223" s="782"/>
      <c r="BN223" s="782"/>
      <c r="BO223" s="782"/>
      <c r="BP223" s="782"/>
      <c r="BQ223" s="782"/>
      <c r="BR223" s="782"/>
      <c r="BS223" s="782"/>
      <c r="BT223" s="782"/>
      <c r="BU223" s="782"/>
      <c r="BV223" s="782"/>
      <c r="BW223" s="782"/>
      <c r="BX223" s="782"/>
      <c r="BY223" s="782"/>
      <c r="BZ223" s="782"/>
    </row>
    <row r="224" spans="39:78" s="143" customFormat="1">
      <c r="AM224" s="782"/>
      <c r="AN224" s="782"/>
      <c r="AO224" s="782"/>
      <c r="AP224" s="782"/>
      <c r="AQ224" s="782"/>
      <c r="AR224" s="782"/>
      <c r="AS224" s="782"/>
      <c r="AT224" s="782"/>
      <c r="AU224" s="782"/>
      <c r="AV224" s="782"/>
      <c r="AW224" s="782"/>
      <c r="AX224" s="782"/>
      <c r="AY224" s="782"/>
      <c r="AZ224" s="782"/>
      <c r="BA224" s="782"/>
      <c r="BB224" s="782"/>
      <c r="BC224" s="782"/>
      <c r="BD224" s="782"/>
      <c r="BE224" s="782"/>
      <c r="BF224" s="782"/>
      <c r="BG224" s="782"/>
      <c r="BH224" s="782"/>
      <c r="BI224" s="782"/>
      <c r="BJ224" s="782"/>
      <c r="BK224" s="782"/>
      <c r="BL224" s="782"/>
      <c r="BM224" s="782"/>
      <c r="BN224" s="782"/>
      <c r="BO224" s="782"/>
      <c r="BP224" s="782"/>
      <c r="BQ224" s="782"/>
      <c r="BR224" s="782"/>
      <c r="BS224" s="782"/>
      <c r="BT224" s="782"/>
      <c r="BU224" s="782"/>
      <c r="BV224" s="782"/>
      <c r="BW224" s="782"/>
      <c r="BX224" s="782"/>
      <c r="BY224" s="782"/>
      <c r="BZ224" s="782"/>
    </row>
    <row r="225" spans="39:78" s="143" customFormat="1">
      <c r="AM225" s="782"/>
      <c r="AN225" s="782"/>
      <c r="AO225" s="782"/>
      <c r="AP225" s="782"/>
      <c r="AQ225" s="782"/>
      <c r="AR225" s="782"/>
      <c r="AS225" s="782"/>
      <c r="AT225" s="782"/>
      <c r="AU225" s="782"/>
      <c r="AV225" s="782"/>
      <c r="AW225" s="782"/>
      <c r="AX225" s="782"/>
      <c r="AY225" s="782"/>
      <c r="AZ225" s="782"/>
      <c r="BA225" s="782"/>
      <c r="BB225" s="782"/>
      <c r="BC225" s="782"/>
      <c r="BD225" s="782"/>
      <c r="BE225" s="782"/>
      <c r="BF225" s="782"/>
      <c r="BG225" s="782"/>
      <c r="BH225" s="782"/>
      <c r="BI225" s="782"/>
      <c r="BJ225" s="782"/>
      <c r="BK225" s="782"/>
      <c r="BL225" s="782"/>
      <c r="BM225" s="782"/>
      <c r="BN225" s="782"/>
      <c r="BO225" s="782"/>
      <c r="BP225" s="782"/>
      <c r="BQ225" s="782"/>
      <c r="BR225" s="782"/>
      <c r="BS225" s="782"/>
      <c r="BT225" s="782"/>
      <c r="BU225" s="782"/>
      <c r="BV225" s="782"/>
      <c r="BW225" s="782"/>
      <c r="BX225" s="782"/>
      <c r="BY225" s="782"/>
      <c r="BZ225" s="782"/>
    </row>
    <row r="226" spans="39:78" s="143" customFormat="1">
      <c r="AM226" s="782"/>
      <c r="AN226" s="782"/>
      <c r="AO226" s="782"/>
      <c r="AP226" s="782"/>
      <c r="AQ226" s="782"/>
      <c r="AR226" s="782"/>
      <c r="AS226" s="782"/>
      <c r="AT226" s="782"/>
      <c r="AU226" s="782"/>
      <c r="AV226" s="782"/>
      <c r="AW226" s="782"/>
      <c r="AX226" s="782"/>
      <c r="AY226" s="782"/>
      <c r="AZ226" s="782"/>
      <c r="BA226" s="782"/>
      <c r="BB226" s="782"/>
      <c r="BC226" s="782"/>
      <c r="BD226" s="782"/>
      <c r="BE226" s="782"/>
      <c r="BF226" s="782"/>
      <c r="BG226" s="782"/>
      <c r="BH226" s="782"/>
      <c r="BI226" s="782"/>
      <c r="BJ226" s="782"/>
      <c r="BK226" s="782"/>
      <c r="BL226" s="782"/>
      <c r="BM226" s="782"/>
      <c r="BN226" s="782"/>
      <c r="BO226" s="782"/>
      <c r="BP226" s="782"/>
      <c r="BQ226" s="782"/>
      <c r="BR226" s="782"/>
      <c r="BS226" s="782"/>
      <c r="BT226" s="782"/>
      <c r="BU226" s="782"/>
      <c r="BV226" s="782"/>
      <c r="BW226" s="782"/>
      <c r="BX226" s="782"/>
      <c r="BY226" s="782"/>
      <c r="BZ226" s="782"/>
    </row>
    <row r="227" spans="39:78" s="143" customFormat="1">
      <c r="AM227" s="782"/>
      <c r="AN227" s="782"/>
      <c r="AO227" s="782"/>
      <c r="AP227" s="782"/>
      <c r="AQ227" s="782"/>
      <c r="AR227" s="782"/>
      <c r="AS227" s="782"/>
      <c r="AT227" s="782"/>
      <c r="AU227" s="782"/>
      <c r="AV227" s="782"/>
      <c r="AW227" s="782"/>
      <c r="AX227" s="782"/>
      <c r="AY227" s="782"/>
      <c r="AZ227" s="782"/>
      <c r="BA227" s="782"/>
      <c r="BB227" s="782"/>
      <c r="BC227" s="782"/>
      <c r="BD227" s="782"/>
      <c r="BE227" s="782"/>
      <c r="BF227" s="782"/>
      <c r="BG227" s="782"/>
      <c r="BH227" s="782"/>
      <c r="BI227" s="782"/>
      <c r="BJ227" s="782"/>
      <c r="BK227" s="782"/>
      <c r="BL227" s="782"/>
      <c r="BM227" s="782"/>
      <c r="BN227" s="782"/>
      <c r="BO227" s="782"/>
      <c r="BP227" s="782"/>
      <c r="BQ227" s="782"/>
      <c r="BR227" s="782"/>
      <c r="BS227" s="782"/>
      <c r="BT227" s="782"/>
      <c r="BU227" s="782"/>
      <c r="BV227" s="782"/>
      <c r="BW227" s="782"/>
      <c r="BX227" s="782"/>
      <c r="BY227" s="782"/>
      <c r="BZ227" s="782"/>
    </row>
    <row r="228" spans="39:78" s="143" customFormat="1">
      <c r="AM228" s="782"/>
      <c r="AN228" s="782"/>
      <c r="AO228" s="782"/>
      <c r="AP228" s="782"/>
      <c r="AQ228" s="782"/>
      <c r="AR228" s="782"/>
      <c r="AS228" s="782"/>
      <c r="AT228" s="782"/>
      <c r="AU228" s="782"/>
      <c r="AV228" s="782"/>
      <c r="AW228" s="782"/>
      <c r="AX228" s="782"/>
      <c r="AY228" s="782"/>
      <c r="AZ228" s="782"/>
      <c r="BA228" s="782"/>
      <c r="BB228" s="782"/>
      <c r="BC228" s="782"/>
      <c r="BD228" s="782"/>
      <c r="BE228" s="782"/>
      <c r="BF228" s="782"/>
      <c r="BG228" s="782"/>
      <c r="BH228" s="782"/>
      <c r="BI228" s="782"/>
      <c r="BJ228" s="782"/>
      <c r="BK228" s="782"/>
      <c r="BL228" s="782"/>
      <c r="BM228" s="782"/>
      <c r="BN228" s="782"/>
      <c r="BO228" s="782"/>
      <c r="BP228" s="782"/>
      <c r="BQ228" s="782"/>
      <c r="BR228" s="782"/>
      <c r="BS228" s="782"/>
      <c r="BT228" s="782"/>
      <c r="BU228" s="782"/>
      <c r="BV228" s="782"/>
      <c r="BW228" s="782"/>
      <c r="BX228" s="782"/>
      <c r="BY228" s="782"/>
      <c r="BZ228" s="782"/>
    </row>
    <row r="229" spans="39:78" s="143" customFormat="1">
      <c r="AM229" s="782"/>
      <c r="AN229" s="782"/>
      <c r="AO229" s="782"/>
      <c r="AP229" s="782"/>
      <c r="AQ229" s="782"/>
      <c r="AR229" s="782"/>
      <c r="AS229" s="782"/>
      <c r="AT229" s="782"/>
      <c r="AU229" s="782"/>
      <c r="AV229" s="782"/>
      <c r="AW229" s="782"/>
      <c r="AX229" s="782"/>
      <c r="AY229" s="782"/>
      <c r="AZ229" s="782"/>
      <c r="BA229" s="782"/>
      <c r="BB229" s="782"/>
      <c r="BC229" s="782"/>
      <c r="BD229" s="782"/>
      <c r="BE229" s="782"/>
      <c r="BF229" s="782"/>
      <c r="BG229" s="782"/>
      <c r="BH229" s="782"/>
      <c r="BI229" s="782"/>
      <c r="BJ229" s="782"/>
      <c r="BK229" s="782"/>
      <c r="BL229" s="782"/>
      <c r="BM229" s="782"/>
      <c r="BN229" s="782"/>
      <c r="BO229" s="782"/>
      <c r="BP229" s="782"/>
      <c r="BQ229" s="782"/>
      <c r="BR229" s="782"/>
      <c r="BS229" s="782"/>
      <c r="BT229" s="782"/>
      <c r="BU229" s="782"/>
      <c r="BV229" s="782"/>
      <c r="BW229" s="782"/>
      <c r="BX229" s="782"/>
      <c r="BY229" s="782"/>
      <c r="BZ229" s="782"/>
    </row>
    <row r="230" spans="39:78" s="143" customFormat="1">
      <c r="AM230" s="782"/>
      <c r="AN230" s="782"/>
      <c r="AO230" s="782"/>
      <c r="AP230" s="782"/>
      <c r="AQ230" s="782"/>
      <c r="AR230" s="782"/>
      <c r="AS230" s="782"/>
      <c r="AT230" s="782"/>
      <c r="AU230" s="782"/>
      <c r="AV230" s="782"/>
      <c r="AW230" s="782"/>
      <c r="AX230" s="782"/>
      <c r="AY230" s="782"/>
      <c r="AZ230" s="782"/>
      <c r="BA230" s="782"/>
      <c r="BB230" s="782"/>
      <c r="BC230" s="782"/>
      <c r="BD230" s="782"/>
      <c r="BE230" s="782"/>
      <c r="BF230" s="782"/>
      <c r="BG230" s="782"/>
      <c r="BH230" s="782"/>
      <c r="BI230" s="782"/>
      <c r="BJ230" s="782"/>
      <c r="BK230" s="782"/>
      <c r="BL230" s="782"/>
      <c r="BM230" s="782"/>
      <c r="BN230" s="782"/>
      <c r="BO230" s="782"/>
      <c r="BP230" s="782"/>
      <c r="BQ230" s="782"/>
      <c r="BR230" s="782"/>
      <c r="BS230" s="782"/>
      <c r="BT230" s="782"/>
      <c r="BU230" s="782"/>
      <c r="BV230" s="782"/>
      <c r="BW230" s="782"/>
      <c r="BX230" s="782"/>
      <c r="BY230" s="782"/>
      <c r="BZ230" s="782"/>
    </row>
    <row r="231" spans="39:78" s="143" customFormat="1">
      <c r="AM231" s="782"/>
      <c r="AN231" s="782"/>
      <c r="AO231" s="782"/>
      <c r="AP231" s="782"/>
      <c r="AQ231" s="782"/>
      <c r="AR231" s="782"/>
      <c r="AS231" s="782"/>
      <c r="AT231" s="782"/>
      <c r="AU231" s="782"/>
      <c r="AV231" s="782"/>
      <c r="AW231" s="782"/>
      <c r="AX231" s="782"/>
      <c r="AY231" s="782"/>
      <c r="AZ231" s="782"/>
      <c r="BA231" s="782"/>
      <c r="BB231" s="782"/>
      <c r="BC231" s="782"/>
      <c r="BD231" s="782"/>
      <c r="BE231" s="782"/>
      <c r="BF231" s="782"/>
      <c r="BG231" s="782"/>
      <c r="BH231" s="782"/>
      <c r="BI231" s="782"/>
      <c r="BJ231" s="782"/>
      <c r="BK231" s="782"/>
      <c r="BL231" s="782"/>
      <c r="BM231" s="782"/>
      <c r="BN231" s="782"/>
      <c r="BO231" s="782"/>
      <c r="BP231" s="782"/>
      <c r="BQ231" s="782"/>
      <c r="BR231" s="782"/>
      <c r="BS231" s="782"/>
      <c r="BT231" s="782"/>
      <c r="BU231" s="782"/>
      <c r="BV231" s="782"/>
      <c r="BW231" s="782"/>
      <c r="BX231" s="782"/>
      <c r="BY231" s="782"/>
      <c r="BZ231" s="782"/>
    </row>
    <row r="232" spans="39:78" s="143" customFormat="1">
      <c r="AM232" s="779"/>
      <c r="AN232" s="779"/>
      <c r="AO232" s="779"/>
      <c r="AP232" s="779"/>
      <c r="AQ232" s="779"/>
      <c r="AR232" s="779"/>
      <c r="AS232" s="779"/>
      <c r="AT232" s="779"/>
      <c r="AU232" s="779"/>
      <c r="AV232" s="779"/>
      <c r="AW232" s="779"/>
      <c r="AX232" s="779"/>
      <c r="AY232" s="779"/>
      <c r="AZ232" s="779"/>
      <c r="BA232" s="779"/>
      <c r="BB232" s="779"/>
      <c r="BC232" s="779"/>
      <c r="BD232" s="779"/>
      <c r="BE232" s="779"/>
      <c r="BF232" s="779"/>
      <c r="BG232" s="779"/>
      <c r="BH232" s="779"/>
      <c r="BI232" s="779"/>
      <c r="BJ232" s="779"/>
      <c r="BK232" s="779"/>
      <c r="BL232" s="779"/>
      <c r="BM232" s="779"/>
      <c r="BN232" s="779"/>
      <c r="BO232" s="779"/>
      <c r="BP232" s="779"/>
      <c r="BQ232" s="779"/>
      <c r="BR232" s="779"/>
      <c r="BS232" s="779"/>
      <c r="BT232" s="779"/>
      <c r="BU232" s="779"/>
      <c r="BV232" s="779"/>
      <c r="BW232" s="779"/>
      <c r="BX232" s="779"/>
      <c r="BY232" s="779"/>
      <c r="BZ232" s="779"/>
    </row>
    <row r="233" spans="39:78" s="143" customFormat="1">
      <c r="AM233" s="779"/>
      <c r="AN233" s="779"/>
      <c r="AO233" s="779"/>
      <c r="AP233" s="779"/>
      <c r="AQ233" s="779"/>
      <c r="AR233" s="779"/>
      <c r="AS233" s="779"/>
      <c r="AT233" s="779"/>
      <c r="AU233" s="779"/>
      <c r="AV233" s="779"/>
      <c r="AW233" s="779"/>
      <c r="AX233" s="779"/>
      <c r="AY233" s="779"/>
      <c r="AZ233" s="779"/>
      <c r="BA233" s="779"/>
      <c r="BB233" s="779"/>
      <c r="BC233" s="779"/>
      <c r="BD233" s="779"/>
      <c r="BE233" s="779"/>
      <c r="BF233" s="779"/>
      <c r="BG233" s="779"/>
      <c r="BH233" s="779"/>
      <c r="BI233" s="779"/>
      <c r="BJ233" s="779"/>
      <c r="BK233" s="779"/>
      <c r="BL233" s="779"/>
      <c r="BM233" s="779"/>
      <c r="BN233" s="779"/>
      <c r="BO233" s="779"/>
      <c r="BP233" s="779"/>
      <c r="BQ233" s="779"/>
      <c r="BR233" s="779"/>
      <c r="BS233" s="779"/>
      <c r="BT233" s="779"/>
      <c r="BU233" s="779"/>
      <c r="BV233" s="779"/>
      <c r="BW233" s="779"/>
      <c r="BX233" s="779"/>
      <c r="BY233" s="779"/>
      <c r="BZ233" s="779"/>
    </row>
    <row r="234" spans="39:78" s="143" customFormat="1">
      <c r="AM234" s="779"/>
      <c r="AN234" s="779"/>
      <c r="AO234" s="779"/>
      <c r="AP234" s="779"/>
      <c r="AQ234" s="779"/>
      <c r="AR234" s="779"/>
      <c r="AS234" s="779"/>
      <c r="AT234" s="779"/>
      <c r="AU234" s="779"/>
      <c r="AV234" s="779"/>
      <c r="AW234" s="779"/>
      <c r="AX234" s="779"/>
      <c r="AY234" s="779"/>
      <c r="AZ234" s="779"/>
      <c r="BA234" s="779"/>
      <c r="BB234" s="779"/>
      <c r="BC234" s="779"/>
      <c r="BD234" s="779"/>
      <c r="BE234" s="779"/>
      <c r="BF234" s="779"/>
      <c r="BG234" s="779"/>
      <c r="BH234" s="779"/>
      <c r="BI234" s="779"/>
      <c r="BJ234" s="779"/>
      <c r="BK234" s="779"/>
      <c r="BL234" s="779"/>
      <c r="BM234" s="779"/>
      <c r="BN234" s="779"/>
      <c r="BO234" s="779"/>
      <c r="BP234" s="779"/>
      <c r="BQ234" s="779"/>
      <c r="BR234" s="779"/>
      <c r="BS234" s="779"/>
      <c r="BT234" s="779"/>
      <c r="BU234" s="779"/>
      <c r="BV234" s="779"/>
      <c r="BW234" s="779"/>
      <c r="BX234" s="779"/>
      <c r="BY234" s="779"/>
      <c r="BZ234" s="779"/>
    </row>
    <row r="235" spans="39:78" s="143" customFormat="1">
      <c r="AM235" s="779"/>
      <c r="AN235" s="779"/>
      <c r="AO235" s="779"/>
      <c r="AP235" s="779"/>
      <c r="AQ235" s="779"/>
      <c r="AR235" s="779"/>
      <c r="AS235" s="779"/>
      <c r="AT235" s="779"/>
      <c r="AU235" s="779"/>
      <c r="AV235" s="779"/>
      <c r="AW235" s="779"/>
      <c r="AX235" s="779"/>
      <c r="AY235" s="779"/>
      <c r="AZ235" s="779"/>
      <c r="BA235" s="779"/>
      <c r="BB235" s="779"/>
      <c r="BC235" s="779"/>
      <c r="BD235" s="779"/>
      <c r="BE235" s="779"/>
      <c r="BF235" s="779"/>
      <c r="BG235" s="779"/>
      <c r="BH235" s="779"/>
      <c r="BI235" s="779"/>
      <c r="BJ235" s="779"/>
      <c r="BK235" s="779"/>
      <c r="BL235" s="779"/>
      <c r="BM235" s="779"/>
      <c r="BN235" s="779"/>
      <c r="BO235" s="779"/>
      <c r="BP235" s="779"/>
      <c r="BQ235" s="779"/>
      <c r="BR235" s="779"/>
      <c r="BS235" s="779"/>
      <c r="BT235" s="779"/>
      <c r="BU235" s="779"/>
      <c r="BV235" s="779"/>
      <c r="BW235" s="779"/>
      <c r="BX235" s="779"/>
      <c r="BY235" s="779"/>
      <c r="BZ235" s="779"/>
    </row>
    <row r="236" spans="39:78" s="143" customFormat="1">
      <c r="AM236" s="779"/>
      <c r="AN236" s="779"/>
      <c r="AO236" s="779"/>
      <c r="AP236" s="779"/>
      <c r="AQ236" s="779"/>
      <c r="AR236" s="779"/>
      <c r="AS236" s="779"/>
      <c r="AT236" s="779"/>
      <c r="AU236" s="779"/>
      <c r="AV236" s="779"/>
      <c r="AW236" s="779"/>
      <c r="AX236" s="779"/>
      <c r="AY236" s="779"/>
      <c r="AZ236" s="779"/>
      <c r="BA236" s="779"/>
      <c r="BB236" s="779"/>
      <c r="BC236" s="779"/>
      <c r="BD236" s="779"/>
      <c r="BE236" s="779"/>
      <c r="BF236" s="779"/>
      <c r="BG236" s="779"/>
      <c r="BH236" s="779"/>
      <c r="BI236" s="779"/>
      <c r="BJ236" s="779"/>
      <c r="BK236" s="779"/>
      <c r="BL236" s="779"/>
      <c r="BM236" s="779"/>
      <c r="BN236" s="779"/>
      <c r="BO236" s="779"/>
      <c r="BP236" s="779"/>
      <c r="BQ236" s="779"/>
      <c r="BR236" s="779"/>
      <c r="BS236" s="779"/>
      <c r="BT236" s="779"/>
      <c r="BU236" s="779"/>
      <c r="BV236" s="779"/>
      <c r="BW236" s="779"/>
      <c r="BX236" s="779"/>
      <c r="BY236" s="779"/>
      <c r="BZ236" s="779"/>
    </row>
    <row r="237" spans="39:78" s="143" customFormat="1">
      <c r="AM237" s="779"/>
      <c r="AN237" s="779"/>
      <c r="AO237" s="779"/>
      <c r="AP237" s="779"/>
      <c r="AQ237" s="779"/>
      <c r="AR237" s="779"/>
      <c r="AS237" s="779"/>
      <c r="AT237" s="779"/>
      <c r="AU237" s="779"/>
      <c r="AV237" s="779"/>
      <c r="AW237" s="779"/>
      <c r="AX237" s="779"/>
      <c r="AY237" s="779"/>
      <c r="AZ237" s="779"/>
      <c r="BA237" s="779"/>
      <c r="BB237" s="779"/>
      <c r="BC237" s="779"/>
      <c r="BD237" s="779"/>
      <c r="BE237" s="779"/>
      <c r="BF237" s="779"/>
      <c r="BG237" s="779"/>
      <c r="BH237" s="779"/>
      <c r="BI237" s="779"/>
      <c r="BJ237" s="779"/>
      <c r="BK237" s="779"/>
      <c r="BL237" s="779"/>
      <c r="BM237" s="779"/>
      <c r="BN237" s="779"/>
      <c r="BO237" s="779"/>
      <c r="BP237" s="779"/>
      <c r="BQ237" s="779"/>
      <c r="BR237" s="779"/>
      <c r="BS237" s="779"/>
      <c r="BT237" s="779"/>
      <c r="BU237" s="779"/>
      <c r="BV237" s="779"/>
      <c r="BW237" s="779"/>
      <c r="BX237" s="779"/>
      <c r="BY237" s="779"/>
      <c r="BZ237" s="779"/>
    </row>
    <row r="238" spans="39:78" s="143" customFormat="1">
      <c r="AM238" s="779"/>
      <c r="AN238" s="779"/>
      <c r="AO238" s="779"/>
      <c r="AP238" s="779"/>
      <c r="AQ238" s="779"/>
      <c r="AR238" s="779"/>
      <c r="AS238" s="779"/>
      <c r="AT238" s="779"/>
      <c r="AU238" s="779"/>
      <c r="AV238" s="779"/>
      <c r="AW238" s="779"/>
      <c r="AX238" s="779"/>
      <c r="AY238" s="779"/>
      <c r="AZ238" s="779"/>
      <c r="BA238" s="779"/>
      <c r="BB238" s="779"/>
      <c r="BC238" s="779"/>
      <c r="BD238" s="779"/>
      <c r="BE238" s="779"/>
      <c r="BF238" s="779"/>
      <c r="BG238" s="779"/>
      <c r="BH238" s="779"/>
      <c r="BI238" s="779"/>
      <c r="BJ238" s="779"/>
      <c r="BK238" s="779"/>
      <c r="BL238" s="779"/>
      <c r="BM238" s="779"/>
      <c r="BN238" s="779"/>
      <c r="BO238" s="779"/>
      <c r="BP238" s="779"/>
      <c r="BQ238" s="779"/>
      <c r="BR238" s="779"/>
      <c r="BS238" s="779"/>
      <c r="BT238" s="779"/>
      <c r="BU238" s="779"/>
      <c r="BV238" s="779"/>
      <c r="BW238" s="779"/>
      <c r="BX238" s="779"/>
      <c r="BY238" s="779"/>
      <c r="BZ238" s="779"/>
    </row>
    <row r="239" spans="39:78" s="143" customFormat="1">
      <c r="AM239" s="779"/>
      <c r="AN239" s="779"/>
      <c r="AO239" s="779"/>
      <c r="AP239" s="779"/>
      <c r="AQ239" s="779"/>
      <c r="AR239" s="779"/>
      <c r="AS239" s="779"/>
      <c r="AT239" s="779"/>
      <c r="AU239" s="779"/>
      <c r="AV239" s="779"/>
      <c r="AW239" s="779"/>
      <c r="AX239" s="779"/>
      <c r="AY239" s="779"/>
      <c r="AZ239" s="779"/>
      <c r="BA239" s="779"/>
      <c r="BB239" s="779"/>
      <c r="BC239" s="779"/>
      <c r="BD239" s="779"/>
      <c r="BE239" s="779"/>
      <c r="BF239" s="779"/>
      <c r="BG239" s="779"/>
      <c r="BH239" s="779"/>
      <c r="BI239" s="779"/>
      <c r="BJ239" s="779"/>
      <c r="BK239" s="779"/>
      <c r="BL239" s="779"/>
      <c r="BM239" s="779"/>
      <c r="BN239" s="779"/>
      <c r="BO239" s="779"/>
      <c r="BP239" s="779"/>
      <c r="BQ239" s="779"/>
      <c r="BR239" s="779"/>
      <c r="BS239" s="779"/>
      <c r="BT239" s="779"/>
      <c r="BU239" s="779"/>
      <c r="BV239" s="779"/>
      <c r="BW239" s="779"/>
      <c r="BX239" s="779"/>
      <c r="BY239" s="779"/>
      <c r="BZ239" s="779"/>
    </row>
    <row r="240" spans="39:78" s="143" customFormat="1">
      <c r="AM240" s="779"/>
      <c r="AN240" s="779"/>
      <c r="AO240" s="779"/>
      <c r="AP240" s="779"/>
      <c r="AQ240" s="779"/>
      <c r="AR240" s="779"/>
      <c r="AS240" s="779"/>
      <c r="AT240" s="779"/>
      <c r="AU240" s="779"/>
      <c r="AV240" s="779"/>
      <c r="AW240" s="779"/>
      <c r="AX240" s="779"/>
      <c r="AY240" s="779"/>
      <c r="AZ240" s="779"/>
      <c r="BA240" s="779"/>
      <c r="BB240" s="779"/>
      <c r="BC240" s="779"/>
      <c r="BD240" s="779"/>
      <c r="BE240" s="779"/>
      <c r="BF240" s="779"/>
      <c r="BG240" s="779"/>
      <c r="BH240" s="779"/>
      <c r="BI240" s="779"/>
      <c r="BJ240" s="779"/>
      <c r="BK240" s="779"/>
      <c r="BL240" s="779"/>
      <c r="BM240" s="779"/>
      <c r="BN240" s="779"/>
      <c r="BO240" s="779"/>
      <c r="BP240" s="779"/>
      <c r="BQ240" s="779"/>
      <c r="BR240" s="779"/>
      <c r="BS240" s="779"/>
      <c r="BT240" s="779"/>
      <c r="BU240" s="779"/>
      <c r="BV240" s="779"/>
      <c r="BW240" s="779"/>
      <c r="BX240" s="779"/>
      <c r="BY240" s="779"/>
      <c r="BZ240" s="779"/>
    </row>
    <row r="241" spans="39:78" s="143" customFormat="1">
      <c r="AM241" s="779"/>
      <c r="AN241" s="779"/>
      <c r="AO241" s="779"/>
      <c r="AP241" s="779"/>
      <c r="AQ241" s="779"/>
      <c r="AR241" s="779"/>
      <c r="AS241" s="779"/>
      <c r="AT241" s="779"/>
      <c r="AU241" s="779"/>
      <c r="AV241" s="779"/>
      <c r="AW241" s="779"/>
      <c r="AX241" s="779"/>
      <c r="AY241" s="779"/>
      <c r="AZ241" s="779"/>
      <c r="BA241" s="779"/>
      <c r="BB241" s="779"/>
      <c r="BC241" s="779"/>
      <c r="BD241" s="779"/>
      <c r="BE241" s="779"/>
      <c r="BF241" s="779"/>
      <c r="BG241" s="779"/>
      <c r="BH241" s="779"/>
      <c r="BI241" s="779"/>
      <c r="BJ241" s="779"/>
      <c r="BK241" s="779"/>
      <c r="BL241" s="779"/>
      <c r="BM241" s="779"/>
      <c r="BN241" s="779"/>
      <c r="BO241" s="779"/>
      <c r="BP241" s="779"/>
      <c r="BQ241" s="779"/>
      <c r="BR241" s="779"/>
      <c r="BS241" s="779"/>
      <c r="BT241" s="779"/>
      <c r="BU241" s="779"/>
      <c r="BV241" s="779"/>
      <c r="BW241" s="779"/>
      <c r="BX241" s="779"/>
      <c r="BY241" s="779"/>
      <c r="BZ241" s="779"/>
    </row>
    <row r="242" spans="39:78" s="143" customFormat="1">
      <c r="AM242" s="779"/>
      <c r="AN242" s="779"/>
      <c r="AO242" s="779"/>
      <c r="AP242" s="779"/>
      <c r="AQ242" s="779"/>
      <c r="AR242" s="779"/>
      <c r="AS242" s="779"/>
      <c r="AT242" s="779"/>
      <c r="AU242" s="779"/>
      <c r="AV242" s="779"/>
      <c r="AW242" s="779"/>
      <c r="AX242" s="779"/>
      <c r="AY242" s="779"/>
      <c r="AZ242" s="779"/>
      <c r="BA242" s="779"/>
      <c r="BB242" s="779"/>
      <c r="BC242" s="779"/>
      <c r="BD242" s="779"/>
      <c r="BE242" s="779"/>
      <c r="BF242" s="779"/>
      <c r="BG242" s="779"/>
      <c r="BH242" s="779"/>
      <c r="BI242" s="779"/>
      <c r="BJ242" s="779"/>
      <c r="BK242" s="779"/>
      <c r="BL242" s="779"/>
      <c r="BM242" s="779"/>
      <c r="BN242" s="779"/>
      <c r="BO242" s="779"/>
      <c r="BP242" s="779"/>
      <c r="BQ242" s="779"/>
      <c r="BR242" s="779"/>
      <c r="BS242" s="779"/>
      <c r="BT242" s="779"/>
      <c r="BU242" s="779"/>
      <c r="BV242" s="779"/>
      <c r="BW242" s="779"/>
      <c r="BX242" s="779"/>
      <c r="BY242" s="779"/>
      <c r="BZ242" s="779"/>
    </row>
    <row r="243" spans="39:78" s="143" customFormat="1">
      <c r="AM243" s="779"/>
      <c r="AN243" s="779"/>
      <c r="AO243" s="779"/>
      <c r="AP243" s="779"/>
      <c r="AQ243" s="779"/>
      <c r="AR243" s="779"/>
      <c r="AS243" s="779"/>
      <c r="AT243" s="779"/>
      <c r="AU243" s="779"/>
      <c r="AV243" s="779"/>
      <c r="AW243" s="779"/>
      <c r="AX243" s="779"/>
      <c r="AY243" s="779"/>
      <c r="AZ243" s="779"/>
      <c r="BA243" s="779"/>
      <c r="BB243" s="779"/>
      <c r="BC243" s="779"/>
      <c r="BD243" s="779"/>
      <c r="BE243" s="779"/>
      <c r="BF243" s="779"/>
      <c r="BG243" s="779"/>
      <c r="BH243" s="779"/>
      <c r="BI243" s="779"/>
      <c r="BJ243" s="779"/>
      <c r="BK243" s="779"/>
      <c r="BL243" s="779"/>
      <c r="BM243" s="779"/>
      <c r="BN243" s="779"/>
      <c r="BO243" s="779"/>
      <c r="BP243" s="779"/>
      <c r="BQ243" s="779"/>
      <c r="BR243" s="779"/>
      <c r="BS243" s="779"/>
      <c r="BT243" s="779"/>
      <c r="BU243" s="779"/>
      <c r="BV243" s="779"/>
      <c r="BW243" s="779"/>
      <c r="BX243" s="779"/>
      <c r="BY243" s="779"/>
      <c r="BZ243" s="779"/>
    </row>
    <row r="244" spans="39:78" s="143" customFormat="1">
      <c r="AM244" s="779"/>
      <c r="AN244" s="779"/>
      <c r="AO244" s="779"/>
      <c r="AP244" s="779"/>
      <c r="AQ244" s="779"/>
      <c r="AR244" s="779"/>
      <c r="AS244" s="779"/>
      <c r="AT244" s="779"/>
      <c r="AU244" s="779"/>
      <c r="AV244" s="779"/>
      <c r="AW244" s="779"/>
      <c r="AX244" s="779"/>
      <c r="AY244" s="779"/>
      <c r="AZ244" s="779"/>
      <c r="BA244" s="779"/>
      <c r="BB244" s="779"/>
      <c r="BC244" s="779"/>
      <c r="BD244" s="779"/>
      <c r="BE244" s="779"/>
      <c r="BF244" s="779"/>
      <c r="BG244" s="779"/>
      <c r="BH244" s="779"/>
      <c r="BI244" s="779"/>
      <c r="BJ244" s="779"/>
      <c r="BK244" s="779"/>
      <c r="BL244" s="779"/>
      <c r="BM244" s="779"/>
      <c r="BN244" s="779"/>
      <c r="BO244" s="779"/>
      <c r="BP244" s="779"/>
      <c r="BQ244" s="779"/>
      <c r="BR244" s="779"/>
      <c r="BS244" s="779"/>
      <c r="BT244" s="779"/>
      <c r="BU244" s="779"/>
      <c r="BV244" s="779"/>
      <c r="BW244" s="779"/>
      <c r="BX244" s="779"/>
      <c r="BY244" s="779"/>
      <c r="BZ244" s="779"/>
    </row>
    <row r="245" spans="39:78" s="143" customFormat="1">
      <c r="AM245" s="779"/>
      <c r="AN245" s="779"/>
      <c r="AO245" s="779"/>
      <c r="AP245" s="779"/>
      <c r="AQ245" s="779"/>
      <c r="AR245" s="779"/>
      <c r="AS245" s="779"/>
      <c r="AT245" s="779"/>
      <c r="AU245" s="779"/>
      <c r="AV245" s="779"/>
      <c r="AW245" s="779"/>
      <c r="AX245" s="779"/>
      <c r="AY245" s="779"/>
      <c r="AZ245" s="779"/>
      <c r="BA245" s="779"/>
      <c r="BB245" s="779"/>
      <c r="BC245" s="779"/>
      <c r="BD245" s="779"/>
      <c r="BE245" s="779"/>
      <c r="BF245" s="779"/>
      <c r="BG245" s="779"/>
      <c r="BH245" s="779"/>
      <c r="BI245" s="779"/>
      <c r="BJ245" s="779"/>
      <c r="BK245" s="779"/>
      <c r="BL245" s="779"/>
      <c r="BM245" s="779"/>
      <c r="BN245" s="779"/>
      <c r="BO245" s="779"/>
      <c r="BP245" s="779"/>
      <c r="BQ245" s="779"/>
      <c r="BR245" s="779"/>
      <c r="BS245" s="779"/>
      <c r="BT245" s="779"/>
      <c r="BU245" s="779"/>
      <c r="BV245" s="779"/>
      <c r="BW245" s="779"/>
      <c r="BX245" s="779"/>
      <c r="BY245" s="779"/>
      <c r="BZ245" s="779"/>
    </row>
    <row r="246" spans="39:78" s="143" customFormat="1">
      <c r="AM246" s="779"/>
      <c r="AN246" s="779"/>
      <c r="AO246" s="779"/>
      <c r="AP246" s="779"/>
      <c r="AQ246" s="779"/>
      <c r="AR246" s="779"/>
      <c r="AS246" s="779"/>
      <c r="AT246" s="779"/>
      <c r="AU246" s="779"/>
      <c r="AV246" s="779"/>
      <c r="AW246" s="779"/>
      <c r="AX246" s="779"/>
      <c r="AY246" s="779"/>
      <c r="AZ246" s="779"/>
      <c r="BA246" s="779"/>
      <c r="BB246" s="779"/>
      <c r="BC246" s="779"/>
      <c r="BD246" s="779"/>
      <c r="BE246" s="779"/>
      <c r="BF246" s="779"/>
      <c r="BG246" s="779"/>
      <c r="BH246" s="779"/>
      <c r="BI246" s="779"/>
      <c r="BJ246" s="779"/>
      <c r="BK246" s="779"/>
      <c r="BL246" s="779"/>
      <c r="BM246" s="779"/>
      <c r="BN246" s="779"/>
      <c r="BO246" s="779"/>
      <c r="BP246" s="779"/>
      <c r="BQ246" s="779"/>
      <c r="BR246" s="779"/>
      <c r="BS246" s="779"/>
      <c r="BT246" s="779"/>
      <c r="BU246" s="779"/>
      <c r="BV246" s="779"/>
      <c r="BW246" s="779"/>
      <c r="BX246" s="779"/>
      <c r="BY246" s="779"/>
      <c r="BZ246" s="779"/>
    </row>
    <row r="247" spans="39:78" s="143" customFormat="1">
      <c r="AM247" s="779"/>
      <c r="AN247" s="779"/>
      <c r="AO247" s="779"/>
      <c r="AP247" s="779"/>
      <c r="AQ247" s="779"/>
      <c r="AR247" s="779"/>
      <c r="AS247" s="779"/>
      <c r="AT247" s="779"/>
      <c r="AU247" s="779"/>
      <c r="AV247" s="779"/>
      <c r="AW247" s="779"/>
      <c r="AX247" s="779"/>
      <c r="AY247" s="779"/>
      <c r="AZ247" s="779"/>
      <c r="BA247" s="779"/>
      <c r="BB247" s="779"/>
      <c r="BC247" s="779"/>
      <c r="BD247" s="779"/>
      <c r="BE247" s="779"/>
      <c r="BF247" s="779"/>
      <c r="BG247" s="779"/>
      <c r="BH247" s="779"/>
      <c r="BI247" s="779"/>
      <c r="BJ247" s="779"/>
      <c r="BK247" s="779"/>
      <c r="BL247" s="779"/>
      <c r="BM247" s="779"/>
      <c r="BN247" s="779"/>
      <c r="BO247" s="779"/>
      <c r="BP247" s="779"/>
      <c r="BQ247" s="779"/>
      <c r="BR247" s="779"/>
      <c r="BS247" s="779"/>
      <c r="BT247" s="779"/>
      <c r="BU247" s="779"/>
      <c r="BV247" s="779"/>
      <c r="BW247" s="779"/>
      <c r="BX247" s="779"/>
      <c r="BY247" s="779"/>
      <c r="BZ247" s="779"/>
    </row>
    <row r="248" spans="39:78" s="143" customFormat="1">
      <c r="AM248" s="779"/>
      <c r="AN248" s="779"/>
      <c r="AO248" s="779"/>
      <c r="AP248" s="779"/>
      <c r="AQ248" s="779"/>
      <c r="AR248" s="779"/>
      <c r="AS248" s="779"/>
      <c r="AT248" s="779"/>
      <c r="AU248" s="779"/>
      <c r="AV248" s="779"/>
      <c r="AW248" s="779"/>
      <c r="AX248" s="779"/>
      <c r="AY248" s="779"/>
      <c r="AZ248" s="779"/>
      <c r="BA248" s="779"/>
      <c r="BB248" s="779"/>
      <c r="BC248" s="779"/>
      <c r="BD248" s="779"/>
      <c r="BE248" s="779"/>
      <c r="BF248" s="779"/>
      <c r="BG248" s="779"/>
      <c r="BH248" s="779"/>
      <c r="BI248" s="779"/>
      <c r="BJ248" s="779"/>
      <c r="BK248" s="779"/>
      <c r="BL248" s="779"/>
      <c r="BM248" s="779"/>
      <c r="BN248" s="779"/>
      <c r="BO248" s="779"/>
      <c r="BP248" s="779"/>
      <c r="BQ248" s="779"/>
      <c r="BR248" s="779"/>
      <c r="BS248" s="779"/>
      <c r="BT248" s="779"/>
      <c r="BU248" s="779"/>
      <c r="BV248" s="779"/>
      <c r="BW248" s="779"/>
      <c r="BX248" s="779"/>
      <c r="BY248" s="779"/>
      <c r="BZ248" s="779"/>
    </row>
    <row r="249" spans="39:78" s="143" customFormat="1">
      <c r="AM249" s="779"/>
      <c r="AN249" s="779"/>
      <c r="AO249" s="779"/>
      <c r="AP249" s="779"/>
      <c r="AQ249" s="779"/>
      <c r="AR249" s="779"/>
      <c r="AS249" s="779"/>
      <c r="AT249" s="779"/>
      <c r="AU249" s="779"/>
      <c r="AV249" s="779"/>
      <c r="AW249" s="779"/>
      <c r="AX249" s="779"/>
      <c r="AY249" s="779"/>
      <c r="AZ249" s="779"/>
      <c r="BA249" s="779"/>
      <c r="BB249" s="779"/>
      <c r="BC249" s="779"/>
      <c r="BD249" s="779"/>
      <c r="BE249" s="779"/>
      <c r="BF249" s="779"/>
      <c r="BG249" s="779"/>
      <c r="BH249" s="779"/>
      <c r="BI249" s="779"/>
      <c r="BJ249" s="779"/>
      <c r="BK249" s="779"/>
      <c r="BL249" s="779"/>
      <c r="BM249" s="779"/>
      <c r="BN249" s="779"/>
      <c r="BO249" s="779"/>
      <c r="BP249" s="779"/>
      <c r="BQ249" s="779"/>
      <c r="BR249" s="779"/>
      <c r="BS249" s="779"/>
      <c r="BT249" s="779"/>
      <c r="BU249" s="779"/>
      <c r="BV249" s="779"/>
      <c r="BW249" s="779"/>
      <c r="BX249" s="779"/>
      <c r="BY249" s="779"/>
      <c r="BZ249" s="779"/>
    </row>
    <row r="250" spans="39:78" s="143" customFormat="1">
      <c r="AM250" s="779"/>
      <c r="AN250" s="779"/>
      <c r="AO250" s="779"/>
      <c r="AP250" s="779"/>
      <c r="AQ250" s="779"/>
      <c r="AR250" s="779"/>
      <c r="AS250" s="779"/>
      <c r="AT250" s="779"/>
      <c r="AU250" s="779"/>
      <c r="AV250" s="779"/>
      <c r="AW250" s="779"/>
      <c r="AX250" s="779"/>
      <c r="AY250" s="779"/>
      <c r="AZ250" s="779"/>
      <c r="BA250" s="779"/>
      <c r="BB250" s="779"/>
      <c r="BC250" s="779"/>
      <c r="BD250" s="779"/>
      <c r="BE250" s="779"/>
      <c r="BF250" s="779"/>
      <c r="BG250" s="779"/>
      <c r="BH250" s="779"/>
      <c r="BI250" s="779"/>
      <c r="BJ250" s="779"/>
      <c r="BK250" s="779"/>
      <c r="BL250" s="779"/>
      <c r="BM250" s="779"/>
      <c r="BN250" s="779"/>
      <c r="BO250" s="779"/>
      <c r="BP250" s="779"/>
      <c r="BQ250" s="779"/>
      <c r="BR250" s="779"/>
      <c r="BS250" s="779"/>
      <c r="BT250" s="779"/>
      <c r="BU250" s="779"/>
      <c r="BV250" s="779"/>
      <c r="BW250" s="779"/>
      <c r="BX250" s="779"/>
      <c r="BY250" s="779"/>
      <c r="BZ250" s="779"/>
    </row>
    <row r="251" spans="39:78" s="143" customFormat="1">
      <c r="AM251" s="779"/>
      <c r="AN251" s="779"/>
      <c r="AO251" s="779"/>
      <c r="AP251" s="779"/>
      <c r="AQ251" s="779"/>
      <c r="AR251" s="779"/>
      <c r="AS251" s="779"/>
      <c r="AT251" s="779"/>
      <c r="AU251" s="779"/>
      <c r="AV251" s="779"/>
      <c r="AW251" s="779"/>
      <c r="AX251" s="779"/>
      <c r="AY251" s="779"/>
      <c r="AZ251" s="779"/>
      <c r="BA251" s="779"/>
      <c r="BB251" s="779"/>
      <c r="BC251" s="779"/>
      <c r="BD251" s="779"/>
      <c r="BE251" s="779"/>
      <c r="BF251" s="779"/>
      <c r="BG251" s="779"/>
      <c r="BH251" s="779"/>
      <c r="BI251" s="779"/>
      <c r="BJ251" s="779"/>
      <c r="BK251" s="779"/>
      <c r="BL251" s="779"/>
      <c r="BM251" s="779"/>
      <c r="BN251" s="779"/>
      <c r="BO251" s="779"/>
      <c r="BP251" s="779"/>
      <c r="BQ251" s="779"/>
      <c r="BR251" s="779"/>
      <c r="BS251" s="779"/>
      <c r="BT251" s="779"/>
      <c r="BU251" s="779"/>
      <c r="BV251" s="779"/>
      <c r="BW251" s="779"/>
      <c r="BX251" s="779"/>
      <c r="BY251" s="779"/>
      <c r="BZ251" s="779"/>
    </row>
    <row r="252" spans="39:78" s="143" customFormat="1">
      <c r="AM252" s="779"/>
      <c r="AN252" s="779"/>
      <c r="AO252" s="779"/>
      <c r="AP252" s="779"/>
      <c r="AQ252" s="779"/>
      <c r="AR252" s="779"/>
      <c r="AS252" s="779"/>
      <c r="AT252" s="779"/>
      <c r="AU252" s="779"/>
      <c r="AV252" s="779"/>
      <c r="AW252" s="779"/>
      <c r="AX252" s="779"/>
      <c r="AY252" s="779"/>
      <c r="AZ252" s="779"/>
      <c r="BA252" s="779"/>
      <c r="BB252" s="779"/>
      <c r="BC252" s="779"/>
      <c r="BD252" s="779"/>
      <c r="BE252" s="779"/>
      <c r="BF252" s="779"/>
      <c r="BG252" s="779"/>
      <c r="BH252" s="779"/>
      <c r="BI252" s="779"/>
      <c r="BJ252" s="779"/>
      <c r="BK252" s="779"/>
      <c r="BL252" s="779"/>
      <c r="BM252" s="779"/>
      <c r="BN252" s="779"/>
      <c r="BO252" s="779"/>
      <c r="BP252" s="779"/>
      <c r="BQ252" s="779"/>
      <c r="BR252" s="779"/>
      <c r="BS252" s="779"/>
      <c r="BT252" s="779"/>
      <c r="BU252" s="779"/>
      <c r="BV252" s="779"/>
      <c r="BW252" s="779"/>
      <c r="BX252" s="779"/>
      <c r="BY252" s="779"/>
      <c r="BZ252" s="779"/>
    </row>
    <row r="253" spans="39:78" s="143" customFormat="1">
      <c r="AM253" s="779"/>
      <c r="AN253" s="779"/>
      <c r="AO253" s="779"/>
      <c r="AP253" s="779"/>
      <c r="AQ253" s="779"/>
      <c r="AR253" s="779"/>
      <c r="AS253" s="779"/>
      <c r="AT253" s="779"/>
      <c r="AU253" s="779"/>
      <c r="AV253" s="779"/>
      <c r="AW253" s="779"/>
      <c r="AX253" s="779"/>
      <c r="AY253" s="779"/>
      <c r="AZ253" s="779"/>
      <c r="BA253" s="779"/>
      <c r="BB253" s="779"/>
      <c r="BC253" s="779"/>
      <c r="BD253" s="779"/>
      <c r="BE253" s="779"/>
      <c r="BF253" s="779"/>
      <c r="BG253" s="779"/>
      <c r="BH253" s="779"/>
      <c r="BI253" s="779"/>
      <c r="BJ253" s="779"/>
      <c r="BK253" s="779"/>
      <c r="BL253" s="779"/>
      <c r="BM253" s="779"/>
      <c r="BN253" s="779"/>
      <c r="BO253" s="779"/>
      <c r="BP253" s="779"/>
      <c r="BQ253" s="779"/>
      <c r="BR253" s="779"/>
      <c r="BS253" s="779"/>
      <c r="BT253" s="779"/>
      <c r="BU253" s="779"/>
      <c r="BV253" s="779"/>
      <c r="BW253" s="779"/>
      <c r="BX253" s="779"/>
      <c r="BY253" s="779"/>
      <c r="BZ253" s="779"/>
    </row>
    <row r="254" spans="39:78" s="143" customFormat="1">
      <c r="AM254" s="779"/>
      <c r="AN254" s="779"/>
      <c r="AO254" s="779"/>
      <c r="AP254" s="779"/>
      <c r="AQ254" s="779"/>
      <c r="AR254" s="779"/>
      <c r="AS254" s="779"/>
      <c r="AT254" s="779"/>
      <c r="AU254" s="779"/>
      <c r="AV254" s="779"/>
      <c r="AW254" s="779"/>
      <c r="AX254" s="779"/>
      <c r="AY254" s="779"/>
      <c r="AZ254" s="779"/>
      <c r="BA254" s="779"/>
      <c r="BB254" s="779"/>
      <c r="BC254" s="779"/>
      <c r="BD254" s="779"/>
      <c r="BE254" s="779"/>
      <c r="BF254" s="779"/>
      <c r="BG254" s="779"/>
      <c r="BH254" s="779"/>
      <c r="BI254" s="779"/>
      <c r="BJ254" s="779"/>
      <c r="BK254" s="779"/>
      <c r="BL254" s="779"/>
      <c r="BM254" s="779"/>
      <c r="BN254" s="779"/>
      <c r="BO254" s="779"/>
      <c r="BP254" s="779"/>
      <c r="BQ254" s="779"/>
      <c r="BR254" s="779"/>
      <c r="BS254" s="779"/>
      <c r="BT254" s="779"/>
      <c r="BU254" s="779"/>
      <c r="BV254" s="779"/>
      <c r="BW254" s="779"/>
      <c r="BX254" s="779"/>
      <c r="BY254" s="779"/>
      <c r="BZ254" s="779"/>
    </row>
    <row r="255" spans="39:78" s="143" customFormat="1">
      <c r="AM255" s="779"/>
      <c r="AN255" s="779"/>
      <c r="AO255" s="779"/>
      <c r="AP255" s="779"/>
      <c r="AQ255" s="779"/>
      <c r="AR255" s="779"/>
      <c r="AS255" s="779"/>
      <c r="AT255" s="779"/>
      <c r="AU255" s="779"/>
      <c r="AV255" s="779"/>
      <c r="AW255" s="779"/>
      <c r="AX255" s="779"/>
      <c r="AY255" s="779"/>
      <c r="AZ255" s="779"/>
      <c r="BA255" s="779"/>
      <c r="BB255" s="779"/>
      <c r="BC255" s="779"/>
      <c r="BD255" s="779"/>
      <c r="BE255" s="779"/>
      <c r="BF255" s="779"/>
      <c r="BG255" s="779"/>
      <c r="BH255" s="779"/>
      <c r="BI255" s="779"/>
      <c r="BJ255" s="779"/>
      <c r="BK255" s="779"/>
      <c r="BL255" s="779"/>
      <c r="BM255" s="779"/>
      <c r="BN255" s="779"/>
      <c r="BO255" s="779"/>
      <c r="BP255" s="779"/>
      <c r="BQ255" s="779"/>
      <c r="BR255" s="779"/>
      <c r="BS255" s="779"/>
      <c r="BT255" s="779"/>
      <c r="BU255" s="779"/>
      <c r="BV255" s="779"/>
      <c r="BW255" s="779"/>
      <c r="BX255" s="779"/>
      <c r="BY255" s="779"/>
      <c r="BZ255" s="779"/>
    </row>
    <row r="256" spans="39:78" s="143" customFormat="1">
      <c r="AM256" s="779"/>
      <c r="AN256" s="779"/>
      <c r="AO256" s="779"/>
      <c r="AP256" s="779"/>
      <c r="AQ256" s="779"/>
      <c r="AR256" s="779"/>
      <c r="AS256" s="779"/>
      <c r="AT256" s="779"/>
      <c r="AU256" s="779"/>
      <c r="AV256" s="779"/>
      <c r="AW256" s="779"/>
      <c r="AX256" s="779"/>
      <c r="AY256" s="779"/>
      <c r="AZ256" s="779"/>
      <c r="BA256" s="779"/>
      <c r="BB256" s="779"/>
      <c r="BC256" s="779"/>
      <c r="BD256" s="779"/>
      <c r="BE256" s="779"/>
      <c r="BF256" s="779"/>
      <c r="BG256" s="779"/>
      <c r="BH256" s="779"/>
      <c r="BI256" s="779"/>
      <c r="BJ256" s="779"/>
      <c r="BK256" s="779"/>
      <c r="BL256" s="779"/>
      <c r="BM256" s="779"/>
      <c r="BN256" s="779"/>
      <c r="BO256" s="779"/>
      <c r="BP256" s="779"/>
      <c r="BQ256" s="779"/>
      <c r="BR256" s="779"/>
      <c r="BS256" s="779"/>
      <c r="BT256" s="779"/>
      <c r="BU256" s="779"/>
      <c r="BV256" s="779"/>
      <c r="BW256" s="779"/>
      <c r="BX256" s="779"/>
      <c r="BY256" s="779"/>
      <c r="BZ256" s="779"/>
    </row>
    <row r="257" spans="39:78" s="143" customFormat="1">
      <c r="AM257" s="779"/>
      <c r="AN257" s="779"/>
      <c r="AO257" s="779"/>
      <c r="AP257" s="779"/>
      <c r="AQ257" s="779"/>
      <c r="AR257" s="779"/>
      <c r="AS257" s="779"/>
      <c r="AT257" s="779"/>
      <c r="AU257" s="779"/>
      <c r="AV257" s="779"/>
      <c r="AW257" s="779"/>
      <c r="AX257" s="779"/>
      <c r="AY257" s="779"/>
      <c r="AZ257" s="779"/>
      <c r="BA257" s="779"/>
      <c r="BB257" s="779"/>
      <c r="BC257" s="779"/>
      <c r="BD257" s="779"/>
      <c r="BE257" s="779"/>
      <c r="BF257" s="779"/>
      <c r="BG257" s="779"/>
      <c r="BH257" s="779"/>
      <c r="BI257" s="779"/>
      <c r="BJ257" s="779"/>
      <c r="BK257" s="779"/>
      <c r="BL257" s="779"/>
      <c r="BM257" s="779"/>
      <c r="BN257" s="779"/>
      <c r="BO257" s="779"/>
      <c r="BP257" s="779"/>
      <c r="BQ257" s="779"/>
      <c r="BR257" s="779"/>
      <c r="BS257" s="779"/>
      <c r="BT257" s="779"/>
      <c r="BU257" s="779"/>
      <c r="BV257" s="779"/>
      <c r="BW257" s="779"/>
      <c r="BX257" s="779"/>
      <c r="BY257" s="779"/>
      <c r="BZ257" s="779"/>
    </row>
    <row r="258" spans="39:78" s="143" customFormat="1">
      <c r="AM258" s="779"/>
      <c r="AN258" s="779"/>
      <c r="AO258" s="779"/>
      <c r="AP258" s="779"/>
      <c r="AQ258" s="779"/>
      <c r="AR258" s="779"/>
      <c r="AS258" s="779"/>
      <c r="AT258" s="779"/>
      <c r="AU258" s="779"/>
      <c r="AV258" s="779"/>
      <c r="AW258" s="779"/>
      <c r="AX258" s="779"/>
      <c r="AY258" s="779"/>
      <c r="AZ258" s="779"/>
      <c r="BA258" s="779"/>
      <c r="BB258" s="779"/>
      <c r="BC258" s="779"/>
      <c r="BD258" s="779"/>
      <c r="BE258" s="779"/>
      <c r="BF258" s="779"/>
      <c r="BG258" s="779"/>
      <c r="BH258" s="779"/>
      <c r="BI258" s="779"/>
      <c r="BJ258" s="779"/>
      <c r="BK258" s="779"/>
      <c r="BL258" s="779"/>
      <c r="BM258" s="779"/>
      <c r="BN258" s="779"/>
      <c r="BO258" s="779"/>
      <c r="BP258" s="779"/>
      <c r="BQ258" s="779"/>
      <c r="BR258" s="779"/>
      <c r="BS258" s="779"/>
      <c r="BT258" s="779"/>
      <c r="BU258" s="779"/>
      <c r="BV258" s="779"/>
      <c r="BW258" s="779"/>
      <c r="BX258" s="779"/>
      <c r="BY258" s="779"/>
      <c r="BZ258" s="779"/>
    </row>
    <row r="259" spans="39:78" s="143" customFormat="1">
      <c r="AM259" s="779"/>
      <c r="AN259" s="779"/>
      <c r="AO259" s="779"/>
      <c r="AP259" s="779"/>
      <c r="AQ259" s="779"/>
      <c r="AR259" s="779"/>
      <c r="AS259" s="779"/>
      <c r="AT259" s="779"/>
      <c r="AU259" s="779"/>
      <c r="AV259" s="779"/>
      <c r="AW259" s="779"/>
      <c r="AX259" s="779"/>
      <c r="AY259" s="779"/>
      <c r="AZ259" s="779"/>
      <c r="BA259" s="779"/>
      <c r="BB259" s="779"/>
      <c r="BC259" s="779"/>
      <c r="BD259" s="779"/>
      <c r="BE259" s="779"/>
      <c r="BF259" s="779"/>
      <c r="BG259" s="779"/>
      <c r="BH259" s="779"/>
      <c r="BI259" s="779"/>
      <c r="BJ259" s="779"/>
      <c r="BK259" s="779"/>
      <c r="BL259" s="779"/>
      <c r="BM259" s="779"/>
      <c r="BN259" s="779"/>
      <c r="BO259" s="779"/>
      <c r="BP259" s="779"/>
      <c r="BQ259" s="779"/>
      <c r="BR259" s="779"/>
      <c r="BS259" s="779"/>
      <c r="BT259" s="779"/>
      <c r="BU259" s="779"/>
      <c r="BV259" s="779"/>
      <c r="BW259" s="779"/>
      <c r="BX259" s="779"/>
      <c r="BY259" s="779"/>
      <c r="BZ259" s="779"/>
    </row>
    <row r="260" spans="39:78" s="143" customFormat="1">
      <c r="AM260" s="779"/>
      <c r="AN260" s="779"/>
      <c r="AO260" s="779"/>
      <c r="AP260" s="779"/>
      <c r="AQ260" s="779"/>
      <c r="AR260" s="779"/>
      <c r="AS260" s="779"/>
      <c r="AT260" s="779"/>
      <c r="AU260" s="779"/>
      <c r="AV260" s="779"/>
      <c r="AW260" s="779"/>
      <c r="AX260" s="779"/>
      <c r="AY260" s="779"/>
      <c r="AZ260" s="779"/>
      <c r="BA260" s="779"/>
      <c r="BB260" s="779"/>
      <c r="BC260" s="779"/>
      <c r="BD260" s="779"/>
      <c r="BE260" s="779"/>
      <c r="BF260" s="779"/>
      <c r="BG260" s="779"/>
      <c r="BH260" s="779"/>
      <c r="BI260" s="779"/>
      <c r="BJ260" s="779"/>
      <c r="BK260" s="779"/>
      <c r="BL260" s="779"/>
      <c r="BM260" s="779"/>
      <c r="BN260" s="779"/>
      <c r="BO260" s="779"/>
      <c r="BP260" s="779"/>
      <c r="BQ260" s="779"/>
      <c r="BR260" s="779"/>
      <c r="BS260" s="779"/>
      <c r="BT260" s="779"/>
      <c r="BU260" s="779"/>
      <c r="BV260" s="779"/>
      <c r="BW260" s="779"/>
      <c r="BX260" s="779"/>
      <c r="BY260" s="779"/>
      <c r="BZ260" s="779"/>
    </row>
    <row r="261" spans="39:78" s="143" customFormat="1">
      <c r="AM261" s="779"/>
      <c r="AN261" s="779"/>
      <c r="AO261" s="779"/>
      <c r="AP261" s="779"/>
      <c r="AQ261" s="779"/>
      <c r="AR261" s="779"/>
      <c r="AS261" s="779"/>
      <c r="AT261" s="779"/>
      <c r="AU261" s="779"/>
      <c r="AV261" s="779"/>
      <c r="AW261" s="779"/>
      <c r="AX261" s="779"/>
      <c r="AY261" s="779"/>
      <c r="AZ261" s="779"/>
      <c r="BA261" s="779"/>
      <c r="BB261" s="779"/>
      <c r="BC261" s="779"/>
      <c r="BD261" s="779"/>
      <c r="BE261" s="779"/>
      <c r="BF261" s="779"/>
      <c r="BG261" s="779"/>
      <c r="BH261" s="779"/>
      <c r="BI261" s="779"/>
      <c r="BJ261" s="779"/>
      <c r="BK261" s="779"/>
      <c r="BL261" s="779"/>
      <c r="BM261" s="779"/>
      <c r="BN261" s="779"/>
      <c r="BO261" s="779"/>
      <c r="BP261" s="779"/>
      <c r="BQ261" s="779"/>
      <c r="BR261" s="779"/>
      <c r="BS261" s="779"/>
      <c r="BT261" s="779"/>
      <c r="BU261" s="779"/>
      <c r="BV261" s="779"/>
      <c r="BW261" s="779"/>
      <c r="BX261" s="779"/>
      <c r="BY261" s="779"/>
      <c r="BZ261" s="779"/>
    </row>
    <row r="262" spans="39:78" s="143" customFormat="1">
      <c r="AM262" s="779"/>
      <c r="AN262" s="779"/>
      <c r="AO262" s="779"/>
      <c r="AP262" s="779"/>
      <c r="AQ262" s="779"/>
      <c r="AR262" s="779"/>
      <c r="AS262" s="779"/>
      <c r="AT262" s="779"/>
      <c r="AU262" s="779"/>
      <c r="AV262" s="779"/>
      <c r="AW262" s="779"/>
      <c r="AX262" s="779"/>
      <c r="AY262" s="779"/>
      <c r="AZ262" s="779"/>
      <c r="BA262" s="779"/>
      <c r="BB262" s="779"/>
      <c r="BC262" s="779"/>
      <c r="BD262" s="779"/>
      <c r="BE262" s="779"/>
      <c r="BF262" s="779"/>
      <c r="BG262" s="779"/>
      <c r="BH262" s="779"/>
      <c r="BI262" s="779"/>
      <c r="BJ262" s="779"/>
      <c r="BK262" s="779"/>
      <c r="BL262" s="779"/>
      <c r="BM262" s="779"/>
      <c r="BN262" s="779"/>
      <c r="BO262" s="779"/>
      <c r="BP262" s="779"/>
      <c r="BQ262" s="779"/>
      <c r="BR262" s="779"/>
      <c r="BS262" s="779"/>
      <c r="BT262" s="779"/>
      <c r="BU262" s="779"/>
      <c r="BV262" s="779"/>
      <c r="BW262" s="779"/>
      <c r="BX262" s="779"/>
      <c r="BY262" s="779"/>
      <c r="BZ262" s="779"/>
    </row>
    <row r="263" spans="39:78" s="143" customFormat="1">
      <c r="AM263" s="779"/>
      <c r="AN263" s="779"/>
      <c r="AO263" s="779"/>
      <c r="AP263" s="779"/>
      <c r="AQ263" s="779"/>
      <c r="AR263" s="779"/>
      <c r="AS263" s="779"/>
      <c r="AT263" s="779"/>
      <c r="AU263" s="779"/>
      <c r="AV263" s="779"/>
      <c r="AW263" s="779"/>
      <c r="AX263" s="779"/>
      <c r="AY263" s="779"/>
      <c r="AZ263" s="779"/>
      <c r="BA263" s="779"/>
      <c r="BB263" s="779"/>
      <c r="BC263" s="779"/>
      <c r="BD263" s="779"/>
      <c r="BE263" s="779"/>
      <c r="BF263" s="779"/>
      <c r="BG263" s="779"/>
      <c r="BH263" s="779"/>
      <c r="BI263" s="779"/>
      <c r="BJ263" s="779"/>
      <c r="BK263" s="779"/>
      <c r="BL263" s="779"/>
      <c r="BM263" s="779"/>
      <c r="BN263" s="779"/>
      <c r="BO263" s="779"/>
      <c r="BP263" s="779"/>
      <c r="BQ263" s="779"/>
      <c r="BR263" s="779"/>
      <c r="BS263" s="779"/>
      <c r="BT263" s="779"/>
      <c r="BU263" s="779"/>
      <c r="BV263" s="779"/>
      <c r="BW263" s="779"/>
      <c r="BX263" s="779"/>
      <c r="BY263" s="779"/>
      <c r="BZ263" s="779"/>
    </row>
    <row r="264" spans="39:78" s="143" customFormat="1">
      <c r="AM264" s="779"/>
      <c r="AN264" s="779"/>
      <c r="AO264" s="779"/>
      <c r="AP264" s="779"/>
      <c r="AQ264" s="779"/>
      <c r="AR264" s="779"/>
      <c r="AS264" s="779"/>
      <c r="AT264" s="779"/>
      <c r="AU264" s="779"/>
      <c r="AV264" s="779"/>
      <c r="AW264" s="779"/>
      <c r="AX264" s="779"/>
      <c r="AY264" s="779"/>
      <c r="AZ264" s="779"/>
      <c r="BA264" s="779"/>
      <c r="BB264" s="779"/>
      <c r="BC264" s="779"/>
      <c r="BD264" s="779"/>
      <c r="BE264" s="779"/>
      <c r="BF264" s="779"/>
      <c r="BG264" s="779"/>
      <c r="BH264" s="779"/>
      <c r="BI264" s="779"/>
      <c r="BJ264" s="779"/>
      <c r="BK264" s="779"/>
      <c r="BL264" s="779"/>
      <c r="BM264" s="779"/>
      <c r="BN264" s="779"/>
      <c r="BO264" s="779"/>
      <c r="BP264" s="779"/>
      <c r="BQ264" s="779"/>
      <c r="BR264" s="779"/>
      <c r="BS264" s="779"/>
      <c r="BT264" s="779"/>
      <c r="BU264" s="779"/>
      <c r="BV264" s="779"/>
      <c r="BW264" s="779"/>
      <c r="BX264" s="779"/>
      <c r="BY264" s="779"/>
      <c r="BZ264" s="779"/>
    </row>
    <row r="265" spans="39:78" s="143" customFormat="1">
      <c r="AM265" s="779"/>
      <c r="AN265" s="779"/>
      <c r="AO265" s="779"/>
      <c r="AP265" s="779"/>
      <c r="AQ265" s="779"/>
      <c r="AR265" s="779"/>
      <c r="AS265" s="779"/>
      <c r="AT265" s="779"/>
      <c r="AU265" s="779"/>
      <c r="AV265" s="779"/>
      <c r="AW265" s="779"/>
      <c r="AX265" s="779"/>
      <c r="AY265" s="779"/>
      <c r="AZ265" s="779"/>
      <c r="BA265" s="779"/>
      <c r="BB265" s="779"/>
      <c r="BC265" s="779"/>
      <c r="BD265" s="779"/>
      <c r="BE265" s="779"/>
      <c r="BF265" s="779"/>
      <c r="BG265" s="779"/>
      <c r="BH265" s="779"/>
      <c r="BI265" s="779"/>
      <c r="BJ265" s="779"/>
      <c r="BK265" s="779"/>
      <c r="BL265" s="779"/>
      <c r="BM265" s="779"/>
      <c r="BN265" s="779"/>
      <c r="BO265" s="779"/>
      <c r="BP265" s="779"/>
      <c r="BQ265" s="779"/>
      <c r="BR265" s="779"/>
      <c r="BS265" s="779"/>
      <c r="BT265" s="779"/>
      <c r="BU265" s="779"/>
      <c r="BV265" s="779"/>
      <c r="BW265" s="779"/>
      <c r="BX265" s="779"/>
      <c r="BY265" s="779"/>
      <c r="BZ265" s="779"/>
    </row>
    <row r="266" spans="39:78" s="143" customFormat="1">
      <c r="AM266" s="779"/>
      <c r="AN266" s="779"/>
      <c r="AO266" s="779"/>
      <c r="AP266" s="779"/>
      <c r="AQ266" s="779"/>
      <c r="AR266" s="779"/>
      <c r="AS266" s="779"/>
      <c r="AT266" s="779"/>
      <c r="AU266" s="779"/>
      <c r="AV266" s="779"/>
      <c r="AW266" s="779"/>
      <c r="AX266" s="779"/>
      <c r="AY266" s="779"/>
      <c r="AZ266" s="779"/>
      <c r="BA266" s="779"/>
      <c r="BB266" s="779"/>
      <c r="BC266" s="779"/>
      <c r="BD266" s="779"/>
      <c r="BE266" s="779"/>
      <c r="BF266" s="779"/>
      <c r="BG266" s="779"/>
      <c r="BH266" s="779"/>
      <c r="BI266" s="779"/>
      <c r="BJ266" s="779"/>
      <c r="BK266" s="779"/>
      <c r="BL266" s="779"/>
      <c r="BM266" s="779"/>
      <c r="BN266" s="779"/>
      <c r="BO266" s="779"/>
      <c r="BP266" s="779"/>
      <c r="BQ266" s="779"/>
      <c r="BR266" s="779"/>
      <c r="BS266" s="779"/>
      <c r="BT266" s="779"/>
      <c r="BU266" s="779"/>
      <c r="BV266" s="779"/>
      <c r="BW266" s="779"/>
      <c r="BX266" s="779"/>
      <c r="BY266" s="779"/>
      <c r="BZ266" s="779"/>
    </row>
    <row r="267" spans="39:78" s="143" customFormat="1">
      <c r="AM267" s="779"/>
      <c r="AN267" s="779"/>
      <c r="AO267" s="779"/>
      <c r="AP267" s="779"/>
      <c r="AQ267" s="779"/>
      <c r="AR267" s="779"/>
      <c r="AS267" s="779"/>
      <c r="AT267" s="779"/>
      <c r="AU267" s="779"/>
      <c r="AV267" s="779"/>
      <c r="AW267" s="779"/>
      <c r="AX267" s="779"/>
      <c r="AY267" s="779"/>
      <c r="AZ267" s="779"/>
      <c r="BA267" s="779"/>
      <c r="BB267" s="779"/>
      <c r="BC267" s="779"/>
      <c r="BD267" s="779"/>
      <c r="BE267" s="779"/>
      <c r="BF267" s="779"/>
      <c r="BG267" s="779"/>
      <c r="BH267" s="779"/>
      <c r="BI267" s="779"/>
      <c r="BJ267" s="779"/>
      <c r="BK267" s="779"/>
      <c r="BL267" s="779"/>
      <c r="BM267" s="779"/>
      <c r="BN267" s="779"/>
      <c r="BO267" s="779"/>
      <c r="BP267" s="779"/>
      <c r="BQ267" s="779"/>
      <c r="BR267" s="779"/>
      <c r="BS267" s="779"/>
      <c r="BT267" s="779"/>
      <c r="BU267" s="779"/>
      <c r="BV267" s="779"/>
      <c r="BW267" s="779"/>
      <c r="BX267" s="779"/>
      <c r="BY267" s="779"/>
      <c r="BZ267" s="779"/>
    </row>
    <row r="268" spans="39:78" s="143" customFormat="1">
      <c r="AM268" s="779"/>
      <c r="AN268" s="779"/>
      <c r="AO268" s="779"/>
      <c r="AP268" s="779"/>
      <c r="AQ268" s="779"/>
      <c r="AR268" s="779"/>
      <c r="AS268" s="779"/>
      <c r="AT268" s="779"/>
      <c r="AU268" s="779"/>
      <c r="AV268" s="779"/>
      <c r="AW268" s="779"/>
      <c r="AX268" s="779"/>
      <c r="AY268" s="779"/>
      <c r="AZ268" s="779"/>
      <c r="BA268" s="779"/>
      <c r="BB268" s="779"/>
      <c r="BC268" s="779"/>
      <c r="BD268" s="779"/>
      <c r="BE268" s="779"/>
      <c r="BF268" s="779"/>
      <c r="BG268" s="779"/>
      <c r="BH268" s="779"/>
      <c r="BI268" s="779"/>
      <c r="BJ268" s="779"/>
      <c r="BK268" s="779"/>
      <c r="BL268" s="779"/>
      <c r="BM268" s="779"/>
      <c r="BN268" s="779"/>
      <c r="BO268" s="779"/>
      <c r="BP268" s="779"/>
      <c r="BQ268" s="779"/>
      <c r="BR268" s="779"/>
      <c r="BS268" s="779"/>
      <c r="BT268" s="779"/>
      <c r="BU268" s="779"/>
      <c r="BV268" s="779"/>
      <c r="BW268" s="779"/>
      <c r="BX268" s="779"/>
      <c r="BY268" s="779"/>
      <c r="BZ268" s="779"/>
    </row>
    <row r="269" spans="39:78" s="143" customFormat="1">
      <c r="AM269" s="779"/>
      <c r="AN269" s="779"/>
      <c r="AO269" s="779"/>
      <c r="AP269" s="779"/>
      <c r="AQ269" s="779"/>
      <c r="AR269" s="779"/>
      <c r="AS269" s="779"/>
      <c r="AT269" s="779"/>
      <c r="AU269" s="779"/>
      <c r="AV269" s="779"/>
      <c r="AW269" s="779"/>
      <c r="AX269" s="779"/>
      <c r="AY269" s="779"/>
      <c r="AZ269" s="779"/>
      <c r="BA269" s="779"/>
      <c r="BB269" s="779"/>
      <c r="BC269" s="779"/>
      <c r="BD269" s="779"/>
      <c r="BE269" s="779"/>
      <c r="BF269" s="779"/>
      <c r="BG269" s="779"/>
      <c r="BH269" s="779"/>
      <c r="BI269" s="779"/>
      <c r="BJ269" s="779"/>
      <c r="BK269" s="779"/>
      <c r="BL269" s="779"/>
      <c r="BM269" s="779"/>
      <c r="BN269" s="779"/>
      <c r="BO269" s="779"/>
      <c r="BP269" s="779"/>
      <c r="BQ269" s="779"/>
      <c r="BR269" s="779"/>
      <c r="BS269" s="779"/>
      <c r="BT269" s="779"/>
      <c r="BU269" s="779"/>
      <c r="BV269" s="779"/>
      <c r="BW269" s="779"/>
      <c r="BX269" s="779"/>
      <c r="BY269" s="779"/>
      <c r="BZ269" s="779"/>
    </row>
    <row r="270" spans="39:78" s="143" customFormat="1">
      <c r="AM270" s="779"/>
      <c r="AN270" s="779"/>
      <c r="AO270" s="779"/>
      <c r="AP270" s="779"/>
      <c r="AQ270" s="779"/>
      <c r="AR270" s="779"/>
      <c r="AS270" s="779"/>
      <c r="AT270" s="779"/>
      <c r="AU270" s="779"/>
      <c r="AV270" s="779"/>
      <c r="AW270" s="779"/>
      <c r="AX270" s="779"/>
      <c r="AY270" s="779"/>
      <c r="AZ270" s="779"/>
      <c r="BA270" s="779"/>
      <c r="BB270" s="779"/>
      <c r="BC270" s="779"/>
      <c r="BD270" s="779"/>
      <c r="BE270" s="779"/>
      <c r="BF270" s="779"/>
      <c r="BG270" s="779"/>
      <c r="BH270" s="779"/>
      <c r="BI270" s="779"/>
      <c r="BJ270" s="779"/>
      <c r="BK270" s="779"/>
      <c r="BL270" s="779"/>
      <c r="BM270" s="779"/>
      <c r="BN270" s="779"/>
      <c r="BO270" s="779"/>
      <c r="BP270" s="779"/>
      <c r="BQ270" s="779"/>
      <c r="BR270" s="779"/>
      <c r="BS270" s="779"/>
      <c r="BT270" s="779"/>
      <c r="BU270" s="779"/>
      <c r="BV270" s="779"/>
      <c r="BW270" s="779"/>
      <c r="BX270" s="779"/>
      <c r="BY270" s="779"/>
      <c r="BZ270" s="779"/>
    </row>
    <row r="271" spans="39:78" s="143" customFormat="1">
      <c r="AM271" s="779"/>
      <c r="AN271" s="779"/>
      <c r="AO271" s="779"/>
      <c r="AP271" s="779"/>
      <c r="AQ271" s="779"/>
      <c r="AR271" s="779"/>
      <c r="AS271" s="779"/>
      <c r="AT271" s="779"/>
      <c r="AU271" s="779"/>
      <c r="AV271" s="779"/>
      <c r="AW271" s="779"/>
      <c r="AX271" s="779"/>
      <c r="AY271" s="779"/>
      <c r="AZ271" s="779"/>
      <c r="BA271" s="779"/>
      <c r="BB271" s="779"/>
      <c r="BC271" s="779"/>
      <c r="BD271" s="779"/>
      <c r="BE271" s="779"/>
      <c r="BF271" s="779"/>
      <c r="BG271" s="779"/>
      <c r="BH271" s="779"/>
      <c r="BI271" s="779"/>
      <c r="BJ271" s="779"/>
      <c r="BK271" s="779"/>
      <c r="BL271" s="779"/>
      <c r="BM271" s="779"/>
      <c r="BN271" s="779"/>
      <c r="BO271" s="779"/>
      <c r="BP271" s="779"/>
      <c r="BQ271" s="779"/>
      <c r="BR271" s="779"/>
      <c r="BS271" s="779"/>
      <c r="BT271" s="779"/>
      <c r="BU271" s="779"/>
      <c r="BV271" s="779"/>
      <c r="BW271" s="779"/>
      <c r="BX271" s="779"/>
      <c r="BY271" s="779"/>
      <c r="BZ271" s="779"/>
    </row>
    <row r="272" spans="39:78" s="143" customFormat="1">
      <c r="AM272" s="779"/>
      <c r="AN272" s="779"/>
      <c r="AO272" s="779"/>
      <c r="AP272" s="779"/>
      <c r="AQ272" s="779"/>
      <c r="AR272" s="779"/>
      <c r="AS272" s="779"/>
      <c r="AT272" s="779"/>
      <c r="AU272" s="779"/>
      <c r="AV272" s="779"/>
      <c r="AW272" s="779"/>
      <c r="AX272" s="779"/>
      <c r="AY272" s="779"/>
      <c r="AZ272" s="779"/>
      <c r="BA272" s="779"/>
      <c r="BB272" s="779"/>
      <c r="BC272" s="779"/>
      <c r="BD272" s="779"/>
      <c r="BE272" s="779"/>
      <c r="BF272" s="779"/>
      <c r="BG272" s="779"/>
      <c r="BH272" s="779"/>
      <c r="BI272" s="779"/>
      <c r="BJ272" s="779"/>
      <c r="BK272" s="779"/>
      <c r="BL272" s="779"/>
      <c r="BM272" s="779"/>
      <c r="BN272" s="779"/>
      <c r="BO272" s="779"/>
      <c r="BP272" s="779"/>
      <c r="BQ272" s="779"/>
      <c r="BR272" s="779"/>
      <c r="BS272" s="779"/>
      <c r="BT272" s="779"/>
      <c r="BU272" s="779"/>
      <c r="BV272" s="779"/>
      <c r="BW272" s="779"/>
      <c r="BX272" s="779"/>
      <c r="BY272" s="779"/>
      <c r="BZ272" s="779"/>
    </row>
    <row r="273" spans="39:78" s="143" customFormat="1">
      <c r="AM273" s="779"/>
      <c r="AN273" s="779"/>
      <c r="AO273" s="779"/>
      <c r="AP273" s="779"/>
      <c r="AQ273" s="779"/>
      <c r="AR273" s="779"/>
      <c r="AS273" s="779"/>
      <c r="AT273" s="779"/>
      <c r="AU273" s="779"/>
      <c r="AV273" s="779"/>
      <c r="AW273" s="779"/>
      <c r="AX273" s="779"/>
      <c r="AY273" s="779"/>
      <c r="AZ273" s="779"/>
      <c r="BA273" s="779"/>
      <c r="BB273" s="779"/>
      <c r="BC273" s="779"/>
      <c r="BD273" s="779"/>
      <c r="BE273" s="779"/>
      <c r="BF273" s="779"/>
      <c r="BG273" s="779"/>
      <c r="BH273" s="779"/>
      <c r="BI273" s="779"/>
      <c r="BJ273" s="779"/>
      <c r="BK273" s="779"/>
      <c r="BL273" s="779"/>
      <c r="BM273" s="779"/>
      <c r="BN273" s="779"/>
      <c r="BO273" s="779"/>
      <c r="BP273" s="779"/>
      <c r="BQ273" s="779"/>
      <c r="BR273" s="779"/>
      <c r="BS273" s="779"/>
      <c r="BT273" s="779"/>
      <c r="BU273" s="779"/>
      <c r="BV273" s="779"/>
      <c r="BW273" s="779"/>
      <c r="BX273" s="779"/>
      <c r="BY273" s="779"/>
      <c r="BZ273" s="779"/>
    </row>
    <row r="274" spans="39:78" s="143" customFormat="1">
      <c r="AM274" s="779"/>
      <c r="AN274" s="779"/>
      <c r="AO274" s="779"/>
      <c r="AP274" s="779"/>
      <c r="AQ274" s="779"/>
      <c r="AR274" s="779"/>
      <c r="AS274" s="779"/>
      <c r="AT274" s="779"/>
      <c r="AU274" s="779"/>
      <c r="AV274" s="779"/>
      <c r="AW274" s="779"/>
      <c r="AX274" s="779"/>
      <c r="AY274" s="779"/>
      <c r="AZ274" s="779"/>
      <c r="BA274" s="779"/>
      <c r="BB274" s="779"/>
      <c r="BC274" s="779"/>
      <c r="BD274" s="779"/>
      <c r="BE274" s="779"/>
      <c r="BF274" s="779"/>
      <c r="BG274" s="779"/>
      <c r="BH274" s="779"/>
      <c r="BI274" s="779"/>
      <c r="BJ274" s="779"/>
      <c r="BK274" s="779"/>
      <c r="BL274" s="779"/>
      <c r="BM274" s="779"/>
      <c r="BN274" s="779"/>
      <c r="BO274" s="779"/>
      <c r="BP274" s="779"/>
      <c r="BQ274" s="779"/>
      <c r="BR274" s="779"/>
      <c r="BS274" s="779"/>
      <c r="BT274" s="779"/>
      <c r="BU274" s="779"/>
      <c r="BV274" s="779"/>
      <c r="BW274" s="779"/>
      <c r="BX274" s="779"/>
      <c r="BY274" s="779"/>
      <c r="BZ274" s="779"/>
    </row>
    <row r="275" spans="39:78" s="143" customFormat="1">
      <c r="AM275" s="779"/>
      <c r="AN275" s="779"/>
      <c r="AO275" s="779"/>
      <c r="AP275" s="779"/>
      <c r="AQ275" s="779"/>
      <c r="AR275" s="779"/>
      <c r="AS275" s="779"/>
      <c r="AT275" s="779"/>
      <c r="AU275" s="779"/>
      <c r="AV275" s="779"/>
      <c r="AW275" s="779"/>
      <c r="AX275" s="779"/>
      <c r="AY275" s="779"/>
      <c r="AZ275" s="779"/>
      <c r="BA275" s="779"/>
      <c r="BB275" s="779"/>
      <c r="BC275" s="779"/>
      <c r="BD275" s="779"/>
      <c r="BE275" s="779"/>
      <c r="BF275" s="779"/>
      <c r="BG275" s="779"/>
      <c r="BH275" s="779"/>
      <c r="BI275" s="779"/>
      <c r="BJ275" s="779"/>
      <c r="BK275" s="779"/>
      <c r="BL275" s="779"/>
      <c r="BM275" s="779"/>
      <c r="BN275" s="779"/>
      <c r="BO275" s="779"/>
      <c r="BP275" s="779"/>
      <c r="BQ275" s="779"/>
      <c r="BR275" s="779"/>
      <c r="BS275" s="779"/>
      <c r="BT275" s="779"/>
      <c r="BU275" s="779"/>
      <c r="BV275" s="779"/>
      <c r="BW275" s="779"/>
      <c r="BX275" s="779"/>
      <c r="BY275" s="779"/>
      <c r="BZ275" s="779"/>
    </row>
    <row r="276" spans="39:78" s="143" customFormat="1"/>
    <row r="277" spans="39:78" s="143" customFormat="1"/>
    <row r="278" spans="39:78" s="143" customFormat="1"/>
    <row r="279" spans="39:78" s="143" customFormat="1"/>
    <row r="280" spans="39:78" s="143" customFormat="1"/>
    <row r="281" spans="39:78" s="143" customFormat="1"/>
    <row r="282" spans="39:78" s="143" customFormat="1"/>
    <row r="283" spans="39:78" s="143" customFormat="1"/>
    <row r="284" spans="39:78" s="143" customFormat="1"/>
    <row r="285" spans="39:78" s="143" customFormat="1"/>
    <row r="286" spans="39:78" s="143" customFormat="1"/>
    <row r="287" spans="39:78" s="143" customFormat="1"/>
    <row r="288" spans="39:78" s="143" customFormat="1"/>
    <row r="289" s="143" customFormat="1"/>
    <row r="290" s="143" customFormat="1"/>
    <row r="291" s="143" customFormat="1"/>
    <row r="292" s="143" customFormat="1"/>
    <row r="293" s="143" customFormat="1"/>
    <row r="294" s="143" customFormat="1"/>
    <row r="295" s="143" customFormat="1"/>
    <row r="296" s="143" customFormat="1"/>
    <row r="297" s="143" customFormat="1"/>
    <row r="298" s="143" customFormat="1"/>
    <row r="299" s="143" customFormat="1"/>
    <row r="300" s="143" customFormat="1"/>
    <row r="301" s="143" customFormat="1"/>
    <row r="302" s="143" customFormat="1"/>
    <row r="303" s="143" customFormat="1"/>
    <row r="304" s="143" customFormat="1"/>
    <row r="305" s="143" customFormat="1"/>
    <row r="306" s="143" customFormat="1"/>
    <row r="307" s="143" customFormat="1"/>
    <row r="308" s="143" customFormat="1"/>
    <row r="309" s="143" customFormat="1"/>
    <row r="310" s="143" customFormat="1"/>
    <row r="311" s="143" customFormat="1"/>
    <row r="312" s="143" customFormat="1"/>
    <row r="313" s="143" customFormat="1"/>
    <row r="314" s="143" customFormat="1"/>
    <row r="315" s="143" customFormat="1"/>
    <row r="316" s="143" customFormat="1"/>
    <row r="317" s="143" customFormat="1"/>
    <row r="318" s="143" customFormat="1"/>
    <row r="319" s="143" customFormat="1"/>
    <row r="320" s="143" customFormat="1"/>
    <row r="321" s="143" customFormat="1"/>
    <row r="322" s="143" customFormat="1"/>
    <row r="323" s="143" customFormat="1"/>
    <row r="324" s="143" customFormat="1"/>
    <row r="325" s="143" customFormat="1"/>
    <row r="326" s="143" customFormat="1"/>
    <row r="327" s="143" customFormat="1"/>
    <row r="328" s="143" customFormat="1"/>
    <row r="329" s="143" customFormat="1"/>
    <row r="330" s="143" customFormat="1"/>
    <row r="331" s="143" customFormat="1"/>
    <row r="332" s="143" customFormat="1"/>
    <row r="333" s="143" customFormat="1"/>
    <row r="334" s="143" customFormat="1"/>
    <row r="335" s="143" customFormat="1"/>
    <row r="336" s="143" customFormat="1"/>
    <row r="337" s="143" customFormat="1"/>
    <row r="338" s="143" customFormat="1"/>
    <row r="339" s="143" customFormat="1"/>
    <row r="340" s="143" customFormat="1"/>
    <row r="341" s="143" customFormat="1"/>
    <row r="342" s="143" customFormat="1"/>
    <row r="343" s="143" customFormat="1"/>
    <row r="344" s="143" customFormat="1"/>
    <row r="345" s="143" customFormat="1"/>
    <row r="346" s="143" customFormat="1"/>
    <row r="347" s="143" customFormat="1"/>
    <row r="348" s="143" customFormat="1"/>
    <row r="349" s="143" customFormat="1"/>
    <row r="350" s="143" customFormat="1"/>
    <row r="351" s="143" customFormat="1"/>
    <row r="352" s="143" customFormat="1"/>
    <row r="353" s="143" customFormat="1"/>
    <row r="354" s="143" customFormat="1"/>
    <row r="355" s="143" customFormat="1"/>
    <row r="356" s="143" customFormat="1"/>
    <row r="357" s="143" customFormat="1"/>
    <row r="358" s="143" customFormat="1"/>
    <row r="359" s="143" customFormat="1"/>
    <row r="360" s="143" customFormat="1"/>
    <row r="361" s="143" customFormat="1"/>
    <row r="362" s="143" customFormat="1"/>
    <row r="363" s="143" customFormat="1"/>
    <row r="364" s="143" customFormat="1"/>
    <row r="365" s="143" customFormat="1"/>
    <row r="366" s="143" customFormat="1"/>
    <row r="367" s="143" customFormat="1"/>
    <row r="368" s="143" customFormat="1"/>
    <row r="369" s="143" customFormat="1"/>
    <row r="370" s="143" customFormat="1"/>
    <row r="371" s="143" customFormat="1"/>
    <row r="372" s="143" customFormat="1"/>
    <row r="373" s="143" customFormat="1"/>
    <row r="374" s="143" customFormat="1"/>
    <row r="375" s="143" customFormat="1"/>
    <row r="376" s="143" customFormat="1"/>
    <row r="377" s="143" customFormat="1"/>
    <row r="378" s="143" customFormat="1"/>
    <row r="379" s="143" customFormat="1"/>
    <row r="380" s="143" customFormat="1"/>
    <row r="381" s="143" customFormat="1"/>
    <row r="382" s="143" customFormat="1"/>
    <row r="383" s="143" customFormat="1"/>
    <row r="384" s="143" customFormat="1"/>
    <row r="385" s="143" customFormat="1"/>
    <row r="386" s="143" customFormat="1"/>
    <row r="387" s="143" customFormat="1"/>
    <row r="388" s="143" customFormat="1"/>
    <row r="389" s="143" customFormat="1"/>
    <row r="390" s="143" customFormat="1"/>
    <row r="391" s="143" customFormat="1"/>
    <row r="392" s="143" customFormat="1"/>
    <row r="393" s="143" customFormat="1"/>
    <row r="394" s="143" customFormat="1"/>
    <row r="395" s="143" customFormat="1"/>
    <row r="396" s="143" customFormat="1"/>
    <row r="397" s="143" customFormat="1"/>
    <row r="398" s="143" customFormat="1"/>
    <row r="399" s="143" customFormat="1"/>
    <row r="400" s="143" customFormat="1"/>
    <row r="401" s="143" customFormat="1"/>
    <row r="402" s="143" customFormat="1"/>
    <row r="403" s="143" customFormat="1"/>
    <row r="404" s="143" customFormat="1"/>
    <row r="405" s="143" customFormat="1"/>
    <row r="406" s="143" customFormat="1"/>
    <row r="407" s="143" customFormat="1"/>
    <row r="408" s="143" customFormat="1"/>
    <row r="409" s="143" customFormat="1"/>
    <row r="410" s="143" customFormat="1"/>
    <row r="411" s="143" customFormat="1"/>
    <row r="412" s="143" customFormat="1"/>
    <row r="413" s="143" customFormat="1"/>
    <row r="414" s="143" customFormat="1"/>
    <row r="415" s="143" customFormat="1"/>
    <row r="416" s="143" customFormat="1"/>
    <row r="417" s="143" customFormat="1"/>
    <row r="418" s="143" customFormat="1"/>
    <row r="419" s="143" customFormat="1"/>
    <row r="420" s="143" customFormat="1"/>
    <row r="421" s="143" customFormat="1"/>
    <row r="422" s="143" customFormat="1"/>
    <row r="423" s="143" customFormat="1"/>
    <row r="424" s="143" customFormat="1"/>
    <row r="425" s="143" customFormat="1"/>
    <row r="426" s="143" customFormat="1"/>
    <row r="427" s="143" customFormat="1"/>
    <row r="428" s="143" customFormat="1"/>
    <row r="429" s="143" customFormat="1"/>
    <row r="430" s="143" customFormat="1"/>
    <row r="431" s="143" customFormat="1"/>
    <row r="432" s="143" customFormat="1"/>
    <row r="433" s="143" customFormat="1"/>
    <row r="434" s="143" customFormat="1"/>
    <row r="435" s="143" customFormat="1"/>
    <row r="436" s="143" customFormat="1"/>
    <row r="437" s="143" customFormat="1"/>
    <row r="438" s="143" customFormat="1"/>
    <row r="439" s="143" customFormat="1"/>
    <row r="440" s="143" customFormat="1"/>
    <row r="441" s="143" customFormat="1"/>
    <row r="442" s="143" customFormat="1"/>
    <row r="443" s="143" customFormat="1"/>
    <row r="444" s="143" customFormat="1"/>
    <row r="445" s="143" customFormat="1"/>
    <row r="446" s="143" customFormat="1"/>
    <row r="447" s="143" customFormat="1"/>
    <row r="448" s="143" customFormat="1"/>
    <row r="449" s="143" customFormat="1"/>
    <row r="450" s="143" customFormat="1"/>
    <row r="451" s="143" customFormat="1"/>
    <row r="452" s="143" customFormat="1"/>
    <row r="453" s="143" customFormat="1"/>
    <row r="454" s="143" customFormat="1"/>
    <row r="455" s="143" customFormat="1"/>
    <row r="456" s="143" customFormat="1"/>
    <row r="457" s="143" customFormat="1"/>
    <row r="458" s="143" customFormat="1"/>
    <row r="459" s="143" customFormat="1"/>
    <row r="460" s="143" customFormat="1"/>
    <row r="461" s="143" customFormat="1"/>
    <row r="462" s="143" customFormat="1"/>
    <row r="463" s="143" customFormat="1"/>
    <row r="464" s="143" customFormat="1"/>
    <row r="465" s="143" customFormat="1"/>
    <row r="466" s="143" customFormat="1"/>
    <row r="467" s="143" customFormat="1"/>
    <row r="468" s="143" customFormat="1"/>
    <row r="469" s="143" customFormat="1"/>
    <row r="470" s="143" customFormat="1"/>
    <row r="471" s="143" customFormat="1"/>
    <row r="472" s="143" customFormat="1"/>
    <row r="473" s="143" customFormat="1"/>
    <row r="474" s="143" customFormat="1"/>
    <row r="475" s="143" customFormat="1"/>
    <row r="476" s="143" customFormat="1"/>
    <row r="477" s="143" customFormat="1"/>
    <row r="478" s="143" customFormat="1"/>
    <row r="479" s="143" customFormat="1"/>
    <row r="480" s="143" customFormat="1"/>
    <row r="481" s="143" customFormat="1"/>
    <row r="482" s="143" customFormat="1"/>
    <row r="483" s="143" customFormat="1"/>
    <row r="484" s="143" customFormat="1"/>
    <row r="485" s="143" customFormat="1"/>
    <row r="486" s="143" customFormat="1"/>
    <row r="487" s="143" customFormat="1"/>
    <row r="488" s="143" customFormat="1"/>
    <row r="489" s="143" customFormat="1"/>
    <row r="490" s="143" customFormat="1"/>
    <row r="491" s="143" customFormat="1"/>
    <row r="492" s="143" customFormat="1"/>
    <row r="493" s="143" customFormat="1"/>
    <row r="494" s="143" customFormat="1"/>
    <row r="495" s="143" customFormat="1"/>
    <row r="496" s="143" customFormat="1"/>
    <row r="497" s="143" customFormat="1"/>
    <row r="498" s="143" customFormat="1"/>
    <row r="499" s="143" customFormat="1"/>
    <row r="500" s="143" customFormat="1"/>
    <row r="501" s="143" customFormat="1"/>
    <row r="502" s="143" customFormat="1"/>
    <row r="503" s="143" customFormat="1"/>
    <row r="504" s="143" customFormat="1"/>
    <row r="505" s="143" customFormat="1"/>
    <row r="506" s="143" customFormat="1"/>
    <row r="507" s="143" customFormat="1"/>
    <row r="508" s="143" customFormat="1"/>
    <row r="509" s="143" customFormat="1"/>
    <row r="510" s="143" customFormat="1"/>
    <row r="511" s="143" customFormat="1"/>
    <row r="512" s="143" customFormat="1"/>
    <row r="513" s="143" customFormat="1"/>
    <row r="514" s="143" customFormat="1"/>
    <row r="515" s="143" customFormat="1"/>
    <row r="516" s="143" customFormat="1"/>
    <row r="517" s="143" customFormat="1"/>
    <row r="518" s="143" customFormat="1"/>
    <row r="519" s="143" customFormat="1"/>
    <row r="520" s="143" customFormat="1"/>
    <row r="521" s="143" customFormat="1"/>
    <row r="522" s="143" customFormat="1"/>
    <row r="523" s="143" customFormat="1"/>
    <row r="524" s="143" customFormat="1"/>
    <row r="525" s="143" customFormat="1"/>
    <row r="526" s="143" customFormat="1"/>
    <row r="527" s="143" customFormat="1"/>
    <row r="528" s="143" customFormat="1"/>
    <row r="529" s="143" customFormat="1"/>
    <row r="530" s="143" customFormat="1"/>
    <row r="531" s="143" customFormat="1"/>
    <row r="532" s="143" customFormat="1"/>
    <row r="533" s="143" customFormat="1"/>
    <row r="534" s="143" customFormat="1"/>
    <row r="535" s="143" customFormat="1"/>
    <row r="536" s="143" customFormat="1"/>
    <row r="537" s="143" customFormat="1"/>
    <row r="538" s="143" customFormat="1"/>
    <row r="539" s="143" customFormat="1"/>
    <row r="540" s="143" customFormat="1"/>
    <row r="541" s="143" customFormat="1"/>
    <row r="542" s="143" customFormat="1"/>
    <row r="543" s="143" customFormat="1"/>
    <row r="544" s="143" customFormat="1"/>
    <row r="545" s="143" customFormat="1"/>
    <row r="546" s="143" customFormat="1"/>
    <row r="547" s="143" customFormat="1"/>
    <row r="548" s="143" customFormat="1"/>
    <row r="549" s="143" customFormat="1"/>
    <row r="550" s="143" customFormat="1"/>
    <row r="551" s="143" customFormat="1"/>
    <row r="552" s="143" customFormat="1"/>
    <row r="553" s="143" customFormat="1"/>
    <row r="554" s="143" customFormat="1"/>
    <row r="555" s="143" customFormat="1"/>
    <row r="556" s="143" customFormat="1"/>
    <row r="557" s="143" customFormat="1"/>
    <row r="558" s="143" customFormat="1"/>
    <row r="559" s="143" customFormat="1"/>
    <row r="560" s="143" customFormat="1"/>
    <row r="561" s="143" customFormat="1"/>
    <row r="562" s="143" customFormat="1"/>
    <row r="563" s="143" customFormat="1"/>
    <row r="564" s="143" customFormat="1"/>
    <row r="565" s="143" customFormat="1"/>
    <row r="566" s="143" customFormat="1"/>
    <row r="567" s="143" customFormat="1"/>
    <row r="568" s="143" customFormat="1"/>
    <row r="569" s="143" customFormat="1"/>
    <row r="570" s="143" customFormat="1"/>
    <row r="571" s="143" customFormat="1"/>
    <row r="572" s="143" customFormat="1"/>
    <row r="573" s="143" customFormat="1"/>
    <row r="574" s="143" customFormat="1"/>
    <row r="575" s="143" customFormat="1"/>
    <row r="576" s="143" customFormat="1"/>
    <row r="577" s="143" customFormat="1"/>
    <row r="578" s="143" customFormat="1"/>
    <row r="579" s="143" customFormat="1"/>
    <row r="580" s="143" customFormat="1"/>
    <row r="581" s="143" customFormat="1"/>
    <row r="582" s="143" customFormat="1"/>
    <row r="583" s="143" customFormat="1"/>
    <row r="584" s="143" customFormat="1"/>
    <row r="585" s="143" customFormat="1"/>
    <row r="586" s="143" customFormat="1"/>
    <row r="587" s="143" customFormat="1"/>
    <row r="588" s="143" customFormat="1"/>
    <row r="589" s="143" customFormat="1"/>
    <row r="590" s="143" customFormat="1"/>
    <row r="591" s="143" customFormat="1"/>
    <row r="592" s="143" customFormat="1"/>
    <row r="593" s="143" customFormat="1"/>
    <row r="594" s="143" customFormat="1"/>
    <row r="595" s="143" customFormat="1"/>
    <row r="596" s="143" customFormat="1"/>
    <row r="597" s="143" customFormat="1"/>
    <row r="598" s="143" customFormat="1"/>
    <row r="599" s="143" customFormat="1"/>
    <row r="600" s="143" customFormat="1"/>
    <row r="601" s="143" customFormat="1"/>
    <row r="602" s="143" customFormat="1"/>
    <row r="603" s="143" customFormat="1"/>
    <row r="604" s="143" customFormat="1"/>
    <row r="605" s="143" customFormat="1"/>
    <row r="606" s="143" customFormat="1"/>
    <row r="607" s="143" customFormat="1"/>
    <row r="608" s="143" customFormat="1"/>
    <row r="609" s="143" customFormat="1"/>
    <row r="610" s="143" customFormat="1"/>
    <row r="611" s="143" customFormat="1"/>
    <row r="612" s="143" customFormat="1"/>
    <row r="613" s="143" customFormat="1"/>
    <row r="614" s="143" customFormat="1"/>
    <row r="615" s="143" customFormat="1"/>
    <row r="616" s="143" customFormat="1"/>
    <row r="617" s="143" customFormat="1"/>
    <row r="618" s="143" customFormat="1"/>
    <row r="619" s="143" customFormat="1"/>
    <row r="620" s="143" customFormat="1"/>
    <row r="621" s="143" customFormat="1"/>
    <row r="622" s="143" customFormat="1"/>
    <row r="623" s="143" customFormat="1"/>
    <row r="624" s="143" customFormat="1"/>
    <row r="625" s="143" customFormat="1"/>
    <row r="626" s="143" customFormat="1"/>
    <row r="627" s="143" customFormat="1"/>
    <row r="628" s="143" customFormat="1"/>
    <row r="629" s="143" customFormat="1"/>
    <row r="630" s="143" customFormat="1"/>
    <row r="631" s="143" customFormat="1"/>
    <row r="632" s="143" customFormat="1"/>
    <row r="633" s="143" customFormat="1"/>
    <row r="634" s="143" customFormat="1"/>
    <row r="635" s="143" customFormat="1"/>
    <row r="636" s="143" customFormat="1"/>
    <row r="637" s="143" customFormat="1"/>
    <row r="638" s="143" customFormat="1"/>
    <row r="639" s="143" customFormat="1"/>
    <row r="640" s="143" customFormat="1"/>
    <row r="641" s="143" customFormat="1"/>
    <row r="642" s="143" customFormat="1"/>
    <row r="643" s="143" customFormat="1"/>
    <row r="644" s="143" customFormat="1"/>
    <row r="645" s="143" customFormat="1"/>
    <row r="646" s="143" customFormat="1"/>
    <row r="647" s="143" customFormat="1"/>
    <row r="648" s="143" customFormat="1"/>
    <row r="649" s="143" customFormat="1"/>
    <row r="650" s="143" customFormat="1"/>
    <row r="651" s="143" customFormat="1"/>
    <row r="652" s="143" customFormat="1"/>
    <row r="653" s="143" customFormat="1"/>
    <row r="654" s="143" customFormat="1"/>
    <row r="655" s="143" customFormat="1"/>
    <row r="656" s="143" customFormat="1"/>
    <row r="657" s="143" customFormat="1"/>
    <row r="658" s="143" customFormat="1"/>
    <row r="659" s="143" customFormat="1"/>
    <row r="660" s="143" customFormat="1"/>
    <row r="661" s="143" customFormat="1"/>
    <row r="662" s="143" customFormat="1"/>
    <row r="663" s="143" customFormat="1"/>
    <row r="664" s="143" customFormat="1"/>
    <row r="665" s="143" customFormat="1"/>
    <row r="666" s="143" customFormat="1"/>
    <row r="667" s="143" customFormat="1"/>
    <row r="668" s="143" customFormat="1"/>
    <row r="669" s="143" customFormat="1"/>
    <row r="670" s="143" customFormat="1"/>
    <row r="671" s="143" customFormat="1"/>
    <row r="672" s="143" customFormat="1"/>
    <row r="673" s="143" customFormat="1"/>
    <row r="674" s="143" customFormat="1"/>
    <row r="675" s="143" customFormat="1"/>
    <row r="676" s="143" customFormat="1"/>
    <row r="677" s="143" customFormat="1"/>
    <row r="678" s="143" customFormat="1"/>
    <row r="679" s="143" customFormat="1"/>
    <row r="680" s="143" customFormat="1"/>
    <row r="681" s="143" customFormat="1"/>
    <row r="682" s="143" customFormat="1"/>
    <row r="683" s="143" customFormat="1"/>
    <row r="684" s="143" customFormat="1"/>
    <row r="685" s="143" customFormat="1"/>
    <row r="686" s="143" customFormat="1"/>
    <row r="687" s="143" customFormat="1"/>
    <row r="688" s="143" customFormat="1"/>
    <row r="689" s="143" customFormat="1"/>
    <row r="690" s="143" customFormat="1"/>
    <row r="691" s="143" customFormat="1"/>
    <row r="692" s="143" customFormat="1"/>
    <row r="693" s="143" customFormat="1"/>
    <row r="694" s="143" customFormat="1"/>
    <row r="695" s="143" customFormat="1"/>
    <row r="696" s="143" customFormat="1"/>
    <row r="697" s="143" customFormat="1"/>
    <row r="698" s="143" customFormat="1"/>
    <row r="699" s="143" customFormat="1"/>
    <row r="700" s="143" customFormat="1"/>
    <row r="701" s="143" customFormat="1"/>
    <row r="702" s="143" customFormat="1"/>
    <row r="703" s="143" customFormat="1"/>
    <row r="704" s="143" customFormat="1"/>
    <row r="705" s="143" customFormat="1"/>
    <row r="706" s="143" customFormat="1"/>
    <row r="707" s="143" customFormat="1"/>
    <row r="708" s="143" customFormat="1"/>
    <row r="709" s="143" customFormat="1"/>
    <row r="710" s="143" customFormat="1"/>
    <row r="711" s="143" customFormat="1"/>
    <row r="712" s="143" customFormat="1"/>
    <row r="713" s="143" customFormat="1"/>
    <row r="714" s="143" customFormat="1"/>
    <row r="715" s="143" customFormat="1"/>
    <row r="716" s="143" customFormat="1"/>
    <row r="717" s="143" customFormat="1"/>
    <row r="718" s="143" customFormat="1"/>
    <row r="719" s="143" customFormat="1"/>
    <row r="720" s="143" customFormat="1"/>
    <row r="721" s="143" customFormat="1"/>
    <row r="722" s="143" customFormat="1"/>
    <row r="723" s="143" customFormat="1"/>
    <row r="724" s="143" customFormat="1"/>
    <row r="725" s="143" customFormat="1"/>
    <row r="726" s="143" customFormat="1"/>
    <row r="727" s="143" customFormat="1"/>
    <row r="728" s="143" customFormat="1"/>
    <row r="729" s="143" customFormat="1"/>
    <row r="730" s="143" customFormat="1"/>
    <row r="731" s="143" customFormat="1"/>
    <row r="732" s="143" customFormat="1"/>
    <row r="733" s="143" customFormat="1"/>
    <row r="734" s="143" customFormat="1"/>
    <row r="735" s="143" customFormat="1"/>
    <row r="736" s="143" customFormat="1"/>
    <row r="737" s="143" customFormat="1"/>
    <row r="738" s="143" customFormat="1"/>
    <row r="739" s="143" customFormat="1"/>
    <row r="740" s="143" customFormat="1"/>
    <row r="741" s="143" customFormat="1"/>
    <row r="742" s="143" customFormat="1"/>
    <row r="743" s="143" customFormat="1"/>
    <row r="744" s="143" customFormat="1"/>
    <row r="745" s="143" customFormat="1"/>
    <row r="746" s="143" customFormat="1"/>
    <row r="747" s="143" customFormat="1"/>
    <row r="748" s="143" customFormat="1"/>
    <row r="749" s="143" customFormat="1"/>
    <row r="750" s="143" customFormat="1"/>
    <row r="751" s="143" customFormat="1"/>
    <row r="752" s="143" customFormat="1"/>
    <row r="753" s="143" customFormat="1"/>
    <row r="754" s="143" customFormat="1"/>
    <row r="755" s="143" customFormat="1"/>
  </sheetData>
  <mergeCells count="18">
    <mergeCell ref="BV3:BZ3"/>
    <mergeCell ref="CA3:CE3"/>
    <mergeCell ref="BQ2:BU2"/>
    <mergeCell ref="BV2:BZ2"/>
    <mergeCell ref="CA2:CE2"/>
    <mergeCell ref="BL3:BP3"/>
    <mergeCell ref="BQ3:BU3"/>
    <mergeCell ref="AM2:AQ2"/>
    <mergeCell ref="AR2:AV2"/>
    <mergeCell ref="AW2:BA2"/>
    <mergeCell ref="BB2:BF2"/>
    <mergeCell ref="BG2:BK2"/>
    <mergeCell ref="BL2:BP2"/>
    <mergeCell ref="AM3:AQ3"/>
    <mergeCell ref="AR3:AV3"/>
    <mergeCell ref="AW3:BA3"/>
    <mergeCell ref="BB3:BF3"/>
    <mergeCell ref="BG3:BK3"/>
  </mergeCells>
  <pageMargins left="0.7" right="0.7" top="0.75" bottom="0.75" header="0.3" footer="0.3"/>
  <pageSetup paperSize="9" scale="46" orientation="portrait"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E19"/>
  <sheetViews>
    <sheetView showGridLines="0" zoomScale="70" zoomScaleNormal="70" zoomScaleSheetLayoutView="70" workbookViewId="0">
      <pane xSplit="2" topLeftCell="AY1" activePane="topRight" state="frozen"/>
      <selection pane="topRight" activeCell="CE4" sqref="CE4"/>
    </sheetView>
  </sheetViews>
  <sheetFormatPr defaultColWidth="9" defaultRowHeight="12" outlineLevelCol="1"/>
  <cols>
    <col min="1" max="2" width="35.09765625" style="420" customWidth="1"/>
    <col min="3" max="6" width="8.59765625" style="420" customWidth="1"/>
    <col min="7" max="10" width="8.59765625" style="420" hidden="1" customWidth="1" outlineLevel="1"/>
    <col min="11" max="11" width="8.59765625" style="420" customWidth="1" collapsed="1"/>
    <col min="12" max="15" width="8.59765625" style="420" hidden="1" customWidth="1" outlineLevel="1"/>
    <col min="16" max="16" width="8.59765625" style="420" customWidth="1" collapsed="1"/>
    <col min="17" max="20" width="8.59765625" style="420" hidden="1" customWidth="1" outlineLevel="1"/>
    <col min="21" max="21" width="8.59765625" style="420" customWidth="1" collapsed="1"/>
    <col min="22" max="25" width="8.59765625" style="420" hidden="1" customWidth="1" outlineLevel="1"/>
    <col min="26" max="26" width="8.59765625" style="420" customWidth="1" collapsed="1"/>
    <col min="27" max="30" width="8.59765625" style="420" hidden="1" customWidth="1" outlineLevel="1"/>
    <col min="31" max="31" width="8.59765625" style="420" customWidth="1" collapsed="1"/>
    <col min="32" max="35" width="8.59765625" style="420" hidden="1" customWidth="1" outlineLevel="1"/>
    <col min="36" max="36" width="8.59765625" style="420" customWidth="1" collapsed="1"/>
    <col min="37" max="40" width="8.59765625" style="420" hidden="1" customWidth="1" outlineLevel="1"/>
    <col min="41" max="41" width="8.59765625" style="420" customWidth="1" collapsed="1"/>
    <col min="42" max="45" width="8.59765625" style="420" hidden="1" customWidth="1" outlineLevel="1"/>
    <col min="46" max="46" width="8.59765625" style="420" customWidth="1" collapsed="1"/>
    <col min="47" max="50" width="8.59765625" style="420" hidden="1" customWidth="1" outlineLevel="1"/>
    <col min="51" max="51" width="8.59765625" style="420" customWidth="1" collapsed="1"/>
    <col min="52" max="55" width="8.59765625" style="420" hidden="1" customWidth="1" outlineLevel="1"/>
    <col min="56" max="56" width="8.59765625" style="420" customWidth="1" collapsed="1"/>
    <col min="57" max="60" width="8.59765625" style="420" hidden="1" customWidth="1" outlineLevel="1"/>
    <col min="61" max="61" width="8.59765625" style="420" customWidth="1" collapsed="1"/>
    <col min="62" max="62" width="8.59765625" style="420" hidden="1" customWidth="1" outlineLevel="1"/>
    <col min="63" max="65" width="0" style="420" hidden="1" customWidth="1" outlineLevel="1"/>
    <col min="66" max="66" width="8.59765625" style="420" customWidth="1" collapsed="1"/>
    <col min="67" max="67" width="8.59765625" style="420" hidden="1" customWidth="1" outlineLevel="1"/>
    <col min="68" max="70" width="0" style="420" hidden="1" customWidth="1" outlineLevel="1"/>
    <col min="71" max="71" width="8.59765625" style="420" customWidth="1" collapsed="1"/>
    <col min="72" max="75" width="0" style="420" hidden="1" customWidth="1" outlineLevel="1"/>
    <col min="76" max="76" width="8.59765625" style="420" customWidth="1" collapsed="1"/>
    <col min="77" max="80" width="0" style="420" hidden="1" customWidth="1" outlineLevel="1"/>
    <col min="81" max="81" width="9" style="420" collapsed="1"/>
    <col min="82" max="16384" width="9" style="420"/>
  </cols>
  <sheetData>
    <row r="1" spans="1:83" ht="94.5" customHeight="1">
      <c r="A1" s="419"/>
      <c r="B1" s="419"/>
      <c r="AP1" s="450"/>
      <c r="AQ1" s="450"/>
      <c r="AR1" s="450"/>
      <c r="AS1" s="450"/>
      <c r="AT1" s="451"/>
      <c r="AU1" s="450"/>
      <c r="AV1" s="450"/>
      <c r="AW1" s="450"/>
      <c r="AX1" s="450"/>
      <c r="AY1" s="451"/>
      <c r="AZ1" s="450"/>
      <c r="BA1" s="450"/>
      <c r="BB1" s="450"/>
      <c r="BC1" s="450"/>
      <c r="BD1" s="451"/>
      <c r="BE1" s="450"/>
      <c r="BF1" s="450"/>
      <c r="BG1" s="450"/>
      <c r="BH1" s="450"/>
      <c r="BI1" s="451"/>
      <c r="BJ1" s="450"/>
      <c r="BK1" s="450"/>
      <c r="BL1" s="450"/>
      <c r="BM1" s="450"/>
      <c r="BN1" s="451"/>
      <c r="BO1" s="450"/>
      <c r="BP1" s="450"/>
      <c r="BQ1" s="450"/>
      <c r="BR1" s="450"/>
      <c r="BS1" s="451"/>
      <c r="BX1" s="451"/>
    </row>
    <row r="2" spans="1:83" s="425" customFormat="1" ht="57">
      <c r="A2" s="426" t="s">
        <v>484</v>
      </c>
      <c r="B2" s="421" t="s">
        <v>485</v>
      </c>
      <c r="C2" s="422">
        <v>2006</v>
      </c>
      <c r="D2" s="422">
        <v>2007</v>
      </c>
      <c r="E2" s="422">
        <v>2008</v>
      </c>
      <c r="F2" s="422">
        <v>2009</v>
      </c>
      <c r="G2" s="423" t="s">
        <v>486</v>
      </c>
      <c r="H2" s="423" t="s">
        <v>487</v>
      </c>
      <c r="I2" s="423" t="s">
        <v>488</v>
      </c>
      <c r="J2" s="423" t="s">
        <v>489</v>
      </c>
      <c r="K2" s="422">
        <v>2010</v>
      </c>
      <c r="L2" s="423" t="s">
        <v>490</v>
      </c>
      <c r="M2" s="423" t="s">
        <v>491</v>
      </c>
      <c r="N2" s="423" t="s">
        <v>492</v>
      </c>
      <c r="O2" s="423" t="s">
        <v>493</v>
      </c>
      <c r="P2" s="422">
        <v>2011</v>
      </c>
      <c r="Q2" s="423" t="s">
        <v>494</v>
      </c>
      <c r="R2" s="423" t="s">
        <v>495</v>
      </c>
      <c r="S2" s="423" t="s">
        <v>496</v>
      </c>
      <c r="T2" s="423" t="s">
        <v>497</v>
      </c>
      <c r="U2" s="422">
        <v>2012</v>
      </c>
      <c r="V2" s="423" t="s">
        <v>498</v>
      </c>
      <c r="W2" s="423" t="s">
        <v>499</v>
      </c>
      <c r="X2" s="423" t="s">
        <v>500</v>
      </c>
      <c r="Y2" s="423" t="s">
        <v>501</v>
      </c>
      <c r="Z2" s="422">
        <v>2013</v>
      </c>
      <c r="AA2" s="423" t="s">
        <v>502</v>
      </c>
      <c r="AB2" s="423" t="s">
        <v>503</v>
      </c>
      <c r="AC2" s="423" t="s">
        <v>504</v>
      </c>
      <c r="AD2" s="423" t="s">
        <v>505</v>
      </c>
      <c r="AE2" s="422">
        <v>2014</v>
      </c>
      <c r="AF2" s="423" t="s">
        <v>506</v>
      </c>
      <c r="AG2" s="423" t="s">
        <v>507</v>
      </c>
      <c r="AH2" s="423" t="s">
        <v>508</v>
      </c>
      <c r="AI2" s="423" t="s">
        <v>509</v>
      </c>
      <c r="AJ2" s="422">
        <v>2015</v>
      </c>
      <c r="AK2" s="423" t="s">
        <v>510</v>
      </c>
      <c r="AL2" s="423" t="s">
        <v>511</v>
      </c>
      <c r="AM2" s="423" t="s">
        <v>512</v>
      </c>
      <c r="AN2" s="423" t="s">
        <v>513</v>
      </c>
      <c r="AO2" s="422">
        <v>2016</v>
      </c>
      <c r="AP2" s="428" t="s">
        <v>514</v>
      </c>
      <c r="AQ2" s="428" t="s">
        <v>515</v>
      </c>
      <c r="AR2" s="428" t="s">
        <v>516</v>
      </c>
      <c r="AS2" s="428" t="s">
        <v>517</v>
      </c>
      <c r="AT2" s="429" t="s">
        <v>518</v>
      </c>
      <c r="AU2" s="428" t="s">
        <v>519</v>
      </c>
      <c r="AV2" s="428" t="s">
        <v>520</v>
      </c>
      <c r="AW2" s="428" t="s">
        <v>521</v>
      </c>
      <c r="AX2" s="428" t="s">
        <v>522</v>
      </c>
      <c r="AY2" s="429" t="s">
        <v>523</v>
      </c>
      <c r="AZ2" s="428" t="s">
        <v>524</v>
      </c>
      <c r="BA2" s="428" t="s">
        <v>525</v>
      </c>
      <c r="BB2" s="428" t="s">
        <v>526</v>
      </c>
      <c r="BC2" s="428" t="s">
        <v>526</v>
      </c>
      <c r="BD2" s="429" t="s">
        <v>527</v>
      </c>
      <c r="BE2" s="428" t="s">
        <v>528</v>
      </c>
      <c r="BF2" s="428" t="s">
        <v>529</v>
      </c>
      <c r="BG2" s="428" t="s">
        <v>530</v>
      </c>
      <c r="BH2" s="428" t="s">
        <v>531</v>
      </c>
      <c r="BI2" s="429" t="s">
        <v>532</v>
      </c>
      <c r="BJ2" s="428" t="s">
        <v>533</v>
      </c>
      <c r="BK2" s="428" t="s">
        <v>534</v>
      </c>
      <c r="BL2" s="428" t="s">
        <v>535</v>
      </c>
      <c r="BM2" s="428" t="s">
        <v>536</v>
      </c>
      <c r="BN2" s="429" t="s">
        <v>537</v>
      </c>
      <c r="BO2" s="428" t="s">
        <v>538</v>
      </c>
      <c r="BP2" s="428" t="s">
        <v>539</v>
      </c>
      <c r="BQ2" s="428" t="s">
        <v>540</v>
      </c>
      <c r="BR2" s="428" t="s">
        <v>541</v>
      </c>
      <c r="BS2" s="429" t="s">
        <v>542</v>
      </c>
      <c r="BT2" s="428" t="s">
        <v>543</v>
      </c>
      <c r="BU2" s="428" t="s">
        <v>544</v>
      </c>
      <c r="BV2" s="428" t="s">
        <v>545</v>
      </c>
      <c r="BW2" s="428" t="s">
        <v>546</v>
      </c>
      <c r="BX2" s="429" t="s">
        <v>547</v>
      </c>
      <c r="BY2" s="428" t="s">
        <v>548</v>
      </c>
      <c r="BZ2" s="428" t="s">
        <v>549</v>
      </c>
      <c r="CA2" s="428" t="s">
        <v>769</v>
      </c>
      <c r="CB2" s="428" t="s">
        <v>771</v>
      </c>
      <c r="CC2" s="429" t="s">
        <v>774</v>
      </c>
      <c r="CD2" s="428" t="s">
        <v>784</v>
      </c>
      <c r="CE2" s="428" t="s">
        <v>809</v>
      </c>
    </row>
    <row r="3" spans="1:83" s="430" customFormat="1" ht="43.2">
      <c r="A3" s="426" t="s">
        <v>484</v>
      </c>
      <c r="B3" s="421" t="s">
        <v>485</v>
      </c>
      <c r="C3" s="427">
        <v>2006</v>
      </c>
      <c r="D3" s="427">
        <v>2007</v>
      </c>
      <c r="E3" s="427">
        <v>2008</v>
      </c>
      <c r="F3" s="427">
        <v>2009</v>
      </c>
      <c r="G3" s="428" t="s">
        <v>486</v>
      </c>
      <c r="H3" s="428" t="s">
        <v>487</v>
      </c>
      <c r="I3" s="428" t="s">
        <v>488</v>
      </c>
      <c r="J3" s="428" t="s">
        <v>489</v>
      </c>
      <c r="K3" s="427">
        <v>2010</v>
      </c>
      <c r="L3" s="428" t="s">
        <v>490</v>
      </c>
      <c r="M3" s="428" t="s">
        <v>491</v>
      </c>
      <c r="N3" s="428" t="s">
        <v>492</v>
      </c>
      <c r="O3" s="428" t="s">
        <v>493</v>
      </c>
      <c r="P3" s="427">
        <v>2011</v>
      </c>
      <c r="Q3" s="428" t="s">
        <v>494</v>
      </c>
      <c r="R3" s="428" t="s">
        <v>495</v>
      </c>
      <c r="S3" s="428" t="s">
        <v>496</v>
      </c>
      <c r="T3" s="428" t="s">
        <v>497</v>
      </c>
      <c r="U3" s="427">
        <v>2012</v>
      </c>
      <c r="V3" s="428" t="s">
        <v>498</v>
      </c>
      <c r="W3" s="428" t="s">
        <v>499</v>
      </c>
      <c r="X3" s="428" t="s">
        <v>500</v>
      </c>
      <c r="Y3" s="428" t="s">
        <v>501</v>
      </c>
      <c r="Z3" s="427">
        <v>2013</v>
      </c>
      <c r="AA3" s="428" t="s">
        <v>502</v>
      </c>
      <c r="AB3" s="428" t="s">
        <v>503</v>
      </c>
      <c r="AC3" s="428" t="s">
        <v>504</v>
      </c>
      <c r="AD3" s="428" t="s">
        <v>505</v>
      </c>
      <c r="AE3" s="427">
        <v>2014</v>
      </c>
      <c r="AF3" s="428" t="s">
        <v>506</v>
      </c>
      <c r="AG3" s="428" t="s">
        <v>507</v>
      </c>
      <c r="AH3" s="428" t="s">
        <v>508</v>
      </c>
      <c r="AI3" s="428" t="s">
        <v>509</v>
      </c>
      <c r="AJ3" s="427">
        <v>2015</v>
      </c>
      <c r="AK3" s="428" t="s">
        <v>510</v>
      </c>
      <c r="AL3" s="428" t="s">
        <v>511</v>
      </c>
      <c r="AM3" s="428" t="s">
        <v>512</v>
      </c>
      <c r="AN3" s="428" t="s">
        <v>513</v>
      </c>
      <c r="AO3" s="427">
        <v>2016</v>
      </c>
      <c r="AP3" s="423" t="s">
        <v>550</v>
      </c>
      <c r="AQ3" s="423" t="s">
        <v>551</v>
      </c>
      <c r="AR3" s="423" t="s">
        <v>552</v>
      </c>
      <c r="AS3" s="423" t="s">
        <v>553</v>
      </c>
      <c r="AT3" s="424" t="s">
        <v>554</v>
      </c>
      <c r="AU3" s="423" t="s">
        <v>555</v>
      </c>
      <c r="AV3" s="423" t="s">
        <v>556</v>
      </c>
      <c r="AW3" s="423" t="s">
        <v>557</v>
      </c>
      <c r="AX3" s="423" t="s">
        <v>558</v>
      </c>
      <c r="AY3" s="424" t="s">
        <v>559</v>
      </c>
      <c r="AZ3" s="423" t="s">
        <v>560</v>
      </c>
      <c r="BA3" s="423" t="s">
        <v>561</v>
      </c>
      <c r="BB3" s="423" t="s">
        <v>562</v>
      </c>
      <c r="BC3" s="423" t="s">
        <v>563</v>
      </c>
      <c r="BD3" s="424" t="s">
        <v>564</v>
      </c>
      <c r="BE3" s="423" t="s">
        <v>565</v>
      </c>
      <c r="BF3" s="423" t="s">
        <v>566</v>
      </c>
      <c r="BG3" s="423" t="s">
        <v>567</v>
      </c>
      <c r="BH3" s="423" t="s">
        <v>568</v>
      </c>
      <c r="BI3" s="424" t="s">
        <v>569</v>
      </c>
      <c r="BJ3" s="423" t="s">
        <v>570</v>
      </c>
      <c r="BK3" s="423" t="s">
        <v>571</v>
      </c>
      <c r="BL3" s="423" t="s">
        <v>572</v>
      </c>
      <c r="BM3" s="423" t="s">
        <v>573</v>
      </c>
      <c r="BN3" s="424" t="s">
        <v>574</v>
      </c>
      <c r="BO3" s="423" t="s">
        <v>575</v>
      </c>
      <c r="BP3" s="423" t="s">
        <v>576</v>
      </c>
      <c r="BQ3" s="423" t="s">
        <v>577</v>
      </c>
      <c r="BR3" s="423" t="s">
        <v>578</v>
      </c>
      <c r="BS3" s="424" t="s">
        <v>579</v>
      </c>
      <c r="BT3" s="423" t="s">
        <v>580</v>
      </c>
      <c r="BU3" s="423" t="s">
        <v>581</v>
      </c>
      <c r="BV3" s="423" t="s">
        <v>582</v>
      </c>
      <c r="BW3" s="423" t="s">
        <v>583</v>
      </c>
      <c r="BX3" s="424" t="s">
        <v>773</v>
      </c>
      <c r="BY3" s="423" t="s">
        <v>584</v>
      </c>
      <c r="BZ3" s="423" t="s">
        <v>585</v>
      </c>
      <c r="CA3" s="423" t="s">
        <v>770</v>
      </c>
      <c r="CB3" s="423" t="s">
        <v>772</v>
      </c>
      <c r="CC3" s="424" t="s">
        <v>775</v>
      </c>
      <c r="CD3" s="423" t="s">
        <v>785</v>
      </c>
      <c r="CE3" s="423" t="s">
        <v>810</v>
      </c>
    </row>
    <row r="4" spans="1:83" s="434" customFormat="1" ht="24" customHeight="1">
      <c r="A4" s="431" t="s">
        <v>586</v>
      </c>
      <c r="B4" s="431" t="s">
        <v>587</v>
      </c>
      <c r="C4" s="432">
        <v>0.155</v>
      </c>
      <c r="D4" s="432">
        <v>0.21099999999999999</v>
      </c>
      <c r="E4" s="432">
        <v>0.317</v>
      </c>
      <c r="F4" s="432">
        <v>0.251</v>
      </c>
      <c r="G4" s="433">
        <v>0.32900000000000001</v>
      </c>
      <c r="H4" s="433">
        <v>0.29499999999999998</v>
      </c>
      <c r="I4" s="433">
        <v>0.28499999999999998</v>
      </c>
      <c r="J4" s="433">
        <v>0.191</v>
      </c>
      <c r="K4" s="432">
        <v>0.27500000000000002</v>
      </c>
      <c r="L4" s="433">
        <v>0.30870278738464518</v>
      </c>
      <c r="M4" s="433">
        <v>0.34613505621374752</v>
      </c>
      <c r="N4" s="433">
        <v>0.31878501150261895</v>
      </c>
      <c r="O4" s="433">
        <v>0.27406013939927337</v>
      </c>
      <c r="P4" s="432">
        <v>0.31073681541046316</v>
      </c>
      <c r="Q4" s="433">
        <v>0.38466527099742531</v>
      </c>
      <c r="R4" s="433">
        <v>0.3779041668709594</v>
      </c>
      <c r="S4" s="433">
        <v>0.4001250502295432</v>
      </c>
      <c r="T4" s="433">
        <v>0.32927622113037824</v>
      </c>
      <c r="U4" s="432">
        <v>0.37154971807437509</v>
      </c>
      <c r="V4" s="433">
        <v>0.3519157165072388</v>
      </c>
      <c r="W4" s="433">
        <v>0.34957890245592677</v>
      </c>
      <c r="X4" s="433">
        <v>0.3961214215056621</v>
      </c>
      <c r="Y4" s="433">
        <v>0.34405245121739447</v>
      </c>
      <c r="Z4" s="432">
        <v>0.35944885852796471</v>
      </c>
      <c r="AA4" s="433">
        <v>0.38927182921261261</v>
      </c>
      <c r="AB4" s="433">
        <v>0.40603700097370976</v>
      </c>
      <c r="AC4" s="433">
        <v>0.37613655149611497</v>
      </c>
      <c r="AD4" s="433">
        <v>0.33211693308476481</v>
      </c>
      <c r="AE4" s="432">
        <v>0.36954614772129168</v>
      </c>
      <c r="AF4" s="433">
        <v>0.38497209102619145</v>
      </c>
      <c r="AG4" s="433">
        <v>0.39567471245747615</v>
      </c>
      <c r="AH4" s="433">
        <v>0.3852747525777464</v>
      </c>
      <c r="AI4" s="433">
        <v>0.33759914172956829</v>
      </c>
      <c r="AJ4" s="432">
        <v>0.37515015779293487</v>
      </c>
      <c r="AK4" s="433">
        <v>0.35807952622673433</v>
      </c>
      <c r="AL4" s="433">
        <v>0.3827418232428671</v>
      </c>
      <c r="AM4" s="433">
        <v>0.4007873356227491</v>
      </c>
      <c r="AN4" s="433">
        <v>0.35592284328034396</v>
      </c>
      <c r="AO4" s="432">
        <v>0.37419063084544396</v>
      </c>
      <c r="AP4" s="433">
        <v>0.38914008205643491</v>
      </c>
      <c r="AQ4" s="433">
        <v>0.39017773998947319</v>
      </c>
      <c r="AR4" s="433">
        <v>0.35597473754653058</v>
      </c>
      <c r="AS4" s="433">
        <v>0.33836073200992561</v>
      </c>
      <c r="AT4" s="432">
        <v>0.36800765114054906</v>
      </c>
      <c r="AU4" s="433">
        <v>0.37938531054179631</v>
      </c>
      <c r="AV4" s="433">
        <v>0.36355255070682235</v>
      </c>
      <c r="AW4" s="433">
        <v>0.33638025594149901</v>
      </c>
      <c r="AX4" s="433">
        <v>0.31355762824783479</v>
      </c>
      <c r="AY4" s="432">
        <v>0.3460289535003418</v>
      </c>
      <c r="AZ4" s="433">
        <v>0.37193724029230529</v>
      </c>
      <c r="BA4" s="433">
        <v>0.36814916182004787</v>
      </c>
      <c r="BB4" s="433">
        <v>0.35282118655787575</v>
      </c>
      <c r="BC4" s="433">
        <v>0.34596461503372328</v>
      </c>
      <c r="BD4" s="432">
        <v>0.35942652084171944</v>
      </c>
      <c r="BE4" s="433">
        <v>0.36043139424960502</v>
      </c>
      <c r="BF4" s="433">
        <v>0.33534774862891703</v>
      </c>
      <c r="BG4" s="433">
        <v>0.35921425004161806</v>
      </c>
      <c r="BH4" s="433">
        <v>0.34673652177205838</v>
      </c>
      <c r="BI4" s="432">
        <v>0.35040486809552868</v>
      </c>
      <c r="BJ4" s="433">
        <v>0.36242217312713398</v>
      </c>
      <c r="BK4" s="433">
        <v>0.3610785834098173</v>
      </c>
      <c r="BL4" s="433">
        <v>1.5155513044625486</v>
      </c>
      <c r="BM4" s="433">
        <v>0.2698315467075037</v>
      </c>
      <c r="BN4" s="432">
        <v>0.61873995499839274</v>
      </c>
      <c r="BO4" s="433">
        <v>0.25667124250845413</v>
      </c>
      <c r="BP4" s="433">
        <v>0.27672624763792941</v>
      </c>
      <c r="BQ4" s="433">
        <v>0.29135711883579463</v>
      </c>
      <c r="BR4" s="433">
        <v>0.2502624212736177</v>
      </c>
      <c r="BS4" s="432">
        <v>0.2687665017459912</v>
      </c>
      <c r="BT4" s="433">
        <v>0.23792704654143107</v>
      </c>
      <c r="BU4" s="433">
        <v>0.24271992218371943</v>
      </c>
      <c r="BV4" s="433">
        <v>0.28787221112943845</v>
      </c>
      <c r="BW4" s="433">
        <v>0.18381094662501704</v>
      </c>
      <c r="BX4" s="432">
        <v>0.2371296683619179</v>
      </c>
      <c r="BY4" s="433">
        <f>'P&amp;L'!BV38</f>
        <v>0.27791454054059839</v>
      </c>
      <c r="BZ4" s="433">
        <f>'P&amp;L'!BW38</f>
        <v>0.25041252931129326</v>
      </c>
      <c r="CA4" s="433">
        <f>'P&amp;L'!BX38</f>
        <v>0.24763235088699534</v>
      </c>
      <c r="CB4" s="433">
        <f>'P&amp;L'!BY38</f>
        <v>0.19333176556661699</v>
      </c>
      <c r="CC4" s="432">
        <f>'P&amp;L'!BZ38</f>
        <v>0.24096614723999829</v>
      </c>
      <c r="CD4" s="433">
        <f>'P&amp;L'!CA38</f>
        <v>0.22919381338167816</v>
      </c>
      <c r="CE4" s="433">
        <f>'P&amp;L'!CB38</f>
        <v>0.22420900178253125</v>
      </c>
    </row>
    <row r="5" spans="1:83" s="434" customFormat="1" ht="24" customHeight="1">
      <c r="A5" s="431" t="s">
        <v>588</v>
      </c>
      <c r="B5" s="431" t="s">
        <v>589</v>
      </c>
      <c r="C5" s="432">
        <v>0.11600000000000001</v>
      </c>
      <c r="D5" s="432">
        <v>0.14399999999999999</v>
      </c>
      <c r="E5" s="432">
        <v>0.246</v>
      </c>
      <c r="F5" s="432">
        <v>0.182</v>
      </c>
      <c r="G5" s="433">
        <v>0.23</v>
      </c>
      <c r="H5" s="433">
        <v>0.182</v>
      </c>
      <c r="I5" s="433">
        <v>0.188</v>
      </c>
      <c r="J5" s="433">
        <v>9.8000000000000004E-2</v>
      </c>
      <c r="K5" s="432">
        <v>0.17399999999999999</v>
      </c>
      <c r="L5" s="433">
        <v>0.18967721753120198</v>
      </c>
      <c r="M5" s="433">
        <v>0.1105688210628496</v>
      </c>
      <c r="N5" s="433" t="s">
        <v>590</v>
      </c>
      <c r="O5" s="433">
        <v>0.10608165132384817</v>
      </c>
      <c r="P5" s="432">
        <v>6.7707133573549461E-2</v>
      </c>
      <c r="Q5" s="433">
        <v>0.30649285055729641</v>
      </c>
      <c r="R5" s="433">
        <v>0.13939020375571728</v>
      </c>
      <c r="S5" s="433">
        <v>0.266952761732768</v>
      </c>
      <c r="T5" s="433">
        <v>0.1620322508446396</v>
      </c>
      <c r="U5" s="432">
        <v>0.21535338337745638</v>
      </c>
      <c r="V5" s="433">
        <v>0.13643419081993929</v>
      </c>
      <c r="W5" s="433">
        <v>0.10971771925199814</v>
      </c>
      <c r="X5" s="433">
        <v>0.26051734065642024</v>
      </c>
      <c r="Y5" s="433">
        <v>0.21631129917457795</v>
      </c>
      <c r="Z5" s="432">
        <v>0.18051820848101818</v>
      </c>
      <c r="AA5" s="433">
        <v>0.13582744164810381</v>
      </c>
      <c r="AB5" s="433">
        <v>7.5662981843175381E-2</v>
      </c>
      <c r="AC5" s="433">
        <v>1.9920648040998381E-2</v>
      </c>
      <c r="AD5" s="433">
        <v>5.5531315695532789E-3</v>
      </c>
      <c r="AE5" s="432">
        <v>3.94742169260043E-2</v>
      </c>
      <c r="AF5" s="433">
        <v>7.3336195792185463E-2</v>
      </c>
      <c r="AG5" s="433">
        <v>0.12331929369836385</v>
      </c>
      <c r="AH5" s="433">
        <v>0.20808315044101192</v>
      </c>
      <c r="AI5" s="433">
        <v>7.111383577914876E-2</v>
      </c>
      <c r="AJ5" s="432">
        <v>0.11843632291560617</v>
      </c>
      <c r="AK5" s="433">
        <v>7.5507614213197988E-2</v>
      </c>
      <c r="AL5" s="433">
        <v>9.4518809611527338E-2</v>
      </c>
      <c r="AM5" s="433">
        <v>0.11299103777535824</v>
      </c>
      <c r="AN5" s="433">
        <v>0.134827028519585</v>
      </c>
      <c r="AO5" s="432">
        <v>0.10493535324467103</v>
      </c>
      <c r="AP5" s="433">
        <v>0.11362304278656968</v>
      </c>
      <c r="AQ5" s="433">
        <v>0.11405320053443456</v>
      </c>
      <c r="AR5" s="433">
        <v>9.8247521853695272E-2</v>
      </c>
      <c r="AS5" s="433">
        <v>6.0949131513647663E-2</v>
      </c>
      <c r="AT5" s="432">
        <v>9.6168325092078288E-2</v>
      </c>
      <c r="AU5" s="433">
        <v>0.12455773903405941</v>
      </c>
      <c r="AV5" s="433">
        <v>8.8890596189305407E-2</v>
      </c>
      <c r="AW5" s="433">
        <v>8.3034734917733014E-2</v>
      </c>
      <c r="AX5" s="433">
        <v>2.1785476349100594E-2</v>
      </c>
      <c r="AY5" s="432">
        <v>7.6370237972693752E-2</v>
      </c>
      <c r="AZ5" s="433">
        <v>0.1064980656254476</v>
      </c>
      <c r="BA5" s="433">
        <v>9.1994526171741281E-2</v>
      </c>
      <c r="BB5" s="433">
        <v>8.1766007467846707E-2</v>
      </c>
      <c r="BC5" s="433">
        <v>0.10162588380958593</v>
      </c>
      <c r="BD5" s="432">
        <v>9.5459956663612081E-2</v>
      </c>
      <c r="BE5" s="433">
        <v>6.4521266111988732E-2</v>
      </c>
      <c r="BF5" s="433">
        <v>0.10154749013169415</v>
      </c>
      <c r="BG5" s="433">
        <v>0.11486598967870809</v>
      </c>
      <c r="BH5" s="433">
        <v>0.10056941383535499</v>
      </c>
      <c r="BI5" s="432">
        <v>9.5809410472377121E-2</v>
      </c>
      <c r="BJ5" s="433">
        <v>0.13068219856731605</v>
      </c>
      <c r="BK5" s="433">
        <v>0.17144032661328604</v>
      </c>
      <c r="BL5" s="433">
        <v>1.0385236980111483</v>
      </c>
      <c r="BM5" s="433">
        <v>0.10220520673813159</v>
      </c>
      <c r="BN5" s="432">
        <v>0.35474927675988421</v>
      </c>
      <c r="BO5" s="433">
        <v>7.1249204807982039E-2</v>
      </c>
      <c r="BP5" s="433">
        <v>8.7574734363867243E-2</v>
      </c>
      <c r="BQ5" s="433">
        <v>7.065333700204858E-2</v>
      </c>
      <c r="BR5" s="433">
        <v>5.0880569162584259E-2</v>
      </c>
      <c r="BS5" s="432">
        <v>6.9769962757349827E-2</v>
      </c>
      <c r="BT5" s="433">
        <v>2.2192354577564022E-2</v>
      </c>
      <c r="BU5" s="433">
        <v>2.4621557541492471E-3</v>
      </c>
      <c r="BV5" s="433">
        <v>2.9574326475099232E-2</v>
      </c>
      <c r="BW5" s="433">
        <v>3.5393182126850532E-2</v>
      </c>
      <c r="BX5" s="432">
        <v>2.2867542913336852E-2</v>
      </c>
      <c r="BY5" s="433">
        <f>'P&amp;L'!BV33/'P&amp;L'!BV5</f>
        <v>5.4125904225446393E-2</v>
      </c>
      <c r="BZ5" s="433">
        <f>'P&amp;L'!BW33/'P&amp;L'!BW5</f>
        <v>5.0806241496106408E-2</v>
      </c>
      <c r="CA5" s="433">
        <f>'P&amp;L'!BX33/'P&amp;L'!BX5</f>
        <v>6.9786283000418975E-2</v>
      </c>
      <c r="CB5" s="433">
        <f>'P&amp;L'!BY33/'P&amp;L'!BY5</f>
        <v>4.3819079720937487E-2</v>
      </c>
      <c r="CC5" s="432">
        <f>'P&amp;L'!BZ33/'P&amp;L'!BZ5</f>
        <v>5.4486482057335056E-2</v>
      </c>
      <c r="CD5" s="433">
        <f>'P&amp;L'!CA33/'P&amp;L'!CA5</f>
        <v>2.4559515041640764E-2</v>
      </c>
      <c r="CE5" s="433">
        <f>'P&amp;L'!CB33/'P&amp;L'!CB5</f>
        <v>3.1472816399287076E-2</v>
      </c>
    </row>
    <row r="6" spans="1:83" s="4" customFormat="1" ht="24" customHeight="1">
      <c r="A6" s="4" t="s">
        <v>591</v>
      </c>
      <c r="B6" s="4" t="s">
        <v>592</v>
      </c>
      <c r="C6" s="432">
        <v>0.158</v>
      </c>
      <c r="D6" s="432">
        <v>0.191</v>
      </c>
      <c r="E6" s="432">
        <v>0.35599999999999998</v>
      </c>
      <c r="F6" s="432">
        <v>0.29699999999999999</v>
      </c>
      <c r="G6" s="433">
        <v>0.10100000000000001</v>
      </c>
      <c r="H6" s="433">
        <v>7.0999999999999994E-2</v>
      </c>
      <c r="I6" s="433">
        <v>6.9000000000000006E-2</v>
      </c>
      <c r="J6" s="433">
        <v>3.5999999999999997E-2</v>
      </c>
      <c r="K6" s="432">
        <v>0.255</v>
      </c>
      <c r="L6" s="433">
        <v>6.2271468324674333E-2</v>
      </c>
      <c r="M6" s="433">
        <v>1.3239521157757844E-2</v>
      </c>
      <c r="N6" s="433" t="s">
        <v>590</v>
      </c>
      <c r="O6" s="433">
        <v>1.4264993041101997E-2</v>
      </c>
      <c r="P6" s="432">
        <v>2.9950184610851395E-2</v>
      </c>
      <c r="Q6" s="433">
        <v>3.7273881405565285E-2</v>
      </c>
      <c r="R6" s="433">
        <v>1.7775372865166162E-2</v>
      </c>
      <c r="S6" s="433">
        <v>3.1199624869035991E-2</v>
      </c>
      <c r="T6" s="433">
        <v>2.1869529763033944E-2</v>
      </c>
      <c r="U6" s="432">
        <v>0.10758152928832863</v>
      </c>
      <c r="V6" s="433">
        <v>1.6894118349245417E-2</v>
      </c>
      <c r="W6" s="433">
        <v>1.4437552333780404E-2</v>
      </c>
      <c r="X6" s="433">
        <v>3.1520471398527435E-2</v>
      </c>
      <c r="Y6" s="433">
        <v>3.0503344649529706E-2</v>
      </c>
      <c r="Z6" s="432">
        <v>9.2569363820704936E-2</v>
      </c>
      <c r="AA6" s="433">
        <v>1.6778114005449145E-2</v>
      </c>
      <c r="AB6" s="433">
        <v>4.7471709233085704E-3</v>
      </c>
      <c r="AC6" s="433">
        <v>1.7539263205391209E-3</v>
      </c>
      <c r="AD6" s="433">
        <v>5.1209457655268075E-4</v>
      </c>
      <c r="AE6" s="432">
        <v>1.0699118831546462E-2</v>
      </c>
      <c r="AF6" s="433">
        <v>6.3051655844275677E-3</v>
      </c>
      <c r="AG6" s="433">
        <v>1.1218857997627276E-2</v>
      </c>
      <c r="AH6" s="433">
        <v>1.9220838831831989E-2</v>
      </c>
      <c r="AI6" s="433">
        <v>7.0063910668514045E-3</v>
      </c>
      <c r="AJ6" s="432">
        <v>4.3918294004175129E-2</v>
      </c>
      <c r="AK6" s="433">
        <v>6.2950750295357192E-3</v>
      </c>
      <c r="AL6" s="433">
        <v>8.3716748062985218E-3</v>
      </c>
      <c r="AM6" s="433">
        <v>9.8133713549945403E-3</v>
      </c>
      <c r="AN6" s="433">
        <v>1.232631187949209E-2</v>
      </c>
      <c r="AO6" s="432">
        <v>3.6820258715510319E-2</v>
      </c>
      <c r="AP6" s="433">
        <v>9.8500355675565938E-3</v>
      </c>
      <c r="AQ6" s="433">
        <v>1.0312071016747503E-2</v>
      </c>
      <c r="AR6" s="433">
        <v>8.7347448740545761E-3</v>
      </c>
      <c r="AS6" s="433">
        <v>5.6636402939904901E-3</v>
      </c>
      <c r="AT6" s="432">
        <v>3.4053898256232916E-2</v>
      </c>
      <c r="AU6" s="433">
        <v>1.0475220832855341E-2</v>
      </c>
      <c r="AV6" s="433">
        <v>7.7777329622608473E-3</v>
      </c>
      <c r="AW6" s="433">
        <v>7.4715498777771496E-3</v>
      </c>
      <c r="AX6" s="433">
        <v>2.1305152328581472E-3</v>
      </c>
      <c r="AY6" s="432">
        <v>2.658583305100215E-2</v>
      </c>
      <c r="AZ6" s="433">
        <v>9.4489540360668291E-3</v>
      </c>
      <c r="BA6" s="433">
        <v>8.5748360927574603E-3</v>
      </c>
      <c r="BB6" s="433">
        <v>7.5612976657490755E-3</v>
      </c>
      <c r="BC6" s="433">
        <v>9.5705378402926155E-3</v>
      </c>
      <c r="BD6" s="432">
        <v>3.4201094827797859E-2</v>
      </c>
      <c r="BE6" s="433">
        <v>5.6275610027343359E-3</v>
      </c>
      <c r="BF6" s="433">
        <v>8.9109457189450597E-3</v>
      </c>
      <c r="BG6" s="433">
        <v>1.0513773042685913E-2</v>
      </c>
      <c r="BH6" s="433">
        <v>9.8647008914389284E-3</v>
      </c>
      <c r="BI6" s="432">
        <v>3.4611456939151457E-2</v>
      </c>
      <c r="BJ6" s="433">
        <v>1.1846637029844181E-2</v>
      </c>
      <c r="BK6" s="433">
        <v>1.6453892954015972E-2</v>
      </c>
      <c r="BL6" s="433">
        <v>8.7543164087479253E-2</v>
      </c>
      <c r="BM6" s="433">
        <v>1.0351459503055485E-2</v>
      </c>
      <c r="BN6" s="432">
        <v>0.13693892111548836</v>
      </c>
      <c r="BO6" s="433">
        <v>6.671850309764478E-3</v>
      </c>
      <c r="BP6" s="433">
        <v>8.8860250204312492E-3</v>
      </c>
      <c r="BQ6" s="433">
        <v>7.2933958631833671E-3</v>
      </c>
      <c r="BR6" s="433">
        <v>5.4013730940426705E-3</v>
      </c>
      <c r="BS6" s="432">
        <v>2.7892133495942009E-2</v>
      </c>
      <c r="BT6" s="433">
        <v>2.1639348259404152E-3</v>
      </c>
      <c r="BU6" s="433">
        <v>2.3343881309332922E-4</v>
      </c>
      <c r="BV6" s="433">
        <v>2.7792659148326432E-3</v>
      </c>
      <c r="BW6" s="433">
        <v>3.5048834350547581E-3</v>
      </c>
      <c r="BX6" s="432">
        <v>8.3815938477595376E-3</v>
      </c>
      <c r="BY6" s="433">
        <f>'P&amp;L'!BV33/'Balance sheet'!AY41</f>
        <v>5.0409220256834829E-3</v>
      </c>
      <c r="BZ6" s="433">
        <f>'P&amp;L'!BW33/'Balance sheet'!AZ41</f>
        <v>4.7719912663043134E-3</v>
      </c>
      <c r="CA6" s="433">
        <f>'P&amp;L'!BX33/'Balance sheet'!BA41</f>
        <v>6.7189731644534496E-3</v>
      </c>
      <c r="CB6" s="433">
        <f>'P&amp;L'!BY33/'Balance sheet'!BB41</f>
        <v>4.4758193658588621E-3</v>
      </c>
      <c r="CC6" s="432">
        <f>'P&amp;L'!BZ33/'Balance sheet'!BB41</f>
        <v>2.0745666427885116E-2</v>
      </c>
      <c r="CD6" s="433">
        <f>'P&amp;L'!CA33/'Balance sheet'!BC41</f>
        <v>2.3739896168758685E-3</v>
      </c>
      <c r="CE6" s="433">
        <f>'P&amp;L'!CB33/'Balance sheet'!BD41</f>
        <v>3.0585261152117102E-3</v>
      </c>
    </row>
    <row r="7" spans="1:83" s="4" customFormat="1" ht="24" customHeight="1">
      <c r="A7" s="4" t="s">
        <v>593</v>
      </c>
      <c r="B7" s="4" t="s">
        <v>594</v>
      </c>
      <c r="C7" s="432" t="s">
        <v>590</v>
      </c>
      <c r="D7" s="432" t="s">
        <v>590</v>
      </c>
      <c r="E7" s="432">
        <v>11.443</v>
      </c>
      <c r="F7" s="432">
        <v>2.5009999999999999</v>
      </c>
      <c r="G7" s="433">
        <v>0.26700000000000002</v>
      </c>
      <c r="H7" s="433">
        <v>0.26200000000000001</v>
      </c>
      <c r="I7" s="433">
        <v>0.21199999999999999</v>
      </c>
      <c r="J7" s="433">
        <v>9.5000000000000001E-2</v>
      </c>
      <c r="K7" s="432">
        <v>1.5249999999999999</v>
      </c>
      <c r="L7" s="433">
        <v>0.17852586122288744</v>
      </c>
      <c r="M7" s="433">
        <v>3.8577428856174406E-2</v>
      </c>
      <c r="N7" s="433" t="s">
        <v>590</v>
      </c>
      <c r="O7" s="433">
        <v>4.1927279961049509E-2</v>
      </c>
      <c r="P7" s="432">
        <v>9.1999999999999998E-2</v>
      </c>
      <c r="Q7" s="433">
        <v>0.10877317095676947</v>
      </c>
      <c r="R7" s="433">
        <v>4.7546166174335783E-2</v>
      </c>
      <c r="S7" s="433">
        <v>7.8824364260900753E-2</v>
      </c>
      <c r="T7" s="433">
        <v>5.1825928219061103E-2</v>
      </c>
      <c r="U7" s="432">
        <v>0.31992749070239374</v>
      </c>
      <c r="V7" s="433">
        <v>3.854988705193179E-2</v>
      </c>
      <c r="W7" s="433">
        <v>3.1460520932769673E-2</v>
      </c>
      <c r="X7" s="433">
        <v>6.6607225701146078E-2</v>
      </c>
      <c r="Y7" s="433">
        <v>6.122340013627673E-2</v>
      </c>
      <c r="Z7" s="432">
        <v>0.21223515288993153</v>
      </c>
      <c r="AA7" s="433">
        <v>3.2613364596168266E-2</v>
      </c>
      <c r="AB7" s="433">
        <v>1.4743961784008204E-2</v>
      </c>
      <c r="AC7" s="433">
        <v>5.3069088907238835E-3</v>
      </c>
      <c r="AD7" s="433">
        <v>1.5445378522098774E-3</v>
      </c>
      <c r="AE7" s="432">
        <v>3.3292737061360989E-2</v>
      </c>
      <c r="AF7" s="433">
        <v>1.8684840992878312E-2</v>
      </c>
      <c r="AG7" s="433">
        <v>3.2907179060443298E-2</v>
      </c>
      <c r="AH7" s="433">
        <v>5.2576510593774481E-2</v>
      </c>
      <c r="AI7" s="433">
        <v>1.8441055193998745E-2</v>
      </c>
      <c r="AJ7" s="432">
        <v>0.12803327940836601</v>
      </c>
      <c r="AK7" s="433">
        <v>1.7454310774736723E-2</v>
      </c>
      <c r="AL7" s="433">
        <v>2.1926367667866348E-2</v>
      </c>
      <c r="AM7" s="433">
        <v>2.5065730185716849E-2</v>
      </c>
      <c r="AN7" s="433">
        <v>3.0971927726127686E-2</v>
      </c>
      <c r="AO7" s="432">
        <v>9.8584477531236128E-2</v>
      </c>
      <c r="AP7" s="433">
        <v>2.3855356028443631E-2</v>
      </c>
      <c r="AQ7" s="433">
        <v>2.4616809689427963E-2</v>
      </c>
      <c r="AR7" s="433">
        <v>2.003411513859275E-2</v>
      </c>
      <c r="AS7" s="433">
        <v>1.3144252316130978E-2</v>
      </c>
      <c r="AT7" s="432">
        <v>8.4607397328941306E-2</v>
      </c>
      <c r="AU7" s="433">
        <v>2.3166941519725995E-2</v>
      </c>
      <c r="AV7" s="433">
        <v>1.7500340326410829E-2</v>
      </c>
      <c r="AW7" s="433">
        <v>1.6879487446299284E-2</v>
      </c>
      <c r="AX7" s="433">
        <v>4.7357673536184428E-3</v>
      </c>
      <c r="AY7" s="432">
        <v>6.2492821097931937E-2</v>
      </c>
      <c r="AZ7" s="433">
        <v>2.1426563749972937E-2</v>
      </c>
      <c r="BA7" s="433">
        <v>1.9700210995193979E-2</v>
      </c>
      <c r="BB7" s="433">
        <v>1.6991651459198471E-2</v>
      </c>
      <c r="BC7" s="433">
        <v>2.2038353376764706E-2</v>
      </c>
      <c r="BD7" s="432">
        <v>8.3491262106832345E-2</v>
      </c>
      <c r="BE7" s="433">
        <v>1.2713485180485014E-2</v>
      </c>
      <c r="BF7" s="433">
        <v>1.9846661159394624E-2</v>
      </c>
      <c r="BG7" s="433">
        <v>2.412874257778895E-2</v>
      </c>
      <c r="BH7" s="433">
        <v>2.3157985929700729E-2</v>
      </c>
      <c r="BI7" s="432">
        <v>8.626396577458123E-2</v>
      </c>
      <c r="BJ7" s="433">
        <v>2.6068550137220467E-2</v>
      </c>
      <c r="BK7" s="433">
        <v>3.7564057223297066E-2</v>
      </c>
      <c r="BL7" s="433">
        <v>0.21933753613597581</v>
      </c>
      <c r="BM7" s="433">
        <v>2.2171431608740983E-2</v>
      </c>
      <c r="BN7" s="432">
        <v>0.40241201082943617</v>
      </c>
      <c r="BO7" s="433">
        <v>1.3823477825920315E-2</v>
      </c>
      <c r="BP7" s="433">
        <v>1.8669801414599018E-2</v>
      </c>
      <c r="BQ7" s="433">
        <v>1.4983726026686772E-2</v>
      </c>
      <c r="BR7" s="433">
        <v>1.1159929139246429E-2</v>
      </c>
      <c r="BS7" s="432">
        <v>6.0437165067036912E-2</v>
      </c>
      <c r="BT7" s="433">
        <v>4.4940406489141875E-3</v>
      </c>
      <c r="BU7" s="433">
        <v>5.1119581955419901E-4</v>
      </c>
      <c r="BV7" s="433">
        <v>6.5256396340023131E-3</v>
      </c>
      <c r="BW7" s="433">
        <v>8.0556912252935237E-3</v>
      </c>
      <c r="BX7" s="432">
        <v>1.9482793117247026E-2</v>
      </c>
      <c r="BY7" s="433">
        <f>'P&amp;L'!BV33/('Balance sheet'!AY55-'P&amp;L'!BV33)</f>
        <v>1.1304305496395673E-2</v>
      </c>
      <c r="BZ7" s="433">
        <f>'P&amp;L'!BW33/('Balance sheet'!AZ55-'P&amp;L'!BW33)</f>
        <v>1.064397569170682E-2</v>
      </c>
      <c r="CA7" s="433">
        <f>'P&amp;L'!BX33/('Balance sheet'!BA55-'P&amp;L'!BX33)</f>
        <v>1.5001291143953526E-2</v>
      </c>
      <c r="CB7" s="433">
        <f>'P&amp;L'!BY33/('Balance sheet'!BB55-'P&amp;L'!BY33)</f>
        <v>9.9221375491077672E-3</v>
      </c>
      <c r="CC7" s="432">
        <f>'P&amp;L'!BZ33/('Balance sheet'!BB55-'P&amp;L'!BZ33)</f>
        <v>4.7710444656477495E-2</v>
      </c>
      <c r="CD7" s="433">
        <f>'P&amp;L'!CA33/('Balance sheet'!BC55-'P&amp;L'!CA33)</f>
        <v>5.0842090448489537E-3</v>
      </c>
      <c r="CE7" s="433">
        <f>'P&amp;L'!CB33/('Balance sheet'!BD55-'P&amp;L'!CB33)</f>
        <v>6.5997348425116571E-3</v>
      </c>
    </row>
    <row r="8" spans="1:83" s="4" customFormat="1" ht="24" customHeight="1">
      <c r="A8" s="4" t="s">
        <v>595</v>
      </c>
      <c r="B8" s="4" t="s">
        <v>596</v>
      </c>
      <c r="C8" s="435">
        <v>0.6</v>
      </c>
      <c r="D8" s="435">
        <v>1.1000000000000001</v>
      </c>
      <c r="E8" s="435">
        <v>1.4</v>
      </c>
      <c r="F8" s="435">
        <v>1</v>
      </c>
      <c r="G8" s="436">
        <v>1.2</v>
      </c>
      <c r="H8" s="436">
        <v>0.9</v>
      </c>
      <c r="I8" s="436">
        <v>1</v>
      </c>
      <c r="J8" s="436">
        <v>0.9</v>
      </c>
      <c r="K8" s="435">
        <v>0.9</v>
      </c>
      <c r="L8" s="436">
        <v>0.99222253558666473</v>
      </c>
      <c r="M8" s="436">
        <v>1.1972812574503593</v>
      </c>
      <c r="N8" s="436">
        <v>1.1937547068795404</v>
      </c>
      <c r="O8" s="436">
        <v>1.1052998425278158</v>
      </c>
      <c r="P8" s="435">
        <v>1.1000000000000001</v>
      </c>
      <c r="Q8" s="436">
        <v>1.2520302028925108</v>
      </c>
      <c r="R8" s="436">
        <v>1.13470796163891</v>
      </c>
      <c r="S8" s="436">
        <v>1.0480052530350539</v>
      </c>
      <c r="T8" s="436">
        <v>1.0172641031890362</v>
      </c>
      <c r="U8" s="435">
        <v>1.0172641031890362</v>
      </c>
      <c r="V8" s="436">
        <v>1.1953668834873901</v>
      </c>
      <c r="W8" s="436">
        <v>1.1434662606816619</v>
      </c>
      <c r="X8" s="436">
        <v>1.2291320432164132</v>
      </c>
      <c r="Y8" s="436">
        <v>1.2518939180227138</v>
      </c>
      <c r="Z8" s="435">
        <v>1.2518939180227138</v>
      </c>
      <c r="AA8" s="436">
        <v>1.3919076872487033</v>
      </c>
      <c r="AB8" s="436">
        <v>1.1114925821972736</v>
      </c>
      <c r="AC8" s="436">
        <v>0.94501659921971548</v>
      </c>
      <c r="AD8" s="436">
        <v>0.95569502090756708</v>
      </c>
      <c r="AE8" s="435">
        <v>0.95569502090756708</v>
      </c>
      <c r="AF8" s="436">
        <v>0.95351583208829338</v>
      </c>
      <c r="AG8" s="436">
        <v>1.0069261213720315</v>
      </c>
      <c r="AH8" s="436">
        <v>0.47434112256006483</v>
      </c>
      <c r="AI8" s="436">
        <v>0.49948621035847135</v>
      </c>
      <c r="AJ8" s="435">
        <v>0.49948621035847135</v>
      </c>
      <c r="AK8" s="436">
        <v>0.92874645654158483</v>
      </c>
      <c r="AL8" s="436">
        <v>0.9143403550836332</v>
      </c>
      <c r="AM8" s="436">
        <v>0.99730487345250907</v>
      </c>
      <c r="AN8" s="436">
        <v>1.0242312289470821</v>
      </c>
      <c r="AO8" s="435">
        <v>1.0242312289470821</v>
      </c>
      <c r="AP8" s="436">
        <v>0.89580852038479164</v>
      </c>
      <c r="AQ8" s="436">
        <v>0.89208350653549495</v>
      </c>
      <c r="AR8" s="436">
        <v>0.91086116341294232</v>
      </c>
      <c r="AS8" s="436">
        <v>1.0040863235857489</v>
      </c>
      <c r="AT8" s="435">
        <v>1.0040863235857489</v>
      </c>
      <c r="AU8" s="436">
        <v>1.490674318507891</v>
      </c>
      <c r="AV8" s="436">
        <v>1.1393504531722054</v>
      </c>
      <c r="AW8" s="436">
        <v>1.1493006613900034</v>
      </c>
      <c r="AX8" s="436">
        <v>1.0805204638743873</v>
      </c>
      <c r="AY8" s="435">
        <v>1.0805204638743873</v>
      </c>
      <c r="AZ8" s="436">
        <v>1.0288783163318305</v>
      </c>
      <c r="BA8" s="436">
        <v>0.90459880771651757</v>
      </c>
      <c r="BB8" s="436">
        <v>0.8907010624311551</v>
      </c>
      <c r="BC8" s="436">
        <v>0.8494768412801198</v>
      </c>
      <c r="BD8" s="435">
        <v>0.8494768412801198</v>
      </c>
      <c r="BE8" s="436">
        <v>1.0446639929570576</v>
      </c>
      <c r="BF8" s="436">
        <v>1.4179311763798159</v>
      </c>
      <c r="BG8" s="436">
        <v>1.1340274796049807</v>
      </c>
      <c r="BH8" s="436">
        <v>1.0005308660700745</v>
      </c>
      <c r="BI8" s="435">
        <v>1.0005308660700745</v>
      </c>
      <c r="BJ8" s="436">
        <v>1.2774572249281877</v>
      </c>
      <c r="BK8" s="436">
        <v>1.0301228183581126</v>
      </c>
      <c r="BL8" s="436">
        <v>1.7694467309501412</v>
      </c>
      <c r="BM8" s="436">
        <v>1.4356326537866806</v>
      </c>
      <c r="BN8" s="435">
        <v>1.4356326537866806</v>
      </c>
      <c r="BO8" s="436">
        <v>1.4459542259866642</v>
      </c>
      <c r="BP8" s="436">
        <v>1.0795776506819179</v>
      </c>
      <c r="BQ8" s="436">
        <v>1.2105886363228622</v>
      </c>
      <c r="BR8" s="436">
        <v>1.0139658612281091</v>
      </c>
      <c r="BS8" s="435">
        <v>1.0139658612281091</v>
      </c>
      <c r="BT8" s="436">
        <v>1.1551395360405923</v>
      </c>
      <c r="BU8" s="436">
        <v>1.5649167096303938</v>
      </c>
      <c r="BV8" s="436">
        <v>1.4882702070659974</v>
      </c>
      <c r="BW8" s="436">
        <v>1.6351027956053521</v>
      </c>
      <c r="BX8" s="435">
        <v>1.6351027956053521</v>
      </c>
      <c r="BY8" s="436">
        <f>'Balance sheet'!AY38/'Balance sheet'!AY77</f>
        <v>1.6367324074252931</v>
      </c>
      <c r="BZ8" s="436">
        <f>'Balance sheet'!AZ38/'Balance sheet'!AZ77</f>
        <v>1.6487937684337894</v>
      </c>
      <c r="CA8" s="436">
        <f>'Balance sheet'!BA38/'Balance sheet'!BA77</f>
        <v>1.5810121545362466</v>
      </c>
      <c r="CB8" s="436">
        <f>'Balance sheet'!BB38/'Balance sheet'!BB77</f>
        <v>1.5849507315616602</v>
      </c>
      <c r="CC8" s="435">
        <f>'Balance sheet'!BB38/'Balance sheet'!BB77</f>
        <v>1.5849507315616602</v>
      </c>
      <c r="CD8" s="436">
        <f>'Balance sheet'!BC38/'Balance sheet'!BC77</f>
        <v>1.6350738030011862</v>
      </c>
      <c r="CE8" s="436">
        <f>'Balance sheet'!BD38/'Balance sheet'!BD77</f>
        <v>1.4973388192661932</v>
      </c>
    </row>
    <row r="9" spans="1:83" s="4" customFormat="1" ht="24" customHeight="1">
      <c r="A9" s="445" t="s">
        <v>597</v>
      </c>
      <c r="B9" s="445" t="s">
        <v>598</v>
      </c>
      <c r="C9" s="446">
        <v>1.177</v>
      </c>
      <c r="D9" s="446">
        <v>0.89700000000000002</v>
      </c>
      <c r="E9" s="446">
        <v>0.61299999999999999</v>
      </c>
      <c r="F9" s="446">
        <v>0.58399999999999996</v>
      </c>
      <c r="G9" s="447">
        <v>0.52300000000000002</v>
      </c>
      <c r="H9" s="447">
        <v>0.65900000000000003</v>
      </c>
      <c r="I9" s="447">
        <v>0.60299999999999998</v>
      </c>
      <c r="J9" s="447">
        <v>0.57799999999999996</v>
      </c>
      <c r="K9" s="446">
        <v>0.57799999999999996</v>
      </c>
      <c r="L9" s="447">
        <v>0.58891930091111089</v>
      </c>
      <c r="M9" s="447">
        <v>0.64356702219385198</v>
      </c>
      <c r="N9" s="447">
        <v>0.66091379189163646</v>
      </c>
      <c r="O9" s="447">
        <v>0.64550322816584982</v>
      </c>
      <c r="P9" s="446">
        <v>0.64600000000000002</v>
      </c>
      <c r="Q9" s="447">
        <v>0.6200507963830475</v>
      </c>
      <c r="R9" s="447">
        <v>0.60836960799428208</v>
      </c>
      <c r="S9" s="447">
        <v>0.57298843092335383</v>
      </c>
      <c r="T9" s="447">
        <v>0.55614999608907556</v>
      </c>
      <c r="U9" s="446">
        <v>0.55614999608907556</v>
      </c>
      <c r="V9" s="447">
        <v>0.54486547055728474</v>
      </c>
      <c r="W9" s="447">
        <v>0.52665229914601286</v>
      </c>
      <c r="X9" s="447">
        <v>0.49525051978561557</v>
      </c>
      <c r="Y9" s="447">
        <v>0.47126649202023174</v>
      </c>
      <c r="Z9" s="446">
        <v>0.47126649202023174</v>
      </c>
      <c r="AA9" s="447">
        <v>0.46876671667355413</v>
      </c>
      <c r="AB9" s="447">
        <v>0.67327892593910244</v>
      </c>
      <c r="AC9" s="447">
        <v>0.66774740549903211</v>
      </c>
      <c r="AD9" s="447">
        <v>0.66793699017975172</v>
      </c>
      <c r="AE9" s="446">
        <v>0.66793699017975172</v>
      </c>
      <c r="AF9" s="447">
        <v>0.65624665453377584</v>
      </c>
      <c r="AG9" s="447">
        <v>0.64785681126528083</v>
      </c>
      <c r="AH9" s="447">
        <v>0.61520071910800012</v>
      </c>
      <c r="AI9" s="447">
        <v>0.61305921834949684</v>
      </c>
      <c r="AJ9" s="446">
        <v>0.61305921834949684</v>
      </c>
      <c r="AK9" s="447">
        <v>0.63304473558921559</v>
      </c>
      <c r="AL9" s="447">
        <v>0.60981976788452963</v>
      </c>
      <c r="AM9" s="447">
        <v>0.59868152930210516</v>
      </c>
      <c r="AN9" s="447">
        <v>0.58969032755965733</v>
      </c>
      <c r="AO9" s="446">
        <v>0.58969032755965733</v>
      </c>
      <c r="AP9" s="447">
        <v>0.57724329660438722</v>
      </c>
      <c r="AQ9" s="447">
        <v>0.57078429578109258</v>
      </c>
      <c r="AR9" s="447">
        <v>0.55527171043335344</v>
      </c>
      <c r="AS9" s="447">
        <v>0.56345294711053473</v>
      </c>
      <c r="AT9" s="446">
        <v>0.56345294711053473</v>
      </c>
      <c r="AU9" s="447">
        <v>0.53736233796030752</v>
      </c>
      <c r="AV9" s="447">
        <v>0.54778902647252581</v>
      </c>
      <c r="AW9" s="447">
        <v>0.54988764710333504</v>
      </c>
      <c r="AX9" s="447">
        <v>0.54799197310468839</v>
      </c>
      <c r="AY9" s="446">
        <v>0.54799197310468839</v>
      </c>
      <c r="AZ9" s="447">
        <v>0.5495585402907468</v>
      </c>
      <c r="BA9" s="447">
        <v>0.55615895813668714</v>
      </c>
      <c r="BB9" s="447">
        <v>0.54743795100023351</v>
      </c>
      <c r="BC9" s="447">
        <v>0.5561620885190367</v>
      </c>
      <c r="BD9" s="446">
        <v>0.5561620885190367</v>
      </c>
      <c r="BE9" s="447">
        <v>0.55172741107270029</v>
      </c>
      <c r="BF9" s="447">
        <v>0.54209939061024826</v>
      </c>
      <c r="BG9" s="447">
        <v>0.55374976001170229</v>
      </c>
      <c r="BH9" s="447">
        <v>0.56436056167899751</v>
      </c>
      <c r="BI9" s="446">
        <v>0.56436056167899751</v>
      </c>
      <c r="BJ9" s="447">
        <v>0.53371163270570032</v>
      </c>
      <c r="BK9" s="447">
        <v>0.54552385465171038</v>
      </c>
      <c r="BL9" s="447">
        <v>0.51333151687361345</v>
      </c>
      <c r="BM9" s="447">
        <v>0.52276576604522751</v>
      </c>
      <c r="BN9" s="446">
        <v>0.52276576604522751</v>
      </c>
      <c r="BO9" s="447">
        <v>0.51068185808522926</v>
      </c>
      <c r="BP9" s="447">
        <v>0.51515684918589311</v>
      </c>
      <c r="BQ9" s="447">
        <v>0.50595211795671313</v>
      </c>
      <c r="BR9" s="447">
        <v>0.51060154890951082</v>
      </c>
      <c r="BS9" s="446">
        <v>0.51060154890951082</v>
      </c>
      <c r="BT9" s="447">
        <v>0.51632399285596731</v>
      </c>
      <c r="BU9" s="447">
        <v>0.54311413140587805</v>
      </c>
      <c r="BV9" s="447">
        <v>0.57132134786238553</v>
      </c>
      <c r="BW9" s="447">
        <v>0.56141346596120678</v>
      </c>
      <c r="BX9" s="446">
        <v>0.56141346596120678</v>
      </c>
      <c r="BY9" s="447">
        <f>'Balance sheet'!AY80/'Balance sheet'!AY41</f>
        <v>0.54902969051298534</v>
      </c>
      <c r="BZ9" s="447">
        <f>'Balance sheet'!AZ80/'Balance sheet'!AZ41</f>
        <v>0.546900109035242</v>
      </c>
      <c r="CA9" s="447">
        <f>'Balance sheet'!BA80/'Balance sheet'!BA41</f>
        <v>0.54538803549382298</v>
      </c>
      <c r="CB9" s="447">
        <f>'Balance sheet'!BB80/'Balance sheet'!BB41</f>
        <v>0.54442991352620906</v>
      </c>
      <c r="CC9" s="446">
        <f>'Balance sheet'!BB80/'Balance sheet'!BB41</f>
        <v>0.54442991352620906</v>
      </c>
      <c r="CD9" s="447">
        <f>'Balance sheet'!BC80/'Balance sheet'!BC41</f>
        <v>0.53069209874920598</v>
      </c>
      <c r="CE9" s="447">
        <f>'Balance sheet'!BD80/'Balance sheet'!BD41</f>
        <v>0.53350980758352073</v>
      </c>
    </row>
    <row r="13" spans="1:83" s="438" customFormat="1" ht="13.8">
      <c r="A13" s="437" t="s">
        <v>599</v>
      </c>
      <c r="B13" s="437" t="s">
        <v>600</v>
      </c>
    </row>
    <row r="14" spans="1:83" s="438" customFormat="1" ht="13.8">
      <c r="A14" s="437" t="s">
        <v>601</v>
      </c>
      <c r="B14" s="437" t="s">
        <v>602</v>
      </c>
    </row>
    <row r="15" spans="1:83" s="438" customFormat="1" ht="13.8">
      <c r="A15" s="437" t="s">
        <v>603</v>
      </c>
      <c r="B15" s="437" t="s">
        <v>604</v>
      </c>
    </row>
    <row r="16" spans="1:83" s="438" customFormat="1" ht="13.8">
      <c r="A16" s="437" t="s">
        <v>605</v>
      </c>
      <c r="B16" s="437" t="s">
        <v>606</v>
      </c>
    </row>
    <row r="17" spans="1:2" s="438" customFormat="1" ht="13.8">
      <c r="A17" s="437" t="s">
        <v>607</v>
      </c>
      <c r="B17" s="437" t="s">
        <v>608</v>
      </c>
    </row>
    <row r="18" spans="1:2" s="438" customFormat="1" ht="13.8">
      <c r="A18" s="437" t="s">
        <v>609</v>
      </c>
      <c r="B18" s="437" t="s">
        <v>610</v>
      </c>
    </row>
    <row r="19" spans="1:2" s="438" customFormat="1" ht="13.8">
      <c r="A19" s="437" t="s">
        <v>611</v>
      </c>
      <c r="B19" s="437" t="s">
        <v>612</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49"/>
  <sheetViews>
    <sheetView showGridLines="0" topLeftCell="A4" zoomScale="70" zoomScaleNormal="70" zoomScaleSheetLayoutView="85" workbookViewId="0">
      <pane xSplit="1" topLeftCell="L1" activePane="topRight" state="frozen"/>
      <selection pane="topRight" activeCell="AC12" sqref="AC12"/>
    </sheetView>
  </sheetViews>
  <sheetFormatPr defaultColWidth="9" defaultRowHeight="28.5" customHeight="1" outlineLevelCol="1"/>
  <cols>
    <col min="1" max="2" width="40.59765625" style="538" customWidth="1"/>
    <col min="3" max="5" width="9" style="538" customWidth="1" outlineLevel="1"/>
    <col min="6" max="6" width="10.59765625" style="538" customWidth="1" outlineLevel="1"/>
    <col min="7" max="22" width="9" style="538" customWidth="1" outlineLevel="1"/>
    <col min="23" max="16384" width="9" style="538"/>
  </cols>
  <sheetData>
    <row r="1" spans="1:36" s="518" customFormat="1" ht="89.25" customHeight="1">
      <c r="A1" s="517"/>
      <c r="B1" s="517"/>
      <c r="H1" s="519"/>
      <c r="I1" s="519"/>
      <c r="L1" s="519"/>
      <c r="M1" s="519"/>
      <c r="P1" s="519"/>
      <c r="Q1" s="519"/>
      <c r="T1" s="519"/>
      <c r="U1" s="519"/>
      <c r="V1" s="684"/>
      <c r="X1" s="519"/>
      <c r="Y1" s="519"/>
      <c r="Z1" s="684"/>
      <c r="AB1" s="519"/>
      <c r="AC1" s="519"/>
      <c r="AD1" s="684"/>
    </row>
    <row r="2" spans="1:36" s="521" customFormat="1" ht="12">
      <c r="A2" s="986"/>
      <c r="B2" s="986"/>
      <c r="C2" s="520"/>
      <c r="D2" s="520"/>
      <c r="E2" s="520"/>
      <c r="F2" s="520"/>
      <c r="G2" s="520"/>
      <c r="H2" s="520"/>
      <c r="I2" s="520"/>
      <c r="J2" s="520"/>
      <c r="K2" s="520"/>
      <c r="L2" s="520"/>
      <c r="M2" s="520"/>
      <c r="N2" s="520"/>
      <c r="O2" s="520"/>
      <c r="P2" s="520"/>
      <c r="Q2" s="520"/>
      <c r="S2" s="520"/>
      <c r="T2" s="520"/>
      <c r="U2" s="520"/>
      <c r="W2" s="520"/>
      <c r="X2" s="717"/>
      <c r="Y2" s="520"/>
      <c r="AA2" s="520"/>
      <c r="AB2" s="717"/>
      <c r="AC2" s="520"/>
    </row>
    <row r="3" spans="1:36" s="523" customFormat="1" ht="20.100000000000001" customHeight="1">
      <c r="A3" s="522" t="s">
        <v>613</v>
      </c>
      <c r="B3" s="522" t="s">
        <v>614</v>
      </c>
      <c r="C3" s="984">
        <v>2018</v>
      </c>
      <c r="D3" s="984"/>
      <c r="E3" s="984"/>
      <c r="F3" s="984"/>
      <c r="G3" s="983">
        <v>2019</v>
      </c>
      <c r="H3" s="984"/>
      <c r="I3" s="984"/>
      <c r="J3" s="985"/>
      <c r="K3" s="984">
        <v>2020</v>
      </c>
      <c r="L3" s="984"/>
      <c r="M3" s="984"/>
      <c r="N3" s="984"/>
      <c r="O3" s="983">
        <v>2021</v>
      </c>
      <c r="P3" s="984"/>
      <c r="Q3" s="984"/>
      <c r="R3" s="985"/>
      <c r="S3" s="983">
        <v>2022</v>
      </c>
      <c r="T3" s="984"/>
      <c r="U3" s="984"/>
      <c r="V3" s="985"/>
      <c r="W3" s="983">
        <v>2023</v>
      </c>
      <c r="X3" s="984"/>
      <c r="Y3" s="984"/>
      <c r="Z3" s="985"/>
      <c r="AA3" s="983">
        <v>2024</v>
      </c>
      <c r="AB3" s="984"/>
      <c r="AC3" s="984"/>
      <c r="AD3" s="985"/>
      <c r="AE3" s="983">
        <v>2025</v>
      </c>
      <c r="AF3" s="984"/>
      <c r="AG3" s="984"/>
      <c r="AH3" s="985"/>
    </row>
    <row r="4" spans="1:36" s="523" customFormat="1" ht="21.75" customHeight="1">
      <c r="A4" s="522"/>
      <c r="B4" s="522"/>
      <c r="C4" s="524" t="s">
        <v>615</v>
      </c>
      <c r="D4" s="524" t="s">
        <v>616</v>
      </c>
      <c r="E4" s="524" t="s">
        <v>617</v>
      </c>
      <c r="F4" s="524" t="s">
        <v>618</v>
      </c>
      <c r="G4" s="525" t="str">
        <f t="shared" ref="G4:R4" si="0">C4</f>
        <v>1Q</v>
      </c>
      <c r="H4" s="524" t="str">
        <f t="shared" si="0"/>
        <v>2Q</v>
      </c>
      <c r="I4" s="524" t="str">
        <f t="shared" si="0"/>
        <v>3Q</v>
      </c>
      <c r="J4" s="526" t="str">
        <f t="shared" si="0"/>
        <v>4Q</v>
      </c>
      <c r="K4" s="524" t="str">
        <f t="shared" si="0"/>
        <v>1Q</v>
      </c>
      <c r="L4" s="524" t="str">
        <f t="shared" si="0"/>
        <v>2Q</v>
      </c>
      <c r="M4" s="524" t="str">
        <f t="shared" si="0"/>
        <v>3Q</v>
      </c>
      <c r="N4" s="524" t="str">
        <f t="shared" si="0"/>
        <v>4Q</v>
      </c>
      <c r="O4" s="525" t="str">
        <f t="shared" si="0"/>
        <v>1Q</v>
      </c>
      <c r="P4" s="524" t="str">
        <f t="shared" si="0"/>
        <v>2Q</v>
      </c>
      <c r="Q4" s="524" t="str">
        <f t="shared" si="0"/>
        <v>3Q</v>
      </c>
      <c r="R4" s="526" t="str">
        <f t="shared" si="0"/>
        <v>4Q</v>
      </c>
      <c r="S4" s="525" t="str">
        <f t="shared" ref="S4" si="1">O4</f>
        <v>1Q</v>
      </c>
      <c r="T4" s="524" t="str">
        <f t="shared" ref="T4" si="2">P4</f>
        <v>2Q</v>
      </c>
      <c r="U4" s="524" t="str">
        <f t="shared" ref="U4" si="3">Q4</f>
        <v>3Q</v>
      </c>
      <c r="V4" s="526" t="str">
        <f t="shared" ref="V4" si="4">R4</f>
        <v>4Q</v>
      </c>
      <c r="W4" s="525" t="str">
        <f t="shared" ref="W4" si="5">S4</f>
        <v>1Q</v>
      </c>
      <c r="X4" s="524" t="str">
        <f t="shared" ref="X4" si="6">T4</f>
        <v>2Q</v>
      </c>
      <c r="Y4" s="524" t="str">
        <f t="shared" ref="Y4" si="7">U4</f>
        <v>3Q</v>
      </c>
      <c r="Z4" s="526" t="str">
        <f t="shared" ref="Z4" si="8">V4</f>
        <v>4Q</v>
      </c>
      <c r="AA4" s="525" t="str">
        <f t="shared" ref="AA4" si="9">W4</f>
        <v>1Q</v>
      </c>
      <c r="AB4" s="524" t="str">
        <f t="shared" ref="AB4" si="10">X4</f>
        <v>2Q</v>
      </c>
      <c r="AC4" s="524" t="str">
        <f t="shared" ref="AC4" si="11">Y4</f>
        <v>3Q</v>
      </c>
      <c r="AD4" s="526" t="str">
        <f t="shared" ref="AD4" si="12">Z4</f>
        <v>4Q</v>
      </c>
      <c r="AE4" s="525" t="str">
        <f t="shared" ref="AE4" si="13">AA4</f>
        <v>1Q</v>
      </c>
      <c r="AF4" s="524" t="str">
        <f t="shared" ref="AF4" si="14">AB4</f>
        <v>2Q</v>
      </c>
      <c r="AG4" s="524" t="str">
        <f t="shared" ref="AG4" si="15">AC4</f>
        <v>3Q</v>
      </c>
      <c r="AH4" s="526" t="str">
        <f t="shared" ref="AH4" si="16">AD4</f>
        <v>4Q</v>
      </c>
    </row>
    <row r="5" spans="1:36" s="531" customFormat="1" ht="20.100000000000001" customHeight="1">
      <c r="A5" s="527" t="s">
        <v>619</v>
      </c>
      <c r="B5" s="527" t="s">
        <v>620</v>
      </c>
      <c r="C5" s="528"/>
      <c r="D5" s="528"/>
      <c r="E5" s="528"/>
      <c r="F5" s="528"/>
      <c r="G5" s="529"/>
      <c r="H5" s="528"/>
      <c r="I5" s="528"/>
      <c r="J5" s="528"/>
      <c r="K5" s="530"/>
      <c r="L5" s="528"/>
      <c r="M5" s="528"/>
      <c r="N5" s="528"/>
      <c r="O5" s="529"/>
      <c r="P5" s="528"/>
      <c r="Q5" s="528"/>
      <c r="R5" s="617"/>
      <c r="S5" s="529"/>
      <c r="T5" s="528"/>
      <c r="U5" s="528"/>
      <c r="V5" s="617"/>
      <c r="W5" s="529"/>
      <c r="X5" s="528"/>
      <c r="Y5" s="528"/>
      <c r="Z5" s="617"/>
      <c r="AA5" s="529"/>
      <c r="AB5" s="528"/>
      <c r="AC5" s="528"/>
      <c r="AD5" s="617"/>
      <c r="AE5" s="529"/>
      <c r="AF5" s="528"/>
      <c r="AG5" s="528"/>
      <c r="AH5" s="617"/>
    </row>
    <row r="6" spans="1:36" ht="20.100000000000001" customHeight="1">
      <c r="A6" s="532" t="s">
        <v>621</v>
      </c>
      <c r="B6" s="533" t="s">
        <v>622</v>
      </c>
      <c r="C6" s="534">
        <f t="shared" ref="C6:AD6" si="17">SUM(C7:C9)</f>
        <v>12361.7</v>
      </c>
      <c r="D6" s="534">
        <f t="shared" si="17"/>
        <v>12435.4</v>
      </c>
      <c r="E6" s="534">
        <f t="shared" si="17"/>
        <v>12508</v>
      </c>
      <c r="F6" s="534">
        <f t="shared" si="17"/>
        <v>12646.4</v>
      </c>
      <c r="G6" s="535">
        <f t="shared" si="17"/>
        <v>12677.4</v>
      </c>
      <c r="H6" s="534">
        <f t="shared" si="17"/>
        <v>12715.1</v>
      </c>
      <c r="I6" s="534">
        <f t="shared" si="17"/>
        <v>12793.1</v>
      </c>
      <c r="J6" s="534">
        <f t="shared" si="17"/>
        <v>12901.7</v>
      </c>
      <c r="K6" s="536">
        <f t="shared" si="17"/>
        <v>12907.6</v>
      </c>
      <c r="L6" s="534">
        <f t="shared" si="17"/>
        <v>12984.099999999999</v>
      </c>
      <c r="M6" s="534">
        <f t="shared" si="17"/>
        <v>13084</v>
      </c>
      <c r="N6" s="534">
        <f t="shared" si="17"/>
        <v>13169.3</v>
      </c>
      <c r="O6" s="535">
        <f t="shared" si="17"/>
        <v>13172</v>
      </c>
      <c r="P6" s="534">
        <f t="shared" si="17"/>
        <v>13188</v>
      </c>
      <c r="Q6" s="534">
        <f t="shared" si="17"/>
        <v>13494</v>
      </c>
      <c r="R6" s="618">
        <f t="shared" si="17"/>
        <v>13465</v>
      </c>
      <c r="S6" s="535">
        <f t="shared" si="17"/>
        <v>13379</v>
      </c>
      <c r="T6" s="534">
        <f t="shared" si="17"/>
        <v>13349</v>
      </c>
      <c r="U6" s="534">
        <f t="shared" si="17"/>
        <v>13341</v>
      </c>
      <c r="V6" s="618">
        <f t="shared" si="17"/>
        <v>13285</v>
      </c>
      <c r="W6" s="535">
        <f t="shared" si="17"/>
        <v>13163</v>
      </c>
      <c r="X6" s="534">
        <f t="shared" si="17"/>
        <v>13083</v>
      </c>
      <c r="Y6" s="534">
        <f t="shared" si="17"/>
        <v>13054</v>
      </c>
      <c r="Z6" s="618">
        <f t="shared" si="17"/>
        <v>13083</v>
      </c>
      <c r="AA6" s="535">
        <f t="shared" si="17"/>
        <v>13077</v>
      </c>
      <c r="AB6" s="534">
        <f t="shared" si="17"/>
        <v>13086</v>
      </c>
      <c r="AC6" s="534">
        <f t="shared" si="17"/>
        <v>13129</v>
      </c>
      <c r="AD6" s="618">
        <f t="shared" si="17"/>
        <v>13209.116</v>
      </c>
      <c r="AE6" s="535">
        <f t="shared" ref="AE6:AF6" si="18">SUM(AE7:AE9)</f>
        <v>13289</v>
      </c>
      <c r="AF6" s="534">
        <f t="shared" si="18"/>
        <v>13279</v>
      </c>
      <c r="AG6" s="534"/>
      <c r="AH6" s="618"/>
      <c r="AI6" s="760"/>
      <c r="AJ6" s="760"/>
    </row>
    <row r="7" spans="1:36" ht="20.100000000000001" customHeight="1">
      <c r="A7" s="539" t="s">
        <v>623</v>
      </c>
      <c r="B7" s="539" t="s">
        <v>624</v>
      </c>
      <c r="C7" s="540">
        <v>5220.5</v>
      </c>
      <c r="D7" s="540">
        <v>5270</v>
      </c>
      <c r="E7" s="540">
        <v>5288.3</v>
      </c>
      <c r="F7" s="540">
        <v>5358.7</v>
      </c>
      <c r="G7" s="541">
        <v>5345.9</v>
      </c>
      <c r="H7" s="540">
        <v>5334.3</v>
      </c>
      <c r="I7" s="540">
        <v>5317.8</v>
      </c>
      <c r="J7" s="542">
        <v>5336</v>
      </c>
      <c r="K7" s="540">
        <v>5300.7</v>
      </c>
      <c r="L7" s="540">
        <v>5319.4</v>
      </c>
      <c r="M7" s="540">
        <v>5339.7</v>
      </c>
      <c r="N7" s="540">
        <v>5355.3</v>
      </c>
      <c r="O7" s="541">
        <v>5344</v>
      </c>
      <c r="P7" s="540">
        <v>5332</v>
      </c>
      <c r="Q7" s="540">
        <v>5306</v>
      </c>
      <c r="R7" s="619">
        <v>5264</v>
      </c>
      <c r="S7" s="541">
        <v>5177</v>
      </c>
      <c r="T7" s="540">
        <v>5117</v>
      </c>
      <c r="U7" s="540">
        <v>5106</v>
      </c>
      <c r="V7" s="623">
        <v>5049</v>
      </c>
      <c r="W7" s="541">
        <v>4951</v>
      </c>
      <c r="X7" s="540">
        <v>4895</v>
      </c>
      <c r="Y7" s="736">
        <v>4863</v>
      </c>
      <c r="Z7" s="623">
        <v>4843</v>
      </c>
      <c r="AA7" s="541">
        <v>4804</v>
      </c>
      <c r="AB7" s="540">
        <v>4749</v>
      </c>
      <c r="AC7" s="540">
        <v>4694</v>
      </c>
      <c r="AD7" s="623">
        <v>4682.8559999999998</v>
      </c>
      <c r="AE7" s="541">
        <v>4661</v>
      </c>
      <c r="AF7" s="540">
        <v>4574</v>
      </c>
      <c r="AG7" s="736"/>
      <c r="AH7" s="623"/>
      <c r="AI7" s="760"/>
      <c r="AJ7" s="760"/>
    </row>
    <row r="8" spans="1:36" ht="20.100000000000001" customHeight="1">
      <c r="A8" s="539" t="s">
        <v>625</v>
      </c>
      <c r="B8" s="539" t="s">
        <v>626</v>
      </c>
      <c r="C8" s="540">
        <v>5109</v>
      </c>
      <c r="D8" s="540">
        <v>5150.6000000000004</v>
      </c>
      <c r="E8" s="540">
        <v>5212.2</v>
      </c>
      <c r="F8" s="540">
        <v>5271.2</v>
      </c>
      <c r="G8" s="541">
        <v>5334.6</v>
      </c>
      <c r="H8" s="540">
        <v>5396.4</v>
      </c>
      <c r="I8" s="540">
        <v>5494.2</v>
      </c>
      <c r="J8" s="542">
        <v>5578.1</v>
      </c>
      <c r="K8" s="540">
        <v>5628.3</v>
      </c>
      <c r="L8" s="540">
        <v>5683.4</v>
      </c>
      <c r="M8" s="540">
        <v>5760.6</v>
      </c>
      <c r="N8" s="540">
        <v>5810.2</v>
      </c>
      <c r="O8" s="541">
        <v>5832</v>
      </c>
      <c r="P8" s="540">
        <v>5864</v>
      </c>
      <c r="Q8" s="540">
        <v>6182</v>
      </c>
      <c r="R8" s="619">
        <v>6195</v>
      </c>
      <c r="S8" s="541">
        <v>6205</v>
      </c>
      <c r="T8" s="540">
        <v>6230</v>
      </c>
      <c r="U8" s="540">
        <v>6232</v>
      </c>
      <c r="V8" s="623">
        <v>6238</v>
      </c>
      <c r="W8" s="541">
        <v>6232</v>
      </c>
      <c r="X8" s="540">
        <v>6218</v>
      </c>
      <c r="Y8" s="736">
        <v>6213</v>
      </c>
      <c r="Z8" s="623">
        <v>6246</v>
      </c>
      <c r="AA8" s="541">
        <v>6273</v>
      </c>
      <c r="AB8" s="540">
        <v>6317</v>
      </c>
      <c r="AC8" s="540">
        <v>6378</v>
      </c>
      <c r="AD8" s="623">
        <v>6437.26</v>
      </c>
      <c r="AE8" s="541">
        <v>6483</v>
      </c>
      <c r="AF8" s="540">
        <v>6526</v>
      </c>
      <c r="AG8" s="736"/>
      <c r="AH8" s="623"/>
      <c r="AI8" s="760"/>
      <c r="AJ8" s="760"/>
    </row>
    <row r="9" spans="1:36" ht="18.75" customHeight="1">
      <c r="A9" s="539" t="s">
        <v>627</v>
      </c>
      <c r="B9" s="539" t="s">
        <v>628</v>
      </c>
      <c r="C9" s="540">
        <v>2032.2</v>
      </c>
      <c r="D9" s="540">
        <v>2014.8</v>
      </c>
      <c r="E9" s="540">
        <v>2007.5</v>
      </c>
      <c r="F9" s="540">
        <v>2016.5</v>
      </c>
      <c r="G9" s="541">
        <v>1996.9</v>
      </c>
      <c r="H9" s="540">
        <v>1984.4</v>
      </c>
      <c r="I9" s="540">
        <v>1981.1</v>
      </c>
      <c r="J9" s="542">
        <v>1987.6</v>
      </c>
      <c r="K9" s="540">
        <v>1978.6</v>
      </c>
      <c r="L9" s="540">
        <v>1981.3</v>
      </c>
      <c r="M9" s="540">
        <v>1983.7</v>
      </c>
      <c r="N9" s="540">
        <v>2003.8</v>
      </c>
      <c r="O9" s="541">
        <v>1996</v>
      </c>
      <c r="P9" s="540">
        <v>1992</v>
      </c>
      <c r="Q9" s="540">
        <v>2006</v>
      </c>
      <c r="R9" s="619">
        <v>2006</v>
      </c>
      <c r="S9" s="541">
        <v>1997</v>
      </c>
      <c r="T9" s="540">
        <v>2002</v>
      </c>
      <c r="U9" s="540">
        <v>2003</v>
      </c>
      <c r="V9" s="623">
        <v>1998</v>
      </c>
      <c r="W9" s="541">
        <v>1980</v>
      </c>
      <c r="X9" s="540">
        <v>1970</v>
      </c>
      <c r="Y9" s="736">
        <v>1978</v>
      </c>
      <c r="Z9" s="623">
        <v>1994</v>
      </c>
      <c r="AA9" s="541">
        <v>2000</v>
      </c>
      <c r="AB9" s="540">
        <v>2020</v>
      </c>
      <c r="AC9" s="540">
        <v>2057</v>
      </c>
      <c r="AD9" s="623">
        <v>2089</v>
      </c>
      <c r="AE9" s="541">
        <v>2145</v>
      </c>
      <c r="AF9" s="540">
        <v>2179</v>
      </c>
      <c r="AG9" s="736"/>
      <c r="AH9" s="623"/>
      <c r="AI9" s="760"/>
      <c r="AJ9" s="760"/>
    </row>
    <row r="10" spans="1:36" s="543" customFormat="1" ht="20.100000000000001" customHeight="1">
      <c r="A10" s="532" t="s">
        <v>629</v>
      </c>
      <c r="B10" s="533" t="s">
        <v>630</v>
      </c>
      <c r="C10" s="534">
        <v>6252</v>
      </c>
      <c r="D10" s="534">
        <v>6217</v>
      </c>
      <c r="E10" s="534">
        <v>6192</v>
      </c>
      <c r="F10" s="534">
        <v>6176.3</v>
      </c>
      <c r="G10" s="535">
        <v>6133.1</v>
      </c>
      <c r="H10" s="534">
        <v>6100.4</v>
      </c>
      <c r="I10" s="534">
        <v>6082.7</v>
      </c>
      <c r="J10" s="534">
        <v>6086.7</v>
      </c>
      <c r="K10" s="536">
        <v>6046.1</v>
      </c>
      <c r="L10" s="534">
        <v>6033</v>
      </c>
      <c r="M10" s="534">
        <v>6018.3</v>
      </c>
      <c r="N10" s="534">
        <v>6003.6</v>
      </c>
      <c r="O10" s="535">
        <v>5962</v>
      </c>
      <c r="P10" s="534">
        <v>5932</v>
      </c>
      <c r="Q10" s="534">
        <v>6069</v>
      </c>
      <c r="R10" s="618">
        <v>6047</v>
      </c>
      <c r="S10" s="535">
        <v>6012</v>
      </c>
      <c r="T10" s="534">
        <v>5990</v>
      </c>
      <c r="U10" s="534">
        <v>5967</v>
      </c>
      <c r="V10" s="618">
        <v>5934</v>
      </c>
      <c r="W10" s="755">
        <v>5887</v>
      </c>
      <c r="X10" s="756">
        <v>5848</v>
      </c>
      <c r="Y10" s="757">
        <v>5820</v>
      </c>
      <c r="Z10" s="618">
        <v>5795</v>
      </c>
      <c r="AA10" s="535">
        <v>5772</v>
      </c>
      <c r="AB10" s="534">
        <v>5758</v>
      </c>
      <c r="AC10" s="534">
        <v>5747</v>
      </c>
      <c r="AD10" s="618">
        <v>5737</v>
      </c>
      <c r="AE10" s="755">
        <v>5721</v>
      </c>
      <c r="AF10" s="756">
        <v>5692</v>
      </c>
      <c r="AG10" s="757"/>
      <c r="AH10" s="618"/>
      <c r="AI10" s="760"/>
      <c r="AJ10" s="760"/>
    </row>
    <row r="11" spans="1:36" s="549" customFormat="1" ht="20.100000000000001" customHeight="1">
      <c r="A11" s="544" t="s">
        <v>631</v>
      </c>
      <c r="B11" s="545" t="s">
        <v>632</v>
      </c>
      <c r="C11" s="546">
        <v>60.6</v>
      </c>
      <c r="D11" s="546">
        <v>61.3</v>
      </c>
      <c r="E11" s="546">
        <v>62.5</v>
      </c>
      <c r="F11" s="546">
        <v>62.6</v>
      </c>
      <c r="G11" s="547">
        <v>62</v>
      </c>
      <c r="H11" s="546">
        <v>62.2</v>
      </c>
      <c r="I11" s="546">
        <v>63.4</v>
      </c>
      <c r="J11" s="546">
        <v>63.8</v>
      </c>
      <c r="K11" s="548">
        <v>63.3</v>
      </c>
      <c r="L11" s="546">
        <v>63.3</v>
      </c>
      <c r="M11" s="546">
        <v>64.900000000000006</v>
      </c>
      <c r="N11" s="546">
        <v>66.2</v>
      </c>
      <c r="O11" s="547">
        <v>67.2</v>
      </c>
      <c r="P11" s="546">
        <v>67.8</v>
      </c>
      <c r="Q11" s="546">
        <v>68.599999999999994</v>
      </c>
      <c r="R11" s="620">
        <v>69.099999999999994</v>
      </c>
      <c r="S11" s="547">
        <v>69.8</v>
      </c>
      <c r="T11" s="546">
        <v>70.2</v>
      </c>
      <c r="U11" s="546">
        <v>71.3</v>
      </c>
      <c r="V11" s="620">
        <v>71.7</v>
      </c>
      <c r="W11" s="547">
        <v>71.400000000000006</v>
      </c>
      <c r="X11" s="546">
        <v>71.8</v>
      </c>
      <c r="Y11" s="546">
        <v>73.5</v>
      </c>
      <c r="Z11" s="620">
        <v>73.599999999999994</v>
      </c>
      <c r="AA11" s="547">
        <v>74.599999999999994</v>
      </c>
      <c r="AB11" s="546">
        <v>75.2</v>
      </c>
      <c r="AC11" s="546">
        <v>77.2</v>
      </c>
      <c r="AD11" s="620">
        <v>77.400000000000006</v>
      </c>
      <c r="AE11" s="547">
        <v>77.7</v>
      </c>
      <c r="AF11" s="546">
        <v>78.400000000000006</v>
      </c>
      <c r="AG11" s="546"/>
      <c r="AH11" s="620"/>
      <c r="AI11" s="771"/>
    </row>
    <row r="12" spans="1:36" s="549" customFormat="1" ht="20.100000000000001" customHeight="1">
      <c r="A12" s="544" t="s">
        <v>633</v>
      </c>
      <c r="B12" s="545" t="s">
        <v>634</v>
      </c>
      <c r="C12" s="546">
        <v>60.6</v>
      </c>
      <c r="D12" s="546">
        <v>60.9</v>
      </c>
      <c r="E12" s="546">
        <v>61.5</v>
      </c>
      <c r="F12" s="546">
        <v>61.8</v>
      </c>
      <c r="G12" s="547">
        <v>62</v>
      </c>
      <c r="H12" s="546">
        <v>62.1</v>
      </c>
      <c r="I12" s="546">
        <v>62.5</v>
      </c>
      <c r="J12" s="546">
        <v>62.9</v>
      </c>
      <c r="K12" s="548">
        <v>63.3</v>
      </c>
      <c r="L12" s="546">
        <v>63.3</v>
      </c>
      <c r="M12" s="546">
        <v>63.9</v>
      </c>
      <c r="N12" s="546">
        <v>64.5</v>
      </c>
      <c r="O12" s="547">
        <v>67.2</v>
      </c>
      <c r="P12" s="546">
        <v>67.5</v>
      </c>
      <c r="Q12" s="546">
        <v>67.900000000000006</v>
      </c>
      <c r="R12" s="620">
        <v>68.2</v>
      </c>
      <c r="S12" s="547">
        <v>69.8</v>
      </c>
      <c r="T12" s="546">
        <v>70</v>
      </c>
      <c r="U12" s="546">
        <v>70.400000000000006</v>
      </c>
      <c r="V12" s="620">
        <v>70.8</v>
      </c>
      <c r="W12" s="547">
        <v>71.400000000000006</v>
      </c>
      <c r="X12" s="546">
        <v>71.599999999999994</v>
      </c>
      <c r="Y12" s="546">
        <v>72.2</v>
      </c>
      <c r="Z12" s="763">
        <v>72.599999999999994</v>
      </c>
      <c r="AA12" s="547">
        <v>74.599999999999994</v>
      </c>
      <c r="AB12" s="546">
        <v>74.900000000000006</v>
      </c>
      <c r="AC12" s="546">
        <v>75.7</v>
      </c>
      <c r="AD12" s="620">
        <v>76.099999999999994</v>
      </c>
      <c r="AE12" s="547">
        <v>77.7</v>
      </c>
      <c r="AF12" s="546">
        <v>78.099999999999994</v>
      </c>
      <c r="AG12" s="546"/>
      <c r="AH12" s="763"/>
      <c r="AI12" s="771"/>
      <c r="AJ12" s="771"/>
    </row>
    <row r="13" spans="1:36" ht="20.100000000000001" customHeight="1">
      <c r="A13" s="550" t="s">
        <v>635</v>
      </c>
      <c r="B13" s="550" t="s">
        <v>636</v>
      </c>
      <c r="C13" s="551" t="s">
        <v>637</v>
      </c>
      <c r="D13" s="551" t="s">
        <v>637</v>
      </c>
      <c r="E13" s="551" t="s">
        <v>637</v>
      </c>
      <c r="F13" s="551" t="s">
        <v>637</v>
      </c>
      <c r="G13" s="552">
        <v>7.9000000000000001E-2</v>
      </c>
      <c r="H13" s="551">
        <v>7.6999999999999999E-2</v>
      </c>
      <c r="I13" s="551">
        <v>7.3999999999999996E-2</v>
      </c>
      <c r="J13" s="551">
        <v>7.1999999999999995E-2</v>
      </c>
      <c r="K13" s="553">
        <v>7.1999999999999995E-2</v>
      </c>
      <c r="L13" s="551">
        <v>6.9000000000000006E-2</v>
      </c>
      <c r="M13" s="551">
        <v>6.7000000000000004E-2</v>
      </c>
      <c r="N13" s="551">
        <v>6.9000000000000006E-2</v>
      </c>
      <c r="O13" s="552">
        <v>7.0999999999999994E-2</v>
      </c>
      <c r="P13" s="551">
        <v>7.2999999999999995E-2</v>
      </c>
      <c r="Q13" s="551">
        <v>6.9000000000000006E-2</v>
      </c>
      <c r="R13" s="621">
        <v>6.9000000000000006E-2</v>
      </c>
      <c r="S13" s="552">
        <v>6.8000000000000005E-2</v>
      </c>
      <c r="T13" s="551">
        <v>6.8000000000000005E-2</v>
      </c>
      <c r="U13" s="551">
        <v>6.8000000000000005E-2</v>
      </c>
      <c r="V13" s="621">
        <v>7.0000000000000007E-2</v>
      </c>
      <c r="W13" s="552">
        <v>7.1999999999999995E-2</v>
      </c>
      <c r="X13" s="551">
        <v>7.2999999999999995E-2</v>
      </c>
      <c r="Y13" s="734">
        <v>7.4999999999999997E-2</v>
      </c>
      <c r="Z13" s="621">
        <v>7.5999999999999998E-2</v>
      </c>
      <c r="AA13" s="552">
        <v>7.5999999999999998E-2</v>
      </c>
      <c r="AB13" s="551">
        <v>7.4999999999999997E-2</v>
      </c>
      <c r="AC13" s="551">
        <v>7.1999999999999995E-2</v>
      </c>
      <c r="AD13" s="621">
        <v>7.0000000000000007E-2</v>
      </c>
      <c r="AE13" s="552">
        <v>6.8000000000000005E-2</v>
      </c>
      <c r="AF13" s="551">
        <v>7.0999999999999994E-2</v>
      </c>
      <c r="AG13" s="734"/>
      <c r="AH13" s="621"/>
    </row>
    <row r="14" spans="1:36" ht="20.100000000000001" customHeight="1">
      <c r="A14" s="550" t="s">
        <v>638</v>
      </c>
      <c r="B14" s="550" t="s">
        <v>639</v>
      </c>
      <c r="C14" s="554">
        <v>1.98</v>
      </c>
      <c r="D14" s="554">
        <v>2</v>
      </c>
      <c r="E14" s="554">
        <v>2.02</v>
      </c>
      <c r="F14" s="554">
        <v>2.0499999999999998</v>
      </c>
      <c r="G14" s="555">
        <v>2.0699999999999998</v>
      </c>
      <c r="H14" s="554">
        <v>2.08</v>
      </c>
      <c r="I14" s="554">
        <v>2.1</v>
      </c>
      <c r="J14" s="554">
        <v>2.12</v>
      </c>
      <c r="K14" s="556">
        <v>2.13</v>
      </c>
      <c r="L14" s="554">
        <v>2.15</v>
      </c>
      <c r="M14" s="554">
        <v>2.17</v>
      </c>
      <c r="N14" s="554">
        <v>2.19</v>
      </c>
      <c r="O14" s="555">
        <v>2.21</v>
      </c>
      <c r="P14" s="554">
        <v>2.2200000000000002</v>
      </c>
      <c r="Q14" s="554">
        <v>2.2200000000000002</v>
      </c>
      <c r="R14" s="622">
        <v>2.23</v>
      </c>
      <c r="S14" s="555">
        <v>2.23</v>
      </c>
      <c r="T14" s="554">
        <v>2.23</v>
      </c>
      <c r="U14" s="554">
        <v>2.2400000000000002</v>
      </c>
      <c r="V14" s="622">
        <v>2.2400000000000002</v>
      </c>
      <c r="W14" s="555">
        <v>2.2400000000000002</v>
      </c>
      <c r="X14" s="554">
        <v>2.2400000000000002</v>
      </c>
      <c r="Y14" s="733">
        <v>2.2400000000000002</v>
      </c>
      <c r="Z14" s="622">
        <v>2.2599999999999998</v>
      </c>
      <c r="AA14" s="555">
        <v>2.27</v>
      </c>
      <c r="AB14" s="554">
        <v>2.27</v>
      </c>
      <c r="AC14" s="554">
        <v>2.29</v>
      </c>
      <c r="AD14" s="622">
        <v>2.2999999999999998</v>
      </c>
      <c r="AE14" s="555">
        <v>2.3199999999999998</v>
      </c>
      <c r="AF14" s="554">
        <v>2.33</v>
      </c>
      <c r="AG14" s="733"/>
      <c r="AH14" s="622"/>
    </row>
    <row r="15" spans="1:36" s="531" customFormat="1" ht="20.100000000000001" customHeight="1">
      <c r="A15" s="527" t="s">
        <v>640</v>
      </c>
      <c r="B15" s="527" t="s">
        <v>641</v>
      </c>
      <c r="C15" s="528"/>
      <c r="D15" s="528"/>
      <c r="E15" s="528"/>
      <c r="F15" s="528"/>
      <c r="G15" s="529"/>
      <c r="H15" s="528"/>
      <c r="I15" s="528"/>
      <c r="J15" s="528"/>
      <c r="K15" s="530"/>
      <c r="L15" s="528"/>
      <c r="M15" s="528"/>
      <c r="N15" s="528"/>
      <c r="O15" s="529"/>
      <c r="P15" s="528"/>
      <c r="Q15" s="528"/>
      <c r="R15" s="617"/>
      <c r="S15" s="529"/>
      <c r="T15" s="528"/>
      <c r="U15" s="528"/>
      <c r="V15" s="617"/>
      <c r="W15" s="529"/>
      <c r="X15" s="528"/>
      <c r="Y15" s="732"/>
      <c r="Z15" s="617"/>
      <c r="AA15" s="529"/>
      <c r="AB15" s="528"/>
      <c r="AC15" s="732"/>
      <c r="AD15" s="617"/>
      <c r="AE15" s="529"/>
      <c r="AF15" s="528"/>
      <c r="AG15" s="732"/>
      <c r="AH15" s="617"/>
    </row>
    <row r="16" spans="1:36" s="537" customFormat="1" ht="20.100000000000001" customHeight="1">
      <c r="A16" s="557" t="s">
        <v>642</v>
      </c>
      <c r="B16" s="558" t="s">
        <v>643</v>
      </c>
      <c r="C16" s="534">
        <f t="shared" ref="C16:R16" si="19">SUM(C17:C19)</f>
        <v>2783.2</v>
      </c>
      <c r="D16" s="534">
        <f t="shared" si="19"/>
        <v>2768.7</v>
      </c>
      <c r="E16" s="534">
        <f t="shared" si="19"/>
        <v>2794.2000000000003</v>
      </c>
      <c r="F16" s="534">
        <f t="shared" si="19"/>
        <v>2646.9</v>
      </c>
      <c r="G16" s="535">
        <f t="shared" si="19"/>
        <v>2642.7999999999997</v>
      </c>
      <c r="H16" s="534">
        <f t="shared" si="19"/>
        <v>2607.4</v>
      </c>
      <c r="I16" s="534">
        <f t="shared" si="19"/>
        <v>2678.9</v>
      </c>
      <c r="J16" s="534">
        <f t="shared" si="19"/>
        <v>2657.5</v>
      </c>
      <c r="K16" s="536">
        <f t="shared" si="19"/>
        <v>2638.7000000000003</v>
      </c>
      <c r="L16" s="534">
        <f t="shared" si="19"/>
        <v>2525.1999999999998</v>
      </c>
      <c r="M16" s="534">
        <f t="shared" si="19"/>
        <v>2671.2</v>
      </c>
      <c r="N16" s="534">
        <f t="shared" si="19"/>
        <v>2617.8000000000002</v>
      </c>
      <c r="O16" s="535">
        <f t="shared" si="19"/>
        <v>2736</v>
      </c>
      <c r="P16" s="534">
        <f t="shared" si="19"/>
        <v>2596</v>
      </c>
      <c r="Q16" s="534">
        <f t="shared" si="19"/>
        <v>2773</v>
      </c>
      <c r="R16" s="618">
        <f t="shared" si="19"/>
        <v>2665.6990000000001</v>
      </c>
      <c r="S16" s="535">
        <f t="shared" ref="S16:V16" si="20">SUM(S17:S19)</f>
        <v>2832</v>
      </c>
      <c r="T16" s="534">
        <f t="shared" si="20"/>
        <v>2772</v>
      </c>
      <c r="U16" s="534">
        <f t="shared" si="20"/>
        <v>2832</v>
      </c>
      <c r="V16" s="618">
        <f t="shared" si="20"/>
        <v>2691</v>
      </c>
      <c r="W16" s="535">
        <f t="shared" ref="W16:AD16" si="21">SUM(W17:W19)</f>
        <v>2693</v>
      </c>
      <c r="X16" s="534">
        <f t="shared" si="21"/>
        <v>2656</v>
      </c>
      <c r="Y16" s="534">
        <f t="shared" si="21"/>
        <v>2738</v>
      </c>
      <c r="Z16" s="618">
        <f t="shared" si="21"/>
        <v>2646</v>
      </c>
      <c r="AA16" s="535">
        <f t="shared" si="21"/>
        <v>2624</v>
      </c>
      <c r="AB16" s="534">
        <f t="shared" si="21"/>
        <v>2609</v>
      </c>
      <c r="AC16" s="534">
        <f t="shared" si="21"/>
        <v>2566</v>
      </c>
      <c r="AD16" s="618">
        <f t="shared" si="21"/>
        <v>2468</v>
      </c>
      <c r="AE16" s="535">
        <f t="shared" ref="AE16:AF16" si="22">SUM(AE17:AE19)</f>
        <v>2430</v>
      </c>
      <c r="AF16" s="534">
        <f t="shared" si="22"/>
        <v>2376</v>
      </c>
      <c r="AG16" s="534"/>
      <c r="AH16" s="618"/>
    </row>
    <row r="17" spans="1:35" s="537" customFormat="1" ht="20.100000000000001" customHeight="1">
      <c r="A17" s="559" t="s">
        <v>644</v>
      </c>
      <c r="B17" s="559" t="s">
        <v>645</v>
      </c>
      <c r="C17" s="560">
        <v>75.2</v>
      </c>
      <c r="D17" s="560">
        <v>59.7</v>
      </c>
      <c r="E17" s="560">
        <v>91.3</v>
      </c>
      <c r="F17" s="560">
        <v>95.7</v>
      </c>
      <c r="G17" s="561">
        <v>144.6</v>
      </c>
      <c r="H17" s="560">
        <v>87.2</v>
      </c>
      <c r="I17" s="560">
        <v>142.9</v>
      </c>
      <c r="J17" s="560">
        <v>161.19999999999999</v>
      </c>
      <c r="K17" s="562">
        <v>172</v>
      </c>
      <c r="L17" s="560">
        <v>93.3</v>
      </c>
      <c r="M17" s="560">
        <v>158.1</v>
      </c>
      <c r="N17" s="560">
        <v>114.4</v>
      </c>
      <c r="O17" s="561">
        <v>225</v>
      </c>
      <c r="P17" s="560">
        <v>135</v>
      </c>
      <c r="Q17" s="560">
        <v>145</v>
      </c>
      <c r="R17" s="623">
        <v>89.698999999999998</v>
      </c>
      <c r="S17" s="561">
        <v>129</v>
      </c>
      <c r="T17" s="560">
        <v>81</v>
      </c>
      <c r="U17" s="560">
        <v>161</v>
      </c>
      <c r="V17" s="623">
        <v>82</v>
      </c>
      <c r="W17" s="561">
        <v>121</v>
      </c>
      <c r="X17" s="540">
        <v>79</v>
      </c>
      <c r="Y17" s="560">
        <v>128</v>
      </c>
      <c r="Z17" s="623">
        <v>98</v>
      </c>
      <c r="AA17" s="561">
        <v>123</v>
      </c>
      <c r="AB17" s="560">
        <v>112</v>
      </c>
      <c r="AC17" s="560">
        <v>86</v>
      </c>
      <c r="AD17" s="623">
        <v>86</v>
      </c>
      <c r="AE17" s="561">
        <v>108</v>
      </c>
      <c r="AF17" s="540">
        <v>83</v>
      </c>
      <c r="AG17" s="560"/>
      <c r="AH17" s="623"/>
    </row>
    <row r="18" spans="1:35" s="537" customFormat="1" ht="20.100000000000001" customHeight="1">
      <c r="A18" s="559" t="s">
        <v>815</v>
      </c>
      <c r="B18" s="559" t="s">
        <v>816</v>
      </c>
      <c r="C18" s="560">
        <v>2539.4</v>
      </c>
      <c r="D18" s="560">
        <v>2545.6999999999998</v>
      </c>
      <c r="E18" s="560">
        <v>2550.4</v>
      </c>
      <c r="F18" s="560">
        <v>2423.8000000000002</v>
      </c>
      <c r="G18" s="561">
        <v>2387.6999999999998</v>
      </c>
      <c r="H18" s="560">
        <v>2418.4</v>
      </c>
      <c r="I18" s="560">
        <v>2443.3000000000002</v>
      </c>
      <c r="J18" s="560">
        <v>2415.8000000000002</v>
      </c>
      <c r="K18" s="562">
        <v>2393.4</v>
      </c>
      <c r="L18" s="560">
        <v>2364.1999999999998</v>
      </c>
      <c r="M18" s="560">
        <v>2449.1999999999998</v>
      </c>
      <c r="N18" s="560">
        <v>2445.9</v>
      </c>
      <c r="O18" s="561">
        <v>2458</v>
      </c>
      <c r="P18" s="560">
        <v>2414</v>
      </c>
      <c r="Q18" s="560">
        <v>2584</v>
      </c>
      <c r="R18" s="623">
        <v>2537</v>
      </c>
      <c r="S18" s="561">
        <v>2666</v>
      </c>
      <c r="T18" s="560">
        <v>2655</v>
      </c>
      <c r="U18" s="560">
        <v>2636</v>
      </c>
      <c r="V18" s="623">
        <v>2578</v>
      </c>
      <c r="W18" s="561">
        <v>2542</v>
      </c>
      <c r="X18" s="540">
        <v>2548</v>
      </c>
      <c r="Y18" s="560">
        <v>2582</v>
      </c>
      <c r="Z18" s="623">
        <v>2522</v>
      </c>
      <c r="AA18" s="561">
        <v>2476</v>
      </c>
      <c r="AB18" s="560">
        <v>2473</v>
      </c>
      <c r="AC18" s="560">
        <v>2456</v>
      </c>
      <c r="AD18" s="623">
        <v>2358</v>
      </c>
      <c r="AE18" s="561">
        <v>2297</v>
      </c>
      <c r="AF18" s="540">
        <v>2293</v>
      </c>
      <c r="AG18" s="560"/>
      <c r="AH18" s="623"/>
    </row>
    <row r="19" spans="1:35" s="537" customFormat="1" ht="20.100000000000001" customHeight="1">
      <c r="A19" s="559" t="s">
        <v>647</v>
      </c>
      <c r="B19" s="559" t="s">
        <v>808</v>
      </c>
      <c r="C19" s="560">
        <v>168.6</v>
      </c>
      <c r="D19" s="560">
        <v>163.30000000000001</v>
      </c>
      <c r="E19" s="560">
        <v>152.5</v>
      </c>
      <c r="F19" s="560">
        <v>127.4</v>
      </c>
      <c r="G19" s="561">
        <v>110.5</v>
      </c>
      <c r="H19" s="560">
        <v>101.8</v>
      </c>
      <c r="I19" s="560">
        <v>92.7</v>
      </c>
      <c r="J19" s="560">
        <v>80.5</v>
      </c>
      <c r="K19" s="562">
        <v>73.3</v>
      </c>
      <c r="L19" s="560">
        <v>67.7</v>
      </c>
      <c r="M19" s="560">
        <v>63.9</v>
      </c>
      <c r="N19" s="560">
        <v>57.5</v>
      </c>
      <c r="O19" s="561">
        <v>53</v>
      </c>
      <c r="P19" s="560">
        <v>47</v>
      </c>
      <c r="Q19" s="560">
        <v>44</v>
      </c>
      <c r="R19" s="623">
        <v>39</v>
      </c>
      <c r="S19" s="561">
        <v>37</v>
      </c>
      <c r="T19" s="560">
        <v>36</v>
      </c>
      <c r="U19" s="560">
        <v>35</v>
      </c>
      <c r="V19" s="623">
        <v>31</v>
      </c>
      <c r="W19" s="561">
        <v>30</v>
      </c>
      <c r="X19" s="540">
        <v>29</v>
      </c>
      <c r="Y19" s="560">
        <v>28</v>
      </c>
      <c r="Z19" s="623">
        <v>26</v>
      </c>
      <c r="AA19" s="561">
        <v>25</v>
      </c>
      <c r="AB19" s="560">
        <v>24</v>
      </c>
      <c r="AC19" s="560">
        <v>24</v>
      </c>
      <c r="AD19" s="623">
        <v>24</v>
      </c>
      <c r="AE19" s="561">
        <v>25</v>
      </c>
      <c r="AF19" s="949">
        <v>0</v>
      </c>
      <c r="AG19" s="560"/>
      <c r="AH19" s="623"/>
    </row>
    <row r="20" spans="1:35" s="549" customFormat="1" ht="20.100000000000001" customHeight="1">
      <c r="A20" s="544" t="s">
        <v>648</v>
      </c>
      <c r="B20" s="545" t="s">
        <v>649</v>
      </c>
      <c r="C20" s="546">
        <v>15.1</v>
      </c>
      <c r="D20" s="546">
        <v>15.4</v>
      </c>
      <c r="E20" s="546">
        <v>15.9</v>
      </c>
      <c r="F20" s="546">
        <v>15.2</v>
      </c>
      <c r="G20" s="547">
        <v>15</v>
      </c>
      <c r="H20" s="546">
        <v>15.5</v>
      </c>
      <c r="I20" s="546">
        <v>15.7</v>
      </c>
      <c r="J20" s="546">
        <v>15.2</v>
      </c>
      <c r="K20" s="548">
        <v>15.1</v>
      </c>
      <c r="L20" s="546">
        <v>15.2</v>
      </c>
      <c r="M20" s="546">
        <v>15.9</v>
      </c>
      <c r="N20" s="546">
        <v>15.8</v>
      </c>
      <c r="O20" s="547">
        <v>15.6</v>
      </c>
      <c r="P20" s="546">
        <v>16</v>
      </c>
      <c r="Q20" s="546">
        <v>16.399999999999999</v>
      </c>
      <c r="R20" s="620">
        <v>16.600000000000001</v>
      </c>
      <c r="S20" s="547">
        <v>17.2</v>
      </c>
      <c r="T20" s="546">
        <v>17.399999999999999</v>
      </c>
      <c r="U20" s="546">
        <v>17.899999999999999</v>
      </c>
      <c r="V20" s="620">
        <v>17.399999999999999</v>
      </c>
      <c r="W20" s="547">
        <v>17.100000000000001</v>
      </c>
      <c r="X20" s="546">
        <v>17.8</v>
      </c>
      <c r="Y20" s="546">
        <v>17.899999999999999</v>
      </c>
      <c r="Z20" s="620">
        <v>17.399999999999999</v>
      </c>
      <c r="AA20" s="547">
        <v>17.3</v>
      </c>
      <c r="AB20" s="546">
        <v>18</v>
      </c>
      <c r="AC20" s="546">
        <v>17.8</v>
      </c>
      <c r="AD20" s="620">
        <v>17.3</v>
      </c>
      <c r="AE20" s="547">
        <v>17</v>
      </c>
      <c r="AF20" s="546">
        <v>17.7</v>
      </c>
      <c r="AG20" s="546"/>
      <c r="AH20" s="620"/>
    </row>
    <row r="21" spans="1:35" s="549" customFormat="1" ht="20.100000000000001" customHeight="1" thickBot="1">
      <c r="A21" s="563" t="s">
        <v>650</v>
      </c>
      <c r="B21" s="564" t="s">
        <v>651</v>
      </c>
      <c r="C21" s="565">
        <v>15.1</v>
      </c>
      <c r="D21" s="565">
        <v>15.3</v>
      </c>
      <c r="E21" s="565">
        <v>15.5</v>
      </c>
      <c r="F21" s="565">
        <v>15.4</v>
      </c>
      <c r="G21" s="566">
        <v>15</v>
      </c>
      <c r="H21" s="565">
        <v>15.3</v>
      </c>
      <c r="I21" s="565">
        <v>15.4</v>
      </c>
      <c r="J21" s="565">
        <v>15.4</v>
      </c>
      <c r="K21" s="567">
        <v>15.1</v>
      </c>
      <c r="L21" s="565">
        <v>15.1</v>
      </c>
      <c r="M21" s="565">
        <v>15.4</v>
      </c>
      <c r="N21" s="565">
        <v>15.5</v>
      </c>
      <c r="O21" s="566">
        <v>15.6</v>
      </c>
      <c r="P21" s="565">
        <v>15.8</v>
      </c>
      <c r="Q21" s="565">
        <v>16</v>
      </c>
      <c r="R21" s="624">
        <v>16.2</v>
      </c>
      <c r="S21" s="566">
        <v>17.2</v>
      </c>
      <c r="T21" s="565">
        <v>17.3</v>
      </c>
      <c r="U21" s="565">
        <v>17.5</v>
      </c>
      <c r="V21" s="624">
        <v>17.5</v>
      </c>
      <c r="W21" s="566">
        <v>17.100000000000001</v>
      </c>
      <c r="X21" s="565">
        <v>17.5</v>
      </c>
      <c r="Y21" s="565">
        <v>17.600000000000001</v>
      </c>
      <c r="Z21" s="624">
        <v>17.600000000000001</v>
      </c>
      <c r="AA21" s="566">
        <v>17.3</v>
      </c>
      <c r="AB21" s="565">
        <v>17.7</v>
      </c>
      <c r="AC21" s="565">
        <v>17.7</v>
      </c>
      <c r="AD21" s="624">
        <v>17.600000000000001</v>
      </c>
      <c r="AE21" s="566">
        <v>17</v>
      </c>
      <c r="AF21" s="565">
        <v>17.3</v>
      </c>
      <c r="AG21" s="565"/>
      <c r="AH21" s="624"/>
    </row>
    <row r="22" spans="1:35" s="531" customFormat="1" ht="20.100000000000001" customHeight="1">
      <c r="A22" s="527" t="s">
        <v>652</v>
      </c>
      <c r="B22" s="527" t="s">
        <v>653</v>
      </c>
      <c r="C22" s="528"/>
      <c r="D22" s="528"/>
      <c r="E22" s="528"/>
      <c r="F22" s="528"/>
      <c r="G22" s="529"/>
      <c r="H22" s="528"/>
      <c r="I22" s="528"/>
      <c r="J22" s="528"/>
      <c r="K22" s="530"/>
      <c r="L22" s="528"/>
      <c r="M22" s="528"/>
      <c r="N22" s="528"/>
      <c r="O22" s="529"/>
      <c r="P22" s="528"/>
      <c r="Q22" s="528"/>
      <c r="R22" s="617"/>
      <c r="S22" s="529"/>
      <c r="T22" s="528"/>
      <c r="U22" s="528"/>
      <c r="V22" s="617"/>
      <c r="W22" s="529"/>
      <c r="X22" s="528"/>
      <c r="Y22" s="735"/>
      <c r="Z22" s="617"/>
      <c r="AA22" s="529"/>
      <c r="AB22" s="528"/>
      <c r="AC22" s="735"/>
      <c r="AD22" s="617"/>
      <c r="AE22" s="529"/>
      <c r="AF22" s="528"/>
      <c r="AG22" s="735"/>
      <c r="AH22" s="617"/>
    </row>
    <row r="23" spans="1:35" s="549" customFormat="1" ht="20.100000000000001" customHeight="1">
      <c r="A23" s="544" t="s">
        <v>654</v>
      </c>
      <c r="B23" s="545" t="s">
        <v>655</v>
      </c>
      <c r="C23" s="546">
        <v>68.2</v>
      </c>
      <c r="D23" s="546">
        <v>68</v>
      </c>
      <c r="E23" s="546">
        <v>68.099999999999994</v>
      </c>
      <c r="F23" s="546">
        <v>68.2</v>
      </c>
      <c r="G23" s="547">
        <v>68.2</v>
      </c>
      <c r="H23" s="546">
        <v>68.2</v>
      </c>
      <c r="I23" s="546">
        <v>68.400000000000006</v>
      </c>
      <c r="J23" s="546">
        <v>68.7</v>
      </c>
      <c r="K23" s="548">
        <v>68.900000000000006</v>
      </c>
      <c r="L23" s="546">
        <v>68.599999999999994</v>
      </c>
      <c r="M23" s="546">
        <v>68.900000000000006</v>
      </c>
      <c r="N23" s="546">
        <v>69.3</v>
      </c>
      <c r="O23" s="547">
        <v>68.8</v>
      </c>
      <c r="P23" s="546">
        <v>68.3</v>
      </c>
      <c r="Q23" s="546">
        <v>68.8</v>
      </c>
      <c r="R23" s="620">
        <v>68.900000000000006</v>
      </c>
      <c r="S23" s="547">
        <v>68.900000000000006</v>
      </c>
      <c r="T23" s="546">
        <v>68.8</v>
      </c>
      <c r="U23" s="546">
        <v>69.099999999999994</v>
      </c>
      <c r="V23" s="620">
        <v>69.099999999999994</v>
      </c>
      <c r="W23" s="547">
        <v>69.3</v>
      </c>
      <c r="X23" s="546">
        <v>69</v>
      </c>
      <c r="Y23" s="546">
        <v>68.8</v>
      </c>
      <c r="Z23" s="620">
        <v>68.8</v>
      </c>
      <c r="AA23" s="547">
        <v>68.400000000000006</v>
      </c>
      <c r="AB23" s="546">
        <v>68.5</v>
      </c>
      <c r="AC23" s="546">
        <v>68.3</v>
      </c>
      <c r="AD23" s="620">
        <v>68.2</v>
      </c>
      <c r="AE23" s="547">
        <v>68</v>
      </c>
      <c r="AF23" s="546">
        <v>68</v>
      </c>
      <c r="AG23" s="546"/>
      <c r="AH23" s="620"/>
    </row>
    <row r="24" spans="1:35" ht="20.100000000000001" customHeight="1">
      <c r="A24" s="544" t="s">
        <v>656</v>
      </c>
      <c r="B24" s="545" t="s">
        <v>657</v>
      </c>
      <c r="C24" s="560">
        <v>1412.8</v>
      </c>
      <c r="D24" s="560">
        <v>1438.5</v>
      </c>
      <c r="E24" s="560">
        <v>1442.3</v>
      </c>
      <c r="F24" s="560">
        <v>1408.8</v>
      </c>
      <c r="G24" s="561">
        <v>1391.3</v>
      </c>
      <c r="H24" s="560">
        <v>1384.2</v>
      </c>
      <c r="I24" s="560">
        <v>1409.9</v>
      </c>
      <c r="J24" s="560">
        <v>1413.9</v>
      </c>
      <c r="K24" s="562">
        <v>1392.9</v>
      </c>
      <c r="L24" s="560">
        <v>1376.1</v>
      </c>
      <c r="M24" s="560">
        <v>1368.6</v>
      </c>
      <c r="N24" s="560">
        <v>1384.2</v>
      </c>
      <c r="O24" s="561">
        <v>1404</v>
      </c>
      <c r="P24" s="560">
        <v>1387</v>
      </c>
      <c r="Q24" s="560">
        <v>1367</v>
      </c>
      <c r="R24" s="623">
        <v>1403</v>
      </c>
      <c r="S24" s="561">
        <v>1392</v>
      </c>
      <c r="T24" s="560">
        <v>1378</v>
      </c>
      <c r="U24" s="560">
        <v>1425</v>
      </c>
      <c r="V24" s="623">
        <v>1427</v>
      </c>
      <c r="W24" s="561">
        <v>1434</v>
      </c>
      <c r="X24" s="560">
        <v>1463</v>
      </c>
      <c r="Y24" s="560">
        <v>1456</v>
      </c>
      <c r="Z24" s="623">
        <v>1463</v>
      </c>
      <c r="AA24" s="561">
        <v>1490</v>
      </c>
      <c r="AB24" s="560">
        <v>1485</v>
      </c>
      <c r="AC24" s="560">
        <v>1514</v>
      </c>
      <c r="AD24" s="623">
        <v>1530</v>
      </c>
      <c r="AE24" s="561">
        <v>1508</v>
      </c>
      <c r="AF24" s="560">
        <v>1545</v>
      </c>
      <c r="AG24" s="560"/>
      <c r="AH24" s="623"/>
      <c r="AI24" s="771"/>
    </row>
    <row r="25" spans="1:35" ht="20.100000000000001" customHeight="1" thickBot="1">
      <c r="A25" s="568" t="s">
        <v>658</v>
      </c>
      <c r="B25" s="569" t="s">
        <v>659</v>
      </c>
      <c r="C25" s="570">
        <v>1412.8</v>
      </c>
      <c r="D25" s="570">
        <v>1425.6</v>
      </c>
      <c r="E25" s="570">
        <v>1431.2</v>
      </c>
      <c r="F25" s="570">
        <v>1425.6</v>
      </c>
      <c r="G25" s="571">
        <v>1391.3</v>
      </c>
      <c r="H25" s="570">
        <v>1387.8</v>
      </c>
      <c r="I25" s="570">
        <v>1395.1</v>
      </c>
      <c r="J25" s="570">
        <v>1399.9</v>
      </c>
      <c r="K25" s="572">
        <v>1392.9</v>
      </c>
      <c r="L25" s="570">
        <v>1384.5</v>
      </c>
      <c r="M25" s="570">
        <v>1379.2</v>
      </c>
      <c r="N25" s="570">
        <v>1380.5</v>
      </c>
      <c r="O25" s="571">
        <v>1404</v>
      </c>
      <c r="P25" s="570">
        <v>1396</v>
      </c>
      <c r="Q25" s="570">
        <v>1386</v>
      </c>
      <c r="R25" s="625">
        <v>1390</v>
      </c>
      <c r="S25" s="571">
        <v>1392</v>
      </c>
      <c r="T25" s="570">
        <v>1385</v>
      </c>
      <c r="U25" s="570">
        <v>1398</v>
      </c>
      <c r="V25" s="625">
        <v>1406</v>
      </c>
      <c r="W25" s="571">
        <v>1434</v>
      </c>
      <c r="X25" s="570">
        <v>1449</v>
      </c>
      <c r="Y25" s="570">
        <v>1451</v>
      </c>
      <c r="Z25" s="625">
        <v>1454</v>
      </c>
      <c r="AA25" s="571">
        <v>1490</v>
      </c>
      <c r="AB25" s="570">
        <v>1487</v>
      </c>
      <c r="AC25" s="570">
        <v>1496</v>
      </c>
      <c r="AD25" s="625">
        <v>1504</v>
      </c>
      <c r="AE25" s="571">
        <v>1508</v>
      </c>
      <c r="AF25" s="570">
        <v>1526</v>
      </c>
      <c r="AG25" s="570"/>
      <c r="AH25" s="625"/>
    </row>
    <row r="26" spans="1:35" ht="20.100000000000001" customHeight="1">
      <c r="C26" s="549"/>
      <c r="D26" s="549"/>
      <c r="E26" s="549"/>
      <c r="F26" s="549"/>
      <c r="G26" s="549"/>
      <c r="H26" s="549"/>
      <c r="I26" s="549"/>
      <c r="J26" s="549"/>
      <c r="K26" s="549"/>
      <c r="L26" s="549"/>
      <c r="M26" s="549"/>
      <c r="N26" s="549"/>
      <c r="O26" s="549"/>
      <c r="P26" s="549"/>
      <c r="Q26" s="549"/>
      <c r="S26" s="549"/>
      <c r="T26" s="549"/>
      <c r="U26" s="549"/>
      <c r="W26" s="549"/>
      <c r="X26" s="549"/>
      <c r="Y26" s="549"/>
      <c r="AA26" s="771"/>
      <c r="AB26" s="549"/>
      <c r="AC26" s="549"/>
    </row>
    <row r="27" spans="1:35" ht="72">
      <c r="A27" s="573" t="s">
        <v>660</v>
      </c>
      <c r="B27" s="574" t="s">
        <v>661</v>
      </c>
      <c r="C27" s="575"/>
      <c r="D27" s="575"/>
      <c r="E27" s="575"/>
      <c r="F27" s="575"/>
      <c r="G27" s="575"/>
      <c r="H27" s="575"/>
      <c r="I27" s="575"/>
      <c r="J27" s="575"/>
      <c r="K27" s="575"/>
      <c r="L27" s="575"/>
      <c r="M27" s="575"/>
      <c r="N27" s="575"/>
      <c r="O27" s="575"/>
      <c r="P27" s="575"/>
      <c r="Q27" s="575"/>
      <c r="S27" s="575"/>
      <c r="T27" s="575"/>
      <c r="U27" s="575"/>
      <c r="W27" s="575"/>
      <c r="X27" s="575"/>
      <c r="Y27" s="575"/>
      <c r="AA27" s="575"/>
      <c r="AB27" s="575"/>
      <c r="AC27" s="575"/>
    </row>
    <row r="28" spans="1:35" ht="60">
      <c r="A28" s="573" t="s">
        <v>662</v>
      </c>
      <c r="B28" s="574" t="s">
        <v>663</v>
      </c>
      <c r="C28" s="576"/>
      <c r="D28" s="576"/>
      <c r="E28" s="576"/>
      <c r="F28" s="576"/>
      <c r="G28" s="577"/>
      <c r="H28" s="577"/>
      <c r="I28" s="577"/>
      <c r="J28" s="577"/>
      <c r="K28" s="577"/>
      <c r="L28" s="577"/>
      <c r="M28" s="577"/>
      <c r="N28" s="577"/>
      <c r="O28" s="577"/>
      <c r="P28" s="577"/>
      <c r="Q28" s="647"/>
      <c r="R28" s="647"/>
      <c r="S28" s="648"/>
      <c r="T28" s="649"/>
      <c r="U28" s="577"/>
      <c r="W28" s="648"/>
      <c r="X28" s="649"/>
      <c r="Y28" s="577"/>
      <c r="AA28" s="648"/>
      <c r="AB28" s="649"/>
      <c r="AC28" s="577"/>
    </row>
    <row r="29" spans="1:35" ht="36">
      <c r="A29" s="578" t="s">
        <v>664</v>
      </c>
      <c r="B29" s="574" t="s">
        <v>665</v>
      </c>
      <c r="C29" s="576"/>
      <c r="D29" s="576"/>
      <c r="E29" s="576"/>
      <c r="F29" s="576"/>
      <c r="G29" s="577"/>
      <c r="H29" s="577"/>
      <c r="I29" s="577"/>
      <c r="J29" s="577"/>
      <c r="K29" s="577"/>
      <c r="L29" s="577"/>
      <c r="M29" s="577"/>
      <c r="N29" s="577"/>
      <c r="O29" s="577"/>
      <c r="P29" s="577"/>
      <c r="Q29" s="647"/>
      <c r="S29" s="648"/>
      <c r="T29" s="649"/>
      <c r="U29" s="577"/>
      <c r="W29" s="648"/>
      <c r="X29" s="649"/>
      <c r="Y29" s="577"/>
      <c r="AA29" s="648"/>
      <c r="AB29" s="649"/>
      <c r="AC29" s="577"/>
    </row>
    <row r="30" spans="1:35" ht="132" customHeight="1">
      <c r="A30" s="578" t="s">
        <v>666</v>
      </c>
      <c r="B30" s="574" t="s">
        <v>667</v>
      </c>
      <c r="G30" s="577"/>
      <c r="H30" s="577"/>
      <c r="I30" s="577"/>
      <c r="J30" s="577"/>
      <c r="K30" s="577"/>
      <c r="L30" s="577"/>
      <c r="M30" s="577"/>
      <c r="N30" s="577"/>
      <c r="O30" s="577"/>
      <c r="P30" s="577"/>
      <c r="Q30" s="577"/>
      <c r="S30" s="577"/>
      <c r="T30" s="577"/>
      <c r="U30" s="577"/>
      <c r="W30" s="577"/>
      <c r="X30" s="577"/>
      <c r="Y30" s="577"/>
      <c r="AA30" s="577"/>
      <c r="AB30" s="577"/>
      <c r="AC30" s="577"/>
    </row>
    <row r="31" spans="1:35" ht="36">
      <c r="A31" s="578" t="s">
        <v>668</v>
      </c>
      <c r="B31" s="574" t="s">
        <v>669</v>
      </c>
      <c r="C31" s="576"/>
      <c r="D31" s="576"/>
      <c r="E31" s="576"/>
      <c r="F31" s="576"/>
    </row>
    <row r="32" spans="1:35" ht="48">
      <c r="A32" s="578" t="s">
        <v>817</v>
      </c>
      <c r="B32" s="574" t="s">
        <v>818</v>
      </c>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sheetData>
  <mergeCells count="9">
    <mergeCell ref="AE3:AH3"/>
    <mergeCell ref="AA3:AD3"/>
    <mergeCell ref="W3:Z3"/>
    <mergeCell ref="S3:V3"/>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67"/>
  <sheetViews>
    <sheetView showGridLines="0" zoomScale="70" zoomScaleNormal="70" workbookViewId="0">
      <pane xSplit="2" ySplit="3" topLeftCell="BA4" activePane="bottomRight" state="frozen"/>
      <selection pane="topRight" activeCell="C1" sqref="C1"/>
      <selection pane="bottomLeft" activeCell="A4" sqref="A4"/>
      <selection pane="bottomRight" activeCell="BO17" sqref="BO17"/>
    </sheetView>
  </sheetViews>
  <sheetFormatPr defaultColWidth="9" defaultRowHeight="13.8" outlineLevelCol="1"/>
  <cols>
    <col min="1" max="1" width="1.59765625" style="113" customWidth="1"/>
    <col min="2" max="2" width="35" customWidth="1"/>
    <col min="3" max="3" width="35.09765625" customWidth="1"/>
    <col min="4" max="32" width="3.19921875" hidden="1" customWidth="1"/>
    <col min="33" max="38" width="8.69921875" hidden="1" customWidth="1" outlineLevel="1"/>
    <col min="39" max="40" width="8.69921875" style="113" hidden="1" customWidth="1" outlineLevel="1"/>
    <col min="41" max="44" width="8.69921875" hidden="1" customWidth="1" outlineLevel="1"/>
    <col min="45" max="45" width="6.59765625" hidden="1" customWidth="1" outlineLevel="1"/>
    <col min="46" max="48" width="8.69921875" hidden="1" customWidth="1" outlineLevel="1"/>
    <col min="49" max="49" width="9.19921875" hidden="1" customWidth="1" outlineLevel="1"/>
    <col min="50" max="52" width="8.69921875" hidden="1" customWidth="1" outlineLevel="1"/>
    <col min="53" max="53" width="8.69921875" customWidth="1" collapsed="1"/>
    <col min="54" max="62" width="8.69921875" customWidth="1"/>
    <col min="68" max="68" width="10.5" bestFit="1" customWidth="1"/>
    <col min="69" max="69" width="9.69921875" bestFit="1" customWidth="1"/>
    <col min="70" max="70" width="10.19921875" bestFit="1" customWidth="1"/>
  </cols>
  <sheetData>
    <row r="1" spans="1:75" s="113" customFormat="1" ht="89.25" customHeight="1" thickBot="1">
      <c r="B1" s="2"/>
      <c r="C1" s="2"/>
      <c r="D1" s="318"/>
      <c r="E1" s="318"/>
      <c r="F1" s="318"/>
      <c r="G1" s="318"/>
      <c r="H1" s="318"/>
      <c r="I1" s="318"/>
      <c r="J1" s="318"/>
      <c r="K1" s="318"/>
      <c r="L1" s="318"/>
      <c r="M1" s="318"/>
      <c r="N1" s="318"/>
      <c r="O1" s="318"/>
      <c r="P1" s="318"/>
      <c r="Q1" s="318"/>
      <c r="R1" s="318"/>
      <c r="S1" s="318"/>
      <c r="T1" s="318"/>
      <c r="U1" s="318"/>
      <c r="V1" s="318"/>
      <c r="W1" s="318"/>
      <c r="X1" s="318"/>
      <c r="Y1" s="318"/>
      <c r="Z1" s="318"/>
      <c r="AA1" s="318"/>
      <c r="AB1" s="318"/>
      <c r="AC1" s="318"/>
      <c r="AD1" s="318"/>
      <c r="AE1" s="318"/>
      <c r="AF1" s="318"/>
      <c r="AK1"/>
      <c r="AP1"/>
      <c r="AU1"/>
      <c r="AZ1"/>
      <c r="BE1"/>
      <c r="BJ1"/>
    </row>
    <row r="2" spans="1:75" ht="20.25" customHeight="1" thickBot="1">
      <c r="A2"/>
      <c r="B2" s="993"/>
      <c r="C2" s="993"/>
      <c r="D2" s="995"/>
      <c r="E2" s="996"/>
      <c r="F2" s="996"/>
      <c r="G2" s="991"/>
      <c r="H2" s="995"/>
      <c r="I2" s="996"/>
      <c r="J2" s="996"/>
      <c r="K2" s="996"/>
      <c r="L2" s="991"/>
      <c r="M2" s="995"/>
      <c r="N2" s="996"/>
      <c r="O2" s="996"/>
      <c r="P2" s="996"/>
      <c r="Q2" s="991"/>
      <c r="R2" s="995"/>
      <c r="S2" s="996"/>
      <c r="T2" s="996"/>
      <c r="U2" s="996"/>
      <c r="V2" s="991"/>
      <c r="W2" s="995"/>
      <c r="X2" s="996"/>
      <c r="Y2" s="996"/>
      <c r="Z2" s="996"/>
      <c r="AA2" s="991"/>
      <c r="AB2" s="995"/>
      <c r="AC2" s="996"/>
      <c r="AD2" s="996"/>
      <c r="AE2" s="996"/>
      <c r="AF2" s="991"/>
      <c r="AG2" s="987">
        <v>2018</v>
      </c>
      <c r="AH2" s="988"/>
      <c r="AI2" s="988"/>
      <c r="AJ2" s="988"/>
      <c r="AK2" s="997">
        <v>2018</v>
      </c>
      <c r="AL2" s="987">
        <v>2019</v>
      </c>
      <c r="AM2" s="988"/>
      <c r="AN2" s="988"/>
      <c r="AO2" s="988"/>
      <c r="AP2" s="989">
        <v>2019</v>
      </c>
      <c r="AQ2" s="987">
        <v>2020</v>
      </c>
      <c r="AR2" s="988"/>
      <c r="AS2" s="988"/>
      <c r="AT2" s="988"/>
      <c r="AU2" s="989">
        <v>2020</v>
      </c>
      <c r="AV2" s="987">
        <v>2021</v>
      </c>
      <c r="AW2" s="988"/>
      <c r="AX2" s="988"/>
      <c r="AY2" s="988"/>
      <c r="AZ2" s="989">
        <v>2021</v>
      </c>
      <c r="BA2" s="987">
        <v>2022</v>
      </c>
      <c r="BB2" s="988"/>
      <c r="BC2" s="988"/>
      <c r="BD2" s="988"/>
      <c r="BE2" s="989">
        <v>2022</v>
      </c>
      <c r="BF2" s="987">
        <v>2023</v>
      </c>
      <c r="BG2" s="988"/>
      <c r="BH2" s="988"/>
      <c r="BI2" s="988"/>
      <c r="BJ2" s="989">
        <v>2023</v>
      </c>
      <c r="BK2" s="987">
        <v>2024</v>
      </c>
      <c r="BL2" s="988"/>
      <c r="BM2" s="988"/>
      <c r="BN2" s="988"/>
      <c r="BO2" s="989">
        <v>2024</v>
      </c>
      <c r="BP2" s="987">
        <v>2025</v>
      </c>
      <c r="BQ2" s="988"/>
      <c r="BR2" s="988"/>
      <c r="BS2" s="988"/>
      <c r="BT2" s="989">
        <v>2025</v>
      </c>
    </row>
    <row r="3" spans="1:75" s="315" customFormat="1" ht="20.25" customHeight="1" thickBot="1">
      <c r="B3" s="994"/>
      <c r="C3" s="994"/>
      <c r="D3" s="316"/>
      <c r="E3" s="317"/>
      <c r="F3" s="317"/>
      <c r="G3" s="992"/>
      <c r="H3" s="316"/>
      <c r="I3" s="317"/>
      <c r="J3" s="317"/>
      <c r="K3" s="317"/>
      <c r="L3" s="992"/>
      <c r="M3" s="316"/>
      <c r="N3" s="317"/>
      <c r="O3" s="317"/>
      <c r="P3" s="317"/>
      <c r="Q3" s="992"/>
      <c r="R3" s="316"/>
      <c r="S3" s="317"/>
      <c r="T3" s="317"/>
      <c r="U3" s="317"/>
      <c r="V3" s="992"/>
      <c r="W3" s="316"/>
      <c r="X3" s="317"/>
      <c r="Y3" s="317"/>
      <c r="Z3" s="317"/>
      <c r="AA3" s="992"/>
      <c r="AB3" s="316"/>
      <c r="AC3" s="317"/>
      <c r="AD3" s="317"/>
      <c r="AE3" s="317"/>
      <c r="AF3" s="992"/>
      <c r="AG3" s="332" t="s">
        <v>615</v>
      </c>
      <c r="AH3" s="333" t="s">
        <v>616</v>
      </c>
      <c r="AI3" s="333" t="s">
        <v>617</v>
      </c>
      <c r="AJ3" s="333" t="s">
        <v>618</v>
      </c>
      <c r="AK3" s="998"/>
      <c r="AL3" s="332" t="s">
        <v>615</v>
      </c>
      <c r="AM3" s="333" t="s">
        <v>616</v>
      </c>
      <c r="AN3" s="333" t="s">
        <v>617</v>
      </c>
      <c r="AO3" s="333" t="s">
        <v>618</v>
      </c>
      <c r="AP3" s="990"/>
      <c r="AQ3" s="332" t="s">
        <v>615</v>
      </c>
      <c r="AR3" s="333" t="s">
        <v>616</v>
      </c>
      <c r="AS3" s="333" t="s">
        <v>617</v>
      </c>
      <c r="AT3" s="333" t="s">
        <v>618</v>
      </c>
      <c r="AU3" s="990"/>
      <c r="AV3" s="332" t="s">
        <v>615</v>
      </c>
      <c r="AW3" s="333" t="s">
        <v>616</v>
      </c>
      <c r="AX3" s="333" t="s">
        <v>617</v>
      </c>
      <c r="AY3" s="333" t="s">
        <v>618</v>
      </c>
      <c r="AZ3" s="990"/>
      <c r="BA3" s="332" t="s">
        <v>615</v>
      </c>
      <c r="BB3" s="333" t="s">
        <v>616</v>
      </c>
      <c r="BC3" s="333" t="s">
        <v>617</v>
      </c>
      <c r="BD3" s="333" t="s">
        <v>618</v>
      </c>
      <c r="BE3" s="990"/>
      <c r="BF3" s="332" t="s">
        <v>615</v>
      </c>
      <c r="BG3" s="333" t="s">
        <v>616</v>
      </c>
      <c r="BH3" s="333" t="s">
        <v>617</v>
      </c>
      <c r="BI3" s="333" t="s">
        <v>618</v>
      </c>
      <c r="BJ3" s="990"/>
      <c r="BK3" s="332" t="s">
        <v>615</v>
      </c>
      <c r="BL3" s="333" t="s">
        <v>616</v>
      </c>
      <c r="BM3" s="333" t="s">
        <v>617</v>
      </c>
      <c r="BN3" s="333" t="s">
        <v>618</v>
      </c>
      <c r="BO3" s="990"/>
      <c r="BP3" s="332" t="s">
        <v>615</v>
      </c>
      <c r="BQ3" s="333" t="s">
        <v>616</v>
      </c>
      <c r="BR3" s="333" t="s">
        <v>617</v>
      </c>
      <c r="BS3" s="333" t="s">
        <v>618</v>
      </c>
      <c r="BT3" s="990"/>
    </row>
    <row r="4" spans="1:75" ht="20.25" customHeight="1" thickBot="1">
      <c r="A4"/>
      <c r="B4" s="336" t="s">
        <v>670</v>
      </c>
      <c r="C4" s="337" t="s">
        <v>671</v>
      </c>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8"/>
      <c r="AH4" s="338"/>
      <c r="AI4" s="338"/>
      <c r="AJ4" s="338"/>
      <c r="AK4" s="452"/>
      <c r="AL4" s="338"/>
      <c r="AM4" s="338"/>
      <c r="AN4" s="338"/>
      <c r="AO4" s="338"/>
      <c r="AP4" s="452"/>
      <c r="AQ4" s="338"/>
      <c r="AR4" s="338"/>
      <c r="AS4" s="338"/>
      <c r="AT4" s="338"/>
      <c r="AU4" s="452"/>
      <c r="AV4" s="338"/>
      <c r="AW4" s="338"/>
      <c r="AX4" s="338"/>
      <c r="AY4" s="338"/>
      <c r="AZ4" s="452"/>
      <c r="BA4" s="338"/>
      <c r="BB4" s="338"/>
      <c r="BC4" s="338"/>
      <c r="BD4" s="338"/>
      <c r="BE4" s="452"/>
      <c r="BF4" s="338"/>
      <c r="BG4" s="338"/>
      <c r="BH4" s="338"/>
      <c r="BI4" s="338"/>
      <c r="BJ4" s="452"/>
      <c r="BK4" s="338"/>
      <c r="BL4" s="338"/>
      <c r="BM4" s="338"/>
      <c r="BN4" s="338"/>
      <c r="BO4" s="452"/>
      <c r="BP4" s="338"/>
      <c r="BQ4" s="338"/>
      <c r="BR4" s="338"/>
      <c r="BS4" s="338"/>
      <c r="BT4" s="452"/>
    </row>
    <row r="5" spans="1:75" ht="25.5" customHeight="1" thickBot="1">
      <c r="A5"/>
      <c r="B5" s="339" t="s">
        <v>672</v>
      </c>
      <c r="C5" s="339" t="s">
        <v>673</v>
      </c>
      <c r="D5" s="340"/>
      <c r="E5" s="340"/>
      <c r="F5" s="341"/>
      <c r="G5" s="342"/>
      <c r="H5" s="340"/>
      <c r="I5" s="340"/>
      <c r="J5" s="340"/>
      <c r="K5" s="341"/>
      <c r="L5" s="342"/>
      <c r="M5" s="340"/>
      <c r="N5" s="340"/>
      <c r="O5" s="340"/>
      <c r="P5" s="341"/>
      <c r="Q5" s="342"/>
      <c r="R5" s="340"/>
      <c r="S5" s="340"/>
      <c r="T5" s="340"/>
      <c r="U5" s="341"/>
      <c r="V5" s="342"/>
      <c r="W5" s="340"/>
      <c r="X5" s="340"/>
      <c r="Y5" s="340"/>
      <c r="Z5" s="341"/>
      <c r="AA5" s="342"/>
      <c r="AB5" s="340"/>
      <c r="AC5" s="340"/>
      <c r="AD5" s="340"/>
      <c r="AE5" s="341"/>
      <c r="AF5" s="342"/>
      <c r="AG5" s="343">
        <v>0.2392</v>
      </c>
      <c r="AH5" s="340">
        <v>0.24160000000000001</v>
      </c>
      <c r="AI5" s="340">
        <v>0.25054333360988129</v>
      </c>
      <c r="AJ5" s="340">
        <v>0.24169975469679564</v>
      </c>
      <c r="AK5" s="453">
        <v>0.24299999999999999</v>
      </c>
      <c r="AL5" s="343">
        <v>0.23364792536680987</v>
      </c>
      <c r="AM5" s="340">
        <v>0.24935000000000002</v>
      </c>
      <c r="AN5" s="340">
        <v>0.24822427628137333</v>
      </c>
      <c r="AO5" s="340">
        <v>0.24182527254608499</v>
      </c>
      <c r="AP5" s="453">
        <v>0.2429</v>
      </c>
      <c r="AQ5" s="343">
        <v>0.23250381468797382</v>
      </c>
      <c r="AR5" s="340">
        <v>0.23040912825290802</v>
      </c>
      <c r="AS5" s="340">
        <v>0.24614294127335679</v>
      </c>
      <c r="AT5" s="341">
        <v>0.24959999999999999</v>
      </c>
      <c r="AU5" s="453">
        <v>0.2394</v>
      </c>
      <c r="AV5" s="340">
        <v>0.24402895821124099</v>
      </c>
      <c r="AW5" s="340">
        <v>0.25085533390902925</v>
      </c>
      <c r="AX5" s="340">
        <v>0.24971187343000292</v>
      </c>
      <c r="AY5" s="341">
        <v>0.24015232926794333</v>
      </c>
      <c r="AZ5" s="453">
        <v>0.2457</v>
      </c>
      <c r="BA5" s="340">
        <v>0.23194245292240989</v>
      </c>
      <c r="BB5" s="340">
        <v>0.22814234798524977</v>
      </c>
      <c r="BC5" s="340">
        <v>0.22469900811855634</v>
      </c>
      <c r="BD5" s="341">
        <v>0.21629999999999999</v>
      </c>
      <c r="BE5" s="453">
        <v>0.2253</v>
      </c>
      <c r="BF5" s="340">
        <v>0.2185</v>
      </c>
      <c r="BG5" s="340">
        <v>0.21959999999999999</v>
      </c>
      <c r="BH5" s="340">
        <v>0.22220400000000001</v>
      </c>
      <c r="BI5" s="341">
        <v>0.22</v>
      </c>
      <c r="BJ5" s="453">
        <v>0.22</v>
      </c>
      <c r="BK5" s="340">
        <v>0.21529999999999999</v>
      </c>
      <c r="BL5" s="340">
        <v>0.22040000000000001</v>
      </c>
      <c r="BM5" s="340">
        <v>0.21709999999999999</v>
      </c>
      <c r="BN5" s="341">
        <v>0.2271</v>
      </c>
      <c r="BO5" s="453">
        <v>0.21997499999999998</v>
      </c>
      <c r="BP5" s="340">
        <v>0.22140000000000001</v>
      </c>
      <c r="BQ5" s="340">
        <v>0.22470000000000001</v>
      </c>
      <c r="BR5" s="340"/>
      <c r="BS5" s="341"/>
      <c r="BT5" s="453"/>
    </row>
    <row r="6" spans="1:75" s="716" customFormat="1" ht="25.5" customHeight="1">
      <c r="A6" s="782"/>
      <c r="B6" s="165" t="s">
        <v>674</v>
      </c>
      <c r="C6" s="165" t="s">
        <v>675</v>
      </c>
      <c r="D6" s="118"/>
      <c r="E6" s="118"/>
      <c r="F6" s="114"/>
      <c r="G6" s="320"/>
      <c r="H6" s="118"/>
      <c r="I6" s="118"/>
      <c r="J6" s="118"/>
      <c r="K6" s="114"/>
      <c r="L6" s="320"/>
      <c r="M6" s="118"/>
      <c r="N6" s="118"/>
      <c r="O6" s="118"/>
      <c r="P6" s="114"/>
      <c r="Q6" s="320"/>
      <c r="R6" s="118"/>
      <c r="S6" s="118"/>
      <c r="T6" s="118"/>
      <c r="U6" s="114"/>
      <c r="V6" s="320"/>
      <c r="W6" s="118"/>
      <c r="X6" s="118"/>
      <c r="Y6" s="118"/>
      <c r="Z6" s="114"/>
      <c r="AA6" s="320"/>
      <c r="AB6" s="118"/>
      <c r="AC6" s="118"/>
      <c r="AD6" s="118"/>
      <c r="AE6" s="114"/>
      <c r="AF6" s="320"/>
      <c r="AG6" s="119">
        <v>0.1187</v>
      </c>
      <c r="AH6" s="118">
        <v>0.1114</v>
      </c>
      <c r="AI6" s="118">
        <v>0.1133</v>
      </c>
      <c r="AJ6" s="118">
        <v>0.11070000000000001</v>
      </c>
      <c r="AK6" s="454">
        <v>0.1137</v>
      </c>
      <c r="AL6" s="119">
        <v>0.112</v>
      </c>
      <c r="AM6" s="118">
        <v>0.1138</v>
      </c>
      <c r="AN6" s="118">
        <v>0.1099</v>
      </c>
      <c r="AO6" s="118">
        <v>0.1043</v>
      </c>
      <c r="AP6" s="454">
        <v>0.1099</v>
      </c>
      <c r="AQ6" s="119">
        <v>9.9000000000000005E-2</v>
      </c>
      <c r="AR6" s="118">
        <v>9.1800000000000007E-2</v>
      </c>
      <c r="AS6" s="118">
        <v>9.3799999999999994E-2</v>
      </c>
      <c r="AT6" s="166">
        <v>9.5500000000000002E-2</v>
      </c>
      <c r="AU6" s="454">
        <v>9.5100000000000004E-2</v>
      </c>
      <c r="AV6" s="118">
        <v>9.2155000000000001E-2</v>
      </c>
      <c r="AW6" s="118">
        <v>8.9494000000000004E-2</v>
      </c>
      <c r="AX6" s="118">
        <v>8.7143507332248127E-2</v>
      </c>
      <c r="AY6" s="166">
        <v>8.8921403903550189E-2</v>
      </c>
      <c r="AZ6" s="454">
        <v>8.9530308836228353E-2</v>
      </c>
      <c r="BA6" s="118">
        <v>8.3168000000000006E-2</v>
      </c>
      <c r="BB6" s="118">
        <v>7.6904E-2</v>
      </c>
      <c r="BC6" s="118">
        <v>7.5086E-2</v>
      </c>
      <c r="BD6" s="166">
        <v>7.8100000000000003E-2</v>
      </c>
      <c r="BE6" s="454">
        <v>7.8522999999999996E-2</v>
      </c>
      <c r="BF6" s="118">
        <v>7.9980999999999997E-2</v>
      </c>
      <c r="BG6" s="118">
        <v>7.7648999999999996E-2</v>
      </c>
      <c r="BH6" s="118">
        <v>7.1568999999999994E-2</v>
      </c>
      <c r="BI6" s="166">
        <v>7.4999999999999997E-2</v>
      </c>
      <c r="BJ6" s="454">
        <v>7.6100000000000001E-2</v>
      </c>
      <c r="BK6" s="118">
        <v>7.0999999999999994E-2</v>
      </c>
      <c r="BL6" s="118">
        <v>7.0499999999999993E-2</v>
      </c>
      <c r="BM6" s="118">
        <v>6.7185999999999996E-2</v>
      </c>
      <c r="BN6" s="166">
        <v>7.5399999999999995E-2</v>
      </c>
      <c r="BO6" s="454">
        <v>7.1099999999999997E-2</v>
      </c>
      <c r="BP6" s="118">
        <v>7.5200000000000003E-2</v>
      </c>
      <c r="BQ6" s="118">
        <v>7.3099999999999998E-2</v>
      </c>
      <c r="BR6" s="118"/>
      <c r="BS6" s="166"/>
      <c r="BT6" s="454"/>
    </row>
    <row r="7" spans="1:75" s="716" customFormat="1" ht="25.5" customHeight="1">
      <c r="A7" s="782"/>
      <c r="B7" s="165" t="s">
        <v>676</v>
      </c>
      <c r="C7" s="167" t="s">
        <v>677</v>
      </c>
      <c r="D7" s="118"/>
      <c r="E7" s="118"/>
      <c r="F7" s="166"/>
      <c r="G7" s="320"/>
      <c r="H7" s="118"/>
      <c r="I7" s="118"/>
      <c r="J7" s="118"/>
      <c r="K7" s="166"/>
      <c r="L7" s="320"/>
      <c r="M7" s="118"/>
      <c r="N7" s="118"/>
      <c r="O7" s="118"/>
      <c r="P7" s="166"/>
      <c r="Q7" s="320"/>
      <c r="R7" s="118"/>
      <c r="S7" s="118"/>
      <c r="T7" s="118"/>
      <c r="U7" s="166"/>
      <c r="V7" s="320"/>
      <c r="W7" s="118"/>
      <c r="X7" s="118"/>
      <c r="Y7" s="118"/>
      <c r="Z7" s="166"/>
      <c r="AA7" s="320"/>
      <c r="AB7" s="118"/>
      <c r="AC7" s="118"/>
      <c r="AD7" s="118"/>
      <c r="AE7" s="166"/>
      <c r="AF7" s="320"/>
      <c r="AG7" s="119">
        <v>0.1205</v>
      </c>
      <c r="AH7" s="118">
        <v>0.13009999999999999</v>
      </c>
      <c r="AI7" s="118">
        <v>0.13726561528746634</v>
      </c>
      <c r="AJ7" s="118">
        <v>0.13099975469679564</v>
      </c>
      <c r="AK7" s="455">
        <v>0.12939999999999999</v>
      </c>
      <c r="AL7" s="119">
        <v>0.1216</v>
      </c>
      <c r="AM7" s="118">
        <v>0.13550000000000001</v>
      </c>
      <c r="AN7" s="118">
        <v>0.13844127269311104</v>
      </c>
      <c r="AO7" s="118">
        <v>0.13762187191363667</v>
      </c>
      <c r="AP7" s="455">
        <v>0.13300000000000001</v>
      </c>
      <c r="AQ7" s="119">
        <v>0.13355841310577754</v>
      </c>
      <c r="AR7" s="118">
        <v>0.13863586912018128</v>
      </c>
      <c r="AS7" s="118">
        <v>0.15230242840291572</v>
      </c>
      <c r="AT7" s="166">
        <v>0.15409999999999999</v>
      </c>
      <c r="AU7" s="455">
        <v>0.14419999999999999</v>
      </c>
      <c r="AV7" s="118">
        <v>0.15187354531355715</v>
      </c>
      <c r="AW7" s="118">
        <v>0.16135533390902926</v>
      </c>
      <c r="AX7" s="118">
        <v>0.16261187343000294</v>
      </c>
      <c r="AY7" s="166">
        <v>0.15123092536439314</v>
      </c>
      <c r="AZ7" s="455">
        <v>0.15635797009177527</v>
      </c>
      <c r="BA7" s="118">
        <v>0.14877267548397363</v>
      </c>
      <c r="BB7" s="118">
        <v>0.15123834798524977</v>
      </c>
      <c r="BC7" s="118">
        <v>0.149613</v>
      </c>
      <c r="BD7" s="166">
        <v>0.13819999999999999</v>
      </c>
      <c r="BE7" s="455">
        <v>0.14677699999999999</v>
      </c>
      <c r="BF7" s="118">
        <v>0.138519</v>
      </c>
      <c r="BG7" s="118">
        <v>0.14195099999999999</v>
      </c>
      <c r="BH7" s="118">
        <v>0.15063500000000002</v>
      </c>
      <c r="BI7" s="166">
        <v>0.14499999999999999</v>
      </c>
      <c r="BJ7" s="455">
        <v>0.1439</v>
      </c>
      <c r="BK7" s="118">
        <v>0.14429999999999998</v>
      </c>
      <c r="BL7" s="118">
        <v>0.14990000000000001</v>
      </c>
      <c r="BM7" s="118">
        <v>0.14991399999999999</v>
      </c>
      <c r="BN7" s="166">
        <v>0.1517</v>
      </c>
      <c r="BO7" s="455">
        <v>0.1489</v>
      </c>
      <c r="BP7" s="118">
        <v>0.1462</v>
      </c>
      <c r="BQ7" s="118">
        <v>0.1517</v>
      </c>
      <c r="BR7" s="118"/>
      <c r="BS7" s="166"/>
      <c r="BT7" s="455"/>
    </row>
    <row r="8" spans="1:75" s="115" customFormat="1" ht="25.5" customHeight="1">
      <c r="B8" s="116" t="s">
        <v>678</v>
      </c>
      <c r="C8" s="116" t="s">
        <v>679</v>
      </c>
      <c r="D8" s="321"/>
      <c r="E8" s="321"/>
      <c r="F8" s="117"/>
      <c r="G8" s="322"/>
      <c r="H8" s="321"/>
      <c r="I8" s="321"/>
      <c r="J8" s="321"/>
      <c r="K8" s="117"/>
      <c r="L8" s="322"/>
      <c r="M8" s="321"/>
      <c r="N8" s="321"/>
      <c r="O8" s="321"/>
      <c r="P8" s="117"/>
      <c r="Q8" s="322"/>
      <c r="R8" s="321"/>
      <c r="S8" s="321"/>
      <c r="T8" s="321"/>
      <c r="U8" s="117"/>
      <c r="V8" s="322"/>
      <c r="W8" s="321"/>
      <c r="X8" s="321"/>
      <c r="Y8" s="321"/>
      <c r="Z8" s="117"/>
      <c r="AA8" s="322"/>
      <c r="AB8" s="321"/>
      <c r="AC8" s="321"/>
      <c r="AD8" s="321"/>
      <c r="AE8" s="117"/>
      <c r="AF8" s="322"/>
      <c r="AG8" s="118">
        <v>0.27055000000000001</v>
      </c>
      <c r="AH8" s="118">
        <v>0.26307285482727094</v>
      </c>
      <c r="AI8" s="118">
        <v>0.27107489405369956</v>
      </c>
      <c r="AJ8" s="118">
        <v>0.2799015081566204</v>
      </c>
      <c r="AK8" s="455">
        <v>0.27143265306764186</v>
      </c>
      <c r="AL8" s="119">
        <v>0.27277595774888108</v>
      </c>
      <c r="AM8" s="119">
        <v>0.26956701442344921</v>
      </c>
      <c r="AN8" s="119">
        <v>0.25968869690122404</v>
      </c>
      <c r="AO8" s="119">
        <v>0.26098146875847023</v>
      </c>
      <c r="AP8" s="455">
        <v>0.2659147690729412</v>
      </c>
      <c r="AQ8" s="119">
        <v>0.2642789018622998</v>
      </c>
      <c r="AR8" s="119">
        <v>0.27327354861641062</v>
      </c>
      <c r="AS8" s="119">
        <v>0.25869999999999999</v>
      </c>
      <c r="AT8" s="119">
        <v>0.26550000000000001</v>
      </c>
      <c r="AU8" s="455">
        <v>0.26569999999999999</v>
      </c>
      <c r="AV8" s="118">
        <v>0.24552122777620281</v>
      </c>
      <c r="AW8" s="119">
        <v>0.24025279408748573</v>
      </c>
      <c r="AX8" s="119">
        <v>0.24019199288108664</v>
      </c>
      <c r="AY8" s="119">
        <v>0.24716767238182133</v>
      </c>
      <c r="AZ8" s="455">
        <v>0.24349999999999999</v>
      </c>
      <c r="BA8" s="118">
        <v>0.24870403561745946</v>
      </c>
      <c r="BB8" s="118">
        <v>0.24280764993354145</v>
      </c>
      <c r="BC8" s="118">
        <v>0.23386599999999999</v>
      </c>
      <c r="BD8" s="118">
        <v>0.22439999999999999</v>
      </c>
      <c r="BE8" s="455">
        <v>0.23760000000000001</v>
      </c>
      <c r="BF8" s="118">
        <v>0.2334</v>
      </c>
      <c r="BG8" s="118">
        <v>0.2346</v>
      </c>
      <c r="BH8" s="118">
        <v>0.23289399999999999</v>
      </c>
      <c r="BI8" s="118">
        <v>0.23769999999999999</v>
      </c>
      <c r="BJ8" s="455">
        <v>0.23469999999999999</v>
      </c>
      <c r="BK8" s="118">
        <v>0.24160000000000001</v>
      </c>
      <c r="BL8" s="118">
        <v>0.22989999999999999</v>
      </c>
      <c r="BM8" s="118">
        <v>0.23089999999999999</v>
      </c>
      <c r="BN8" s="118">
        <v>0.218</v>
      </c>
      <c r="BO8" s="455">
        <v>0.2301</v>
      </c>
      <c r="BP8" s="118">
        <v>0.2205</v>
      </c>
      <c r="BQ8" s="118">
        <v>0.21840000000000001</v>
      </c>
      <c r="BR8" s="118"/>
      <c r="BS8" s="118"/>
      <c r="BT8" s="455"/>
    </row>
    <row r="9" spans="1:75" s="115" customFormat="1" ht="25.5" customHeight="1" thickBot="1">
      <c r="B9" s="116" t="s">
        <v>680</v>
      </c>
      <c r="C9" s="116" t="s">
        <v>681</v>
      </c>
      <c r="D9" s="321"/>
      <c r="E9" s="321"/>
      <c r="F9" s="117"/>
      <c r="G9" s="322"/>
      <c r="H9" s="321"/>
      <c r="I9" s="321"/>
      <c r="J9" s="321"/>
      <c r="K9" s="117"/>
      <c r="L9" s="322"/>
      <c r="M9" s="321"/>
      <c r="N9" s="321"/>
      <c r="O9" s="321"/>
      <c r="P9" s="117"/>
      <c r="Q9" s="322"/>
      <c r="R9" s="321"/>
      <c r="S9" s="321"/>
      <c r="T9" s="321"/>
      <c r="U9" s="117"/>
      <c r="V9" s="322"/>
      <c r="W9" s="321"/>
      <c r="X9" s="321"/>
      <c r="Y9" s="321"/>
      <c r="Z9" s="117"/>
      <c r="AA9" s="322"/>
      <c r="AB9" s="321"/>
      <c r="AC9" s="321"/>
      <c r="AD9" s="321"/>
      <c r="AE9" s="117"/>
      <c r="AF9" s="322"/>
      <c r="AG9" s="118">
        <v>0.21878</v>
      </c>
      <c r="AH9" s="118">
        <v>0.22343613004529736</v>
      </c>
      <c r="AI9" s="118">
        <v>0.20803558567084823</v>
      </c>
      <c r="AJ9" s="118">
        <v>0.20762155694075871</v>
      </c>
      <c r="AK9" s="456">
        <v>0.21439941200856841</v>
      </c>
      <c r="AL9" s="119">
        <v>0.21973490554611111</v>
      </c>
      <c r="AM9" s="119">
        <v>0.20743316354782532</v>
      </c>
      <c r="AN9" s="119">
        <v>0.21547125280795693</v>
      </c>
      <c r="AO9" s="119">
        <v>0.21739933081273113</v>
      </c>
      <c r="AP9" s="456">
        <v>0.21521707371036924</v>
      </c>
      <c r="AQ9" s="119">
        <v>0.21964706993225061</v>
      </c>
      <c r="AR9" s="119">
        <v>0.19273450590189634</v>
      </c>
      <c r="AS9" s="119">
        <v>0.19040000000000001</v>
      </c>
      <c r="AT9" s="119">
        <v>0.19350000000000001</v>
      </c>
      <c r="AU9" s="456">
        <v>0.19969999999999999</v>
      </c>
      <c r="AV9" s="118">
        <v>0.2145969192163136</v>
      </c>
      <c r="AW9" s="119">
        <v>0.21298580449377358</v>
      </c>
      <c r="AX9" s="119">
        <v>0.21154341175910182</v>
      </c>
      <c r="AY9" s="119">
        <v>0.21409536596163978</v>
      </c>
      <c r="AZ9" s="456">
        <v>0.21340000000000001</v>
      </c>
      <c r="BA9" s="118">
        <v>0.20908218103661699</v>
      </c>
      <c r="BB9" s="118">
        <v>0.20999839993245734</v>
      </c>
      <c r="BC9" s="118">
        <v>0.22115899999999999</v>
      </c>
      <c r="BD9" s="118">
        <v>0.23910000000000001</v>
      </c>
      <c r="BE9" s="456">
        <v>0.2198</v>
      </c>
      <c r="BF9" s="118">
        <v>0.2049</v>
      </c>
      <c r="BG9" s="118">
        <v>0.19850000000000001</v>
      </c>
      <c r="BH9" s="118">
        <v>0.20371600000000001</v>
      </c>
      <c r="BI9" s="118">
        <v>0.1893</v>
      </c>
      <c r="BJ9" s="456">
        <v>0.19889999999999999</v>
      </c>
      <c r="BK9" s="118">
        <v>0.1643</v>
      </c>
      <c r="BL9" s="118">
        <v>0.18279999999999999</v>
      </c>
      <c r="BM9" s="118">
        <v>0.18590000000000001</v>
      </c>
      <c r="BN9" s="118">
        <v>0.161</v>
      </c>
      <c r="BO9" s="456">
        <v>0.1729</v>
      </c>
      <c r="BP9" s="118">
        <v>0.16089999999999999</v>
      </c>
      <c r="BQ9" s="118">
        <v>0.159</v>
      </c>
      <c r="BR9" s="118"/>
      <c r="BS9" s="118"/>
      <c r="BT9" s="456"/>
    </row>
    <row r="10" spans="1:75" ht="20.25" customHeight="1">
      <c r="A10"/>
      <c r="B10" s="331" t="s">
        <v>682</v>
      </c>
      <c r="C10" s="319" t="s">
        <v>683</v>
      </c>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29"/>
      <c r="AH10" s="329"/>
      <c r="AI10" s="329"/>
      <c r="AJ10" s="329"/>
      <c r="AK10" s="457"/>
      <c r="AL10" s="329"/>
      <c r="AM10" s="329"/>
      <c r="AN10" s="329"/>
      <c r="AO10" s="329"/>
      <c r="AP10" s="457"/>
      <c r="AQ10" s="329"/>
      <c r="AR10" s="329"/>
      <c r="AS10" s="329"/>
      <c r="AT10" s="329"/>
      <c r="AU10" s="457"/>
      <c r="AV10" s="329"/>
      <c r="AW10" s="329"/>
      <c r="AX10" s="329"/>
      <c r="AY10" s="329"/>
      <c r="AZ10" s="457"/>
      <c r="BA10" s="329"/>
      <c r="BB10" s="329"/>
      <c r="BC10" s="329"/>
      <c r="BD10" s="329"/>
      <c r="BE10" s="457"/>
      <c r="BF10" s="329"/>
      <c r="BG10" s="329"/>
      <c r="BH10" s="329"/>
      <c r="BI10" s="329"/>
      <c r="BJ10" s="457"/>
      <c r="BK10" s="329"/>
      <c r="BL10" s="329"/>
      <c r="BM10" s="329"/>
      <c r="BN10" s="329"/>
      <c r="BO10" s="457"/>
      <c r="BP10" s="329"/>
      <c r="BQ10" s="329"/>
      <c r="BR10" s="329"/>
      <c r="BS10" s="329"/>
      <c r="BT10" s="457"/>
    </row>
    <row r="11" spans="1:75" ht="31.2" thickBot="1">
      <c r="A11"/>
      <c r="B11" s="579" t="s">
        <v>684</v>
      </c>
      <c r="C11" s="579" t="s">
        <v>685</v>
      </c>
      <c r="D11" s="121"/>
      <c r="E11" s="121"/>
      <c r="F11" s="122"/>
      <c r="G11" s="580"/>
      <c r="H11" s="121"/>
      <c r="I11" s="121"/>
      <c r="J11" s="121"/>
      <c r="K11" s="122"/>
      <c r="L11" s="580"/>
      <c r="M11" s="121"/>
      <c r="N11" s="121"/>
      <c r="O11" s="121"/>
      <c r="P11" s="122"/>
      <c r="Q11" s="580"/>
      <c r="R11" s="121"/>
      <c r="S11" s="121"/>
      <c r="T11" s="121"/>
      <c r="U11" s="122"/>
      <c r="V11" s="580"/>
      <c r="W11" s="121"/>
      <c r="X11" s="121"/>
      <c r="Y11" s="121"/>
      <c r="Z11" s="122"/>
      <c r="AA11" s="580"/>
      <c r="AB11" s="121"/>
      <c r="AC11" s="121"/>
      <c r="AD11" s="121"/>
      <c r="AE11" s="122"/>
      <c r="AF11" s="580"/>
      <c r="AG11" s="120">
        <v>996.4</v>
      </c>
      <c r="AH11" s="121">
        <v>1201.9000000000001</v>
      </c>
      <c r="AI11" s="121">
        <v>871.7</v>
      </c>
      <c r="AJ11" s="121">
        <v>1328.2</v>
      </c>
      <c r="AK11" s="458">
        <v>4398.2</v>
      </c>
      <c r="AL11" s="120">
        <v>965.6</v>
      </c>
      <c r="AM11" s="121">
        <v>1203.5999999999999</v>
      </c>
      <c r="AN11" s="121">
        <v>888.2</v>
      </c>
      <c r="AO11" s="121">
        <v>1324.059</v>
      </c>
      <c r="AP11" s="458">
        <v>4381.5060000000003</v>
      </c>
      <c r="AQ11" s="120">
        <v>933.12800000000004</v>
      </c>
      <c r="AR11" s="121">
        <v>778.1</v>
      </c>
      <c r="AS11" s="121">
        <v>894.93439594398706</v>
      </c>
      <c r="AT11" s="121">
        <v>1387.066</v>
      </c>
      <c r="AU11" s="458">
        <f>SUM(AQ11:AT11)</f>
        <v>3993.2283959439874</v>
      </c>
      <c r="AV11" s="121">
        <v>955.63900000000001</v>
      </c>
      <c r="AW11" s="121">
        <v>1193.1590000000001</v>
      </c>
      <c r="AX11" s="121">
        <v>947.99099999999999</v>
      </c>
      <c r="AY11" s="121">
        <v>1450.482</v>
      </c>
      <c r="AZ11" s="458">
        <f>SUM(AV11:AY11)</f>
        <v>4547.2710000000006</v>
      </c>
      <c r="BA11" s="121">
        <v>970.04899999999998</v>
      </c>
      <c r="BB11" s="121">
        <v>1153.1379999999999</v>
      </c>
      <c r="BC11" s="121">
        <v>937.74599999999998</v>
      </c>
      <c r="BD11" s="121">
        <v>1448.0350000000001</v>
      </c>
      <c r="BE11" s="458">
        <f>BA11+BB11+BC11+BD11</f>
        <v>4508.9679999999998</v>
      </c>
      <c r="BF11" s="121">
        <v>1001.424</v>
      </c>
      <c r="BG11" s="121">
        <v>1216.4749999999999</v>
      </c>
      <c r="BH11" s="121">
        <v>997.88300000000004</v>
      </c>
      <c r="BI11" s="121">
        <v>1467.9880000000001</v>
      </c>
      <c r="BJ11" s="458">
        <f>BF11+BG11+BH11+BI11</f>
        <v>4683.7700000000004</v>
      </c>
      <c r="BK11" s="121">
        <v>1103.895</v>
      </c>
      <c r="BL11" s="121">
        <v>1282.546</v>
      </c>
      <c r="BM11" s="121">
        <v>1073.0740000000001</v>
      </c>
      <c r="BN11" s="121">
        <v>1508.8389999999999</v>
      </c>
      <c r="BO11" s="458">
        <f>BK11+BL11+BM11+BN11</f>
        <v>4968.3539999999994</v>
      </c>
      <c r="BP11" s="121">
        <v>1114.336</v>
      </c>
      <c r="BQ11" s="121">
        <v>1324.1310000000001</v>
      </c>
      <c r="BR11" s="121"/>
      <c r="BS11" s="121"/>
      <c r="BT11" s="458"/>
      <c r="BV11" s="938"/>
    </row>
    <row r="12" spans="1:75" s="125" customFormat="1" ht="31.2" thickBot="1">
      <c r="B12" s="347" t="s">
        <v>686</v>
      </c>
      <c r="C12" s="347" t="s">
        <v>687</v>
      </c>
      <c r="D12" s="348"/>
      <c r="E12" s="348"/>
      <c r="F12" s="349"/>
      <c r="G12" s="350"/>
      <c r="H12" s="348"/>
      <c r="I12" s="348"/>
      <c r="J12" s="348"/>
      <c r="K12" s="349"/>
      <c r="L12" s="350"/>
      <c r="M12" s="348"/>
      <c r="N12" s="348"/>
      <c r="O12" s="348"/>
      <c r="P12" s="349"/>
      <c r="Q12" s="350"/>
      <c r="R12" s="348"/>
      <c r="S12" s="348"/>
      <c r="T12" s="348"/>
      <c r="U12" s="349"/>
      <c r="V12" s="350"/>
      <c r="W12" s="348"/>
      <c r="X12" s="348"/>
      <c r="Y12" s="348"/>
      <c r="Z12" s="349"/>
      <c r="AA12" s="350"/>
      <c r="AB12" s="348"/>
      <c r="AC12" s="348"/>
      <c r="AD12" s="348"/>
      <c r="AE12" s="349"/>
      <c r="AF12" s="350"/>
      <c r="AG12" s="351">
        <v>269.10000000000002</v>
      </c>
      <c r="AH12" s="348">
        <v>321.39999999999998</v>
      </c>
      <c r="AI12" s="348">
        <v>240.8</v>
      </c>
      <c r="AJ12" s="348">
        <v>369.9</v>
      </c>
      <c r="AK12" s="459">
        <v>1201.3</v>
      </c>
      <c r="AL12" s="351">
        <v>270.60000000000002</v>
      </c>
      <c r="AM12" s="348">
        <v>324.89999999999998</v>
      </c>
      <c r="AN12" s="348">
        <v>249.9</v>
      </c>
      <c r="AO12" s="348">
        <v>379</v>
      </c>
      <c r="AP12" s="459">
        <v>1224.4000000000001</v>
      </c>
      <c r="AQ12" s="351">
        <v>262.54000000000002</v>
      </c>
      <c r="AR12" s="348">
        <v>212.9</v>
      </c>
      <c r="AS12" s="348">
        <v>252</v>
      </c>
      <c r="AT12" s="349">
        <v>396.08300000000003</v>
      </c>
      <c r="AU12" s="459">
        <v>1123.538</v>
      </c>
      <c r="AV12" s="349">
        <v>271.495</v>
      </c>
      <c r="AW12" s="349">
        <v>330.48700000000002</v>
      </c>
      <c r="AX12" s="349">
        <v>267.33800000000002</v>
      </c>
      <c r="AY12" s="349">
        <v>402.26600000000002</v>
      </c>
      <c r="AZ12" s="459">
        <f>SUM(AV12:AY12)</f>
        <v>1271.586</v>
      </c>
      <c r="BA12" s="349">
        <v>273.03399999999999</v>
      </c>
      <c r="BB12" s="349">
        <v>330.09300000000002</v>
      </c>
      <c r="BC12" s="349">
        <v>275.01</v>
      </c>
      <c r="BD12" s="349">
        <v>410.49900000000002</v>
      </c>
      <c r="BE12" s="459">
        <f>BA12+BB12+BC12+BD12</f>
        <v>1288.636</v>
      </c>
      <c r="BF12" s="349">
        <v>284.25200000000001</v>
      </c>
      <c r="BG12" s="349">
        <v>344.64100000000002</v>
      </c>
      <c r="BH12" s="349">
        <v>288.06400000000002</v>
      </c>
      <c r="BI12" s="349">
        <v>415.15899999999999</v>
      </c>
      <c r="BJ12" s="459">
        <f>BF12+BG12+BH12+BI12</f>
        <v>1332.116</v>
      </c>
      <c r="BK12" s="349">
        <v>306.91899999999998</v>
      </c>
      <c r="BL12" s="349">
        <v>361.238</v>
      </c>
      <c r="BM12" s="349">
        <v>296.67500000000001</v>
      </c>
      <c r="BN12" s="349">
        <v>422.72300000000001</v>
      </c>
      <c r="BO12" s="459">
        <f>BK12+BL12+BM12+BN12</f>
        <v>1387.5549999999998</v>
      </c>
      <c r="BP12" s="349">
        <v>319.512</v>
      </c>
      <c r="BQ12" s="349">
        <v>373.31900000000002</v>
      </c>
      <c r="BR12" s="349"/>
      <c r="BS12" s="349"/>
      <c r="BT12" s="459"/>
      <c r="BW12" s="960"/>
    </row>
    <row r="13" spans="1:75" ht="16.8" thickBot="1">
      <c r="A13"/>
      <c r="B13" s="339" t="s">
        <v>688</v>
      </c>
      <c r="C13" s="339" t="s">
        <v>689</v>
      </c>
      <c r="D13" s="340"/>
      <c r="E13" s="340"/>
      <c r="F13" s="341"/>
      <c r="G13" s="342"/>
      <c r="H13" s="340"/>
      <c r="I13" s="340"/>
      <c r="J13" s="340"/>
      <c r="K13" s="341"/>
      <c r="L13" s="342"/>
      <c r="M13" s="340"/>
      <c r="N13" s="340"/>
      <c r="O13" s="340"/>
      <c r="P13" s="341"/>
      <c r="Q13" s="342"/>
      <c r="R13" s="340"/>
      <c r="S13" s="340"/>
      <c r="T13" s="340"/>
      <c r="U13" s="341"/>
      <c r="V13" s="342"/>
      <c r="W13" s="340"/>
      <c r="X13" s="340"/>
      <c r="Y13" s="340"/>
      <c r="Z13" s="341"/>
      <c r="AA13" s="342"/>
      <c r="AB13" s="340"/>
      <c r="AC13" s="340"/>
      <c r="AD13" s="340"/>
      <c r="AE13" s="341"/>
      <c r="AF13" s="342"/>
      <c r="AG13" s="344">
        <f>AG12/AG11</f>
        <v>0.27007226013649138</v>
      </c>
      <c r="AH13" s="345">
        <f t="shared" ref="AH13:AT13" si="0">AH12/AH11</f>
        <v>0.26740993427073795</v>
      </c>
      <c r="AI13" s="345">
        <f t="shared" si="0"/>
        <v>0.27624182631639327</v>
      </c>
      <c r="AJ13" s="345">
        <f t="shared" si="0"/>
        <v>0.27849721427495855</v>
      </c>
      <c r="AK13" s="452">
        <f t="shared" si="0"/>
        <v>0.27313446409894959</v>
      </c>
      <c r="AL13" s="344">
        <f t="shared" si="0"/>
        <v>0.28024026512013256</v>
      </c>
      <c r="AM13" s="345">
        <f t="shared" si="0"/>
        <v>0.26994017946161514</v>
      </c>
      <c r="AN13" s="345">
        <f t="shared" si="0"/>
        <v>0.28135555055167755</v>
      </c>
      <c r="AO13" s="345">
        <f t="shared" si="0"/>
        <v>0.28624102098169341</v>
      </c>
      <c r="AP13" s="452">
        <f t="shared" si="0"/>
        <v>0.27944729506247395</v>
      </c>
      <c r="AQ13" s="344">
        <f t="shared" si="0"/>
        <v>0.28135475518899872</v>
      </c>
      <c r="AR13" s="345">
        <f t="shared" si="0"/>
        <v>0.27361521655314225</v>
      </c>
      <c r="AS13" s="345">
        <f t="shared" si="0"/>
        <v>0.28158488615714394</v>
      </c>
      <c r="AT13" s="346">
        <f t="shared" si="0"/>
        <v>0.28555454462873431</v>
      </c>
      <c r="AU13" s="452">
        <f>AU12/AU11</f>
        <v>0.28136081601072532</v>
      </c>
      <c r="AV13" s="345">
        <f t="shared" ref="AV13:BJ13" si="1">AV12/AV11</f>
        <v>0.28409786540733478</v>
      </c>
      <c r="AW13" s="345">
        <f>ROUNDUP(AW12/AW11,3)</f>
        <v>0.27700000000000002</v>
      </c>
      <c r="AX13" s="345">
        <f t="shared" si="1"/>
        <v>0.28200478696527714</v>
      </c>
      <c r="AY13" s="346">
        <f t="shared" si="1"/>
        <v>0.27733263839192768</v>
      </c>
      <c r="AZ13" s="452">
        <f t="shared" si="1"/>
        <v>0.27963717139356764</v>
      </c>
      <c r="BA13" s="345">
        <f t="shared" si="1"/>
        <v>0.28146413222424849</v>
      </c>
      <c r="BB13" s="345">
        <f t="shared" si="1"/>
        <v>0.28625628502399542</v>
      </c>
      <c r="BC13" s="345">
        <f t="shared" si="1"/>
        <v>0.29326704672693887</v>
      </c>
      <c r="BD13" s="345">
        <f t="shared" si="1"/>
        <v>0.28348693229100125</v>
      </c>
      <c r="BE13" s="452">
        <f t="shared" si="1"/>
        <v>0.28579399986870613</v>
      </c>
      <c r="BF13" s="345">
        <f t="shared" si="1"/>
        <v>0.28384780073175797</v>
      </c>
      <c r="BG13" s="345">
        <f t="shared" si="1"/>
        <v>0.28331120655993758</v>
      </c>
      <c r="BH13" s="345">
        <f t="shared" si="1"/>
        <v>0.28867512524013339</v>
      </c>
      <c r="BI13" s="345">
        <f t="shared" si="1"/>
        <v>0.28280817009403347</v>
      </c>
      <c r="BJ13" s="452">
        <f t="shared" si="1"/>
        <v>0.28441106202909194</v>
      </c>
      <c r="BK13" s="345">
        <f t="shared" ref="BK13:BQ13" si="2">BK12/BK11</f>
        <v>0.27803278391513686</v>
      </c>
      <c r="BL13" s="345">
        <f t="shared" si="2"/>
        <v>0.2816569542145077</v>
      </c>
      <c r="BM13" s="345">
        <f t="shared" si="2"/>
        <v>0.27647207927878226</v>
      </c>
      <c r="BN13" s="345">
        <f t="shared" si="2"/>
        <v>0.28016441780733398</v>
      </c>
      <c r="BO13" s="452">
        <f t="shared" si="2"/>
        <v>0.27927861017954841</v>
      </c>
      <c r="BP13" s="345">
        <f t="shared" si="2"/>
        <v>0.28672859891451052</v>
      </c>
      <c r="BQ13" s="345">
        <f t="shared" si="2"/>
        <v>0.28193509554568241</v>
      </c>
      <c r="BR13" s="345"/>
      <c r="BS13" s="345"/>
      <c r="BT13" s="452"/>
    </row>
    <row r="14" spans="1:75" ht="14.4">
      <c r="A14"/>
      <c r="B14" s="124"/>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5"/>
      <c r="AH14" s="125"/>
      <c r="AI14" s="125"/>
      <c r="AJ14" s="125"/>
      <c r="AK14" s="125"/>
      <c r="AL14" s="125"/>
      <c r="AM14" s="125"/>
      <c r="AN14" s="125"/>
      <c r="AO14" s="125"/>
      <c r="AP14" s="125"/>
      <c r="AQ14" s="125"/>
      <c r="AR14" s="125"/>
      <c r="AS14" s="125"/>
      <c r="AT14" s="125"/>
      <c r="AU14" s="125"/>
      <c r="AV14" s="169"/>
      <c r="AW14" s="125"/>
      <c r="AX14" s="125"/>
      <c r="AY14" s="125"/>
      <c r="AZ14" s="125"/>
      <c r="BA14" s="169"/>
      <c r="BB14" s="125"/>
      <c r="BC14" s="125"/>
      <c r="BD14" s="125"/>
      <c r="BE14" s="125"/>
      <c r="BF14" s="169"/>
      <c r="BG14" s="125"/>
      <c r="BH14" s="125"/>
      <c r="BI14" s="125"/>
      <c r="BJ14" s="125"/>
      <c r="BK14" s="169"/>
      <c r="BL14" s="125"/>
      <c r="BM14" s="125"/>
      <c r="BN14" s="125"/>
      <c r="BO14" s="125"/>
      <c r="BP14" s="169"/>
      <c r="BQ14" s="125"/>
      <c r="BR14" s="125"/>
      <c r="BS14" s="125"/>
      <c r="BT14" s="125"/>
    </row>
    <row r="15" spans="1:75" s="113" customFormat="1" hidden="1">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6"/>
      <c r="AP15"/>
      <c r="AU15"/>
      <c r="AV15" s="170"/>
      <c r="AZ15"/>
      <c r="BA15" s="170"/>
      <c r="BE15"/>
      <c r="BF15" s="170"/>
      <c r="BJ15"/>
      <c r="BK15" s="170"/>
      <c r="BO15"/>
      <c r="BP15" s="170"/>
      <c r="BT15"/>
    </row>
    <row r="16" spans="1:75" s="113" customFormat="1" hidden="1">
      <c r="B16" s="127"/>
      <c r="C16" s="127"/>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127"/>
      <c r="AH16" s="127"/>
      <c r="AI16" s="127"/>
      <c r="AK16"/>
      <c r="AP16"/>
      <c r="AU16"/>
      <c r="AZ16"/>
      <c r="BE16"/>
      <c r="BJ16"/>
      <c r="BO16"/>
      <c r="BT16"/>
    </row>
    <row r="17" spans="2:75" s="128" customFormat="1" ht="27.75" customHeight="1">
      <c r="B17" s="352" t="s">
        <v>690</v>
      </c>
      <c r="C17" s="352" t="s">
        <v>691</v>
      </c>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2"/>
      <c r="AH17" s="2"/>
      <c r="AI17" s="2"/>
      <c r="AJ17" s="113"/>
      <c r="AK17"/>
      <c r="AL17" s="113"/>
      <c r="AM17" s="113"/>
      <c r="AN17" s="113"/>
      <c r="AO17" s="113"/>
      <c r="AP17"/>
      <c r="AU17" s="330"/>
      <c r="AZ17" s="330"/>
      <c r="BE17" s="330"/>
      <c r="BJ17" s="330"/>
      <c r="BO17" s="330"/>
      <c r="BP17" s="937"/>
      <c r="BT17" s="330"/>
    </row>
    <row r="18" spans="2:75" s="128" customFormat="1" ht="27.75" customHeight="1" thickBot="1">
      <c r="B18" s="129" t="s">
        <v>692</v>
      </c>
      <c r="C18" s="129" t="s">
        <v>693</v>
      </c>
      <c r="D18" s="326"/>
      <c r="E18" s="326"/>
      <c r="F18" s="326"/>
      <c r="G18" s="326"/>
      <c r="H18" s="326"/>
      <c r="I18" s="326"/>
      <c r="J18" s="326"/>
      <c r="K18" s="326"/>
      <c r="L18" s="326"/>
      <c r="M18" s="326"/>
      <c r="N18" s="326"/>
      <c r="O18" s="326"/>
      <c r="P18" s="326"/>
      <c r="Q18" s="326"/>
      <c r="R18" s="326"/>
      <c r="S18" s="326"/>
      <c r="T18" s="326"/>
      <c r="U18" s="326"/>
      <c r="V18" s="326"/>
      <c r="W18" s="326"/>
      <c r="X18" s="326"/>
      <c r="Y18" s="326"/>
      <c r="Z18" s="326"/>
      <c r="AA18" s="326"/>
      <c r="AB18" s="326"/>
      <c r="AC18" s="326"/>
      <c r="AD18" s="326"/>
      <c r="AE18" s="326"/>
      <c r="AF18" s="326"/>
      <c r="AG18" s="2"/>
      <c r="AH18" s="2"/>
      <c r="AI18" s="2"/>
      <c r="AJ18" s="113"/>
      <c r="AK18"/>
      <c r="AL18" s="113"/>
      <c r="AM18" s="113"/>
      <c r="AN18" s="113"/>
      <c r="AO18" s="113"/>
      <c r="AP18"/>
      <c r="AU18" s="330"/>
      <c r="AZ18" s="330"/>
      <c r="BE18" s="330"/>
      <c r="BJ18" s="330"/>
      <c r="BO18" s="330"/>
      <c r="BT18" s="330"/>
    </row>
    <row r="19" spans="2:75" s="353" customFormat="1" ht="20.25" customHeight="1" thickBot="1">
      <c r="B19" s="999" t="s">
        <v>694</v>
      </c>
      <c r="C19" s="1001" t="s">
        <v>695</v>
      </c>
      <c r="D19" s="1003"/>
      <c r="E19" s="1004"/>
      <c r="F19" s="1004"/>
      <c r="G19" s="1005"/>
      <c r="H19" s="1003"/>
      <c r="I19" s="1004"/>
      <c r="J19" s="1004"/>
      <c r="K19" s="1004"/>
      <c r="L19" s="1005"/>
      <c r="M19" s="1003"/>
      <c r="N19" s="1004"/>
      <c r="O19" s="1004"/>
      <c r="P19" s="1004"/>
      <c r="Q19" s="1005"/>
      <c r="R19" s="1003"/>
      <c r="S19" s="1004"/>
      <c r="T19" s="1004"/>
      <c r="U19" s="1004"/>
      <c r="V19" s="1005"/>
      <c r="W19" s="1003"/>
      <c r="X19" s="1004"/>
      <c r="Y19" s="1004"/>
      <c r="Z19" s="1004"/>
      <c r="AA19" s="1005"/>
      <c r="AB19" s="1003"/>
      <c r="AC19" s="1004"/>
      <c r="AD19" s="1004"/>
      <c r="AE19" s="1004"/>
      <c r="AF19" s="1005"/>
      <c r="AG19" s="987">
        <v>2018</v>
      </c>
      <c r="AH19" s="988"/>
      <c r="AI19" s="988"/>
      <c r="AJ19" s="988"/>
      <c r="AK19" s="989">
        <v>2018</v>
      </c>
      <c r="AL19" s="987">
        <v>2019</v>
      </c>
      <c r="AM19" s="988"/>
      <c r="AN19" s="988"/>
      <c r="AO19" s="988"/>
      <c r="AP19" s="989">
        <v>2019</v>
      </c>
      <c r="AQ19" s="987">
        <v>2020</v>
      </c>
      <c r="AR19" s="988"/>
      <c r="AS19" s="988"/>
      <c r="AT19" s="988"/>
      <c r="AU19" s="989">
        <v>2020</v>
      </c>
      <c r="AV19" s="987">
        <f>AV2</f>
        <v>2021</v>
      </c>
      <c r="AW19" s="988"/>
      <c r="AX19" s="988"/>
      <c r="AY19" s="988"/>
      <c r="AZ19" s="989">
        <v>2021</v>
      </c>
      <c r="BA19" s="987">
        <f>BA2</f>
        <v>2022</v>
      </c>
      <c r="BB19" s="988"/>
      <c r="BC19" s="988"/>
      <c r="BD19" s="988"/>
      <c r="BE19" s="989">
        <v>2022</v>
      </c>
      <c r="BF19" s="987">
        <f>BF2</f>
        <v>2023</v>
      </c>
      <c r="BG19" s="988"/>
      <c r="BH19" s="988"/>
      <c r="BI19" s="988"/>
      <c r="BJ19" s="989">
        <v>2023</v>
      </c>
      <c r="BK19" s="987">
        <f>BK2</f>
        <v>2024</v>
      </c>
      <c r="BL19" s="988"/>
      <c r="BM19" s="988"/>
      <c r="BN19" s="988"/>
      <c r="BO19" s="989">
        <v>2024</v>
      </c>
      <c r="BP19" s="987">
        <f>BP2</f>
        <v>2025</v>
      </c>
      <c r="BQ19" s="988"/>
      <c r="BR19" s="988"/>
      <c r="BS19" s="988"/>
      <c r="BT19" s="989">
        <v>2025</v>
      </c>
    </row>
    <row r="20" spans="2:75" s="354" customFormat="1" ht="20.25" customHeight="1" thickBot="1">
      <c r="B20" s="1000"/>
      <c r="C20" s="1002"/>
      <c r="D20" s="334"/>
      <c r="E20" s="335"/>
      <c r="F20" s="335"/>
      <c r="G20" s="1006"/>
      <c r="H20" s="334"/>
      <c r="I20" s="335"/>
      <c r="J20" s="335"/>
      <c r="K20" s="335"/>
      <c r="L20" s="1006"/>
      <c r="M20" s="334"/>
      <c r="N20" s="335"/>
      <c r="O20" s="335"/>
      <c r="P20" s="335"/>
      <c r="Q20" s="1006"/>
      <c r="R20" s="334"/>
      <c r="S20" s="335"/>
      <c r="T20" s="335"/>
      <c r="U20" s="335"/>
      <c r="V20" s="1006"/>
      <c r="W20" s="334"/>
      <c r="X20" s="335"/>
      <c r="Y20" s="335"/>
      <c r="Z20" s="335"/>
      <c r="AA20" s="1006"/>
      <c r="AB20" s="334"/>
      <c r="AC20" s="335"/>
      <c r="AD20" s="335"/>
      <c r="AE20" s="335"/>
      <c r="AF20" s="1006"/>
      <c r="AG20" s="332" t="s">
        <v>615</v>
      </c>
      <c r="AH20" s="333" t="s">
        <v>616</v>
      </c>
      <c r="AI20" s="333" t="s">
        <v>617</v>
      </c>
      <c r="AJ20" s="333" t="s">
        <v>618</v>
      </c>
      <c r="AK20" s="990"/>
      <c r="AL20" s="332" t="s">
        <v>615</v>
      </c>
      <c r="AM20" s="333" t="s">
        <v>616</v>
      </c>
      <c r="AN20" s="333" t="s">
        <v>617</v>
      </c>
      <c r="AO20" s="333" t="s">
        <v>618</v>
      </c>
      <c r="AP20" s="990"/>
      <c r="AQ20" s="332" t="s">
        <v>615</v>
      </c>
      <c r="AR20" s="333" t="s">
        <v>616</v>
      </c>
      <c r="AS20" s="333" t="s">
        <v>617</v>
      </c>
      <c r="AT20" s="333" t="s">
        <v>618</v>
      </c>
      <c r="AU20" s="990"/>
      <c r="AV20" s="332" t="s">
        <v>615</v>
      </c>
      <c r="AW20" s="333" t="s">
        <v>616</v>
      </c>
      <c r="AX20" s="333" t="s">
        <v>617</v>
      </c>
      <c r="AY20" s="333" t="s">
        <v>618</v>
      </c>
      <c r="AZ20" s="990"/>
      <c r="BA20" s="332" t="s">
        <v>615</v>
      </c>
      <c r="BB20" s="333" t="s">
        <v>616</v>
      </c>
      <c r="BC20" s="333" t="s">
        <v>617</v>
      </c>
      <c r="BD20" s="333" t="s">
        <v>618</v>
      </c>
      <c r="BE20" s="990"/>
      <c r="BF20" s="332" t="s">
        <v>615</v>
      </c>
      <c r="BG20" s="333" t="s">
        <v>616</v>
      </c>
      <c r="BH20" s="333" t="s">
        <v>617</v>
      </c>
      <c r="BI20" s="333" t="s">
        <v>618</v>
      </c>
      <c r="BJ20" s="990"/>
      <c r="BK20" s="332" t="s">
        <v>615</v>
      </c>
      <c r="BL20" s="333" t="s">
        <v>616</v>
      </c>
      <c r="BM20" s="333" t="s">
        <v>617</v>
      </c>
      <c r="BN20" s="333" t="s">
        <v>618</v>
      </c>
      <c r="BO20" s="990"/>
      <c r="BP20" s="332" t="s">
        <v>615</v>
      </c>
      <c r="BQ20" s="333" t="s">
        <v>616</v>
      </c>
      <c r="BR20" s="333" t="s">
        <v>617</v>
      </c>
      <c r="BS20" s="333" t="s">
        <v>618</v>
      </c>
      <c r="BT20" s="990"/>
      <c r="BW20" s="941"/>
    </row>
    <row r="21" spans="2:75" s="135" customFormat="1" ht="23.1" customHeight="1">
      <c r="B21" s="130" t="s">
        <v>696</v>
      </c>
      <c r="C21" s="130" t="s">
        <v>697</v>
      </c>
      <c r="D21" s="132"/>
      <c r="E21" s="132"/>
      <c r="F21" s="132"/>
      <c r="G21" s="323"/>
      <c r="H21" s="132"/>
      <c r="I21" s="132"/>
      <c r="J21" s="132"/>
      <c r="K21" s="132"/>
      <c r="L21" s="323"/>
      <c r="M21" s="132"/>
      <c r="N21" s="132"/>
      <c r="O21" s="132"/>
      <c r="P21" s="132"/>
      <c r="Q21" s="323"/>
      <c r="R21" s="132"/>
      <c r="S21" s="132"/>
      <c r="T21" s="132"/>
      <c r="U21" s="132"/>
      <c r="V21" s="323"/>
      <c r="W21" s="132"/>
      <c r="X21" s="132"/>
      <c r="Y21" s="132"/>
      <c r="Z21" s="132"/>
      <c r="AA21" s="323"/>
      <c r="AB21" s="132"/>
      <c r="AC21" s="132"/>
      <c r="AD21" s="132"/>
      <c r="AE21" s="132"/>
      <c r="AF21" s="323"/>
      <c r="AG21" s="133">
        <v>8.9575186666666706</v>
      </c>
      <c r="AH21" s="133">
        <v>9.2269073333333296</v>
      </c>
      <c r="AI21" s="133">
        <v>8.9584399999999995</v>
      </c>
      <c r="AJ21" s="133">
        <v>8.6488606666666694</v>
      </c>
      <c r="AK21" s="460">
        <v>8.9479316666666708</v>
      </c>
      <c r="AL21" s="133">
        <v>9.0586716666666707</v>
      </c>
      <c r="AM21" s="133">
        <v>9.5436246666666662</v>
      </c>
      <c r="AN21" s="133">
        <v>9.9339253333333346</v>
      </c>
      <c r="AO21" s="133">
        <v>9.897098333333334</v>
      </c>
      <c r="AP21" s="460">
        <v>9.6083300000000005</v>
      </c>
      <c r="AQ21" s="133">
        <v>9.8268776666666646</v>
      </c>
      <c r="AR21" s="133">
        <v>10.836056000000001</v>
      </c>
      <c r="AS21" s="134">
        <v>18.484831</v>
      </c>
      <c r="AT21" s="141">
        <v>19.728791999999999</v>
      </c>
      <c r="AU21" s="460">
        <f>AVERAGE(AQ21:AT21)</f>
        <v>14.719139166666666</v>
      </c>
      <c r="AV21" s="134">
        <v>20.181743999999998</v>
      </c>
      <c r="AW21" s="134">
        <v>20.329488000000001</v>
      </c>
      <c r="AX21" s="134">
        <v>19.864871999999998</v>
      </c>
      <c r="AY21" s="134">
        <v>20.539062000000001</v>
      </c>
      <c r="AZ21" s="463">
        <f>AVERAGE(AV21:AY21)</f>
        <v>20.2287915</v>
      </c>
      <c r="BA21" s="134">
        <v>21.168755999999998</v>
      </c>
      <c r="BB21" s="134">
        <v>20.781953999999999</v>
      </c>
      <c r="BC21" s="134">
        <v>20.450285999999998</v>
      </c>
      <c r="BD21" s="134">
        <v>21.187601999999998</v>
      </c>
      <c r="BE21" s="703">
        <f>AVERAGE(BA21:BD21)</f>
        <v>20.897149499999998</v>
      </c>
      <c r="BF21" s="134">
        <v>21.172428</v>
      </c>
      <c r="BG21" s="134">
        <v>20.955024000000002</v>
      </c>
      <c r="BH21" s="134">
        <v>20.53782</v>
      </c>
      <c r="BI21" s="134">
        <v>20.8</v>
      </c>
      <c r="BJ21" s="703">
        <f>AVERAGE(BF21:BI21)</f>
        <v>20.866318</v>
      </c>
      <c r="BK21" s="134">
        <v>20.953782</v>
      </c>
      <c r="BL21" s="134">
        <v>20.380625999999999</v>
      </c>
      <c r="BM21" s="134">
        <v>19.417914</v>
      </c>
      <c r="BN21" s="134">
        <v>20.81268</v>
      </c>
      <c r="BO21" s="703">
        <f>AVERAGE(BK21:BN21)</f>
        <v>20.391250499999998</v>
      </c>
      <c r="BP21" s="134">
        <v>21.002490000000002</v>
      </c>
      <c r="BQ21" s="134">
        <v>21.016314000000001</v>
      </c>
      <c r="BR21" s="134"/>
      <c r="BS21" s="134"/>
      <c r="BT21" s="703"/>
      <c r="BV21" s="940"/>
      <c r="BW21" s="941"/>
    </row>
    <row r="22" spans="2:75" s="137" customFormat="1" ht="23.1" customHeight="1">
      <c r="B22" s="789" t="s">
        <v>698</v>
      </c>
      <c r="C22" s="789" t="s">
        <v>699</v>
      </c>
      <c r="D22" s="123"/>
      <c r="E22" s="123"/>
      <c r="F22" s="123"/>
      <c r="G22" s="323"/>
      <c r="H22" s="123"/>
      <c r="I22" s="123"/>
      <c r="J22" s="123"/>
      <c r="K22" s="123"/>
      <c r="L22" s="323"/>
      <c r="M22" s="123"/>
      <c r="N22" s="123"/>
      <c r="O22" s="123"/>
      <c r="P22" s="123"/>
      <c r="Q22" s="323"/>
      <c r="R22" s="123"/>
      <c r="S22" s="123"/>
      <c r="T22" s="123"/>
      <c r="U22" s="123"/>
      <c r="V22" s="323"/>
      <c r="W22" s="123"/>
      <c r="X22" s="123"/>
      <c r="Y22" s="123"/>
      <c r="Z22" s="123"/>
      <c r="AA22" s="323"/>
      <c r="AB22" s="123"/>
      <c r="AC22" s="123"/>
      <c r="AD22" s="123"/>
      <c r="AE22" s="123"/>
      <c r="AF22" s="323"/>
      <c r="AG22" s="136">
        <v>21.2333173333333</v>
      </c>
      <c r="AH22" s="136">
        <v>20.898015999999998</v>
      </c>
      <c r="AI22" s="136">
        <v>20.942602666666701</v>
      </c>
      <c r="AJ22" s="136">
        <v>21.839365666666701</v>
      </c>
      <c r="AK22" s="461">
        <v>21.228325416666699</v>
      </c>
      <c r="AL22" s="136">
        <v>22.457554666666667</v>
      </c>
      <c r="AM22" s="136">
        <v>21.564558000000002</v>
      </c>
      <c r="AN22" s="136">
        <v>20.811750666666669</v>
      </c>
      <c r="AO22" s="136">
        <v>21.400824666666669</v>
      </c>
      <c r="AP22" s="461">
        <v>21.558671999999998</v>
      </c>
      <c r="AQ22" s="136">
        <v>21.740159999999999</v>
      </c>
      <c r="AR22" s="136">
        <v>21.146581999999999</v>
      </c>
      <c r="AS22" s="136">
        <v>20.966215666666667</v>
      </c>
      <c r="AT22" s="142">
        <v>21.769559999999998</v>
      </c>
      <c r="AU22" s="461">
        <f>AVERAGE(AQ22:AT22)</f>
        <v>21.405629416666667</v>
      </c>
      <c r="AV22" s="136">
        <v>21.706271999999998</v>
      </c>
      <c r="AW22" s="136">
        <v>21.781169999999999</v>
      </c>
      <c r="AX22" s="136">
        <v>21.017016000000002</v>
      </c>
      <c r="AY22" s="136">
        <v>21.063780000000001</v>
      </c>
      <c r="AZ22" s="461">
        <f>AVERAGE(AV22:AY22)</f>
        <v>21.392059500000002</v>
      </c>
      <c r="BA22" s="136">
        <v>22.066668</v>
      </c>
      <c r="BB22" s="136">
        <v>21.783384000000002</v>
      </c>
      <c r="BC22" s="136">
        <v>22.015961999999998</v>
      </c>
      <c r="BD22" s="136">
        <v>22.645872000000001</v>
      </c>
      <c r="BE22" s="461">
        <f>AVERAGE(BA22:BD22)</f>
        <v>22.127971500000001</v>
      </c>
      <c r="BF22" s="136">
        <v>23.164596</v>
      </c>
      <c r="BG22" s="136">
        <v>22.845293999999999</v>
      </c>
      <c r="BH22" s="136">
        <v>21.37077</v>
      </c>
      <c r="BI22" s="136">
        <v>21.1</v>
      </c>
      <c r="BJ22" s="461">
        <f>AVERAGE(BF22:BI22)</f>
        <v>22.120165</v>
      </c>
      <c r="BK22" s="136">
        <v>21.105899999999998</v>
      </c>
      <c r="BL22" s="136">
        <v>20.518380000000001</v>
      </c>
      <c r="BM22" s="136">
        <v>20.243141999999999</v>
      </c>
      <c r="BN22" s="136">
        <v>20.327544</v>
      </c>
      <c r="BO22" s="461">
        <f>AVERAGE(BK22:BN22)</f>
        <v>20.548741499999998</v>
      </c>
      <c r="BP22" s="136">
        <v>19.635587999999998</v>
      </c>
      <c r="BQ22" s="136">
        <v>19.798452000000001</v>
      </c>
      <c r="BR22" s="136"/>
      <c r="BS22" s="136"/>
      <c r="BT22" s="461"/>
      <c r="BV22" s="940"/>
      <c r="BW22" s="941"/>
    </row>
    <row r="23" spans="2:75" s="137" customFormat="1" ht="23.1" customHeight="1">
      <c r="B23" s="789" t="s">
        <v>700</v>
      </c>
      <c r="C23" s="789" t="s">
        <v>701</v>
      </c>
      <c r="D23" s="117"/>
      <c r="E23" s="117"/>
      <c r="F23" s="117"/>
      <c r="G23" s="323"/>
      <c r="H23" s="117"/>
      <c r="I23" s="117"/>
      <c r="J23" s="117"/>
      <c r="K23" s="117"/>
      <c r="L23" s="323"/>
      <c r="M23" s="117"/>
      <c r="N23" s="117"/>
      <c r="O23" s="117"/>
      <c r="P23" s="117"/>
      <c r="Q23" s="323"/>
      <c r="R23" s="117"/>
      <c r="S23" s="117"/>
      <c r="T23" s="117"/>
      <c r="U23" s="117"/>
      <c r="V23" s="323"/>
      <c r="W23" s="117"/>
      <c r="X23" s="117"/>
      <c r="Y23" s="117"/>
      <c r="Z23" s="117"/>
      <c r="AA23" s="323"/>
      <c r="AB23" s="117"/>
      <c r="AC23" s="117"/>
      <c r="AD23" s="117"/>
      <c r="AE23" s="117"/>
      <c r="AF23" s="323"/>
      <c r="AG23" s="136">
        <v>21.468349</v>
      </c>
      <c r="AH23" s="136">
        <v>20.808209333333298</v>
      </c>
      <c r="AI23" s="136">
        <v>20.612301333333299</v>
      </c>
      <c r="AJ23" s="136">
        <v>21.082352</v>
      </c>
      <c r="AK23" s="461">
        <v>20.992802916666701</v>
      </c>
      <c r="AL23" s="136">
        <v>21.450856666666667</v>
      </c>
      <c r="AM23" s="136">
        <v>20.752137333333334</v>
      </c>
      <c r="AN23" s="136">
        <v>20.033246999999999</v>
      </c>
      <c r="AO23" s="136">
        <v>20.897084333333332</v>
      </c>
      <c r="AP23" s="461">
        <v>20.783331333333333</v>
      </c>
      <c r="AQ23" s="136">
        <v>21.910613000000001</v>
      </c>
      <c r="AR23" s="136">
        <v>21.920766666666665</v>
      </c>
      <c r="AS23" s="136">
        <v>20.933972666666669</v>
      </c>
      <c r="AT23" s="142">
        <v>21.592872</v>
      </c>
      <c r="AU23" s="461">
        <f t="shared" ref="AU23:AU25" si="3">AVERAGE(AQ23:AT23)</f>
        <v>21.589556083333335</v>
      </c>
      <c r="AV23" s="136">
        <v>21.562200000000001</v>
      </c>
      <c r="AW23" s="136">
        <v>21.70017</v>
      </c>
      <c r="AX23" s="136">
        <v>22.279806000000001</v>
      </c>
      <c r="AY23" s="136">
        <v>23.346792000000001</v>
      </c>
      <c r="AZ23" s="461">
        <f t="shared" ref="AZ23:AZ25" si="4">AVERAGE(AV23:AY23)</f>
        <v>22.222242000000001</v>
      </c>
      <c r="BA23" s="136">
        <v>22.519566000000001</v>
      </c>
      <c r="BB23" s="136">
        <v>21.660533999999998</v>
      </c>
      <c r="BC23" s="136">
        <v>21.742937999999999</v>
      </c>
      <c r="BD23" s="136">
        <v>22.101606</v>
      </c>
      <c r="BE23" s="461">
        <f>AVERAGE(BA23:BD23)</f>
        <v>22.006160999999999</v>
      </c>
      <c r="BF23" s="136">
        <v>22.138757999999999</v>
      </c>
      <c r="BG23" s="136">
        <v>21.514247999999998</v>
      </c>
      <c r="BH23" s="136">
        <v>20.962152</v>
      </c>
      <c r="BI23" s="136">
        <v>21.2</v>
      </c>
      <c r="BJ23" s="461">
        <f>AVERAGE(BF23:BI23)</f>
        <v>21.453789499999999</v>
      </c>
      <c r="BK23" s="136">
        <v>20.714238000000002</v>
      </c>
      <c r="BL23" s="136">
        <v>20.173428000000001</v>
      </c>
      <c r="BM23" s="136">
        <v>20.155878000000001</v>
      </c>
      <c r="BN23" s="136">
        <v>20.670282</v>
      </c>
      <c r="BO23" s="461">
        <f>AVERAGE(BK23:BN23)</f>
        <v>20.428456500000003</v>
      </c>
      <c r="BP23" s="136">
        <v>20.898972000000001</v>
      </c>
      <c r="BQ23" s="136">
        <v>20.910798</v>
      </c>
      <c r="BR23" s="136"/>
      <c r="BS23" s="136"/>
      <c r="BT23" s="461"/>
      <c r="BV23" s="940"/>
      <c r="BW23" s="941"/>
    </row>
    <row r="24" spans="2:75" s="137" customFormat="1" ht="23.1" customHeight="1">
      <c r="B24" s="789" t="s">
        <v>702</v>
      </c>
      <c r="C24" s="789" t="s">
        <v>703</v>
      </c>
      <c r="D24" s="327"/>
      <c r="E24" s="327"/>
      <c r="F24" s="785"/>
      <c r="G24" s="323"/>
      <c r="H24" s="327"/>
      <c r="I24" s="327"/>
      <c r="J24" s="785"/>
      <c r="K24" s="785"/>
      <c r="L24" s="323"/>
      <c r="M24" s="327"/>
      <c r="N24" s="327"/>
      <c r="O24" s="785"/>
      <c r="P24" s="785"/>
      <c r="Q24" s="323"/>
      <c r="R24" s="327"/>
      <c r="S24" s="327"/>
      <c r="T24" s="785"/>
      <c r="U24" s="785"/>
      <c r="V24" s="323"/>
      <c r="W24" s="327"/>
      <c r="X24" s="327"/>
      <c r="Y24" s="785"/>
      <c r="Z24" s="785"/>
      <c r="AA24" s="323"/>
      <c r="AB24" s="327"/>
      <c r="AC24" s="327"/>
      <c r="AD24" s="785"/>
      <c r="AE24" s="785"/>
      <c r="AF24" s="323"/>
      <c r="AG24" s="790">
        <v>15.9318236666667</v>
      </c>
      <c r="AH24" s="790">
        <v>15.865494</v>
      </c>
      <c r="AI24" s="790">
        <v>16.060423333333301</v>
      </c>
      <c r="AJ24" s="790">
        <v>17.065826666666698</v>
      </c>
      <c r="AK24" s="461">
        <v>16.2308919166667</v>
      </c>
      <c r="AL24" s="790">
        <v>17.787435666666667</v>
      </c>
      <c r="AM24" s="790">
        <v>16.994359333333335</v>
      </c>
      <c r="AN24" s="790">
        <v>16.433279333333335</v>
      </c>
      <c r="AO24" s="790">
        <v>17.680521000000002</v>
      </c>
      <c r="AP24" s="461">
        <v>17.223898833333333</v>
      </c>
      <c r="AQ24" s="790">
        <v>18.596202000000002</v>
      </c>
      <c r="AR24" s="790">
        <v>17.204713999999999</v>
      </c>
      <c r="AS24" s="790">
        <v>15.98324</v>
      </c>
      <c r="AT24" s="790">
        <v>17.756712</v>
      </c>
      <c r="AU24" s="461">
        <f t="shared" si="3"/>
        <v>17.385217000000001</v>
      </c>
      <c r="AV24" s="136">
        <v>17.12556</v>
      </c>
      <c r="AW24" s="136">
        <v>16.734383999999999</v>
      </c>
      <c r="AX24" s="136">
        <v>16.549271999999998</v>
      </c>
      <c r="AY24" s="136">
        <v>17.245547999999999</v>
      </c>
      <c r="AZ24" s="461">
        <f t="shared" si="4"/>
        <v>16.913691</v>
      </c>
      <c r="BA24" s="136">
        <v>17.649467999999999</v>
      </c>
      <c r="BB24" s="136">
        <v>17.706437999999999</v>
      </c>
      <c r="BC24" s="136">
        <v>17.554212</v>
      </c>
      <c r="BD24" s="136">
        <v>18.561095999999999</v>
      </c>
      <c r="BE24" s="461">
        <f>AVERAGE(BA24:BD24)</f>
        <v>17.867803500000001</v>
      </c>
      <c r="BF24" s="136">
        <v>18.665154000000001</v>
      </c>
      <c r="BG24" s="136">
        <v>17.358246000000001</v>
      </c>
      <c r="BH24" s="136">
        <v>17.206398</v>
      </c>
      <c r="BI24" s="136">
        <v>16.98705</v>
      </c>
      <c r="BJ24" s="461">
        <f>AVERAGE(BF24:BI24)</f>
        <v>17.554212</v>
      </c>
      <c r="BK24" s="136">
        <v>16.645878</v>
      </c>
      <c r="BL24" s="136">
        <v>16.181424</v>
      </c>
      <c r="BM24" s="136">
        <v>15.016536</v>
      </c>
      <c r="BN24" s="136">
        <v>15.410682</v>
      </c>
      <c r="BO24" s="461">
        <f>AVERAGE(BK24:BN24)</f>
        <v>15.813630000000002</v>
      </c>
      <c r="BP24" s="136">
        <v>15.1</v>
      </c>
      <c r="BQ24" s="136">
        <v>15.505182</v>
      </c>
      <c r="BR24" s="136"/>
      <c r="BS24" s="136"/>
      <c r="BT24" s="461"/>
      <c r="BV24" s="940"/>
      <c r="BW24" s="941"/>
    </row>
    <row r="25" spans="2:75" s="137" customFormat="1" ht="23.1" customHeight="1" thickBot="1">
      <c r="B25" s="791" t="s">
        <v>704</v>
      </c>
      <c r="C25" s="791" t="s">
        <v>705</v>
      </c>
      <c r="D25" s="637"/>
      <c r="E25" s="637"/>
      <c r="F25" s="792"/>
      <c r="G25" s="324"/>
      <c r="H25" s="637"/>
      <c r="I25" s="637"/>
      <c r="J25" s="792"/>
      <c r="K25" s="792"/>
      <c r="L25" s="324"/>
      <c r="M25" s="637"/>
      <c r="N25" s="637"/>
      <c r="O25" s="792"/>
      <c r="P25" s="792"/>
      <c r="Q25" s="324"/>
      <c r="R25" s="637"/>
      <c r="S25" s="637"/>
      <c r="T25" s="792"/>
      <c r="U25" s="792"/>
      <c r="V25" s="324"/>
      <c r="W25" s="637"/>
      <c r="X25" s="637"/>
      <c r="Y25" s="792"/>
      <c r="Z25" s="792"/>
      <c r="AA25" s="324"/>
      <c r="AB25" s="637"/>
      <c r="AC25" s="637"/>
      <c r="AD25" s="792"/>
      <c r="AE25" s="792"/>
      <c r="AF25" s="324"/>
      <c r="AG25" s="793">
        <v>16.4260943333333</v>
      </c>
      <c r="AH25" s="793">
        <v>15.977968000000001</v>
      </c>
      <c r="AI25" s="793">
        <v>16.207808</v>
      </c>
      <c r="AJ25" s="793">
        <v>17.236224666666701</v>
      </c>
      <c r="AK25" s="462">
        <v>16.46202375</v>
      </c>
      <c r="AL25" s="793">
        <v>17.738139</v>
      </c>
      <c r="AM25" s="793">
        <v>16.633941666666665</v>
      </c>
      <c r="AN25" s="793">
        <v>15.505186333333333</v>
      </c>
      <c r="AO25" s="793">
        <v>16.117697666666668</v>
      </c>
      <c r="AP25" s="462">
        <v>16.498741166666665</v>
      </c>
      <c r="AQ25" s="793">
        <v>16.987466000000001</v>
      </c>
      <c r="AR25" s="638">
        <v>16.000780333333335</v>
      </c>
      <c r="AS25" s="638">
        <v>14.976542333333335</v>
      </c>
      <c r="AT25" s="793">
        <v>17.669664000000001</v>
      </c>
      <c r="AU25" s="462">
        <f t="shared" si="3"/>
        <v>16.408613166666669</v>
      </c>
      <c r="AV25" s="643">
        <v>17.595576000000001</v>
      </c>
      <c r="AW25" s="643">
        <v>17.638991999999998</v>
      </c>
      <c r="AX25" s="643">
        <v>17.396370000000001</v>
      </c>
      <c r="AY25" s="643">
        <v>17.984159999999999</v>
      </c>
      <c r="AZ25" s="645">
        <f t="shared" si="4"/>
        <v>17.653774500000001</v>
      </c>
      <c r="BA25" s="643">
        <v>18.547865999999999</v>
      </c>
      <c r="BB25" s="643">
        <v>17.891604000000001</v>
      </c>
      <c r="BC25" s="643">
        <v>17.8767</v>
      </c>
      <c r="BD25" s="643">
        <v>18.523350000000001</v>
      </c>
      <c r="BE25" s="462">
        <f>AVERAGE(BA25:BD25)</f>
        <v>18.209879999999998</v>
      </c>
      <c r="BF25" s="643">
        <v>18.543654</v>
      </c>
      <c r="BG25" s="643">
        <v>19.430226000000001</v>
      </c>
      <c r="BH25" s="643">
        <v>18.916632</v>
      </c>
      <c r="BI25" s="643">
        <v>18.877752000000001</v>
      </c>
      <c r="BJ25" s="462">
        <f>AVERAGE(BF25:BI25)</f>
        <v>18.942066000000001</v>
      </c>
      <c r="BK25" s="643">
        <v>18.027684000000001</v>
      </c>
      <c r="BL25" s="643">
        <v>16.980029999999999</v>
      </c>
      <c r="BM25" s="643">
        <v>16.29693</v>
      </c>
      <c r="BN25" s="643">
        <v>16.557749999999999</v>
      </c>
      <c r="BO25" s="462">
        <f>AVERAGE(BK25:BN25)</f>
        <v>16.965598499999999</v>
      </c>
      <c r="BP25" s="643">
        <v>16.899999999999999</v>
      </c>
      <c r="BQ25" s="643">
        <v>17.053578000000002</v>
      </c>
      <c r="BR25" s="643"/>
      <c r="BS25" s="643"/>
      <c r="BT25" s="462"/>
      <c r="BV25" s="940"/>
      <c r="BW25" s="941"/>
    </row>
    <row r="26" spans="2:75" s="113" customFormat="1" ht="20.100000000000001" customHeight="1">
      <c r="D26"/>
      <c r="E26"/>
      <c r="F26"/>
      <c r="G26"/>
      <c r="H26"/>
      <c r="I26"/>
      <c r="J26"/>
      <c r="K26"/>
      <c r="L26"/>
      <c r="M26"/>
      <c r="N26"/>
      <c r="O26"/>
      <c r="P26"/>
      <c r="Q26"/>
      <c r="R26"/>
      <c r="S26"/>
      <c r="T26"/>
      <c r="U26"/>
      <c r="V26"/>
      <c r="W26"/>
      <c r="X26"/>
      <c r="Y26"/>
      <c r="Z26"/>
      <c r="AA26"/>
      <c r="AB26"/>
      <c r="AC26"/>
      <c r="AD26"/>
      <c r="AE26"/>
      <c r="AF26"/>
      <c r="AK26"/>
      <c r="AP26"/>
      <c r="AU26"/>
      <c r="AZ26"/>
      <c r="BE26"/>
      <c r="BJ26"/>
      <c r="BO26"/>
      <c r="BT26"/>
    </row>
    <row r="27" spans="2:75" s="113" customFormat="1" ht="27.75" customHeight="1" thickBot="1">
      <c r="B27" s="138" t="s">
        <v>706</v>
      </c>
      <c r="C27" s="138" t="s">
        <v>707</v>
      </c>
      <c r="D27" s="328"/>
      <c r="E27" s="328"/>
      <c r="F27" s="328"/>
      <c r="G27" s="328"/>
      <c r="H27" s="328"/>
      <c r="I27" s="328"/>
      <c r="J27" s="328"/>
      <c r="K27" s="328"/>
      <c r="L27" s="328"/>
      <c r="M27" s="328"/>
      <c r="N27" s="328"/>
      <c r="O27" s="328"/>
      <c r="P27" s="328"/>
      <c r="Q27" s="328"/>
      <c r="R27" s="328"/>
      <c r="S27" s="328"/>
      <c r="T27" s="328"/>
      <c r="U27" s="328"/>
      <c r="V27" s="328"/>
      <c r="W27" s="328"/>
      <c r="X27" s="328"/>
      <c r="Y27" s="328"/>
      <c r="Z27" s="328"/>
      <c r="AA27" s="328"/>
      <c r="AB27" s="328"/>
      <c r="AC27" s="328"/>
      <c r="AD27" s="328"/>
      <c r="AE27" s="328"/>
      <c r="AF27" s="328"/>
      <c r="AK27"/>
      <c r="AP27"/>
      <c r="AU27"/>
      <c r="AZ27"/>
      <c r="BE27"/>
      <c r="BJ27"/>
      <c r="BO27"/>
      <c r="BT27"/>
    </row>
    <row r="28" spans="2:75" s="355" customFormat="1" ht="20.25" customHeight="1">
      <c r="B28" s="999" t="s">
        <v>708</v>
      </c>
      <c r="C28" s="999" t="s">
        <v>709</v>
      </c>
      <c r="D28" s="987"/>
      <c r="E28" s="988"/>
      <c r="F28" s="988"/>
      <c r="G28" s="989"/>
      <c r="H28" s="987"/>
      <c r="I28" s="988"/>
      <c r="J28" s="988"/>
      <c r="K28" s="988"/>
      <c r="L28" s="989"/>
      <c r="M28" s="987"/>
      <c r="N28" s="988"/>
      <c r="O28" s="988"/>
      <c r="P28" s="988"/>
      <c r="Q28" s="989"/>
      <c r="R28" s="987"/>
      <c r="S28" s="988"/>
      <c r="T28" s="988"/>
      <c r="U28" s="988"/>
      <c r="V28" s="989"/>
      <c r="W28" s="987"/>
      <c r="X28" s="988"/>
      <c r="Y28" s="988"/>
      <c r="Z28" s="988"/>
      <c r="AA28" s="989"/>
      <c r="AB28" s="987"/>
      <c r="AC28" s="988"/>
      <c r="AD28" s="988"/>
      <c r="AE28" s="988"/>
      <c r="AF28" s="989"/>
      <c r="AG28" s="987">
        <v>2018</v>
      </c>
      <c r="AH28" s="988"/>
      <c r="AI28" s="988"/>
      <c r="AJ28" s="988"/>
      <c r="AK28" s="989">
        <v>2018</v>
      </c>
      <c r="AL28" s="987">
        <v>2019</v>
      </c>
      <c r="AM28" s="988"/>
      <c r="AN28" s="988"/>
      <c r="AO28" s="988"/>
      <c r="AP28" s="989">
        <v>2019</v>
      </c>
      <c r="AQ28" s="987">
        <v>2020</v>
      </c>
      <c r="AR28" s="988"/>
      <c r="AS28" s="988"/>
      <c r="AT28" s="988"/>
      <c r="AU28" s="989">
        <v>2020</v>
      </c>
      <c r="AV28" s="987">
        <f>AV2</f>
        <v>2021</v>
      </c>
      <c r="AW28" s="988"/>
      <c r="AX28" s="988"/>
      <c r="AY28" s="988"/>
      <c r="AZ28" s="989">
        <v>2021</v>
      </c>
      <c r="BA28" s="987">
        <f>BA2</f>
        <v>2022</v>
      </c>
      <c r="BB28" s="988"/>
      <c r="BC28" s="988"/>
      <c r="BD28" s="988"/>
      <c r="BE28" s="989">
        <v>2022</v>
      </c>
      <c r="BF28" s="987">
        <f>BF2</f>
        <v>2023</v>
      </c>
      <c r="BG28" s="988"/>
      <c r="BH28" s="988"/>
      <c r="BI28" s="988"/>
      <c r="BJ28" s="989">
        <v>2023</v>
      </c>
      <c r="BK28" s="987">
        <f>BK2</f>
        <v>2024</v>
      </c>
      <c r="BL28" s="988"/>
      <c r="BM28" s="988"/>
      <c r="BN28" s="988"/>
      <c r="BO28" s="989">
        <v>2024</v>
      </c>
      <c r="BP28" s="987">
        <f>BP2</f>
        <v>2025</v>
      </c>
      <c r="BQ28" s="988"/>
      <c r="BR28" s="988"/>
      <c r="BS28" s="988"/>
      <c r="BT28" s="989">
        <v>2025</v>
      </c>
    </row>
    <row r="29" spans="2:75" s="356" customFormat="1" ht="20.25" customHeight="1" thickBot="1">
      <c r="B29" s="1000"/>
      <c r="C29" s="1000"/>
      <c r="D29" s="332"/>
      <c r="E29" s="333"/>
      <c r="F29" s="333"/>
      <c r="G29" s="990"/>
      <c r="H29" s="332"/>
      <c r="I29" s="333"/>
      <c r="J29" s="333"/>
      <c r="K29" s="333"/>
      <c r="L29" s="990"/>
      <c r="M29" s="332"/>
      <c r="N29" s="333"/>
      <c r="O29" s="333"/>
      <c r="P29" s="333"/>
      <c r="Q29" s="990"/>
      <c r="R29" s="332"/>
      <c r="S29" s="333"/>
      <c r="T29" s="333"/>
      <c r="U29" s="333"/>
      <c r="V29" s="990"/>
      <c r="W29" s="332"/>
      <c r="X29" s="333"/>
      <c r="Y29" s="333"/>
      <c r="Z29" s="333"/>
      <c r="AA29" s="990"/>
      <c r="AB29" s="332"/>
      <c r="AC29" s="333"/>
      <c r="AD29" s="333"/>
      <c r="AE29" s="333"/>
      <c r="AF29" s="990"/>
      <c r="AG29" s="332" t="s">
        <v>615</v>
      </c>
      <c r="AH29" s="333" t="s">
        <v>616</v>
      </c>
      <c r="AI29" s="333" t="s">
        <v>617</v>
      </c>
      <c r="AJ29" s="333" t="s">
        <v>618</v>
      </c>
      <c r="AK29" s="990"/>
      <c r="AL29" s="332" t="s">
        <v>615</v>
      </c>
      <c r="AM29" s="333" t="s">
        <v>616</v>
      </c>
      <c r="AN29" s="333" t="s">
        <v>617</v>
      </c>
      <c r="AO29" s="333" t="s">
        <v>618</v>
      </c>
      <c r="AP29" s="990"/>
      <c r="AQ29" s="332" t="s">
        <v>615</v>
      </c>
      <c r="AR29" s="333" t="s">
        <v>616</v>
      </c>
      <c r="AS29" s="333" t="s">
        <v>617</v>
      </c>
      <c r="AT29" s="333" t="s">
        <v>618</v>
      </c>
      <c r="AU29" s="990"/>
      <c r="AV29" s="332" t="s">
        <v>615</v>
      </c>
      <c r="AW29" s="333" t="s">
        <v>616</v>
      </c>
      <c r="AX29" s="333" t="s">
        <v>617</v>
      </c>
      <c r="AY29" s="333" t="s">
        <v>618</v>
      </c>
      <c r="AZ29" s="990"/>
      <c r="BA29" s="332" t="s">
        <v>615</v>
      </c>
      <c r="BB29" s="333" t="s">
        <v>616</v>
      </c>
      <c r="BC29" s="333" t="s">
        <v>617</v>
      </c>
      <c r="BD29" s="333" t="s">
        <v>618</v>
      </c>
      <c r="BE29" s="990"/>
      <c r="BF29" s="332" t="s">
        <v>615</v>
      </c>
      <c r="BG29" s="333" t="s">
        <v>616</v>
      </c>
      <c r="BH29" s="333" t="s">
        <v>617</v>
      </c>
      <c r="BI29" s="333" t="s">
        <v>618</v>
      </c>
      <c r="BJ29" s="990"/>
      <c r="BK29" s="332" t="s">
        <v>615</v>
      </c>
      <c r="BL29" s="333" t="s">
        <v>616</v>
      </c>
      <c r="BM29" s="333" t="s">
        <v>617</v>
      </c>
      <c r="BN29" s="333" t="s">
        <v>618</v>
      </c>
      <c r="BO29" s="990"/>
      <c r="BP29" s="332" t="s">
        <v>615</v>
      </c>
      <c r="BQ29" s="333" t="s">
        <v>616</v>
      </c>
      <c r="BR29" s="333" t="s">
        <v>617</v>
      </c>
      <c r="BS29" s="333" t="s">
        <v>618</v>
      </c>
      <c r="BT29" s="990"/>
    </row>
    <row r="30" spans="2:75" s="140" customFormat="1" ht="20.100000000000001" customHeight="1">
      <c r="B30" s="130" t="s">
        <v>710</v>
      </c>
      <c r="C30" s="130" t="s">
        <v>711</v>
      </c>
      <c r="D30" s="132"/>
      <c r="E30" s="132"/>
      <c r="F30" s="132"/>
      <c r="G30" s="323"/>
      <c r="H30" s="132"/>
      <c r="I30" s="132"/>
      <c r="J30" s="132"/>
      <c r="K30" s="132"/>
      <c r="L30" s="323"/>
      <c r="M30" s="132"/>
      <c r="N30" s="132"/>
      <c r="O30" s="132"/>
      <c r="P30" s="132"/>
      <c r="Q30" s="323"/>
      <c r="R30" s="132"/>
      <c r="S30" s="132"/>
      <c r="T30" s="132"/>
      <c r="U30" s="132"/>
      <c r="V30" s="323"/>
      <c r="W30" s="132"/>
      <c r="X30" s="132"/>
      <c r="Y30" s="132"/>
      <c r="Z30" s="132"/>
      <c r="AA30" s="323"/>
      <c r="AB30" s="132"/>
      <c r="AC30" s="132"/>
      <c r="AD30" s="132"/>
      <c r="AE30" s="132"/>
      <c r="AF30" s="323"/>
      <c r="AG30" s="139">
        <v>119.246591</v>
      </c>
      <c r="AH30" s="139">
        <v>122.659119</v>
      </c>
      <c r="AI30" s="139">
        <v>115.47829</v>
      </c>
      <c r="AJ30" s="139">
        <v>124.290809</v>
      </c>
      <c r="AK30" s="467">
        <v>120.418702</v>
      </c>
      <c r="AL30" s="139">
        <v>141.89801766666699</v>
      </c>
      <c r="AM30" s="139">
        <v>142.39620733333334</v>
      </c>
      <c r="AN30" s="139">
        <v>147.647065</v>
      </c>
      <c r="AO30" s="139">
        <v>147.21163000000001</v>
      </c>
      <c r="AP30" s="467">
        <v>144.52833590909091</v>
      </c>
      <c r="AQ30" s="139">
        <v>156.99415033333335</v>
      </c>
      <c r="AR30" s="139">
        <v>175.901262</v>
      </c>
      <c r="AS30" s="131">
        <v>1489.1514456666669</v>
      </c>
      <c r="AT30" s="132">
        <v>1713.2906539999999</v>
      </c>
      <c r="AU30" s="467">
        <f>AVERAGE(AQ30:AT30)</f>
        <v>883.83437800000002</v>
      </c>
      <c r="AV30" s="131">
        <v>1739.0040570000001</v>
      </c>
      <c r="AW30" s="131">
        <v>2028.1014210000001</v>
      </c>
      <c r="AX30" s="131">
        <v>1995.4577059999999</v>
      </c>
      <c r="AY30" s="131">
        <v>1963.315611</v>
      </c>
      <c r="AZ30" s="464">
        <f>AVERAGE(AV30:AY30)</f>
        <v>1931.4696987500001</v>
      </c>
      <c r="BA30" s="131">
        <v>2170.3631930000001</v>
      </c>
      <c r="BB30" s="131">
        <v>2022.7836483333333</v>
      </c>
      <c r="BC30" s="131">
        <v>1970.2891830000001</v>
      </c>
      <c r="BD30" s="131">
        <v>2016.2877403333332</v>
      </c>
      <c r="BE30" s="464">
        <f>AVERAGE(BA30:BD30)</f>
        <v>2044.9309411666666</v>
      </c>
      <c r="BF30" s="131">
        <v>1937.6943776666667</v>
      </c>
      <c r="BG30" s="131">
        <v>1901.3941786666667</v>
      </c>
      <c r="BH30" s="131">
        <v>1943.9644653333332</v>
      </c>
      <c r="BI30" s="131">
        <v>1981.9090626666668</v>
      </c>
      <c r="BJ30" s="464">
        <f>AVERAGE(BF30:BI30)</f>
        <v>1941.2405210833333</v>
      </c>
      <c r="BK30" s="131">
        <v>1925.8604773333332</v>
      </c>
      <c r="BL30" s="131">
        <v>1808.4986039999999</v>
      </c>
      <c r="BM30" s="131">
        <v>1805.4340793333333</v>
      </c>
      <c r="BN30" s="131">
        <v>1813.276404</v>
      </c>
      <c r="BO30" s="464">
        <f>AVERAGE(BK30:BN30)</f>
        <v>1838.2673911666666</v>
      </c>
      <c r="BP30" s="131">
        <v>1907.0047123333331</v>
      </c>
      <c r="BQ30" s="131">
        <v>1950.7806296666668</v>
      </c>
      <c r="BR30" s="131"/>
      <c r="BS30" s="131"/>
      <c r="BT30" s="464"/>
      <c r="BV30" s="939"/>
      <c r="BW30" s="942"/>
    </row>
    <row r="31" spans="2:75" s="113" customFormat="1" ht="20.100000000000001" customHeight="1">
      <c r="B31" s="789" t="s">
        <v>698</v>
      </c>
      <c r="C31" s="789" t="s">
        <v>699</v>
      </c>
      <c r="D31" s="123"/>
      <c r="E31" s="123"/>
      <c r="F31" s="123"/>
      <c r="G31" s="323"/>
      <c r="H31" s="123"/>
      <c r="I31" s="123"/>
      <c r="J31" s="123"/>
      <c r="K31" s="123"/>
      <c r="L31" s="323"/>
      <c r="M31" s="123"/>
      <c r="N31" s="123"/>
      <c r="O31" s="123"/>
      <c r="P31" s="123"/>
      <c r="Q31" s="323"/>
      <c r="R31" s="123"/>
      <c r="S31" s="123"/>
      <c r="T31" s="123"/>
      <c r="U31" s="123"/>
      <c r="V31" s="323"/>
      <c r="W31" s="123"/>
      <c r="X31" s="123"/>
      <c r="Y31" s="123"/>
      <c r="Z31" s="123"/>
      <c r="AA31" s="323"/>
      <c r="AB31" s="123"/>
      <c r="AC31" s="123"/>
      <c r="AD31" s="123"/>
      <c r="AE31" s="123"/>
      <c r="AF31" s="323"/>
      <c r="AG31" s="85">
        <v>3986.0391209999998</v>
      </c>
      <c r="AH31" s="85">
        <v>2843.8153569999999</v>
      </c>
      <c r="AI31" s="85">
        <v>2795.8327979999999</v>
      </c>
      <c r="AJ31" s="85">
        <v>2824.1565719999999</v>
      </c>
      <c r="AK31" s="465">
        <v>3112.4609620000001</v>
      </c>
      <c r="AL31" s="85">
        <v>3067.8559336666667</v>
      </c>
      <c r="AM31" s="85">
        <v>2816.4148613333336</v>
      </c>
      <c r="AN31" s="85">
        <v>2891.7096685000001</v>
      </c>
      <c r="AO31" s="85">
        <v>2865.860862</v>
      </c>
      <c r="AP31" s="465">
        <v>2912.164937090909</v>
      </c>
      <c r="AQ31" s="85">
        <v>3348.4315183333333</v>
      </c>
      <c r="AR31" s="85">
        <v>3454.8804993333333</v>
      </c>
      <c r="AS31" s="85">
        <v>2850.2637966666666</v>
      </c>
      <c r="AT31" s="123">
        <v>3489.1977529999999</v>
      </c>
      <c r="AU31" s="465">
        <f>AVERAGE(AQ31:AT31)</f>
        <v>3285.6933918333334</v>
      </c>
      <c r="AV31" s="85">
        <v>3448.092208</v>
      </c>
      <c r="AW31" s="85">
        <v>3363.2307430000001</v>
      </c>
      <c r="AX31" s="85">
        <v>3250.0863800000002</v>
      </c>
      <c r="AY31" s="85">
        <v>3592.842443</v>
      </c>
      <c r="AZ31" s="465">
        <f>AVERAGE(AV31:AY31)</f>
        <v>3413.5629435000001</v>
      </c>
      <c r="BA31" s="85">
        <v>4208.8861299999999</v>
      </c>
      <c r="BB31" s="85">
        <v>3907.9663673333334</v>
      </c>
      <c r="BC31" s="85">
        <v>3675.5723446666666</v>
      </c>
      <c r="BD31" s="85">
        <v>3774.7006889999998</v>
      </c>
      <c r="BE31" s="465">
        <f>AVERAGE(BA31:BD31)</f>
        <v>3891.7813827499999</v>
      </c>
      <c r="BF31" s="85">
        <v>3714.641404</v>
      </c>
      <c r="BG31" s="85">
        <v>3368.0013926666666</v>
      </c>
      <c r="BH31" s="85">
        <v>3294.5533236666665</v>
      </c>
      <c r="BI31" s="85">
        <v>3598.3460009999999</v>
      </c>
      <c r="BJ31" s="465">
        <f>AVERAGE(BF31:BI31)</f>
        <v>3493.8855303333335</v>
      </c>
      <c r="BK31" s="85">
        <v>3564.7950786666665</v>
      </c>
      <c r="BL31" s="85">
        <v>3194.4056190000001</v>
      </c>
      <c r="BM31" s="85">
        <v>3144.4129743333333</v>
      </c>
      <c r="BN31" s="85">
        <v>3078.2427290000001</v>
      </c>
      <c r="BO31" s="465">
        <f>AVERAGE(BK31:BN31)</f>
        <v>3245.4641002499998</v>
      </c>
      <c r="BP31" s="85">
        <v>1457.3401200000001</v>
      </c>
      <c r="BQ31" s="85">
        <v>1493.3638980000001</v>
      </c>
      <c r="BR31" s="85"/>
      <c r="BS31" s="85"/>
      <c r="BT31" s="465"/>
      <c r="BV31" s="939"/>
    </row>
    <row r="32" spans="2:75" s="113" customFormat="1" ht="20.100000000000001" customHeight="1">
      <c r="B32" s="789" t="s">
        <v>700</v>
      </c>
      <c r="C32" s="789" t="s">
        <v>701</v>
      </c>
      <c r="D32" s="117"/>
      <c r="E32" s="117"/>
      <c r="F32" s="117"/>
      <c r="G32" s="323"/>
      <c r="H32" s="117"/>
      <c r="I32" s="117"/>
      <c r="J32" s="117"/>
      <c r="K32" s="117"/>
      <c r="L32" s="323"/>
      <c r="M32" s="117"/>
      <c r="N32" s="117"/>
      <c r="O32" s="117"/>
      <c r="P32" s="117"/>
      <c r="Q32" s="323"/>
      <c r="R32" s="117"/>
      <c r="S32" s="117"/>
      <c r="T32" s="117"/>
      <c r="U32" s="117"/>
      <c r="V32" s="323"/>
      <c r="W32" s="117"/>
      <c r="X32" s="117"/>
      <c r="Y32" s="117"/>
      <c r="Z32" s="117"/>
      <c r="AA32" s="323"/>
      <c r="AB32" s="117"/>
      <c r="AC32" s="117"/>
      <c r="AD32" s="117"/>
      <c r="AE32" s="117"/>
      <c r="AF32" s="323"/>
      <c r="AG32" s="85">
        <v>3147.101705</v>
      </c>
      <c r="AH32" s="85">
        <v>2634.622558</v>
      </c>
      <c r="AI32" s="85">
        <v>2262.472448</v>
      </c>
      <c r="AJ32" s="85">
        <v>1989.323279</v>
      </c>
      <c r="AK32" s="465">
        <v>2508.379997</v>
      </c>
      <c r="AL32" s="85">
        <v>2306.4432736666663</v>
      </c>
      <c r="AM32" s="85">
        <v>2056.0130949999998</v>
      </c>
      <c r="AN32" s="85">
        <v>2009.5032535</v>
      </c>
      <c r="AO32" s="85">
        <v>2040.8401793333333</v>
      </c>
      <c r="AP32" s="465">
        <v>2111.7178319090908</v>
      </c>
      <c r="AQ32" s="85">
        <v>2424.047912</v>
      </c>
      <c r="AR32" s="85">
        <v>2514.4230903333337</v>
      </c>
      <c r="AS32" s="85">
        <v>2247.1015526666665</v>
      </c>
      <c r="AT32" s="123">
        <v>2523.0223740000001</v>
      </c>
      <c r="AU32" s="465">
        <f t="shared" ref="AU32:AU34" si="5">AVERAGE(AQ32:AT32)</f>
        <v>2427.1487322500002</v>
      </c>
      <c r="AV32" s="85">
        <v>2360.7921510000001</v>
      </c>
      <c r="AW32" s="85">
        <v>2293.3762510000001</v>
      </c>
      <c r="AX32" s="85">
        <v>2353.431529</v>
      </c>
      <c r="AY32" s="85">
        <v>2488.5984250000001</v>
      </c>
      <c r="AZ32" s="465">
        <f t="shared" ref="AZ32:AZ34" si="6">AVERAGE(AV32:AY32)</f>
        <v>2374.0495890000002</v>
      </c>
      <c r="BA32" s="85">
        <v>3253.3832609999999</v>
      </c>
      <c r="BB32" s="85">
        <v>2762.1132349999998</v>
      </c>
      <c r="BC32" s="85">
        <v>2627.8295539999999</v>
      </c>
      <c r="BD32" s="85">
        <v>2698.7417666666665</v>
      </c>
      <c r="BE32" s="465">
        <f>AVERAGE(BA32:BD32)</f>
        <v>2835.5169541666664</v>
      </c>
      <c r="BF32" s="85">
        <v>2675.1429913333336</v>
      </c>
      <c r="BG32" s="85">
        <v>2433.421331</v>
      </c>
      <c r="BH32" s="85">
        <v>2428.8323660000001</v>
      </c>
      <c r="BI32" s="85">
        <v>2752.8977966666666</v>
      </c>
      <c r="BJ32" s="465">
        <f>AVERAGE(BF32:BI32)</f>
        <v>2572.5736212500001</v>
      </c>
      <c r="BK32" s="85">
        <v>2671.5144916666663</v>
      </c>
      <c r="BL32" s="85">
        <v>2485.0086373333334</v>
      </c>
      <c r="BM32" s="85">
        <v>2416.0164423333335</v>
      </c>
      <c r="BN32" s="85">
        <v>2479.3285553333335</v>
      </c>
      <c r="BO32" s="465">
        <f>AVERAGE(BK32:BN32)</f>
        <v>2512.9670316666666</v>
      </c>
      <c r="BP32" s="85">
        <v>2510.4569663333336</v>
      </c>
      <c r="BQ32" s="85">
        <v>2498.6616836666667</v>
      </c>
      <c r="BR32" s="85"/>
      <c r="BS32" s="85"/>
      <c r="BT32" s="465"/>
      <c r="BV32" s="939"/>
    </row>
    <row r="33" spans="2:74" s="113" customFormat="1" ht="20.100000000000001" customHeight="1">
      <c r="B33" s="789" t="s">
        <v>702</v>
      </c>
      <c r="C33" s="789" t="s">
        <v>703</v>
      </c>
      <c r="D33" s="327"/>
      <c r="E33" s="327"/>
      <c r="F33" s="785"/>
      <c r="G33" s="323"/>
      <c r="H33" s="327"/>
      <c r="I33" s="327"/>
      <c r="J33" s="785"/>
      <c r="K33" s="785"/>
      <c r="L33" s="323"/>
      <c r="M33" s="327"/>
      <c r="N33" s="327"/>
      <c r="O33" s="785"/>
      <c r="P33" s="785"/>
      <c r="Q33" s="323"/>
      <c r="R33" s="327"/>
      <c r="S33" s="327"/>
      <c r="T33" s="785"/>
      <c r="U33" s="785"/>
      <c r="V33" s="323"/>
      <c r="W33" s="327"/>
      <c r="X33" s="327"/>
      <c r="Y33" s="785"/>
      <c r="Z33" s="785"/>
      <c r="AA33" s="323"/>
      <c r="AB33" s="327"/>
      <c r="AC33" s="327"/>
      <c r="AD33" s="785"/>
      <c r="AE33" s="785"/>
      <c r="AF33" s="323"/>
      <c r="AG33" s="794">
        <v>496.51288099999999</v>
      </c>
      <c r="AH33" s="794">
        <v>494.34597000000002</v>
      </c>
      <c r="AI33" s="794">
        <v>475.84753799999999</v>
      </c>
      <c r="AJ33" s="794">
        <v>550.75379799999996</v>
      </c>
      <c r="AK33" s="465">
        <v>504.365047</v>
      </c>
      <c r="AL33" s="794">
        <v>653.34457066666664</v>
      </c>
      <c r="AM33" s="794">
        <v>688.13588766666658</v>
      </c>
      <c r="AN33" s="794">
        <v>704.99070133333339</v>
      </c>
      <c r="AO33" s="794">
        <v>733.35113000000001</v>
      </c>
      <c r="AP33" s="465">
        <v>694.95557241666666</v>
      </c>
      <c r="AQ33" s="794">
        <v>908.30737366666665</v>
      </c>
      <c r="AR33" s="794">
        <v>796.95762233333335</v>
      </c>
      <c r="AS33" s="794">
        <v>826.83673199999998</v>
      </c>
      <c r="AT33" s="123">
        <v>914.32968500000004</v>
      </c>
      <c r="AU33" s="465">
        <f t="shared" si="5"/>
        <v>861.60785324999995</v>
      </c>
      <c r="AV33" s="794">
        <v>918.73843299999999</v>
      </c>
      <c r="AW33" s="794">
        <v>816.42182000000003</v>
      </c>
      <c r="AX33" s="794">
        <v>824.29132700000002</v>
      </c>
      <c r="AY33" s="794">
        <v>859.91131800000005</v>
      </c>
      <c r="AZ33" s="465">
        <f t="shared" si="6"/>
        <v>854.84072449999996</v>
      </c>
      <c r="BA33" s="794">
        <v>830.924621</v>
      </c>
      <c r="BB33" s="794">
        <v>832.0364933333334</v>
      </c>
      <c r="BC33" s="794">
        <v>777.37135566666666</v>
      </c>
      <c r="BD33" s="794">
        <v>861.91970433333336</v>
      </c>
      <c r="BE33" s="465">
        <f>AVERAGE(BA33:BD33)</f>
        <v>825.56304358333341</v>
      </c>
      <c r="BF33" s="794">
        <v>1022.4914056666667</v>
      </c>
      <c r="BG33" s="794">
        <v>674.50910599999997</v>
      </c>
      <c r="BH33" s="794">
        <v>690.1505566666666</v>
      </c>
      <c r="BI33" s="794">
        <v>761.94536466666659</v>
      </c>
      <c r="BJ33" s="465">
        <f>AVERAGE(BF33:BI33)</f>
        <v>787.27410824999993</v>
      </c>
      <c r="BK33" s="794">
        <v>865.02938099999994</v>
      </c>
      <c r="BL33" s="794">
        <v>797.89691933333336</v>
      </c>
      <c r="BM33" s="794">
        <v>765.91233999999997</v>
      </c>
      <c r="BN33" s="794">
        <v>641.67133799999999</v>
      </c>
      <c r="BO33" s="465">
        <f>AVERAGE(BK33:BN33)</f>
        <v>767.62749458333337</v>
      </c>
      <c r="BP33" s="794">
        <v>478</v>
      </c>
      <c r="BQ33" s="794">
        <v>394.85327899999999</v>
      </c>
      <c r="BR33" s="794"/>
      <c r="BS33" s="794"/>
      <c r="BT33" s="465"/>
      <c r="BV33" s="939"/>
    </row>
    <row r="34" spans="2:74" s="113" customFormat="1" ht="20.100000000000001" customHeight="1" thickBot="1">
      <c r="B34" s="791" t="s">
        <v>704</v>
      </c>
      <c r="C34" s="791" t="s">
        <v>705</v>
      </c>
      <c r="D34" s="637"/>
      <c r="E34" s="637"/>
      <c r="F34" s="792"/>
      <c r="G34" s="324"/>
      <c r="H34" s="637"/>
      <c r="I34" s="637"/>
      <c r="J34" s="792"/>
      <c r="K34" s="792"/>
      <c r="L34" s="324"/>
      <c r="M34" s="637"/>
      <c r="N34" s="637"/>
      <c r="O34" s="792"/>
      <c r="P34" s="792"/>
      <c r="Q34" s="324"/>
      <c r="R34" s="637"/>
      <c r="S34" s="637"/>
      <c r="T34" s="792"/>
      <c r="U34" s="792"/>
      <c r="V34" s="324"/>
      <c r="W34" s="637"/>
      <c r="X34" s="637"/>
      <c r="Y34" s="792"/>
      <c r="Z34" s="792"/>
      <c r="AA34" s="324"/>
      <c r="AB34" s="637"/>
      <c r="AC34" s="637"/>
      <c r="AD34" s="792"/>
      <c r="AE34" s="792"/>
      <c r="AF34" s="324"/>
      <c r="AG34" s="795">
        <v>701.28572999999994</v>
      </c>
      <c r="AH34" s="795">
        <v>632.023324</v>
      </c>
      <c r="AI34" s="795">
        <v>599.56303200000002</v>
      </c>
      <c r="AJ34" s="795">
        <v>627.25341200000003</v>
      </c>
      <c r="AK34" s="466">
        <v>640.03137500000003</v>
      </c>
      <c r="AL34" s="795">
        <v>652.00119633333338</v>
      </c>
      <c r="AM34" s="795">
        <v>532.50463433333334</v>
      </c>
      <c r="AN34" s="795">
        <v>542.2565065</v>
      </c>
      <c r="AO34" s="795">
        <v>522.11580900000001</v>
      </c>
      <c r="AP34" s="466">
        <v>564.03435745454544</v>
      </c>
      <c r="AQ34" s="795">
        <v>645.25113733333342</v>
      </c>
      <c r="AR34" s="639">
        <v>585.152736</v>
      </c>
      <c r="AS34" s="639">
        <v>505.00412899999998</v>
      </c>
      <c r="AT34" s="640">
        <v>608.30699400000003</v>
      </c>
      <c r="AU34" s="466">
        <f t="shared" si="5"/>
        <v>585.92874908333329</v>
      </c>
      <c r="AV34" s="644">
        <v>589.85531400000002</v>
      </c>
      <c r="AW34" s="644">
        <v>572.48614299999997</v>
      </c>
      <c r="AX34" s="644">
        <v>605.14870599999995</v>
      </c>
      <c r="AY34" s="644">
        <v>608.22494300000005</v>
      </c>
      <c r="AZ34" s="646">
        <f t="shared" si="6"/>
        <v>593.92877650000003</v>
      </c>
      <c r="BA34" s="644">
        <v>708.24070340000003</v>
      </c>
      <c r="BB34" s="644">
        <v>574.09954033333338</v>
      </c>
      <c r="BC34" s="644">
        <v>594.76668800000004</v>
      </c>
      <c r="BD34" s="644">
        <v>671.62155900000005</v>
      </c>
      <c r="BE34" s="646">
        <f>AVERAGE(BA34:BD34)</f>
        <v>637.18212268333343</v>
      </c>
      <c r="BF34" s="644">
        <v>663.36616300000003</v>
      </c>
      <c r="BG34" s="644">
        <v>669.95557933333339</v>
      </c>
      <c r="BH34" s="644">
        <v>833.66920233333337</v>
      </c>
      <c r="BI34" s="644">
        <v>935.58436733333338</v>
      </c>
      <c r="BJ34" s="646">
        <f>AVERAGE(BF34:BI34)</f>
        <v>775.6438280000001</v>
      </c>
      <c r="BK34" s="644">
        <v>905.88883066666665</v>
      </c>
      <c r="BL34" s="644">
        <v>860.33346233333339</v>
      </c>
      <c r="BM34" s="644">
        <v>812.06469933333335</v>
      </c>
      <c r="BN34" s="644">
        <v>709.83626200000003</v>
      </c>
      <c r="BO34" s="646">
        <f>AVERAGE(BK34:BN34)</f>
        <v>822.03081358333338</v>
      </c>
      <c r="BP34" s="644">
        <v>769</v>
      </c>
      <c r="BQ34" s="644">
        <v>773.29020233333335</v>
      </c>
      <c r="BR34" s="644"/>
      <c r="BS34" s="644"/>
      <c r="BT34" s="646"/>
      <c r="BV34" s="939"/>
    </row>
    <row r="35" spans="2:74" s="113" customFormat="1" ht="20.100000000000001" customHeight="1">
      <c r="D35"/>
      <c r="E35"/>
      <c r="F35"/>
      <c r="G35"/>
      <c r="H35"/>
      <c r="I35"/>
      <c r="J35"/>
      <c r="K35"/>
      <c r="L35"/>
      <c r="M35"/>
      <c r="N35"/>
      <c r="O35"/>
      <c r="P35"/>
      <c r="Q35"/>
      <c r="R35"/>
      <c r="S35"/>
      <c r="T35"/>
      <c r="U35"/>
      <c r="V35"/>
      <c r="W35"/>
      <c r="X35"/>
      <c r="Y35"/>
      <c r="Z35"/>
      <c r="AA35"/>
      <c r="AB35"/>
      <c r="AC35"/>
      <c r="AD35"/>
      <c r="AE35"/>
      <c r="AF35"/>
      <c r="AK35"/>
      <c r="AP35"/>
      <c r="AU35"/>
      <c r="AZ35"/>
      <c r="BE35"/>
      <c r="BJ35"/>
    </row>
    <row r="36" spans="2:74" s="113" customFormat="1" ht="264">
      <c r="B36" s="126" t="s">
        <v>712</v>
      </c>
      <c r="C36" s="126" t="s">
        <v>713</v>
      </c>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K36"/>
      <c r="AP36"/>
      <c r="AR36"/>
      <c r="AS36" s="164"/>
      <c r="AT36" s="164"/>
      <c r="AU36"/>
      <c r="AW36"/>
      <c r="AX36" s="164"/>
      <c r="AY36" s="164"/>
      <c r="AZ36"/>
      <c r="BB36"/>
      <c r="BC36" s="164"/>
      <c r="BD36" s="164"/>
      <c r="BE36"/>
      <c r="BG36"/>
      <c r="BH36" s="164"/>
      <c r="BI36" s="164"/>
      <c r="BJ36"/>
    </row>
    <row r="66" customFormat="1"/>
    <row r="67" customFormat="1"/>
  </sheetData>
  <mergeCells count="90">
    <mergeCell ref="BP2:BS2"/>
    <mergeCell ref="BT2:BT3"/>
    <mergeCell ref="BP19:BS19"/>
    <mergeCell ref="BT19:BT20"/>
    <mergeCell ref="BP28:BS28"/>
    <mergeCell ref="BT28:BT29"/>
    <mergeCell ref="AK28:AK29"/>
    <mergeCell ref="AL28:AO28"/>
    <mergeCell ref="BF28:BI28"/>
    <mergeCell ref="BJ28:BJ29"/>
    <mergeCell ref="AQ28:AT28"/>
    <mergeCell ref="AU28:AU29"/>
    <mergeCell ref="AV28:AY28"/>
    <mergeCell ref="AZ28:AZ29"/>
    <mergeCell ref="BA28:BD28"/>
    <mergeCell ref="BE28:BE29"/>
    <mergeCell ref="W28:Z28"/>
    <mergeCell ref="AA28:AA29"/>
    <mergeCell ref="AB28:AE28"/>
    <mergeCell ref="AF28:AF29"/>
    <mergeCell ref="AG28:AJ28"/>
    <mergeCell ref="B28:B29"/>
    <mergeCell ref="C28:C29"/>
    <mergeCell ref="D28:F28"/>
    <mergeCell ref="G28:G29"/>
    <mergeCell ref="H28:K28"/>
    <mergeCell ref="L28:L29"/>
    <mergeCell ref="AV19:AY19"/>
    <mergeCell ref="AZ19:AZ20"/>
    <mergeCell ref="BA19:BD19"/>
    <mergeCell ref="BE19:BE20"/>
    <mergeCell ref="R19:U19"/>
    <mergeCell ref="V19:V20"/>
    <mergeCell ref="W19:Z19"/>
    <mergeCell ref="AA19:AA20"/>
    <mergeCell ref="AB19:AE19"/>
    <mergeCell ref="AF19:AF20"/>
    <mergeCell ref="AP28:AP29"/>
    <mergeCell ref="M28:P28"/>
    <mergeCell ref="Q28:Q29"/>
    <mergeCell ref="R28:U28"/>
    <mergeCell ref="V28:V29"/>
    <mergeCell ref="BF19:BI19"/>
    <mergeCell ref="BJ19:BJ20"/>
    <mergeCell ref="AG19:AJ19"/>
    <mergeCell ref="AK19:AK20"/>
    <mergeCell ref="AL19:AO19"/>
    <mergeCell ref="AP19:AP20"/>
    <mergeCell ref="AQ19:AT19"/>
    <mergeCell ref="AU19:AU20"/>
    <mergeCell ref="BF2:BI2"/>
    <mergeCell ref="BJ2:BJ3"/>
    <mergeCell ref="B19:B20"/>
    <mergeCell ref="C19:C20"/>
    <mergeCell ref="D19:F19"/>
    <mergeCell ref="G19:G20"/>
    <mergeCell ref="H19:K19"/>
    <mergeCell ref="L19:L20"/>
    <mergeCell ref="M19:P19"/>
    <mergeCell ref="Q19:Q20"/>
    <mergeCell ref="AQ2:AT2"/>
    <mergeCell ref="AU2:AU3"/>
    <mergeCell ref="AV2:AY2"/>
    <mergeCell ref="AZ2:AZ3"/>
    <mergeCell ref="BA2:BD2"/>
    <mergeCell ref="BE2:BE3"/>
    <mergeCell ref="AP2:AP3"/>
    <mergeCell ref="M2:P2"/>
    <mergeCell ref="Q2:Q3"/>
    <mergeCell ref="R2:U2"/>
    <mergeCell ref="V2:V3"/>
    <mergeCell ref="W2:Z2"/>
    <mergeCell ref="AA2:AA3"/>
    <mergeCell ref="AB2:AE2"/>
    <mergeCell ref="AF2:AF3"/>
    <mergeCell ref="AG2:AJ2"/>
    <mergeCell ref="AK2:AK3"/>
    <mergeCell ref="AL2:AO2"/>
    <mergeCell ref="L2:L3"/>
    <mergeCell ref="B2:B3"/>
    <mergeCell ref="C2:C3"/>
    <mergeCell ref="D2:F2"/>
    <mergeCell ref="G2:G3"/>
    <mergeCell ref="H2:K2"/>
    <mergeCell ref="BK2:BN2"/>
    <mergeCell ref="BO2:BO3"/>
    <mergeCell ref="BK19:BN19"/>
    <mergeCell ref="BO19:BO20"/>
    <mergeCell ref="BK28:BN28"/>
    <mergeCell ref="BO28:BO29"/>
  </mergeCells>
  <pageMargins left="0.7" right="0.7" top="0.75" bottom="0.75" header="0.3" footer="0.3"/>
  <pageSetup paperSize="9" orientation="portrait"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O717"/>
  <sheetViews>
    <sheetView showGridLines="0" zoomScale="55" zoomScaleNormal="55" zoomScaleSheetLayoutView="100" workbookViewId="0">
      <pane xSplit="2" topLeftCell="I1" activePane="topRight" state="frozen"/>
      <selection pane="topRight" activeCell="X4" sqref="X4"/>
    </sheetView>
  </sheetViews>
  <sheetFormatPr defaultColWidth="9" defaultRowHeight="14.4"/>
  <cols>
    <col min="1" max="1" width="43.19921875" style="144" customWidth="1"/>
    <col min="2" max="2" width="42.296875" style="144" customWidth="1"/>
    <col min="3" max="3" width="9.19921875" style="143" bestFit="1" customWidth="1"/>
    <col min="4" max="7" width="9" style="143"/>
    <col min="8" max="8" width="9.19921875" style="143" bestFit="1" customWidth="1"/>
    <col min="9" max="10" width="9" style="143"/>
    <col min="11" max="11" width="9.69921875" style="143" bestFit="1" customWidth="1"/>
    <col min="12" max="431" width="9" style="143"/>
    <col min="432" max="16384" width="9" style="144"/>
  </cols>
  <sheetData>
    <row r="1" spans="1:431" ht="89.25" customHeight="1">
      <c r="A1" s="2"/>
      <c r="B1" s="3"/>
      <c r="C1" s="779"/>
      <c r="D1" s="779"/>
      <c r="E1" s="779"/>
      <c r="F1" s="779"/>
      <c r="G1" s="779"/>
      <c r="H1" s="779"/>
      <c r="I1" s="779"/>
      <c r="J1" s="779"/>
      <c r="K1" s="779"/>
      <c r="L1" s="779"/>
      <c r="M1" s="779"/>
      <c r="N1" s="779"/>
      <c r="O1" s="779"/>
      <c r="P1" s="779"/>
      <c r="Q1" s="779"/>
      <c r="R1" s="779"/>
      <c r="S1" s="779"/>
      <c r="T1" s="779"/>
      <c r="U1" s="779"/>
      <c r="V1" s="779"/>
      <c r="W1" s="779"/>
      <c r="X1" s="779"/>
      <c r="Y1" s="779"/>
      <c r="Z1" s="779"/>
      <c r="AA1" s="779"/>
      <c r="AB1" s="779"/>
      <c r="AC1" s="779"/>
      <c r="AD1" s="779"/>
      <c r="AE1" s="779"/>
      <c r="AF1" s="779"/>
      <c r="AG1" s="779"/>
      <c r="AH1" s="779"/>
      <c r="AI1" s="779"/>
      <c r="AJ1" s="779"/>
      <c r="AK1" s="779"/>
      <c r="AL1" s="779"/>
      <c r="AM1" s="779"/>
      <c r="AN1" s="779"/>
      <c r="AO1" s="779"/>
      <c r="AP1" s="779"/>
      <c r="AQ1" s="779"/>
      <c r="AR1" s="779"/>
      <c r="AS1" s="779"/>
      <c r="AT1" s="779"/>
      <c r="AU1" s="779"/>
      <c r="AV1" s="779"/>
      <c r="AW1" s="779"/>
      <c r="AX1" s="779"/>
      <c r="AY1" s="779"/>
      <c r="AZ1" s="779"/>
      <c r="BA1" s="779"/>
      <c r="BB1" s="779"/>
      <c r="BC1" s="779"/>
      <c r="BD1" s="779"/>
      <c r="BE1" s="779"/>
      <c r="BF1" s="779"/>
      <c r="BG1" s="779"/>
      <c r="BH1" s="779"/>
      <c r="BI1" s="779"/>
      <c r="BJ1" s="779"/>
      <c r="BK1" s="779"/>
      <c r="BL1" s="779"/>
      <c r="BM1" s="779"/>
      <c r="BN1" s="779"/>
      <c r="BO1" s="779"/>
      <c r="BP1" s="779"/>
      <c r="BQ1" s="779"/>
      <c r="BR1" s="779"/>
      <c r="BS1" s="779"/>
      <c r="BT1" s="779"/>
      <c r="BU1" s="779"/>
      <c r="BV1" s="779"/>
      <c r="BW1" s="779"/>
      <c r="BX1" s="779"/>
      <c r="BY1" s="779"/>
      <c r="BZ1" s="779"/>
      <c r="CA1" s="779"/>
      <c r="CB1" s="779"/>
      <c r="CC1" s="779"/>
      <c r="CD1" s="779"/>
      <c r="CE1" s="779"/>
      <c r="CF1" s="779"/>
      <c r="CG1" s="779"/>
      <c r="CH1" s="779"/>
      <c r="CI1" s="779"/>
      <c r="CJ1" s="779"/>
      <c r="CK1" s="779"/>
      <c r="CL1" s="779"/>
      <c r="CM1" s="779"/>
      <c r="CN1" s="779"/>
      <c r="CO1" s="779"/>
      <c r="CP1" s="779"/>
      <c r="CQ1" s="779"/>
      <c r="CR1" s="779"/>
      <c r="CS1" s="779"/>
      <c r="CT1" s="779"/>
      <c r="CU1" s="779"/>
      <c r="CV1" s="779"/>
      <c r="CW1" s="779"/>
      <c r="CX1" s="779"/>
      <c r="CY1" s="779"/>
      <c r="CZ1" s="779"/>
      <c r="DA1" s="779"/>
      <c r="DB1" s="779"/>
      <c r="DC1" s="779"/>
      <c r="DD1" s="779"/>
      <c r="DE1" s="779"/>
      <c r="DF1" s="779"/>
      <c r="DG1" s="779"/>
      <c r="DH1" s="779"/>
      <c r="DI1" s="779"/>
      <c r="DJ1" s="779"/>
      <c r="DK1" s="779"/>
      <c r="DL1" s="779"/>
      <c r="DM1" s="779"/>
      <c r="DN1" s="779"/>
      <c r="DO1" s="779"/>
      <c r="DP1" s="779"/>
      <c r="DQ1" s="779"/>
      <c r="DR1" s="779"/>
      <c r="DS1" s="779"/>
      <c r="DT1" s="779"/>
      <c r="DU1" s="779"/>
      <c r="DV1" s="779"/>
      <c r="DW1" s="779"/>
      <c r="DX1" s="779"/>
      <c r="DY1" s="779"/>
      <c r="DZ1" s="779"/>
      <c r="EA1" s="779"/>
      <c r="EB1" s="779"/>
      <c r="EC1" s="779"/>
      <c r="ED1" s="779"/>
      <c r="EE1" s="779"/>
      <c r="EF1" s="779"/>
      <c r="EG1" s="779"/>
      <c r="EH1" s="779"/>
      <c r="EI1" s="779"/>
      <c r="EJ1" s="779"/>
      <c r="EK1" s="779"/>
      <c r="EL1" s="779"/>
      <c r="EM1" s="779"/>
      <c r="EN1" s="779"/>
      <c r="EO1" s="779"/>
      <c r="EP1" s="779"/>
      <c r="EQ1" s="779"/>
      <c r="ER1" s="779"/>
      <c r="ES1" s="779"/>
      <c r="ET1" s="779"/>
      <c r="EU1" s="779"/>
      <c r="EV1" s="779"/>
      <c r="EW1" s="779"/>
      <c r="EX1" s="779"/>
      <c r="EY1" s="779"/>
      <c r="EZ1" s="779"/>
      <c r="FA1" s="779"/>
      <c r="FB1" s="779"/>
      <c r="FC1" s="779"/>
      <c r="FD1" s="779"/>
      <c r="FE1" s="779"/>
      <c r="FF1" s="779"/>
      <c r="FG1" s="779"/>
      <c r="FH1" s="779"/>
      <c r="FI1" s="779"/>
      <c r="FJ1" s="779"/>
      <c r="FK1" s="779"/>
      <c r="FL1" s="779"/>
      <c r="FM1" s="779"/>
      <c r="FN1" s="779"/>
      <c r="FO1" s="779"/>
      <c r="FP1" s="779"/>
      <c r="FQ1" s="779"/>
      <c r="FR1" s="779"/>
      <c r="FS1" s="779"/>
      <c r="FT1" s="779"/>
      <c r="FU1" s="779"/>
      <c r="FV1" s="779"/>
      <c r="FW1" s="779"/>
      <c r="FX1" s="779"/>
      <c r="FY1" s="779"/>
      <c r="FZ1" s="779"/>
      <c r="GA1" s="779"/>
      <c r="GB1" s="779"/>
      <c r="GC1" s="779"/>
      <c r="GD1" s="779"/>
      <c r="GE1" s="779"/>
      <c r="GF1" s="779"/>
      <c r="GG1" s="779"/>
      <c r="GH1" s="779"/>
      <c r="GI1" s="779"/>
      <c r="GJ1" s="779"/>
      <c r="GK1" s="779"/>
      <c r="GL1" s="779"/>
      <c r="GM1" s="779"/>
      <c r="GN1" s="779"/>
      <c r="GO1" s="779"/>
      <c r="GP1" s="779"/>
      <c r="GQ1" s="779"/>
      <c r="GR1" s="779"/>
      <c r="GS1" s="779"/>
      <c r="GT1" s="779"/>
      <c r="GU1" s="779"/>
      <c r="GV1" s="779"/>
      <c r="GW1" s="779"/>
      <c r="GX1" s="779"/>
      <c r="GY1" s="779"/>
      <c r="GZ1" s="779"/>
      <c r="HA1" s="779"/>
      <c r="HB1" s="779"/>
      <c r="HC1" s="779"/>
      <c r="HD1" s="779"/>
      <c r="HE1" s="779"/>
      <c r="HF1" s="779"/>
      <c r="HG1" s="779"/>
      <c r="HH1" s="779"/>
      <c r="HI1" s="779"/>
      <c r="HJ1" s="779"/>
      <c r="HK1" s="779"/>
      <c r="HL1" s="779"/>
      <c r="HM1" s="779"/>
      <c r="HN1" s="779"/>
      <c r="HO1" s="779"/>
      <c r="HP1" s="779"/>
      <c r="HQ1" s="779"/>
      <c r="HR1" s="779"/>
      <c r="HS1" s="779"/>
      <c r="HT1" s="779"/>
      <c r="HU1" s="779"/>
      <c r="HV1" s="779"/>
      <c r="HW1" s="779"/>
      <c r="HX1" s="779"/>
      <c r="HY1" s="779"/>
      <c r="HZ1" s="779"/>
      <c r="IA1" s="779"/>
      <c r="IB1" s="779"/>
      <c r="IC1" s="779"/>
      <c r="ID1" s="779"/>
      <c r="IE1" s="779"/>
      <c r="IF1" s="779"/>
      <c r="IG1" s="779"/>
      <c r="IH1" s="779"/>
      <c r="II1" s="779"/>
      <c r="IJ1" s="779"/>
      <c r="IK1" s="779"/>
      <c r="IL1" s="779"/>
      <c r="IM1" s="779"/>
      <c r="IN1" s="779"/>
      <c r="IO1" s="779"/>
      <c r="IP1" s="779"/>
      <c r="IQ1" s="779"/>
      <c r="IR1" s="779"/>
      <c r="IS1" s="779"/>
      <c r="IT1" s="779"/>
      <c r="IU1" s="779"/>
      <c r="IV1" s="779"/>
      <c r="IW1" s="779"/>
      <c r="IX1" s="779"/>
      <c r="IY1" s="779"/>
      <c r="IZ1" s="779"/>
      <c r="JA1" s="779"/>
      <c r="JB1" s="779"/>
      <c r="JC1" s="779"/>
      <c r="JD1" s="779"/>
      <c r="JE1" s="779"/>
      <c r="JF1" s="779"/>
      <c r="JG1" s="779"/>
      <c r="JH1" s="779"/>
      <c r="JI1" s="779"/>
      <c r="JJ1" s="779"/>
      <c r="JK1" s="779"/>
      <c r="JL1" s="779"/>
      <c r="JM1" s="779"/>
      <c r="JN1" s="779"/>
      <c r="JO1" s="779"/>
      <c r="JP1" s="779"/>
      <c r="JQ1" s="779"/>
      <c r="JR1" s="779"/>
      <c r="JS1" s="779"/>
      <c r="JT1" s="779"/>
      <c r="JU1" s="779"/>
      <c r="JV1" s="779"/>
      <c r="JW1" s="779"/>
      <c r="JX1" s="779"/>
      <c r="JY1" s="779"/>
      <c r="JZ1" s="779"/>
      <c r="KA1" s="779"/>
      <c r="KB1" s="779"/>
      <c r="KC1" s="779"/>
      <c r="KD1" s="779"/>
      <c r="KE1" s="779"/>
      <c r="KF1" s="779"/>
      <c r="KG1" s="779"/>
      <c r="KH1" s="779"/>
      <c r="KI1" s="779"/>
      <c r="KJ1" s="779"/>
      <c r="KK1" s="779"/>
      <c r="KL1" s="779"/>
      <c r="KM1" s="779"/>
      <c r="KN1" s="779"/>
      <c r="KO1" s="779"/>
      <c r="KP1" s="779"/>
      <c r="KQ1" s="779"/>
      <c r="KR1" s="779"/>
      <c r="KS1" s="779"/>
      <c r="KT1" s="779"/>
      <c r="KU1" s="779"/>
      <c r="KV1" s="779"/>
      <c r="KW1" s="779"/>
      <c r="KX1" s="779"/>
      <c r="KY1" s="779"/>
      <c r="KZ1" s="779"/>
      <c r="LA1" s="779"/>
      <c r="LB1" s="779"/>
      <c r="LC1" s="779"/>
      <c r="LD1" s="779"/>
      <c r="LE1" s="779"/>
      <c r="LF1" s="779"/>
      <c r="LG1" s="779"/>
      <c r="LH1" s="779"/>
      <c r="LI1" s="779"/>
      <c r="LJ1" s="779"/>
      <c r="LK1" s="779"/>
      <c r="LL1" s="779"/>
      <c r="LM1" s="779"/>
      <c r="LN1" s="779"/>
      <c r="LO1" s="779"/>
      <c r="LP1" s="779"/>
      <c r="LQ1" s="779"/>
      <c r="LR1" s="779"/>
      <c r="LS1" s="779"/>
      <c r="LT1" s="779"/>
      <c r="LU1" s="779"/>
      <c r="LV1" s="779"/>
      <c r="LW1" s="779"/>
      <c r="LX1" s="779"/>
      <c r="LY1" s="779"/>
      <c r="LZ1" s="779"/>
      <c r="MA1" s="779"/>
      <c r="MB1" s="779"/>
      <c r="MC1" s="779"/>
      <c r="MD1" s="779"/>
      <c r="ME1" s="779"/>
      <c r="MF1" s="779"/>
      <c r="MG1" s="779"/>
      <c r="MH1" s="779"/>
      <c r="MI1" s="779"/>
      <c r="MJ1" s="779"/>
      <c r="MK1" s="779"/>
      <c r="ML1" s="779"/>
      <c r="MM1" s="779"/>
      <c r="MN1" s="779"/>
      <c r="MO1" s="779"/>
      <c r="MP1" s="779"/>
      <c r="MQ1" s="779"/>
      <c r="MR1" s="779"/>
      <c r="MS1" s="779"/>
      <c r="MT1" s="779"/>
      <c r="MU1" s="779"/>
      <c r="MV1" s="779"/>
      <c r="MW1" s="779"/>
      <c r="MX1" s="779"/>
      <c r="MY1" s="779"/>
      <c r="MZ1" s="779"/>
      <c r="NA1" s="779"/>
      <c r="NB1" s="779"/>
      <c r="NC1" s="779"/>
      <c r="ND1" s="779"/>
      <c r="NE1" s="779"/>
      <c r="NF1" s="779"/>
      <c r="NG1" s="779"/>
      <c r="NH1" s="779"/>
      <c r="NI1" s="779"/>
      <c r="NJ1" s="779"/>
      <c r="NK1" s="779"/>
      <c r="NL1" s="779"/>
      <c r="NM1" s="779"/>
      <c r="NN1" s="779"/>
      <c r="NO1" s="779"/>
      <c r="NP1" s="779"/>
      <c r="NQ1" s="779"/>
      <c r="NR1" s="779"/>
      <c r="NS1" s="779"/>
      <c r="NT1" s="779"/>
      <c r="NU1" s="779"/>
      <c r="NV1" s="779"/>
      <c r="NW1" s="779"/>
      <c r="NX1" s="779"/>
      <c r="NY1" s="779"/>
      <c r="NZ1" s="779"/>
      <c r="OA1" s="779"/>
      <c r="OB1" s="779"/>
      <c r="OC1" s="779"/>
      <c r="OD1" s="779"/>
      <c r="OE1" s="779"/>
      <c r="OF1" s="779"/>
      <c r="OG1" s="779"/>
      <c r="OH1" s="779"/>
      <c r="OI1" s="779"/>
      <c r="OJ1" s="779"/>
      <c r="OK1" s="779"/>
      <c r="OL1" s="779"/>
      <c r="OM1" s="779"/>
      <c r="ON1" s="779"/>
      <c r="OO1" s="779"/>
      <c r="OP1" s="779"/>
      <c r="OQ1" s="779"/>
      <c r="OR1" s="779"/>
      <c r="OS1" s="779"/>
      <c r="OT1" s="779"/>
      <c r="OU1" s="779"/>
      <c r="OV1" s="779"/>
      <c r="OW1" s="779"/>
      <c r="OX1" s="779"/>
      <c r="OY1" s="779"/>
      <c r="OZ1" s="779"/>
      <c r="PA1" s="779"/>
      <c r="PB1" s="779"/>
      <c r="PC1" s="779"/>
      <c r="PD1" s="779"/>
      <c r="PE1" s="779"/>
      <c r="PF1" s="779"/>
      <c r="PG1" s="779"/>
      <c r="PH1" s="779"/>
      <c r="PI1" s="779"/>
      <c r="PJ1" s="779"/>
      <c r="PK1" s="779"/>
      <c r="PL1" s="779"/>
      <c r="PM1" s="779"/>
      <c r="PN1" s="779"/>
      <c r="PO1" s="779"/>
    </row>
    <row r="2" spans="1:431" s="750" customFormat="1" ht="32.1" customHeight="1">
      <c r="A2" s="380"/>
      <c r="B2" s="380"/>
      <c r="C2" s="1007">
        <v>2022</v>
      </c>
      <c r="D2" s="1007"/>
      <c r="E2" s="1007"/>
      <c r="F2" s="1007"/>
      <c r="G2" s="1007"/>
      <c r="H2" s="1007">
        <v>2023</v>
      </c>
      <c r="I2" s="1007"/>
      <c r="J2" s="1007"/>
      <c r="K2" s="1007"/>
      <c r="L2" s="1007"/>
      <c r="M2" s="1007">
        <v>2024</v>
      </c>
      <c r="N2" s="1007"/>
      <c r="O2" s="1007"/>
      <c r="P2" s="1007"/>
      <c r="Q2" s="1007"/>
      <c r="R2" s="1007">
        <v>2025</v>
      </c>
      <c r="S2" s="1007"/>
      <c r="T2" s="1007"/>
      <c r="U2" s="1007"/>
      <c r="V2" s="1007"/>
    </row>
    <row r="3" spans="1:431" s="750" customFormat="1" ht="16.5" customHeight="1" thickBot="1">
      <c r="A3" s="487"/>
      <c r="B3" s="384"/>
      <c r="C3" s="389" t="s">
        <v>21</v>
      </c>
      <c r="D3" s="389" t="s">
        <v>22</v>
      </c>
      <c r="E3" s="390" t="s">
        <v>23</v>
      </c>
      <c r="F3" s="389" t="s">
        <v>24</v>
      </c>
      <c r="G3" s="389">
        <v>2022</v>
      </c>
      <c r="H3" s="389" t="s">
        <v>21</v>
      </c>
      <c r="I3" s="389" t="s">
        <v>22</v>
      </c>
      <c r="J3" s="390" t="s">
        <v>23</v>
      </c>
      <c r="K3" s="389" t="s">
        <v>24</v>
      </c>
      <c r="L3" s="389">
        <v>2023</v>
      </c>
      <c r="M3" s="389" t="s">
        <v>21</v>
      </c>
      <c r="N3" s="389" t="s">
        <v>22</v>
      </c>
      <c r="O3" s="390" t="s">
        <v>23</v>
      </c>
      <c r="P3" s="389" t="s">
        <v>24</v>
      </c>
      <c r="Q3" s="389">
        <v>2024</v>
      </c>
      <c r="R3" s="389" t="s">
        <v>21</v>
      </c>
      <c r="S3" s="389" t="s">
        <v>22</v>
      </c>
      <c r="T3" s="390" t="s">
        <v>23</v>
      </c>
      <c r="U3" s="389" t="s">
        <v>24</v>
      </c>
      <c r="V3" s="389">
        <v>2024</v>
      </c>
    </row>
    <row r="4" spans="1:431" s="59" customFormat="1" ht="26.7" customHeight="1" thickBot="1">
      <c r="A4" s="490" t="s">
        <v>714</v>
      </c>
      <c r="B4" s="511" t="s">
        <v>715</v>
      </c>
      <c r="C4" s="749">
        <f t="shared" ref="C4:L4" si="0">SUM(C5:C7)</f>
        <v>82.8</v>
      </c>
      <c r="D4" s="749">
        <f t="shared" si="0"/>
        <v>109.6</v>
      </c>
      <c r="E4" s="749">
        <f t="shared" si="0"/>
        <v>135.9</v>
      </c>
      <c r="F4" s="749">
        <f t="shared" si="0"/>
        <v>176.6</v>
      </c>
      <c r="G4" s="503">
        <f t="shared" si="0"/>
        <v>504.9</v>
      </c>
      <c r="H4" s="749">
        <f t="shared" si="0"/>
        <v>149.30000000000001</v>
      </c>
      <c r="I4" s="749">
        <f t="shared" si="0"/>
        <v>145.1</v>
      </c>
      <c r="J4" s="392">
        <f t="shared" si="0"/>
        <v>191.3</v>
      </c>
      <c r="K4" s="392">
        <f t="shared" si="0"/>
        <v>179.3</v>
      </c>
      <c r="L4" s="721">
        <f t="shared" si="0"/>
        <v>665</v>
      </c>
      <c r="M4" s="749">
        <f>SUM(M5:M7)</f>
        <v>198.9</v>
      </c>
      <c r="N4" s="749">
        <f t="shared" ref="N4:P4" si="1">SUM(N5:N7)</f>
        <v>222</v>
      </c>
      <c r="O4" s="749">
        <f t="shared" si="1"/>
        <v>300.60000000000002</v>
      </c>
      <c r="P4" s="392">
        <f t="shared" si="1"/>
        <v>294.90000000000003</v>
      </c>
      <c r="Q4" s="721">
        <f t="shared" ref="Q4" si="2">SUM(Q5:Q7)</f>
        <v>1016.3999999999999</v>
      </c>
      <c r="R4" s="749">
        <f>SUM(R5:R7)</f>
        <v>278.29999999999995</v>
      </c>
      <c r="S4" s="749">
        <f>SUM(S5:S7)</f>
        <v>314</v>
      </c>
      <c r="T4" s="749"/>
      <c r="U4" s="392"/>
      <c r="V4" s="721">
        <f t="shared" ref="V4" si="3">SUM(V5:V7)</f>
        <v>592.29999999999995</v>
      </c>
      <c r="W4" s="11"/>
      <c r="X4" s="932">
        <f>Q4/L4-1</f>
        <v>0.52842105263157868</v>
      </c>
      <c r="Y4" s="932"/>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row>
    <row r="5" spans="1:431" s="753" customFormat="1" ht="26.7" customHeight="1">
      <c r="A5" s="796" t="s">
        <v>716</v>
      </c>
      <c r="B5" s="797" t="s">
        <v>717</v>
      </c>
      <c r="C5" s="790">
        <v>69</v>
      </c>
      <c r="D5" s="751">
        <v>80.5</v>
      </c>
      <c r="E5" s="790">
        <v>108.9</v>
      </c>
      <c r="F5" s="751">
        <v>168.5</v>
      </c>
      <c r="G5" s="752">
        <f>SUM(C5:F5)</f>
        <v>426.9</v>
      </c>
      <c r="H5" s="790">
        <v>140</v>
      </c>
      <c r="I5" s="751">
        <v>117.8</v>
      </c>
      <c r="J5" s="790">
        <v>157.1</v>
      </c>
      <c r="K5" s="751">
        <v>150.1</v>
      </c>
      <c r="L5" s="752">
        <f>SUM(H5:K5)</f>
        <v>565</v>
      </c>
      <c r="M5" s="790">
        <v>135.1</v>
      </c>
      <c r="N5" s="751">
        <v>124.2</v>
      </c>
      <c r="O5" s="790">
        <v>187.7</v>
      </c>
      <c r="P5" s="751">
        <v>169.3</v>
      </c>
      <c r="Q5" s="752">
        <f>SUM(M5:P5)</f>
        <v>616.29999999999995</v>
      </c>
      <c r="R5" s="790">
        <v>157.19999999999999</v>
      </c>
      <c r="S5" s="751">
        <v>174.6</v>
      </c>
      <c r="T5" s="790"/>
      <c r="U5" s="751"/>
      <c r="V5" s="752">
        <f>SUM(R5:U5)</f>
        <v>331.79999999999995</v>
      </c>
      <c r="W5" s="786"/>
      <c r="X5" s="931"/>
      <c r="Y5" s="932"/>
      <c r="Z5" s="786"/>
      <c r="AA5" s="786"/>
      <c r="AB5" s="786"/>
      <c r="AC5" s="786"/>
      <c r="AD5" s="786"/>
      <c r="AE5" s="786"/>
      <c r="AF5" s="786"/>
      <c r="AG5" s="786"/>
      <c r="AH5" s="786"/>
      <c r="AI5" s="786"/>
      <c r="AJ5" s="786"/>
      <c r="AK5" s="786"/>
      <c r="AL5" s="786"/>
      <c r="AM5" s="786"/>
      <c r="AN5" s="786"/>
      <c r="AO5" s="786"/>
      <c r="AP5" s="786"/>
      <c r="AQ5" s="786"/>
      <c r="AR5" s="786"/>
      <c r="AS5" s="786"/>
      <c r="AT5" s="786"/>
      <c r="AU5" s="786"/>
      <c r="AV5" s="786"/>
      <c r="AW5" s="786"/>
      <c r="AX5" s="786"/>
      <c r="AY5" s="786"/>
      <c r="AZ5" s="786"/>
      <c r="BA5" s="786"/>
      <c r="BB5" s="786"/>
      <c r="BC5" s="786"/>
      <c r="BD5" s="786"/>
      <c r="BE5" s="786"/>
      <c r="BF5" s="786"/>
      <c r="BG5" s="786"/>
      <c r="BH5" s="786"/>
      <c r="BI5" s="786"/>
      <c r="BJ5" s="786"/>
      <c r="BK5" s="786"/>
      <c r="BL5" s="786"/>
      <c r="BM5" s="786"/>
      <c r="BN5" s="786"/>
      <c r="BO5" s="786"/>
      <c r="BP5" s="786"/>
      <c r="BQ5" s="786"/>
      <c r="BR5" s="786"/>
      <c r="BS5" s="786"/>
      <c r="BT5" s="786"/>
      <c r="BU5" s="786"/>
      <c r="BV5" s="786"/>
      <c r="BW5" s="786"/>
      <c r="BX5" s="786"/>
      <c r="BY5" s="786"/>
      <c r="BZ5" s="786"/>
      <c r="CA5" s="786"/>
      <c r="CB5" s="786"/>
      <c r="CC5" s="786"/>
      <c r="CD5" s="786"/>
      <c r="CE5" s="786"/>
      <c r="CF5" s="786"/>
      <c r="CG5" s="786"/>
      <c r="CH5" s="786"/>
      <c r="CI5" s="786"/>
      <c r="CJ5" s="786"/>
      <c r="CK5" s="786"/>
      <c r="CL5" s="786"/>
      <c r="CM5" s="786"/>
      <c r="CN5" s="786"/>
      <c r="CO5" s="786"/>
      <c r="CP5" s="786"/>
      <c r="CQ5" s="786"/>
      <c r="CR5" s="786"/>
      <c r="CS5" s="786"/>
      <c r="CT5" s="786"/>
      <c r="CU5" s="786"/>
      <c r="CV5" s="786"/>
      <c r="CW5" s="786"/>
      <c r="CX5" s="786"/>
      <c r="CY5" s="786"/>
      <c r="CZ5" s="786"/>
      <c r="DA5" s="786"/>
      <c r="DB5" s="786"/>
      <c r="DC5" s="786"/>
      <c r="DD5" s="786"/>
      <c r="DE5" s="786"/>
      <c r="DF5" s="786"/>
      <c r="DG5" s="786"/>
      <c r="DH5" s="786"/>
      <c r="DI5" s="786"/>
      <c r="DJ5" s="786"/>
      <c r="DK5" s="786"/>
      <c r="DL5" s="786"/>
      <c r="DM5" s="786"/>
      <c r="DN5" s="786"/>
      <c r="DO5" s="786"/>
      <c r="DP5" s="786"/>
      <c r="DQ5" s="786"/>
      <c r="DR5" s="786"/>
      <c r="DS5" s="786"/>
      <c r="DT5" s="786"/>
      <c r="DU5" s="786"/>
      <c r="DV5" s="786"/>
      <c r="DW5" s="786"/>
      <c r="DX5" s="786"/>
      <c r="DY5" s="786"/>
      <c r="DZ5" s="786"/>
      <c r="EA5" s="786"/>
      <c r="EB5" s="786"/>
      <c r="EC5" s="786"/>
      <c r="ED5" s="786"/>
      <c r="EE5" s="786"/>
      <c r="EF5" s="786"/>
      <c r="EG5" s="786"/>
      <c r="EH5" s="786"/>
      <c r="EI5" s="786"/>
      <c r="EJ5" s="786"/>
      <c r="EK5" s="786"/>
      <c r="EL5" s="786"/>
      <c r="EM5" s="786"/>
      <c r="EN5" s="786"/>
      <c r="EO5" s="786"/>
      <c r="EP5" s="786"/>
      <c r="EQ5" s="786"/>
      <c r="ER5" s="786"/>
      <c r="ES5" s="786"/>
      <c r="ET5" s="786"/>
      <c r="EU5" s="786"/>
      <c r="EV5" s="786"/>
      <c r="EW5" s="786"/>
      <c r="EX5" s="786"/>
      <c r="EY5" s="786"/>
      <c r="EZ5" s="786"/>
      <c r="FA5" s="786"/>
      <c r="FB5" s="786"/>
      <c r="FC5" s="786"/>
      <c r="FD5" s="786"/>
      <c r="FE5" s="786"/>
      <c r="FF5" s="786"/>
      <c r="FG5" s="786"/>
      <c r="FH5" s="786"/>
      <c r="FI5" s="786"/>
      <c r="FJ5" s="786"/>
      <c r="FK5" s="786"/>
      <c r="FL5" s="786"/>
      <c r="FM5" s="786"/>
      <c r="FN5" s="786"/>
      <c r="FO5" s="786"/>
      <c r="FP5" s="786"/>
      <c r="FQ5" s="786"/>
      <c r="FR5" s="786"/>
      <c r="FS5" s="786"/>
      <c r="FT5" s="786"/>
      <c r="FU5" s="786"/>
      <c r="FV5" s="786"/>
      <c r="FW5" s="786"/>
      <c r="FX5" s="786"/>
      <c r="FY5" s="786"/>
      <c r="FZ5" s="786"/>
      <c r="GA5" s="786"/>
      <c r="GB5" s="786"/>
      <c r="GC5" s="786"/>
      <c r="GD5" s="786"/>
      <c r="GE5" s="786"/>
      <c r="GF5" s="786"/>
      <c r="GG5" s="786"/>
      <c r="GH5" s="786"/>
      <c r="GI5" s="786"/>
      <c r="GJ5" s="786"/>
      <c r="GK5" s="786"/>
      <c r="GL5" s="786"/>
      <c r="GM5" s="786"/>
      <c r="GN5" s="786"/>
      <c r="GO5" s="786"/>
      <c r="GP5" s="786"/>
      <c r="GQ5" s="786"/>
      <c r="GR5" s="786"/>
      <c r="GS5" s="786"/>
      <c r="GT5" s="786"/>
      <c r="GU5" s="786"/>
      <c r="GV5" s="786"/>
      <c r="GW5" s="786"/>
      <c r="GX5" s="786"/>
      <c r="GY5" s="786"/>
      <c r="GZ5" s="786"/>
      <c r="HA5" s="786"/>
      <c r="HB5" s="786"/>
      <c r="HC5" s="786"/>
      <c r="HD5" s="786"/>
      <c r="HE5" s="786"/>
      <c r="HF5" s="786"/>
      <c r="HG5" s="786"/>
      <c r="HH5" s="786"/>
      <c r="HI5" s="786"/>
      <c r="HJ5" s="786"/>
      <c r="HK5" s="786"/>
      <c r="HL5" s="786"/>
      <c r="HM5" s="786"/>
      <c r="HN5" s="786"/>
      <c r="HO5" s="786"/>
      <c r="HP5" s="786"/>
      <c r="HQ5" s="786"/>
      <c r="HR5" s="786"/>
      <c r="HS5" s="786"/>
      <c r="HT5" s="786"/>
      <c r="HU5" s="786"/>
      <c r="HV5" s="786"/>
      <c r="HW5" s="786"/>
      <c r="HX5" s="786"/>
      <c r="HY5" s="786"/>
      <c r="HZ5" s="786"/>
      <c r="IA5" s="786"/>
      <c r="IB5" s="786"/>
      <c r="IC5" s="786"/>
      <c r="ID5" s="786"/>
      <c r="IE5" s="786"/>
      <c r="IF5" s="786"/>
      <c r="IG5" s="786"/>
      <c r="IH5" s="786"/>
      <c r="II5" s="786"/>
      <c r="IJ5" s="786"/>
      <c r="IK5" s="786"/>
      <c r="IL5" s="786"/>
      <c r="IM5" s="786"/>
      <c r="IN5" s="786"/>
      <c r="IO5" s="786"/>
      <c r="IP5" s="786"/>
      <c r="IQ5" s="786"/>
      <c r="IR5" s="786"/>
      <c r="IS5" s="786"/>
      <c r="IT5" s="786"/>
      <c r="IU5" s="786"/>
      <c r="IV5" s="786"/>
      <c r="IW5" s="786"/>
      <c r="IX5" s="786"/>
      <c r="IY5" s="786"/>
      <c r="IZ5" s="786"/>
      <c r="JA5" s="786"/>
      <c r="JB5" s="786"/>
      <c r="JC5" s="786"/>
      <c r="JD5" s="786"/>
      <c r="JE5" s="786"/>
      <c r="JF5" s="786"/>
      <c r="JG5" s="786"/>
      <c r="JH5" s="786"/>
      <c r="JI5" s="786"/>
      <c r="JJ5" s="786"/>
      <c r="JK5" s="786"/>
      <c r="JL5" s="786"/>
      <c r="JM5" s="786"/>
      <c r="JN5" s="786"/>
      <c r="JO5" s="786"/>
      <c r="JP5" s="786"/>
      <c r="JQ5" s="786"/>
      <c r="JR5" s="786"/>
      <c r="JS5" s="786"/>
      <c r="JT5" s="786"/>
      <c r="JU5" s="786"/>
      <c r="JV5" s="786"/>
      <c r="JW5" s="786"/>
      <c r="JX5" s="786"/>
      <c r="JY5" s="786"/>
      <c r="JZ5" s="786"/>
      <c r="KA5" s="786"/>
      <c r="KB5" s="786"/>
      <c r="KC5" s="786"/>
      <c r="KD5" s="786"/>
      <c r="KE5" s="786"/>
      <c r="KF5" s="786"/>
      <c r="KG5" s="786"/>
      <c r="KH5" s="786"/>
      <c r="KI5" s="786"/>
      <c r="KJ5" s="786"/>
      <c r="KK5" s="786"/>
      <c r="KL5" s="786"/>
      <c r="KM5" s="786"/>
      <c r="KN5" s="786"/>
      <c r="KO5" s="786"/>
      <c r="KP5" s="786"/>
      <c r="KQ5" s="786"/>
      <c r="KR5" s="786"/>
      <c r="KS5" s="786"/>
      <c r="KT5" s="786"/>
      <c r="KU5" s="786"/>
      <c r="KV5" s="786"/>
      <c r="KW5" s="786"/>
      <c r="KX5" s="786"/>
      <c r="KY5" s="786"/>
      <c r="KZ5" s="786"/>
      <c r="LA5" s="786"/>
      <c r="LB5" s="786"/>
      <c r="LC5" s="786"/>
      <c r="LD5" s="786"/>
      <c r="LE5" s="786"/>
      <c r="LF5" s="786"/>
      <c r="LG5" s="786"/>
      <c r="LH5" s="786"/>
      <c r="LI5" s="786"/>
      <c r="LJ5" s="786"/>
      <c r="LK5" s="786"/>
      <c r="LL5" s="786"/>
      <c r="LM5" s="786"/>
      <c r="LN5" s="786"/>
      <c r="LO5" s="786"/>
      <c r="LP5" s="786"/>
      <c r="LQ5" s="786"/>
      <c r="LR5" s="786"/>
      <c r="LS5" s="786"/>
      <c r="LT5" s="786"/>
      <c r="LU5" s="786"/>
      <c r="LV5" s="786"/>
      <c r="LW5" s="786"/>
      <c r="LX5" s="786"/>
      <c r="LY5" s="786"/>
      <c r="LZ5" s="786"/>
      <c r="MA5" s="786"/>
      <c r="MB5" s="786"/>
      <c r="MC5" s="786"/>
      <c r="MD5" s="786"/>
      <c r="ME5" s="786"/>
      <c r="MF5" s="786"/>
      <c r="MG5" s="786"/>
      <c r="MH5" s="786"/>
      <c r="MI5" s="786"/>
      <c r="MJ5" s="786"/>
      <c r="MK5" s="786"/>
      <c r="ML5" s="786"/>
      <c r="MM5" s="786"/>
      <c r="MN5" s="786"/>
      <c r="MO5" s="786"/>
      <c r="MP5" s="786"/>
      <c r="MQ5" s="786"/>
      <c r="MR5" s="786"/>
      <c r="MS5" s="786"/>
      <c r="MT5" s="786"/>
      <c r="MU5" s="786"/>
      <c r="MV5" s="786"/>
      <c r="MW5" s="786"/>
      <c r="MX5" s="786"/>
      <c r="MY5" s="786"/>
      <c r="MZ5" s="786"/>
      <c r="NA5" s="786"/>
      <c r="NB5" s="786"/>
      <c r="NC5" s="786"/>
      <c r="ND5" s="786"/>
      <c r="NE5" s="786"/>
      <c r="NF5" s="786"/>
      <c r="NG5" s="786"/>
      <c r="NH5" s="786"/>
      <c r="NI5" s="786"/>
      <c r="NJ5" s="786"/>
      <c r="NK5" s="786"/>
      <c r="NL5" s="786"/>
      <c r="NM5" s="786"/>
      <c r="NN5" s="786"/>
      <c r="NO5" s="786"/>
      <c r="NP5" s="786"/>
      <c r="NQ5" s="786"/>
      <c r="NR5" s="786"/>
      <c r="NS5" s="786"/>
      <c r="NT5" s="786"/>
      <c r="NU5" s="786"/>
      <c r="NV5" s="786"/>
      <c r="NW5" s="786"/>
      <c r="NX5" s="786"/>
      <c r="NY5" s="786"/>
      <c r="NZ5" s="786"/>
      <c r="OA5" s="786"/>
      <c r="OB5" s="786"/>
      <c r="OC5" s="786"/>
      <c r="OD5" s="786"/>
      <c r="OE5" s="786"/>
      <c r="OF5" s="786"/>
      <c r="OG5" s="786"/>
      <c r="OH5" s="786"/>
      <c r="OI5" s="786"/>
      <c r="OJ5" s="786"/>
      <c r="OK5" s="786"/>
      <c r="OL5" s="786"/>
      <c r="OM5" s="786"/>
      <c r="ON5" s="786"/>
      <c r="OO5" s="786"/>
      <c r="OP5" s="786"/>
      <c r="OQ5" s="786"/>
      <c r="OR5" s="786"/>
      <c r="OS5" s="786"/>
      <c r="OT5" s="786"/>
      <c r="OU5" s="786"/>
      <c r="OV5" s="786"/>
      <c r="OW5" s="786"/>
      <c r="OX5" s="786"/>
      <c r="OY5" s="786"/>
      <c r="OZ5" s="786"/>
      <c r="PA5" s="786"/>
      <c r="PB5" s="786"/>
      <c r="PC5" s="786"/>
      <c r="PD5" s="786"/>
      <c r="PE5" s="786"/>
      <c r="PF5" s="786"/>
      <c r="PG5" s="786"/>
      <c r="PH5" s="786"/>
      <c r="PI5" s="786"/>
      <c r="PJ5" s="786"/>
      <c r="PK5" s="786"/>
      <c r="PL5" s="786"/>
      <c r="PM5" s="786"/>
      <c r="PN5" s="786"/>
      <c r="PO5" s="786"/>
    </row>
    <row r="6" spans="1:431" s="753" customFormat="1" ht="26.7" customHeight="1">
      <c r="A6" s="796" t="s">
        <v>718</v>
      </c>
      <c r="B6" s="797" t="s">
        <v>719</v>
      </c>
      <c r="C6" s="790">
        <v>13.8</v>
      </c>
      <c r="D6" s="751">
        <v>29.1</v>
      </c>
      <c r="E6" s="790">
        <v>27</v>
      </c>
      <c r="F6" s="751">
        <v>8.1</v>
      </c>
      <c r="G6" s="752">
        <f t="shared" ref="G6:G7" si="4">SUM(C6:F6)</f>
        <v>78</v>
      </c>
      <c r="H6" s="790">
        <v>9.3000000000000007</v>
      </c>
      <c r="I6" s="751">
        <v>27.3</v>
      </c>
      <c r="J6" s="790">
        <v>27.9</v>
      </c>
      <c r="K6" s="751">
        <v>7.8</v>
      </c>
      <c r="L6" s="752">
        <f t="shared" ref="L6:L7" si="5">SUM(H6:K6)</f>
        <v>72.3</v>
      </c>
      <c r="M6" s="790">
        <v>11.9</v>
      </c>
      <c r="N6" s="751">
        <v>33.299999999999997</v>
      </c>
      <c r="O6" s="790">
        <v>31.8</v>
      </c>
      <c r="P6" s="751">
        <v>9.4</v>
      </c>
      <c r="Q6" s="752">
        <f t="shared" ref="Q6:Q7" si="6">SUM(M6:P6)</f>
        <v>86.4</v>
      </c>
      <c r="R6" s="790">
        <v>15.7</v>
      </c>
      <c r="S6" s="751">
        <v>28.7</v>
      </c>
      <c r="T6" s="790"/>
      <c r="U6" s="751"/>
      <c r="V6" s="752">
        <f t="shared" ref="V6:V7" si="7">SUM(R6:U6)</f>
        <v>44.4</v>
      </c>
      <c r="W6" s="786"/>
      <c r="X6" s="931"/>
      <c r="Y6" s="932"/>
      <c r="Z6" s="786"/>
      <c r="AA6" s="786"/>
      <c r="AB6" s="786"/>
      <c r="AC6" s="786"/>
      <c r="AD6" s="786"/>
      <c r="AE6" s="786"/>
      <c r="AF6" s="786"/>
      <c r="AG6" s="786"/>
      <c r="AH6" s="786"/>
      <c r="AI6" s="786"/>
      <c r="AJ6" s="786"/>
      <c r="AK6" s="786"/>
      <c r="AL6" s="786"/>
      <c r="AM6" s="786"/>
      <c r="AN6" s="786"/>
      <c r="AO6" s="786"/>
      <c r="AP6" s="786"/>
      <c r="AQ6" s="786"/>
      <c r="AR6" s="786"/>
      <c r="AS6" s="786"/>
      <c r="AT6" s="786"/>
      <c r="AU6" s="786"/>
      <c r="AV6" s="786"/>
      <c r="AW6" s="786"/>
      <c r="AX6" s="786"/>
      <c r="AY6" s="786"/>
      <c r="AZ6" s="786"/>
      <c r="BA6" s="786"/>
      <c r="BB6" s="786"/>
      <c r="BC6" s="786"/>
      <c r="BD6" s="786"/>
      <c r="BE6" s="786"/>
      <c r="BF6" s="786"/>
      <c r="BG6" s="786"/>
      <c r="BH6" s="786"/>
      <c r="BI6" s="786"/>
      <c r="BJ6" s="786"/>
      <c r="BK6" s="786"/>
      <c r="BL6" s="786"/>
      <c r="BM6" s="786"/>
      <c r="BN6" s="786"/>
      <c r="BO6" s="786"/>
      <c r="BP6" s="786"/>
      <c r="BQ6" s="786"/>
      <c r="BR6" s="786"/>
      <c r="BS6" s="786"/>
      <c r="BT6" s="786"/>
      <c r="BU6" s="786"/>
      <c r="BV6" s="786"/>
      <c r="BW6" s="786"/>
      <c r="BX6" s="786"/>
      <c r="BY6" s="786"/>
      <c r="BZ6" s="786"/>
      <c r="CA6" s="786"/>
      <c r="CB6" s="786"/>
      <c r="CC6" s="786"/>
      <c r="CD6" s="786"/>
      <c r="CE6" s="786"/>
      <c r="CF6" s="786"/>
      <c r="CG6" s="786"/>
      <c r="CH6" s="786"/>
      <c r="CI6" s="786"/>
      <c r="CJ6" s="786"/>
      <c r="CK6" s="786"/>
      <c r="CL6" s="786"/>
      <c r="CM6" s="786"/>
      <c r="CN6" s="786"/>
      <c r="CO6" s="786"/>
      <c r="CP6" s="786"/>
      <c r="CQ6" s="786"/>
      <c r="CR6" s="786"/>
      <c r="CS6" s="786"/>
      <c r="CT6" s="786"/>
      <c r="CU6" s="786"/>
      <c r="CV6" s="786"/>
      <c r="CW6" s="786"/>
      <c r="CX6" s="786"/>
      <c r="CY6" s="786"/>
      <c r="CZ6" s="786"/>
      <c r="DA6" s="786"/>
      <c r="DB6" s="786"/>
      <c r="DC6" s="786"/>
      <c r="DD6" s="786"/>
      <c r="DE6" s="786"/>
      <c r="DF6" s="786"/>
      <c r="DG6" s="786"/>
      <c r="DH6" s="786"/>
      <c r="DI6" s="786"/>
      <c r="DJ6" s="786"/>
      <c r="DK6" s="786"/>
      <c r="DL6" s="786"/>
      <c r="DM6" s="786"/>
      <c r="DN6" s="786"/>
      <c r="DO6" s="786"/>
      <c r="DP6" s="786"/>
      <c r="DQ6" s="786"/>
      <c r="DR6" s="786"/>
      <c r="DS6" s="786"/>
      <c r="DT6" s="786"/>
      <c r="DU6" s="786"/>
      <c r="DV6" s="786"/>
      <c r="DW6" s="786"/>
      <c r="DX6" s="786"/>
      <c r="DY6" s="786"/>
      <c r="DZ6" s="786"/>
      <c r="EA6" s="786"/>
      <c r="EB6" s="786"/>
      <c r="EC6" s="786"/>
      <c r="ED6" s="786"/>
      <c r="EE6" s="786"/>
      <c r="EF6" s="786"/>
      <c r="EG6" s="786"/>
      <c r="EH6" s="786"/>
      <c r="EI6" s="786"/>
      <c r="EJ6" s="786"/>
      <c r="EK6" s="786"/>
      <c r="EL6" s="786"/>
      <c r="EM6" s="786"/>
      <c r="EN6" s="786"/>
      <c r="EO6" s="786"/>
      <c r="EP6" s="786"/>
      <c r="EQ6" s="786"/>
      <c r="ER6" s="786"/>
      <c r="ES6" s="786"/>
      <c r="ET6" s="786"/>
      <c r="EU6" s="786"/>
      <c r="EV6" s="786"/>
      <c r="EW6" s="786"/>
      <c r="EX6" s="786"/>
      <c r="EY6" s="786"/>
      <c r="EZ6" s="786"/>
      <c r="FA6" s="786"/>
      <c r="FB6" s="786"/>
      <c r="FC6" s="786"/>
      <c r="FD6" s="786"/>
      <c r="FE6" s="786"/>
      <c r="FF6" s="786"/>
      <c r="FG6" s="786"/>
      <c r="FH6" s="786"/>
      <c r="FI6" s="786"/>
      <c r="FJ6" s="786"/>
      <c r="FK6" s="786"/>
      <c r="FL6" s="786"/>
      <c r="FM6" s="786"/>
      <c r="FN6" s="786"/>
      <c r="FO6" s="786"/>
      <c r="FP6" s="786"/>
      <c r="FQ6" s="786"/>
      <c r="FR6" s="786"/>
      <c r="FS6" s="786"/>
      <c r="FT6" s="786"/>
      <c r="FU6" s="786"/>
      <c r="FV6" s="786"/>
      <c r="FW6" s="786"/>
      <c r="FX6" s="786"/>
      <c r="FY6" s="786"/>
      <c r="FZ6" s="786"/>
      <c r="GA6" s="786"/>
      <c r="GB6" s="786"/>
      <c r="GC6" s="786"/>
      <c r="GD6" s="786"/>
      <c r="GE6" s="786"/>
      <c r="GF6" s="786"/>
      <c r="GG6" s="786"/>
      <c r="GH6" s="786"/>
      <c r="GI6" s="786"/>
      <c r="GJ6" s="786"/>
      <c r="GK6" s="786"/>
      <c r="GL6" s="786"/>
      <c r="GM6" s="786"/>
      <c r="GN6" s="786"/>
      <c r="GO6" s="786"/>
      <c r="GP6" s="786"/>
      <c r="GQ6" s="786"/>
      <c r="GR6" s="786"/>
      <c r="GS6" s="786"/>
      <c r="GT6" s="786"/>
      <c r="GU6" s="786"/>
      <c r="GV6" s="786"/>
      <c r="GW6" s="786"/>
      <c r="GX6" s="786"/>
      <c r="GY6" s="786"/>
      <c r="GZ6" s="786"/>
      <c r="HA6" s="786"/>
      <c r="HB6" s="786"/>
      <c r="HC6" s="786"/>
      <c r="HD6" s="786"/>
      <c r="HE6" s="786"/>
      <c r="HF6" s="786"/>
      <c r="HG6" s="786"/>
      <c r="HH6" s="786"/>
      <c r="HI6" s="786"/>
      <c r="HJ6" s="786"/>
      <c r="HK6" s="786"/>
      <c r="HL6" s="786"/>
      <c r="HM6" s="786"/>
      <c r="HN6" s="786"/>
      <c r="HO6" s="786"/>
      <c r="HP6" s="786"/>
      <c r="HQ6" s="786"/>
      <c r="HR6" s="786"/>
      <c r="HS6" s="786"/>
      <c r="HT6" s="786"/>
      <c r="HU6" s="786"/>
      <c r="HV6" s="786"/>
      <c r="HW6" s="786"/>
      <c r="HX6" s="786"/>
      <c r="HY6" s="786"/>
      <c r="HZ6" s="786"/>
      <c r="IA6" s="786"/>
      <c r="IB6" s="786"/>
      <c r="IC6" s="786"/>
      <c r="ID6" s="786"/>
      <c r="IE6" s="786"/>
      <c r="IF6" s="786"/>
      <c r="IG6" s="786"/>
      <c r="IH6" s="786"/>
      <c r="II6" s="786"/>
      <c r="IJ6" s="786"/>
      <c r="IK6" s="786"/>
      <c r="IL6" s="786"/>
      <c r="IM6" s="786"/>
      <c r="IN6" s="786"/>
      <c r="IO6" s="786"/>
      <c r="IP6" s="786"/>
      <c r="IQ6" s="786"/>
      <c r="IR6" s="786"/>
      <c r="IS6" s="786"/>
      <c r="IT6" s="786"/>
      <c r="IU6" s="786"/>
      <c r="IV6" s="786"/>
      <c r="IW6" s="786"/>
      <c r="IX6" s="786"/>
      <c r="IY6" s="786"/>
      <c r="IZ6" s="786"/>
      <c r="JA6" s="786"/>
      <c r="JB6" s="786"/>
      <c r="JC6" s="786"/>
      <c r="JD6" s="786"/>
      <c r="JE6" s="786"/>
      <c r="JF6" s="786"/>
      <c r="JG6" s="786"/>
      <c r="JH6" s="786"/>
      <c r="JI6" s="786"/>
      <c r="JJ6" s="786"/>
      <c r="JK6" s="786"/>
      <c r="JL6" s="786"/>
      <c r="JM6" s="786"/>
      <c r="JN6" s="786"/>
      <c r="JO6" s="786"/>
      <c r="JP6" s="786"/>
      <c r="JQ6" s="786"/>
      <c r="JR6" s="786"/>
      <c r="JS6" s="786"/>
      <c r="JT6" s="786"/>
      <c r="JU6" s="786"/>
      <c r="JV6" s="786"/>
      <c r="JW6" s="786"/>
      <c r="JX6" s="786"/>
      <c r="JY6" s="786"/>
      <c r="JZ6" s="786"/>
      <c r="KA6" s="786"/>
      <c r="KB6" s="786"/>
      <c r="KC6" s="786"/>
      <c r="KD6" s="786"/>
      <c r="KE6" s="786"/>
      <c r="KF6" s="786"/>
      <c r="KG6" s="786"/>
      <c r="KH6" s="786"/>
      <c r="KI6" s="786"/>
      <c r="KJ6" s="786"/>
      <c r="KK6" s="786"/>
      <c r="KL6" s="786"/>
      <c r="KM6" s="786"/>
      <c r="KN6" s="786"/>
      <c r="KO6" s="786"/>
      <c r="KP6" s="786"/>
      <c r="KQ6" s="786"/>
      <c r="KR6" s="786"/>
      <c r="KS6" s="786"/>
      <c r="KT6" s="786"/>
      <c r="KU6" s="786"/>
      <c r="KV6" s="786"/>
      <c r="KW6" s="786"/>
      <c r="KX6" s="786"/>
      <c r="KY6" s="786"/>
      <c r="KZ6" s="786"/>
      <c r="LA6" s="786"/>
      <c r="LB6" s="786"/>
      <c r="LC6" s="786"/>
      <c r="LD6" s="786"/>
      <c r="LE6" s="786"/>
      <c r="LF6" s="786"/>
      <c r="LG6" s="786"/>
      <c r="LH6" s="786"/>
      <c r="LI6" s="786"/>
      <c r="LJ6" s="786"/>
      <c r="LK6" s="786"/>
      <c r="LL6" s="786"/>
      <c r="LM6" s="786"/>
      <c r="LN6" s="786"/>
      <c r="LO6" s="786"/>
      <c r="LP6" s="786"/>
      <c r="LQ6" s="786"/>
      <c r="LR6" s="786"/>
      <c r="LS6" s="786"/>
      <c r="LT6" s="786"/>
      <c r="LU6" s="786"/>
      <c r="LV6" s="786"/>
      <c r="LW6" s="786"/>
      <c r="LX6" s="786"/>
      <c r="LY6" s="786"/>
      <c r="LZ6" s="786"/>
      <c r="MA6" s="786"/>
      <c r="MB6" s="786"/>
      <c r="MC6" s="786"/>
      <c r="MD6" s="786"/>
      <c r="ME6" s="786"/>
      <c r="MF6" s="786"/>
      <c r="MG6" s="786"/>
      <c r="MH6" s="786"/>
      <c r="MI6" s="786"/>
      <c r="MJ6" s="786"/>
      <c r="MK6" s="786"/>
      <c r="ML6" s="786"/>
      <c r="MM6" s="786"/>
      <c r="MN6" s="786"/>
      <c r="MO6" s="786"/>
      <c r="MP6" s="786"/>
      <c r="MQ6" s="786"/>
      <c r="MR6" s="786"/>
      <c r="MS6" s="786"/>
      <c r="MT6" s="786"/>
      <c r="MU6" s="786"/>
      <c r="MV6" s="786"/>
      <c r="MW6" s="786"/>
      <c r="MX6" s="786"/>
      <c r="MY6" s="786"/>
      <c r="MZ6" s="786"/>
      <c r="NA6" s="786"/>
      <c r="NB6" s="786"/>
      <c r="NC6" s="786"/>
      <c r="ND6" s="786"/>
      <c r="NE6" s="786"/>
      <c r="NF6" s="786"/>
      <c r="NG6" s="786"/>
      <c r="NH6" s="786"/>
      <c r="NI6" s="786"/>
      <c r="NJ6" s="786"/>
      <c r="NK6" s="786"/>
      <c r="NL6" s="786"/>
      <c r="NM6" s="786"/>
      <c r="NN6" s="786"/>
      <c r="NO6" s="786"/>
      <c r="NP6" s="786"/>
      <c r="NQ6" s="786"/>
      <c r="NR6" s="786"/>
      <c r="NS6" s="786"/>
      <c r="NT6" s="786"/>
      <c r="NU6" s="786"/>
      <c r="NV6" s="786"/>
      <c r="NW6" s="786"/>
      <c r="NX6" s="786"/>
      <c r="NY6" s="786"/>
      <c r="NZ6" s="786"/>
      <c r="OA6" s="786"/>
      <c r="OB6" s="786"/>
      <c r="OC6" s="786"/>
      <c r="OD6" s="786"/>
      <c r="OE6" s="786"/>
      <c r="OF6" s="786"/>
      <c r="OG6" s="786"/>
      <c r="OH6" s="786"/>
      <c r="OI6" s="786"/>
      <c r="OJ6" s="786"/>
      <c r="OK6" s="786"/>
      <c r="OL6" s="786"/>
      <c r="OM6" s="786"/>
      <c r="ON6" s="786"/>
      <c r="OO6" s="786"/>
      <c r="OP6" s="786"/>
      <c r="OQ6" s="786"/>
      <c r="OR6" s="786"/>
      <c r="OS6" s="786"/>
      <c r="OT6" s="786"/>
      <c r="OU6" s="786"/>
      <c r="OV6" s="786"/>
      <c r="OW6" s="786"/>
      <c r="OX6" s="786"/>
      <c r="OY6" s="786"/>
      <c r="OZ6" s="786"/>
      <c r="PA6" s="786"/>
      <c r="PB6" s="786"/>
      <c r="PC6" s="786"/>
      <c r="PD6" s="786"/>
      <c r="PE6" s="786"/>
      <c r="PF6" s="786"/>
      <c r="PG6" s="786"/>
      <c r="PH6" s="786"/>
      <c r="PI6" s="786"/>
      <c r="PJ6" s="786"/>
      <c r="PK6" s="786"/>
      <c r="PL6" s="786"/>
      <c r="PM6" s="786"/>
      <c r="PN6" s="786"/>
      <c r="PO6" s="786"/>
    </row>
    <row r="7" spans="1:431" s="928" customFormat="1" ht="26.7" customHeight="1" thickBot="1">
      <c r="A7" s="918" t="s">
        <v>720</v>
      </c>
      <c r="B7" s="919" t="s">
        <v>721</v>
      </c>
      <c r="C7" s="920" t="s">
        <v>197</v>
      </c>
      <c r="D7" s="921" t="s">
        <v>197</v>
      </c>
      <c r="E7" s="920" t="s">
        <v>197</v>
      </c>
      <c r="F7" s="921" t="s">
        <v>197</v>
      </c>
      <c r="G7" s="922">
        <f t="shared" si="4"/>
        <v>0</v>
      </c>
      <c r="H7" s="923">
        <v>0</v>
      </c>
      <c r="I7" s="923">
        <v>0</v>
      </c>
      <c r="J7" s="924">
        <v>6.3</v>
      </c>
      <c r="K7" s="925">
        <v>21.4</v>
      </c>
      <c r="L7" s="922">
        <f t="shared" si="5"/>
        <v>27.7</v>
      </c>
      <c r="M7" s="924">
        <v>51.9</v>
      </c>
      <c r="N7" s="924">
        <v>64.5</v>
      </c>
      <c r="O7" s="924">
        <v>81.099999999999994</v>
      </c>
      <c r="P7" s="926">
        <v>116.2</v>
      </c>
      <c r="Q7" s="922">
        <f t="shared" si="6"/>
        <v>313.7</v>
      </c>
      <c r="R7" s="924">
        <v>105.4</v>
      </c>
      <c r="S7" s="924">
        <v>110.7</v>
      </c>
      <c r="T7" s="924"/>
      <c r="U7" s="926"/>
      <c r="V7" s="922">
        <f t="shared" si="7"/>
        <v>216.10000000000002</v>
      </c>
      <c r="W7" s="927"/>
      <c r="X7" s="931"/>
      <c r="Y7" s="932"/>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7"/>
      <c r="BA7" s="927"/>
      <c r="BB7" s="927"/>
      <c r="BC7" s="927"/>
      <c r="BD7" s="927"/>
      <c r="BE7" s="927"/>
      <c r="BF7" s="927"/>
      <c r="BG7" s="927"/>
      <c r="BH7" s="927"/>
      <c r="BI7" s="927"/>
      <c r="BJ7" s="927"/>
      <c r="BK7" s="927"/>
      <c r="BL7" s="927"/>
      <c r="BM7" s="927"/>
      <c r="BN7" s="927"/>
      <c r="BO7" s="927"/>
      <c r="BP7" s="927"/>
      <c r="BQ7" s="927"/>
      <c r="BR7" s="927"/>
      <c r="BS7" s="927"/>
      <c r="BT7" s="927"/>
      <c r="BU7" s="927"/>
      <c r="BV7" s="927"/>
      <c r="BW7" s="927"/>
      <c r="BX7" s="927"/>
      <c r="BY7" s="927"/>
      <c r="BZ7" s="927"/>
      <c r="CA7" s="927"/>
      <c r="CB7" s="927"/>
      <c r="CC7" s="927"/>
      <c r="CD7" s="927"/>
      <c r="CE7" s="927"/>
      <c r="CF7" s="927"/>
      <c r="CG7" s="927"/>
      <c r="CH7" s="927"/>
      <c r="CI7" s="927"/>
      <c r="CJ7" s="927"/>
      <c r="CK7" s="927"/>
      <c r="CL7" s="927"/>
      <c r="CM7" s="927"/>
      <c r="CN7" s="927"/>
      <c r="CO7" s="927"/>
      <c r="CP7" s="927"/>
      <c r="CQ7" s="927"/>
      <c r="CR7" s="927"/>
      <c r="CS7" s="927"/>
      <c r="CT7" s="927"/>
      <c r="CU7" s="927"/>
      <c r="CV7" s="927"/>
      <c r="CW7" s="927"/>
      <c r="CX7" s="927"/>
      <c r="CY7" s="927"/>
      <c r="CZ7" s="927"/>
      <c r="DA7" s="927"/>
      <c r="DB7" s="927"/>
      <c r="DC7" s="927"/>
      <c r="DD7" s="927"/>
      <c r="DE7" s="927"/>
      <c r="DF7" s="927"/>
      <c r="DG7" s="927"/>
      <c r="DH7" s="927"/>
      <c r="DI7" s="927"/>
      <c r="DJ7" s="927"/>
      <c r="DK7" s="927"/>
      <c r="DL7" s="927"/>
      <c r="DM7" s="927"/>
      <c r="DN7" s="927"/>
      <c r="DO7" s="927"/>
      <c r="DP7" s="927"/>
      <c r="DQ7" s="927"/>
      <c r="DR7" s="927"/>
      <c r="DS7" s="927"/>
      <c r="DT7" s="927"/>
      <c r="DU7" s="927"/>
      <c r="DV7" s="927"/>
      <c r="DW7" s="927"/>
      <c r="DX7" s="927"/>
      <c r="DY7" s="927"/>
      <c r="DZ7" s="927"/>
      <c r="EA7" s="927"/>
      <c r="EB7" s="927"/>
      <c r="EC7" s="927"/>
      <c r="ED7" s="927"/>
      <c r="EE7" s="927"/>
      <c r="EF7" s="927"/>
      <c r="EG7" s="927"/>
      <c r="EH7" s="927"/>
      <c r="EI7" s="927"/>
      <c r="EJ7" s="927"/>
      <c r="EK7" s="927"/>
      <c r="EL7" s="927"/>
      <c r="EM7" s="927"/>
      <c r="EN7" s="927"/>
      <c r="EO7" s="927"/>
      <c r="EP7" s="927"/>
      <c r="EQ7" s="927"/>
      <c r="ER7" s="927"/>
      <c r="ES7" s="927"/>
      <c r="ET7" s="927"/>
      <c r="EU7" s="927"/>
      <c r="EV7" s="927"/>
      <c r="EW7" s="927"/>
      <c r="EX7" s="927"/>
      <c r="EY7" s="927"/>
      <c r="EZ7" s="927"/>
      <c r="FA7" s="927"/>
      <c r="FB7" s="927"/>
      <c r="FC7" s="927"/>
      <c r="FD7" s="927"/>
      <c r="FE7" s="927"/>
      <c r="FF7" s="927"/>
      <c r="FG7" s="927"/>
      <c r="FH7" s="927"/>
      <c r="FI7" s="927"/>
      <c r="FJ7" s="927"/>
      <c r="FK7" s="927"/>
      <c r="FL7" s="927"/>
      <c r="FM7" s="927"/>
      <c r="FN7" s="927"/>
      <c r="FO7" s="927"/>
      <c r="FP7" s="927"/>
      <c r="FQ7" s="927"/>
      <c r="FR7" s="927"/>
      <c r="FS7" s="927"/>
      <c r="FT7" s="927"/>
      <c r="FU7" s="927"/>
      <c r="FV7" s="927"/>
      <c r="FW7" s="927"/>
      <c r="FX7" s="927"/>
      <c r="FY7" s="927"/>
      <c r="FZ7" s="927"/>
      <c r="GA7" s="927"/>
      <c r="GB7" s="927"/>
      <c r="GC7" s="927"/>
      <c r="GD7" s="927"/>
      <c r="GE7" s="927"/>
      <c r="GF7" s="927"/>
      <c r="GG7" s="927"/>
      <c r="GH7" s="927"/>
      <c r="GI7" s="927"/>
      <c r="GJ7" s="927"/>
      <c r="GK7" s="927"/>
      <c r="GL7" s="927"/>
      <c r="GM7" s="927"/>
      <c r="GN7" s="927"/>
      <c r="GO7" s="927"/>
      <c r="GP7" s="927"/>
      <c r="GQ7" s="927"/>
      <c r="GR7" s="927"/>
      <c r="GS7" s="927"/>
      <c r="GT7" s="927"/>
      <c r="GU7" s="927"/>
      <c r="GV7" s="927"/>
      <c r="GW7" s="927"/>
      <c r="GX7" s="927"/>
      <c r="GY7" s="927"/>
      <c r="GZ7" s="927"/>
      <c r="HA7" s="927"/>
      <c r="HB7" s="927"/>
      <c r="HC7" s="927"/>
      <c r="HD7" s="927"/>
      <c r="HE7" s="927"/>
      <c r="HF7" s="927"/>
      <c r="HG7" s="927"/>
      <c r="HH7" s="927"/>
      <c r="HI7" s="927"/>
      <c r="HJ7" s="927"/>
      <c r="HK7" s="927"/>
      <c r="HL7" s="927"/>
      <c r="HM7" s="927"/>
      <c r="HN7" s="927"/>
      <c r="HO7" s="927"/>
      <c r="HP7" s="927"/>
      <c r="HQ7" s="927"/>
      <c r="HR7" s="927"/>
      <c r="HS7" s="927"/>
      <c r="HT7" s="927"/>
      <c r="HU7" s="927"/>
      <c r="HV7" s="927"/>
      <c r="HW7" s="927"/>
      <c r="HX7" s="927"/>
      <c r="HY7" s="927"/>
      <c r="HZ7" s="927"/>
      <c r="IA7" s="927"/>
      <c r="IB7" s="927"/>
      <c r="IC7" s="927"/>
      <c r="ID7" s="927"/>
      <c r="IE7" s="927"/>
      <c r="IF7" s="927"/>
      <c r="IG7" s="927"/>
      <c r="IH7" s="927"/>
      <c r="II7" s="927"/>
      <c r="IJ7" s="927"/>
      <c r="IK7" s="927"/>
      <c r="IL7" s="927"/>
      <c r="IM7" s="927"/>
      <c r="IN7" s="927"/>
      <c r="IO7" s="927"/>
      <c r="IP7" s="927"/>
      <c r="IQ7" s="927"/>
      <c r="IR7" s="927"/>
      <c r="IS7" s="927"/>
      <c r="IT7" s="927"/>
      <c r="IU7" s="927"/>
      <c r="IV7" s="927"/>
      <c r="IW7" s="927"/>
      <c r="IX7" s="927"/>
      <c r="IY7" s="927"/>
      <c r="IZ7" s="927"/>
      <c r="JA7" s="927"/>
      <c r="JB7" s="927"/>
      <c r="JC7" s="927"/>
      <c r="JD7" s="927"/>
      <c r="JE7" s="927"/>
      <c r="JF7" s="927"/>
      <c r="JG7" s="927"/>
      <c r="JH7" s="927"/>
      <c r="JI7" s="927"/>
      <c r="JJ7" s="927"/>
      <c r="JK7" s="927"/>
      <c r="JL7" s="927"/>
      <c r="JM7" s="927"/>
      <c r="JN7" s="927"/>
      <c r="JO7" s="927"/>
      <c r="JP7" s="927"/>
      <c r="JQ7" s="927"/>
      <c r="JR7" s="927"/>
      <c r="JS7" s="927"/>
      <c r="JT7" s="927"/>
      <c r="JU7" s="927"/>
      <c r="JV7" s="927"/>
      <c r="JW7" s="927"/>
      <c r="JX7" s="927"/>
      <c r="JY7" s="927"/>
      <c r="JZ7" s="927"/>
      <c r="KA7" s="927"/>
      <c r="KB7" s="927"/>
      <c r="KC7" s="927"/>
      <c r="KD7" s="927"/>
      <c r="KE7" s="927"/>
      <c r="KF7" s="927"/>
      <c r="KG7" s="927"/>
      <c r="KH7" s="927"/>
      <c r="KI7" s="927"/>
      <c r="KJ7" s="927"/>
      <c r="KK7" s="927"/>
      <c r="KL7" s="927"/>
      <c r="KM7" s="927"/>
      <c r="KN7" s="927"/>
      <c r="KO7" s="927"/>
      <c r="KP7" s="927"/>
      <c r="KQ7" s="927"/>
      <c r="KR7" s="927"/>
      <c r="KS7" s="927"/>
      <c r="KT7" s="927"/>
      <c r="KU7" s="927"/>
      <c r="KV7" s="927"/>
      <c r="KW7" s="927"/>
      <c r="KX7" s="927"/>
      <c r="KY7" s="927"/>
      <c r="KZ7" s="927"/>
      <c r="LA7" s="927"/>
      <c r="LB7" s="927"/>
      <c r="LC7" s="927"/>
      <c r="LD7" s="927"/>
      <c r="LE7" s="927"/>
      <c r="LF7" s="927"/>
      <c r="LG7" s="927"/>
      <c r="LH7" s="927"/>
      <c r="LI7" s="927"/>
      <c r="LJ7" s="927"/>
      <c r="LK7" s="927"/>
      <c r="LL7" s="927"/>
      <c r="LM7" s="927"/>
      <c r="LN7" s="927"/>
      <c r="LO7" s="927"/>
      <c r="LP7" s="927"/>
      <c r="LQ7" s="927"/>
      <c r="LR7" s="927"/>
      <c r="LS7" s="927"/>
      <c r="LT7" s="927"/>
      <c r="LU7" s="927"/>
      <c r="LV7" s="927"/>
      <c r="LW7" s="927"/>
      <c r="LX7" s="927"/>
      <c r="LY7" s="927"/>
      <c r="LZ7" s="927"/>
      <c r="MA7" s="927"/>
      <c r="MB7" s="927"/>
      <c r="MC7" s="927"/>
      <c r="MD7" s="927"/>
      <c r="ME7" s="927"/>
      <c r="MF7" s="927"/>
      <c r="MG7" s="927"/>
      <c r="MH7" s="927"/>
      <c r="MI7" s="927"/>
      <c r="MJ7" s="927"/>
      <c r="MK7" s="927"/>
      <c r="ML7" s="927"/>
      <c r="MM7" s="927"/>
      <c r="MN7" s="927"/>
      <c r="MO7" s="927"/>
      <c r="MP7" s="927"/>
      <c r="MQ7" s="927"/>
      <c r="MR7" s="927"/>
      <c r="MS7" s="927"/>
      <c r="MT7" s="927"/>
      <c r="MU7" s="927"/>
      <c r="MV7" s="927"/>
      <c r="MW7" s="927"/>
      <c r="MX7" s="927"/>
      <c r="MY7" s="927"/>
      <c r="MZ7" s="927"/>
      <c r="NA7" s="927"/>
      <c r="NB7" s="927"/>
      <c r="NC7" s="927"/>
      <c r="ND7" s="927"/>
      <c r="NE7" s="927"/>
      <c r="NF7" s="927"/>
      <c r="NG7" s="927"/>
      <c r="NH7" s="927"/>
      <c r="NI7" s="927"/>
      <c r="NJ7" s="927"/>
      <c r="NK7" s="927"/>
      <c r="NL7" s="927"/>
      <c r="NM7" s="927"/>
      <c r="NN7" s="927"/>
      <c r="NO7" s="927"/>
      <c r="NP7" s="927"/>
      <c r="NQ7" s="927"/>
      <c r="NR7" s="927"/>
      <c r="NS7" s="927"/>
      <c r="NT7" s="927"/>
      <c r="NU7" s="927"/>
      <c r="NV7" s="927"/>
      <c r="NW7" s="927"/>
      <c r="NX7" s="927"/>
      <c r="NY7" s="927"/>
      <c r="NZ7" s="927"/>
      <c r="OA7" s="927"/>
      <c r="OB7" s="927"/>
      <c r="OC7" s="927"/>
      <c r="OD7" s="927"/>
      <c r="OE7" s="927"/>
      <c r="OF7" s="927"/>
      <c r="OG7" s="927"/>
      <c r="OH7" s="927"/>
      <c r="OI7" s="927"/>
      <c r="OJ7" s="927"/>
      <c r="OK7" s="927"/>
      <c r="OL7" s="927"/>
      <c r="OM7" s="927"/>
      <c r="ON7" s="927"/>
      <c r="OO7" s="927"/>
      <c r="OP7" s="927"/>
      <c r="OQ7" s="927"/>
      <c r="OR7" s="927"/>
      <c r="OS7" s="927"/>
      <c r="OT7" s="927"/>
      <c r="OU7" s="927"/>
      <c r="OV7" s="927"/>
      <c r="OW7" s="927"/>
      <c r="OX7" s="927"/>
      <c r="OY7" s="927"/>
      <c r="OZ7" s="927"/>
      <c r="PA7" s="927"/>
      <c r="PB7" s="927"/>
      <c r="PC7" s="927"/>
      <c r="PD7" s="927"/>
      <c r="PE7" s="927"/>
      <c r="PF7" s="927"/>
      <c r="PG7" s="927"/>
      <c r="PH7" s="927"/>
      <c r="PI7" s="927"/>
      <c r="PJ7" s="927"/>
      <c r="PK7" s="927"/>
      <c r="PL7" s="927"/>
      <c r="PM7" s="927"/>
      <c r="PN7" s="927"/>
      <c r="PO7" s="927"/>
    </row>
    <row r="8" spans="1:431" s="143" customFormat="1">
      <c r="A8" s="779"/>
      <c r="B8" s="779"/>
      <c r="C8" s="782"/>
      <c r="D8" s="782"/>
      <c r="E8" s="782"/>
      <c r="F8" s="782"/>
      <c r="G8" s="782"/>
      <c r="H8" s="782"/>
      <c r="I8" s="782"/>
      <c r="J8" s="782"/>
      <c r="K8" s="782"/>
      <c r="L8" s="782"/>
      <c r="M8" s="782"/>
      <c r="N8" s="779"/>
      <c r="O8" s="779"/>
      <c r="P8" s="779"/>
      <c r="Q8" s="779"/>
      <c r="R8" s="779"/>
      <c r="S8" s="779"/>
      <c r="T8" s="779"/>
      <c r="U8" s="779"/>
      <c r="V8" s="779"/>
      <c r="W8" s="779"/>
      <c r="X8" s="779"/>
      <c r="Y8" s="779"/>
      <c r="Z8" s="779"/>
      <c r="AA8" s="779"/>
      <c r="AB8" s="779"/>
      <c r="AC8" s="779"/>
      <c r="AD8" s="779"/>
      <c r="AE8" s="779"/>
      <c r="AF8" s="779"/>
      <c r="AG8" s="779"/>
      <c r="AH8" s="779"/>
      <c r="AI8" s="779"/>
      <c r="AJ8" s="779"/>
      <c r="AK8" s="779"/>
      <c r="AL8" s="779"/>
      <c r="AM8" s="779"/>
      <c r="AN8" s="779"/>
      <c r="AO8" s="779"/>
      <c r="AP8" s="779"/>
      <c r="AQ8" s="779"/>
      <c r="AR8" s="779"/>
      <c r="AS8" s="779"/>
      <c r="AT8" s="779"/>
      <c r="AU8" s="779"/>
      <c r="AV8" s="779"/>
      <c r="AW8" s="779"/>
      <c r="AX8" s="779"/>
      <c r="AY8" s="779"/>
      <c r="AZ8" s="779"/>
      <c r="BA8" s="779"/>
      <c r="BB8" s="779"/>
      <c r="BC8" s="779"/>
      <c r="BD8" s="779"/>
      <c r="BE8" s="779"/>
      <c r="BF8" s="779"/>
      <c r="BG8" s="779"/>
      <c r="BH8" s="779"/>
      <c r="BI8" s="779"/>
      <c r="BJ8" s="779"/>
      <c r="BK8" s="779"/>
      <c r="BL8" s="779"/>
      <c r="BM8" s="779"/>
      <c r="BN8" s="779"/>
      <c r="BO8" s="779"/>
      <c r="BP8" s="779"/>
      <c r="BQ8" s="779"/>
      <c r="BR8" s="779"/>
      <c r="BS8" s="779"/>
      <c r="BT8" s="779"/>
      <c r="BU8" s="779"/>
      <c r="BV8" s="779"/>
      <c r="BW8" s="779"/>
      <c r="BX8" s="779"/>
      <c r="BY8" s="779"/>
      <c r="BZ8" s="779"/>
      <c r="CA8" s="779"/>
      <c r="CB8" s="779"/>
      <c r="CC8" s="779"/>
      <c r="CD8" s="779"/>
      <c r="CE8" s="779"/>
      <c r="CF8" s="779"/>
      <c r="CG8" s="779"/>
      <c r="CH8" s="779"/>
      <c r="CI8" s="779"/>
      <c r="CJ8" s="779"/>
      <c r="CK8" s="779"/>
      <c r="CL8" s="779"/>
      <c r="CM8" s="779"/>
      <c r="CN8" s="779"/>
      <c r="CO8" s="779"/>
      <c r="CP8" s="779"/>
      <c r="CQ8" s="779"/>
      <c r="CR8" s="779"/>
      <c r="CS8" s="779"/>
      <c r="CT8" s="779"/>
      <c r="CU8" s="779"/>
      <c r="CV8" s="779"/>
      <c r="CW8" s="779"/>
      <c r="CX8" s="779"/>
      <c r="CY8" s="779"/>
      <c r="CZ8" s="779"/>
      <c r="DA8" s="779"/>
      <c r="DB8" s="779"/>
      <c r="DC8" s="779"/>
      <c r="DD8" s="779"/>
      <c r="DE8" s="779"/>
      <c r="DF8" s="779"/>
      <c r="DG8" s="779"/>
      <c r="DH8" s="779"/>
      <c r="DI8" s="779"/>
      <c r="DJ8" s="779"/>
      <c r="DK8" s="779"/>
      <c r="DL8" s="779"/>
      <c r="DM8" s="779"/>
      <c r="DN8" s="779"/>
      <c r="DO8" s="779"/>
      <c r="DP8" s="779"/>
      <c r="DQ8" s="779"/>
      <c r="DR8" s="779"/>
      <c r="DS8" s="779"/>
      <c r="DT8" s="779"/>
      <c r="DU8" s="779"/>
      <c r="DV8" s="779"/>
      <c r="DW8" s="779"/>
      <c r="DX8" s="779"/>
      <c r="DY8" s="779"/>
      <c r="DZ8" s="779"/>
      <c r="EA8" s="779"/>
      <c r="EB8" s="779"/>
      <c r="EC8" s="779"/>
      <c r="ED8" s="779"/>
      <c r="EE8" s="779"/>
      <c r="EF8" s="779"/>
      <c r="EG8" s="779"/>
      <c r="EH8" s="779"/>
      <c r="EI8" s="779"/>
      <c r="EJ8" s="779"/>
      <c r="EK8" s="779"/>
      <c r="EL8" s="779"/>
      <c r="EM8" s="779"/>
      <c r="EN8" s="779"/>
      <c r="EO8" s="779"/>
      <c r="EP8" s="779"/>
      <c r="EQ8" s="779"/>
      <c r="ER8" s="779"/>
      <c r="ES8" s="779"/>
      <c r="ET8" s="779"/>
      <c r="EU8" s="779"/>
      <c r="EV8" s="779"/>
      <c r="EW8" s="779"/>
      <c r="EX8" s="779"/>
      <c r="EY8" s="779"/>
      <c r="EZ8" s="779"/>
      <c r="FA8" s="779"/>
      <c r="FB8" s="779"/>
      <c r="FC8" s="779"/>
      <c r="FD8" s="779"/>
      <c r="FE8" s="779"/>
      <c r="FF8" s="779"/>
      <c r="FG8" s="779"/>
      <c r="FH8" s="779"/>
      <c r="FI8" s="779"/>
      <c r="FJ8" s="779"/>
      <c r="FK8" s="779"/>
      <c r="FL8" s="779"/>
      <c r="FM8" s="779"/>
      <c r="FN8" s="779"/>
      <c r="FO8" s="779"/>
      <c r="FP8" s="779"/>
      <c r="FQ8" s="779"/>
      <c r="FR8" s="779"/>
      <c r="FS8" s="779"/>
      <c r="FT8" s="779"/>
      <c r="FU8" s="779"/>
      <c r="FV8" s="779"/>
      <c r="FW8" s="779"/>
      <c r="FX8" s="779"/>
      <c r="FY8" s="779"/>
      <c r="FZ8" s="779"/>
      <c r="GA8" s="779"/>
      <c r="GB8" s="779"/>
      <c r="GC8" s="779"/>
      <c r="GD8" s="779"/>
      <c r="GE8" s="779"/>
      <c r="GF8" s="779"/>
      <c r="GG8" s="779"/>
      <c r="GH8" s="779"/>
      <c r="GI8" s="779"/>
      <c r="GJ8" s="779"/>
      <c r="GK8" s="779"/>
      <c r="GL8" s="779"/>
      <c r="GM8" s="779"/>
      <c r="GN8" s="779"/>
      <c r="GO8" s="779"/>
      <c r="GP8" s="779"/>
      <c r="GQ8" s="779"/>
      <c r="GR8" s="779"/>
      <c r="GS8" s="779"/>
      <c r="GT8" s="779"/>
      <c r="GU8" s="779"/>
      <c r="GV8" s="779"/>
      <c r="GW8" s="779"/>
      <c r="GX8" s="779"/>
      <c r="GY8" s="779"/>
      <c r="GZ8" s="779"/>
      <c r="HA8" s="779"/>
      <c r="HB8" s="779"/>
      <c r="HC8" s="779"/>
      <c r="HD8" s="779"/>
      <c r="HE8" s="779"/>
      <c r="HF8" s="779"/>
      <c r="HG8" s="779"/>
      <c r="HH8" s="779"/>
      <c r="HI8" s="779"/>
      <c r="HJ8" s="779"/>
      <c r="HK8" s="779"/>
      <c r="HL8" s="779"/>
      <c r="HM8" s="779"/>
      <c r="HN8" s="779"/>
      <c r="HO8" s="779"/>
      <c r="HP8" s="779"/>
      <c r="HQ8" s="779"/>
      <c r="HR8" s="779"/>
      <c r="HS8" s="779"/>
      <c r="HT8" s="779"/>
      <c r="HU8" s="779"/>
      <c r="HV8" s="779"/>
      <c r="HW8" s="779"/>
      <c r="HX8" s="779"/>
      <c r="HY8" s="779"/>
      <c r="HZ8" s="779"/>
      <c r="IA8" s="779"/>
      <c r="IB8" s="779"/>
      <c r="IC8" s="779"/>
      <c r="ID8" s="779"/>
      <c r="IE8" s="779"/>
      <c r="IF8" s="779"/>
      <c r="IG8" s="779"/>
      <c r="IH8" s="779"/>
      <c r="II8" s="779"/>
      <c r="IJ8" s="779"/>
      <c r="IK8" s="779"/>
      <c r="IL8" s="779"/>
      <c r="IM8" s="779"/>
      <c r="IN8" s="779"/>
      <c r="IO8" s="779"/>
      <c r="IP8" s="779"/>
      <c r="IQ8" s="779"/>
      <c r="IR8" s="779"/>
      <c r="IS8" s="779"/>
      <c r="IT8" s="779"/>
      <c r="IU8" s="779"/>
      <c r="IV8" s="779"/>
      <c r="IW8" s="779"/>
      <c r="IX8" s="779"/>
      <c r="IY8" s="779"/>
      <c r="IZ8" s="779"/>
      <c r="JA8" s="779"/>
      <c r="JB8" s="779"/>
      <c r="JC8" s="779"/>
      <c r="JD8" s="779"/>
      <c r="JE8" s="779"/>
      <c r="JF8" s="779"/>
      <c r="JG8" s="779"/>
      <c r="JH8" s="779"/>
      <c r="JI8" s="779"/>
      <c r="JJ8" s="779"/>
      <c r="JK8" s="779"/>
      <c r="JL8" s="779"/>
      <c r="JM8" s="779"/>
      <c r="JN8" s="779"/>
      <c r="JO8" s="779"/>
      <c r="JP8" s="779"/>
      <c r="JQ8" s="779"/>
      <c r="JR8" s="779"/>
      <c r="JS8" s="779"/>
      <c r="JT8" s="779"/>
      <c r="JU8" s="779"/>
      <c r="JV8" s="779"/>
      <c r="JW8" s="779"/>
      <c r="JX8" s="779"/>
      <c r="JY8" s="779"/>
      <c r="JZ8" s="779"/>
      <c r="KA8" s="779"/>
      <c r="KB8" s="779"/>
      <c r="KC8" s="779"/>
      <c r="KD8" s="779"/>
      <c r="KE8" s="779"/>
      <c r="KF8" s="779"/>
      <c r="KG8" s="779"/>
      <c r="KH8" s="779"/>
      <c r="KI8" s="779"/>
      <c r="KJ8" s="779"/>
      <c r="KK8" s="779"/>
      <c r="KL8" s="779"/>
      <c r="KM8" s="779"/>
      <c r="KN8" s="779"/>
      <c r="KO8" s="779"/>
      <c r="KP8" s="779"/>
      <c r="KQ8" s="779"/>
      <c r="KR8" s="779"/>
      <c r="KS8" s="779"/>
      <c r="KT8" s="779"/>
      <c r="KU8" s="779"/>
      <c r="KV8" s="779"/>
      <c r="KW8" s="779"/>
      <c r="KX8" s="779"/>
      <c r="KY8" s="779"/>
      <c r="KZ8" s="779"/>
      <c r="LA8" s="779"/>
      <c r="LB8" s="779"/>
      <c r="LC8" s="779"/>
      <c r="LD8" s="779"/>
      <c r="LE8" s="779"/>
      <c r="LF8" s="779"/>
      <c r="LG8" s="779"/>
      <c r="LH8" s="779"/>
      <c r="LI8" s="779"/>
      <c r="LJ8" s="779"/>
      <c r="LK8" s="779"/>
      <c r="LL8" s="779"/>
      <c r="LM8" s="779"/>
      <c r="LN8" s="779"/>
      <c r="LO8" s="779"/>
      <c r="LP8" s="779"/>
      <c r="LQ8" s="779"/>
      <c r="LR8" s="779"/>
      <c r="LS8" s="779"/>
      <c r="LT8" s="779"/>
      <c r="LU8" s="779"/>
      <c r="LV8" s="779"/>
      <c r="LW8" s="779"/>
      <c r="LX8" s="779"/>
      <c r="LY8" s="779"/>
      <c r="LZ8" s="779"/>
      <c r="MA8" s="779"/>
      <c r="MB8" s="779"/>
      <c r="MC8" s="779"/>
      <c r="MD8" s="779"/>
      <c r="ME8" s="779"/>
      <c r="MF8" s="779"/>
      <c r="MG8" s="779"/>
      <c r="MH8" s="779"/>
      <c r="MI8" s="779"/>
      <c r="MJ8" s="779"/>
      <c r="MK8" s="779"/>
      <c r="ML8" s="779"/>
      <c r="MM8" s="779"/>
      <c r="MN8" s="779"/>
      <c r="MO8" s="779"/>
      <c r="MP8" s="779"/>
      <c r="MQ8" s="779"/>
      <c r="MR8" s="779"/>
      <c r="MS8" s="779"/>
      <c r="MT8" s="779"/>
      <c r="MU8" s="779"/>
      <c r="MV8" s="779"/>
      <c r="MW8" s="779"/>
      <c r="MX8" s="779"/>
      <c r="MY8" s="779"/>
      <c r="MZ8" s="779"/>
      <c r="NA8" s="779"/>
      <c r="NB8" s="779"/>
      <c r="NC8" s="779"/>
      <c r="ND8" s="779"/>
      <c r="NE8" s="779"/>
      <c r="NF8" s="779"/>
      <c r="NG8" s="779"/>
      <c r="NH8" s="779"/>
      <c r="NI8" s="779"/>
      <c r="NJ8" s="779"/>
      <c r="NK8" s="779"/>
      <c r="NL8" s="779"/>
      <c r="NM8" s="779"/>
      <c r="NN8" s="779"/>
      <c r="NO8" s="779"/>
      <c r="NP8" s="779"/>
      <c r="NQ8" s="779"/>
      <c r="NR8" s="779"/>
      <c r="NS8" s="779"/>
      <c r="NT8" s="779"/>
      <c r="NU8" s="779"/>
      <c r="NV8" s="779"/>
      <c r="NW8" s="779"/>
      <c r="NX8" s="779"/>
      <c r="NY8" s="779"/>
      <c r="NZ8" s="779"/>
      <c r="OA8" s="779"/>
      <c r="OB8" s="779"/>
      <c r="OC8" s="779"/>
      <c r="OD8" s="779"/>
      <c r="OE8" s="779"/>
      <c r="OF8" s="779"/>
      <c r="OG8" s="779"/>
      <c r="OH8" s="779"/>
      <c r="OI8" s="779"/>
      <c r="OJ8" s="779"/>
      <c r="OK8" s="779"/>
      <c r="OL8" s="779"/>
      <c r="OM8" s="779"/>
      <c r="ON8" s="779"/>
      <c r="OO8" s="779"/>
      <c r="OP8" s="779"/>
      <c r="OQ8" s="779"/>
      <c r="OR8" s="779"/>
      <c r="OS8" s="779"/>
      <c r="OT8" s="779"/>
      <c r="OU8" s="779"/>
      <c r="OV8" s="779"/>
      <c r="OW8" s="779"/>
      <c r="OX8" s="779"/>
      <c r="OY8" s="779"/>
      <c r="OZ8" s="779"/>
      <c r="PA8" s="779"/>
      <c r="PB8" s="779"/>
      <c r="PC8" s="779"/>
      <c r="PD8" s="779"/>
      <c r="PE8" s="779"/>
      <c r="PF8" s="779"/>
      <c r="PG8" s="779"/>
      <c r="PH8" s="779"/>
      <c r="PI8" s="779"/>
      <c r="PJ8" s="779"/>
      <c r="PK8" s="779"/>
      <c r="PL8" s="779"/>
      <c r="PM8" s="779"/>
      <c r="PN8" s="779"/>
      <c r="PO8" s="779"/>
    </row>
    <row r="9" spans="1:431" s="143" customFormat="1" ht="28.8">
      <c r="A9" s="778" t="s">
        <v>722</v>
      </c>
      <c r="B9" s="778" t="s">
        <v>723</v>
      </c>
      <c r="C9" s="782"/>
      <c r="D9" s="782"/>
      <c r="E9" s="782"/>
      <c r="F9" s="782"/>
      <c r="G9" s="782"/>
      <c r="H9" s="782"/>
      <c r="I9" s="782"/>
      <c r="J9" s="782"/>
      <c r="K9" s="782"/>
      <c r="L9" s="782"/>
      <c r="M9" s="779"/>
      <c r="N9" s="779"/>
      <c r="O9" s="779"/>
      <c r="P9" s="779"/>
      <c r="Q9" s="779"/>
      <c r="R9" s="779"/>
      <c r="S9" s="894"/>
      <c r="T9" s="779"/>
      <c r="U9" s="779"/>
      <c r="V9" s="779"/>
      <c r="W9" s="779"/>
      <c r="X9" s="779"/>
      <c r="Y9" s="779"/>
      <c r="Z9" s="779"/>
      <c r="AA9" s="779"/>
      <c r="AB9" s="779"/>
      <c r="AC9" s="779"/>
      <c r="AD9" s="779"/>
      <c r="AE9" s="779"/>
      <c r="AF9" s="779"/>
      <c r="AG9" s="779"/>
      <c r="AH9" s="779"/>
      <c r="AI9" s="779"/>
      <c r="AJ9" s="779"/>
      <c r="AK9" s="779"/>
      <c r="AL9" s="779"/>
      <c r="AM9" s="779"/>
      <c r="AN9" s="779"/>
      <c r="AO9" s="779"/>
      <c r="AP9" s="779"/>
      <c r="AQ9" s="779"/>
      <c r="AR9" s="779"/>
      <c r="AS9" s="779"/>
      <c r="AT9" s="779"/>
      <c r="AU9" s="779"/>
      <c r="AV9" s="779"/>
      <c r="AW9" s="779"/>
      <c r="AX9" s="779"/>
      <c r="AY9" s="779"/>
      <c r="AZ9" s="779"/>
      <c r="BA9" s="779"/>
      <c r="BB9" s="779"/>
      <c r="BC9" s="779"/>
      <c r="BD9" s="779"/>
      <c r="BE9" s="779"/>
      <c r="BF9" s="779"/>
      <c r="BG9" s="779"/>
      <c r="BH9" s="779"/>
      <c r="BI9" s="779"/>
      <c r="BJ9" s="779"/>
      <c r="BK9" s="779"/>
      <c r="BL9" s="779"/>
      <c r="BM9" s="779"/>
      <c r="BN9" s="779"/>
      <c r="BO9" s="779"/>
      <c r="BP9" s="779"/>
      <c r="BQ9" s="779"/>
      <c r="BR9" s="779"/>
      <c r="BS9" s="779"/>
      <c r="BT9" s="779"/>
      <c r="BU9" s="779"/>
      <c r="BV9" s="779"/>
      <c r="BW9" s="779"/>
      <c r="BX9" s="779"/>
      <c r="BY9" s="779"/>
      <c r="BZ9" s="779"/>
      <c r="CA9" s="779"/>
      <c r="CB9" s="779"/>
      <c r="CC9" s="779"/>
      <c r="CD9" s="779"/>
      <c r="CE9" s="779"/>
      <c r="CF9" s="779"/>
      <c r="CG9" s="779"/>
      <c r="CH9" s="779"/>
      <c r="CI9" s="779"/>
      <c r="CJ9" s="779"/>
      <c r="CK9" s="779"/>
      <c r="CL9" s="779"/>
      <c r="CM9" s="779"/>
      <c r="CN9" s="779"/>
      <c r="CO9" s="779"/>
      <c r="CP9" s="779"/>
      <c r="CQ9" s="779"/>
      <c r="CR9" s="779"/>
      <c r="CS9" s="779"/>
      <c r="CT9" s="779"/>
      <c r="CU9" s="779"/>
      <c r="CV9" s="779"/>
      <c r="CW9" s="779"/>
      <c r="CX9" s="779"/>
      <c r="CY9" s="779"/>
      <c r="CZ9" s="779"/>
      <c r="DA9" s="779"/>
      <c r="DB9" s="779"/>
      <c r="DC9" s="779"/>
      <c r="DD9" s="779"/>
      <c r="DE9" s="779"/>
      <c r="DF9" s="779"/>
      <c r="DG9" s="779"/>
      <c r="DH9" s="779"/>
      <c r="DI9" s="779"/>
      <c r="DJ9" s="779"/>
      <c r="DK9" s="779"/>
      <c r="DL9" s="779"/>
      <c r="DM9" s="779"/>
      <c r="DN9" s="779"/>
      <c r="DO9" s="779"/>
      <c r="DP9" s="779"/>
      <c r="DQ9" s="779"/>
      <c r="DR9" s="779"/>
      <c r="DS9" s="779"/>
      <c r="DT9" s="779"/>
      <c r="DU9" s="779"/>
      <c r="DV9" s="779"/>
      <c r="DW9" s="779"/>
      <c r="DX9" s="779"/>
      <c r="DY9" s="779"/>
      <c r="DZ9" s="779"/>
      <c r="EA9" s="779"/>
      <c r="EB9" s="779"/>
      <c r="EC9" s="779"/>
      <c r="ED9" s="779"/>
      <c r="EE9" s="779"/>
      <c r="EF9" s="779"/>
      <c r="EG9" s="779"/>
      <c r="EH9" s="779"/>
      <c r="EI9" s="779"/>
      <c r="EJ9" s="779"/>
      <c r="EK9" s="779"/>
      <c r="EL9" s="779"/>
      <c r="EM9" s="779"/>
      <c r="EN9" s="779"/>
      <c r="EO9" s="779"/>
      <c r="EP9" s="779"/>
      <c r="EQ9" s="779"/>
      <c r="ER9" s="779"/>
      <c r="ES9" s="779"/>
      <c r="ET9" s="779"/>
      <c r="EU9" s="779"/>
      <c r="EV9" s="779"/>
      <c r="EW9" s="779"/>
      <c r="EX9" s="779"/>
      <c r="EY9" s="779"/>
      <c r="EZ9" s="779"/>
      <c r="FA9" s="779"/>
      <c r="FB9" s="779"/>
      <c r="FC9" s="779"/>
      <c r="FD9" s="779"/>
      <c r="FE9" s="779"/>
      <c r="FF9" s="779"/>
      <c r="FG9" s="779"/>
      <c r="FH9" s="779"/>
      <c r="FI9" s="779"/>
      <c r="FJ9" s="779"/>
      <c r="FK9" s="779"/>
      <c r="FL9" s="779"/>
      <c r="FM9" s="779"/>
      <c r="FN9" s="779"/>
      <c r="FO9" s="779"/>
      <c r="FP9" s="779"/>
      <c r="FQ9" s="779"/>
      <c r="FR9" s="779"/>
      <c r="FS9" s="779"/>
      <c r="FT9" s="779"/>
      <c r="FU9" s="779"/>
      <c r="FV9" s="779"/>
      <c r="FW9" s="779"/>
      <c r="FX9" s="779"/>
      <c r="FY9" s="779"/>
      <c r="FZ9" s="779"/>
      <c r="GA9" s="779"/>
      <c r="GB9" s="779"/>
      <c r="GC9" s="779"/>
      <c r="GD9" s="779"/>
      <c r="GE9" s="779"/>
      <c r="GF9" s="779"/>
      <c r="GG9" s="779"/>
      <c r="GH9" s="779"/>
      <c r="GI9" s="779"/>
      <c r="GJ9" s="779"/>
      <c r="GK9" s="779"/>
      <c r="GL9" s="779"/>
      <c r="GM9" s="779"/>
      <c r="GN9" s="779"/>
      <c r="GO9" s="779"/>
      <c r="GP9" s="779"/>
      <c r="GQ9" s="779"/>
      <c r="GR9" s="779"/>
      <c r="GS9" s="779"/>
      <c r="GT9" s="779"/>
      <c r="GU9" s="779"/>
      <c r="GV9" s="779"/>
      <c r="GW9" s="779"/>
      <c r="GX9" s="779"/>
      <c r="GY9" s="779"/>
      <c r="GZ9" s="779"/>
      <c r="HA9" s="779"/>
      <c r="HB9" s="779"/>
      <c r="HC9" s="779"/>
      <c r="HD9" s="779"/>
      <c r="HE9" s="779"/>
      <c r="HF9" s="779"/>
      <c r="HG9" s="779"/>
      <c r="HH9" s="779"/>
      <c r="HI9" s="779"/>
      <c r="HJ9" s="779"/>
      <c r="HK9" s="779"/>
      <c r="HL9" s="779"/>
      <c r="HM9" s="779"/>
      <c r="HN9" s="779"/>
      <c r="HO9" s="779"/>
      <c r="HP9" s="779"/>
      <c r="HQ9" s="779"/>
      <c r="HR9" s="779"/>
      <c r="HS9" s="779"/>
      <c r="HT9" s="779"/>
      <c r="HU9" s="779"/>
      <c r="HV9" s="779"/>
      <c r="HW9" s="779"/>
      <c r="HX9" s="779"/>
      <c r="HY9" s="779"/>
      <c r="HZ9" s="779"/>
      <c r="IA9" s="779"/>
      <c r="IB9" s="779"/>
      <c r="IC9" s="779"/>
      <c r="ID9" s="779"/>
      <c r="IE9" s="779"/>
      <c r="IF9" s="779"/>
      <c r="IG9" s="779"/>
      <c r="IH9" s="779"/>
      <c r="II9" s="779"/>
      <c r="IJ9" s="779"/>
      <c r="IK9" s="779"/>
      <c r="IL9" s="779"/>
      <c r="IM9" s="779"/>
      <c r="IN9" s="779"/>
      <c r="IO9" s="779"/>
      <c r="IP9" s="779"/>
      <c r="IQ9" s="779"/>
      <c r="IR9" s="779"/>
      <c r="IS9" s="779"/>
      <c r="IT9" s="779"/>
      <c r="IU9" s="779"/>
      <c r="IV9" s="779"/>
      <c r="IW9" s="779"/>
      <c r="IX9" s="779"/>
      <c r="IY9" s="779"/>
      <c r="IZ9" s="779"/>
      <c r="JA9" s="779"/>
      <c r="JB9" s="779"/>
      <c r="JC9" s="779"/>
      <c r="JD9" s="779"/>
      <c r="JE9" s="779"/>
      <c r="JF9" s="779"/>
      <c r="JG9" s="779"/>
      <c r="JH9" s="779"/>
      <c r="JI9" s="779"/>
      <c r="JJ9" s="779"/>
      <c r="JK9" s="779"/>
      <c r="JL9" s="779"/>
      <c r="JM9" s="779"/>
      <c r="JN9" s="779"/>
      <c r="JO9" s="779"/>
      <c r="JP9" s="779"/>
      <c r="JQ9" s="779"/>
      <c r="JR9" s="779"/>
      <c r="JS9" s="779"/>
      <c r="JT9" s="779"/>
      <c r="JU9" s="779"/>
      <c r="JV9" s="779"/>
      <c r="JW9" s="779"/>
      <c r="JX9" s="779"/>
      <c r="JY9" s="779"/>
      <c r="JZ9" s="779"/>
      <c r="KA9" s="779"/>
      <c r="KB9" s="779"/>
      <c r="KC9" s="779"/>
      <c r="KD9" s="779"/>
      <c r="KE9" s="779"/>
      <c r="KF9" s="779"/>
      <c r="KG9" s="779"/>
      <c r="KH9" s="779"/>
      <c r="KI9" s="779"/>
      <c r="KJ9" s="779"/>
      <c r="KK9" s="779"/>
      <c r="KL9" s="779"/>
      <c r="KM9" s="779"/>
      <c r="KN9" s="779"/>
      <c r="KO9" s="779"/>
      <c r="KP9" s="779"/>
      <c r="KQ9" s="779"/>
      <c r="KR9" s="779"/>
      <c r="KS9" s="779"/>
      <c r="KT9" s="779"/>
      <c r="KU9" s="779"/>
      <c r="KV9" s="779"/>
      <c r="KW9" s="779"/>
      <c r="KX9" s="779"/>
      <c r="KY9" s="779"/>
      <c r="KZ9" s="779"/>
      <c r="LA9" s="779"/>
      <c r="LB9" s="779"/>
      <c r="LC9" s="779"/>
      <c r="LD9" s="779"/>
      <c r="LE9" s="779"/>
      <c r="LF9" s="779"/>
      <c r="LG9" s="779"/>
      <c r="LH9" s="779"/>
      <c r="LI9" s="779"/>
      <c r="LJ9" s="779"/>
      <c r="LK9" s="779"/>
      <c r="LL9" s="779"/>
      <c r="LM9" s="779"/>
      <c r="LN9" s="779"/>
      <c r="LO9" s="779"/>
      <c r="LP9" s="779"/>
      <c r="LQ9" s="779"/>
      <c r="LR9" s="779"/>
      <c r="LS9" s="779"/>
      <c r="LT9" s="779"/>
      <c r="LU9" s="779"/>
      <c r="LV9" s="779"/>
      <c r="LW9" s="779"/>
      <c r="LX9" s="779"/>
      <c r="LY9" s="779"/>
      <c r="LZ9" s="779"/>
      <c r="MA9" s="779"/>
      <c r="MB9" s="779"/>
      <c r="MC9" s="779"/>
      <c r="MD9" s="779"/>
      <c r="ME9" s="779"/>
      <c r="MF9" s="779"/>
      <c r="MG9" s="779"/>
      <c r="MH9" s="779"/>
      <c r="MI9" s="779"/>
      <c r="MJ9" s="779"/>
      <c r="MK9" s="779"/>
      <c r="ML9" s="779"/>
      <c r="MM9" s="779"/>
      <c r="MN9" s="779"/>
      <c r="MO9" s="779"/>
      <c r="MP9" s="779"/>
      <c r="MQ9" s="779"/>
      <c r="MR9" s="779"/>
      <c r="MS9" s="779"/>
      <c r="MT9" s="779"/>
      <c r="MU9" s="779"/>
      <c r="MV9" s="779"/>
      <c r="MW9" s="779"/>
      <c r="MX9" s="779"/>
      <c r="MY9" s="779"/>
      <c r="MZ9" s="779"/>
      <c r="NA9" s="779"/>
      <c r="NB9" s="779"/>
      <c r="NC9" s="779"/>
      <c r="ND9" s="779"/>
      <c r="NE9" s="779"/>
      <c r="NF9" s="779"/>
      <c r="NG9" s="779"/>
      <c r="NH9" s="779"/>
      <c r="NI9" s="779"/>
      <c r="NJ9" s="779"/>
      <c r="NK9" s="779"/>
      <c r="NL9" s="779"/>
      <c r="NM9" s="779"/>
      <c r="NN9" s="779"/>
      <c r="NO9" s="779"/>
      <c r="NP9" s="779"/>
      <c r="NQ9" s="779"/>
      <c r="NR9" s="779"/>
      <c r="NS9" s="779"/>
      <c r="NT9" s="779"/>
      <c r="NU9" s="779"/>
      <c r="NV9" s="779"/>
      <c r="NW9" s="779"/>
      <c r="NX9" s="779"/>
      <c r="NY9" s="779"/>
      <c r="NZ9" s="779"/>
      <c r="OA9" s="779"/>
      <c r="OB9" s="779"/>
      <c r="OC9" s="779"/>
      <c r="OD9" s="779"/>
      <c r="OE9" s="779"/>
      <c r="OF9" s="779"/>
      <c r="OG9" s="779"/>
      <c r="OH9" s="779"/>
      <c r="OI9" s="779"/>
      <c r="OJ9" s="779"/>
      <c r="OK9" s="779"/>
      <c r="OL9" s="779"/>
      <c r="OM9" s="779"/>
      <c r="ON9" s="779"/>
      <c r="OO9" s="779"/>
      <c r="OP9" s="779"/>
      <c r="OQ9" s="779"/>
      <c r="OR9" s="779"/>
      <c r="OS9" s="779"/>
      <c r="OT9" s="779"/>
      <c r="OU9" s="779"/>
      <c r="OV9" s="779"/>
      <c r="OW9" s="779"/>
      <c r="OX9" s="779"/>
      <c r="OY9" s="779"/>
      <c r="OZ9" s="779"/>
      <c r="PA9" s="779"/>
      <c r="PB9" s="779"/>
      <c r="PC9" s="779"/>
      <c r="PD9" s="779"/>
      <c r="PE9" s="779"/>
      <c r="PF9" s="779"/>
      <c r="PG9" s="779"/>
      <c r="PH9" s="779"/>
      <c r="PI9" s="779"/>
      <c r="PJ9" s="779"/>
      <c r="PK9" s="779"/>
      <c r="PL9" s="779"/>
      <c r="PM9" s="779"/>
      <c r="PN9" s="779"/>
      <c r="PO9" s="779"/>
    </row>
    <row r="10" spans="1:431" s="143" customFormat="1">
      <c r="A10" s="778"/>
      <c r="B10" s="778"/>
      <c r="C10" s="787"/>
      <c r="D10" s="787"/>
      <c r="E10" s="152"/>
      <c r="F10" s="152"/>
      <c r="G10" s="782"/>
      <c r="H10" s="787"/>
      <c r="I10" s="787"/>
      <c r="J10" s="150"/>
      <c r="K10" s="150"/>
      <c r="L10" s="782"/>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79"/>
      <c r="AY10" s="779"/>
      <c r="AZ10" s="779"/>
      <c r="BA10" s="779"/>
      <c r="BB10" s="779"/>
      <c r="BC10" s="779"/>
      <c r="BD10" s="779"/>
      <c r="BE10" s="779"/>
      <c r="BF10" s="779"/>
      <c r="BG10" s="779"/>
      <c r="BH10" s="779"/>
      <c r="BI10" s="779"/>
      <c r="BJ10" s="779"/>
      <c r="BK10" s="779"/>
      <c r="BL10" s="779"/>
      <c r="BM10" s="779"/>
      <c r="BN10" s="779"/>
      <c r="BO10" s="779"/>
      <c r="BP10" s="779"/>
      <c r="BQ10" s="779"/>
      <c r="BR10" s="779"/>
      <c r="BS10" s="779"/>
      <c r="BT10" s="779"/>
      <c r="BU10" s="779"/>
      <c r="BV10" s="779"/>
      <c r="BW10" s="779"/>
      <c r="BX10" s="779"/>
      <c r="BY10" s="779"/>
      <c r="BZ10" s="779"/>
      <c r="CA10" s="779"/>
      <c r="CB10" s="779"/>
      <c r="CC10" s="779"/>
      <c r="CD10" s="779"/>
      <c r="CE10" s="779"/>
      <c r="CF10" s="779"/>
      <c r="CG10" s="779"/>
      <c r="CH10" s="779"/>
      <c r="CI10" s="779"/>
      <c r="CJ10" s="779"/>
      <c r="CK10" s="779"/>
      <c r="CL10" s="779"/>
      <c r="CM10" s="779"/>
      <c r="CN10" s="779"/>
      <c r="CO10" s="779"/>
      <c r="CP10" s="779"/>
      <c r="CQ10" s="779"/>
      <c r="CR10" s="779"/>
      <c r="CS10" s="779"/>
      <c r="CT10" s="779"/>
      <c r="CU10" s="779"/>
      <c r="CV10" s="779"/>
      <c r="CW10" s="779"/>
      <c r="CX10" s="779"/>
      <c r="CY10" s="779"/>
      <c r="CZ10" s="779"/>
      <c r="DA10" s="779"/>
      <c r="DB10" s="779"/>
      <c r="DC10" s="779"/>
      <c r="DD10" s="779"/>
      <c r="DE10" s="779"/>
      <c r="DF10" s="779"/>
      <c r="DG10" s="779"/>
      <c r="DH10" s="779"/>
      <c r="DI10" s="779"/>
      <c r="DJ10" s="779"/>
      <c r="DK10" s="779"/>
      <c r="DL10" s="779"/>
      <c r="DM10" s="779"/>
      <c r="DN10" s="779"/>
      <c r="DO10" s="779"/>
      <c r="DP10" s="779"/>
      <c r="DQ10" s="779"/>
      <c r="DR10" s="779"/>
      <c r="DS10" s="779"/>
      <c r="DT10" s="779"/>
      <c r="DU10" s="779"/>
      <c r="DV10" s="779"/>
      <c r="DW10" s="779"/>
      <c r="DX10" s="779"/>
      <c r="DY10" s="779"/>
      <c r="DZ10" s="779"/>
      <c r="EA10" s="779"/>
      <c r="EB10" s="779"/>
      <c r="EC10" s="779"/>
      <c r="ED10" s="779"/>
      <c r="EE10" s="779"/>
      <c r="EF10" s="779"/>
      <c r="EG10" s="779"/>
      <c r="EH10" s="779"/>
      <c r="EI10" s="779"/>
      <c r="EJ10" s="779"/>
      <c r="EK10" s="779"/>
      <c r="EL10" s="779"/>
      <c r="EM10" s="779"/>
      <c r="EN10" s="779"/>
      <c r="EO10" s="779"/>
      <c r="EP10" s="779"/>
      <c r="EQ10" s="779"/>
      <c r="ER10" s="779"/>
      <c r="ES10" s="779"/>
      <c r="ET10" s="779"/>
      <c r="EU10" s="779"/>
      <c r="EV10" s="779"/>
      <c r="EW10" s="779"/>
      <c r="EX10" s="779"/>
      <c r="EY10" s="779"/>
      <c r="EZ10" s="779"/>
      <c r="FA10" s="779"/>
      <c r="FB10" s="779"/>
      <c r="FC10" s="779"/>
      <c r="FD10" s="779"/>
      <c r="FE10" s="779"/>
      <c r="FF10" s="779"/>
      <c r="FG10" s="779"/>
      <c r="FH10" s="779"/>
      <c r="FI10" s="779"/>
      <c r="FJ10" s="779"/>
      <c r="FK10" s="779"/>
      <c r="FL10" s="779"/>
      <c r="FM10" s="779"/>
      <c r="FN10" s="779"/>
      <c r="FO10" s="779"/>
      <c r="FP10" s="779"/>
      <c r="FQ10" s="779"/>
      <c r="FR10" s="779"/>
      <c r="FS10" s="779"/>
      <c r="FT10" s="779"/>
      <c r="FU10" s="779"/>
      <c r="FV10" s="779"/>
      <c r="FW10" s="779"/>
      <c r="FX10" s="779"/>
      <c r="FY10" s="779"/>
      <c r="FZ10" s="779"/>
      <c r="GA10" s="779"/>
      <c r="GB10" s="779"/>
      <c r="GC10" s="779"/>
      <c r="GD10" s="779"/>
      <c r="GE10" s="779"/>
      <c r="GF10" s="779"/>
      <c r="GG10" s="779"/>
      <c r="GH10" s="779"/>
      <c r="GI10" s="779"/>
      <c r="GJ10" s="779"/>
      <c r="GK10" s="779"/>
      <c r="GL10" s="779"/>
      <c r="GM10" s="779"/>
      <c r="GN10" s="779"/>
      <c r="GO10" s="779"/>
      <c r="GP10" s="779"/>
      <c r="GQ10" s="779"/>
      <c r="GR10" s="779"/>
      <c r="GS10" s="779"/>
      <c r="GT10" s="779"/>
      <c r="GU10" s="779"/>
      <c r="GV10" s="779"/>
      <c r="GW10" s="779"/>
      <c r="GX10" s="779"/>
      <c r="GY10" s="779"/>
      <c r="GZ10" s="779"/>
      <c r="HA10" s="779"/>
      <c r="HB10" s="779"/>
      <c r="HC10" s="779"/>
      <c r="HD10" s="779"/>
      <c r="HE10" s="779"/>
      <c r="HF10" s="779"/>
      <c r="HG10" s="779"/>
      <c r="HH10" s="779"/>
      <c r="HI10" s="779"/>
      <c r="HJ10" s="779"/>
      <c r="HK10" s="779"/>
      <c r="HL10" s="779"/>
      <c r="HM10" s="779"/>
      <c r="HN10" s="779"/>
      <c r="HO10" s="779"/>
      <c r="HP10" s="779"/>
      <c r="HQ10" s="779"/>
      <c r="HR10" s="779"/>
      <c r="HS10" s="779"/>
      <c r="HT10" s="779"/>
      <c r="HU10" s="779"/>
      <c r="HV10" s="779"/>
      <c r="HW10" s="779"/>
      <c r="HX10" s="779"/>
      <c r="HY10" s="779"/>
      <c r="HZ10" s="779"/>
      <c r="IA10" s="779"/>
      <c r="IB10" s="779"/>
      <c r="IC10" s="779"/>
      <c r="ID10" s="779"/>
      <c r="IE10" s="779"/>
      <c r="IF10" s="779"/>
      <c r="IG10" s="779"/>
      <c r="IH10" s="779"/>
      <c r="II10" s="779"/>
      <c r="IJ10" s="779"/>
      <c r="IK10" s="779"/>
      <c r="IL10" s="779"/>
      <c r="IM10" s="779"/>
      <c r="IN10" s="779"/>
      <c r="IO10" s="779"/>
      <c r="IP10" s="779"/>
      <c r="IQ10" s="779"/>
      <c r="IR10" s="779"/>
      <c r="IS10" s="779"/>
      <c r="IT10" s="779"/>
      <c r="IU10" s="779"/>
      <c r="IV10" s="779"/>
      <c r="IW10" s="779"/>
      <c r="IX10" s="779"/>
      <c r="IY10" s="779"/>
      <c r="IZ10" s="779"/>
      <c r="JA10" s="779"/>
      <c r="JB10" s="779"/>
      <c r="JC10" s="779"/>
      <c r="JD10" s="779"/>
      <c r="JE10" s="779"/>
      <c r="JF10" s="779"/>
      <c r="JG10" s="779"/>
      <c r="JH10" s="779"/>
      <c r="JI10" s="779"/>
      <c r="JJ10" s="779"/>
      <c r="JK10" s="779"/>
      <c r="JL10" s="779"/>
      <c r="JM10" s="779"/>
      <c r="JN10" s="779"/>
      <c r="JO10" s="779"/>
      <c r="JP10" s="779"/>
      <c r="JQ10" s="779"/>
      <c r="JR10" s="779"/>
      <c r="JS10" s="779"/>
      <c r="JT10" s="779"/>
      <c r="JU10" s="779"/>
      <c r="JV10" s="779"/>
      <c r="JW10" s="779"/>
      <c r="JX10" s="779"/>
      <c r="JY10" s="779"/>
      <c r="JZ10" s="779"/>
      <c r="KA10" s="779"/>
      <c r="KB10" s="779"/>
      <c r="KC10" s="779"/>
      <c r="KD10" s="779"/>
      <c r="KE10" s="779"/>
      <c r="KF10" s="779"/>
      <c r="KG10" s="779"/>
      <c r="KH10" s="779"/>
      <c r="KI10" s="779"/>
      <c r="KJ10" s="779"/>
      <c r="KK10" s="779"/>
      <c r="KL10" s="779"/>
      <c r="KM10" s="779"/>
      <c r="KN10" s="779"/>
      <c r="KO10" s="779"/>
      <c r="KP10" s="779"/>
      <c r="KQ10" s="779"/>
      <c r="KR10" s="779"/>
      <c r="KS10" s="779"/>
      <c r="KT10" s="779"/>
      <c r="KU10" s="779"/>
      <c r="KV10" s="779"/>
      <c r="KW10" s="779"/>
      <c r="KX10" s="779"/>
      <c r="KY10" s="779"/>
      <c r="KZ10" s="779"/>
      <c r="LA10" s="779"/>
      <c r="LB10" s="779"/>
      <c r="LC10" s="779"/>
      <c r="LD10" s="779"/>
      <c r="LE10" s="779"/>
      <c r="LF10" s="779"/>
      <c r="LG10" s="779"/>
      <c r="LH10" s="779"/>
      <c r="LI10" s="779"/>
      <c r="LJ10" s="779"/>
      <c r="LK10" s="779"/>
      <c r="LL10" s="779"/>
      <c r="LM10" s="779"/>
      <c r="LN10" s="779"/>
      <c r="LO10" s="779"/>
      <c r="LP10" s="779"/>
      <c r="LQ10" s="779"/>
      <c r="LR10" s="779"/>
      <c r="LS10" s="779"/>
      <c r="LT10" s="779"/>
      <c r="LU10" s="779"/>
      <c r="LV10" s="779"/>
      <c r="LW10" s="779"/>
      <c r="LX10" s="779"/>
      <c r="LY10" s="779"/>
      <c r="LZ10" s="779"/>
      <c r="MA10" s="779"/>
      <c r="MB10" s="779"/>
      <c r="MC10" s="779"/>
      <c r="MD10" s="779"/>
      <c r="ME10" s="779"/>
      <c r="MF10" s="779"/>
      <c r="MG10" s="779"/>
      <c r="MH10" s="779"/>
      <c r="MI10" s="779"/>
      <c r="MJ10" s="779"/>
      <c r="MK10" s="779"/>
      <c r="ML10" s="779"/>
      <c r="MM10" s="779"/>
      <c r="MN10" s="779"/>
      <c r="MO10" s="779"/>
      <c r="MP10" s="779"/>
      <c r="MQ10" s="779"/>
      <c r="MR10" s="779"/>
      <c r="MS10" s="779"/>
      <c r="MT10" s="779"/>
      <c r="MU10" s="779"/>
      <c r="MV10" s="779"/>
      <c r="MW10" s="779"/>
      <c r="MX10" s="779"/>
      <c r="MY10" s="779"/>
      <c r="MZ10" s="779"/>
      <c r="NA10" s="779"/>
      <c r="NB10" s="779"/>
      <c r="NC10" s="779"/>
      <c r="ND10" s="779"/>
      <c r="NE10" s="779"/>
      <c r="NF10" s="779"/>
      <c r="NG10" s="779"/>
      <c r="NH10" s="779"/>
      <c r="NI10" s="779"/>
      <c r="NJ10" s="779"/>
      <c r="NK10" s="779"/>
      <c r="NL10" s="779"/>
      <c r="NM10" s="779"/>
      <c r="NN10" s="779"/>
      <c r="NO10" s="779"/>
      <c r="NP10" s="779"/>
      <c r="NQ10" s="779"/>
      <c r="NR10" s="779"/>
      <c r="NS10" s="779"/>
      <c r="NT10" s="779"/>
      <c r="NU10" s="779"/>
      <c r="NV10" s="779"/>
      <c r="NW10" s="779"/>
      <c r="NX10" s="779"/>
      <c r="NY10" s="779"/>
      <c r="NZ10" s="779"/>
      <c r="OA10" s="779"/>
      <c r="OB10" s="779"/>
      <c r="OC10" s="779"/>
      <c r="OD10" s="779"/>
      <c r="OE10" s="779"/>
      <c r="OF10" s="779"/>
      <c r="OG10" s="779"/>
      <c r="OH10" s="779"/>
      <c r="OI10" s="779"/>
      <c r="OJ10" s="779"/>
      <c r="OK10" s="779"/>
      <c r="OL10" s="779"/>
      <c r="OM10" s="779"/>
      <c r="ON10" s="779"/>
      <c r="OO10" s="779"/>
      <c r="OP10" s="779"/>
      <c r="OQ10" s="779"/>
      <c r="OR10" s="779"/>
      <c r="OS10" s="779"/>
      <c r="OT10" s="779"/>
      <c r="OU10" s="779"/>
      <c r="OV10" s="779"/>
      <c r="OW10" s="779"/>
      <c r="OX10" s="779"/>
      <c r="OY10" s="779"/>
      <c r="OZ10" s="779"/>
      <c r="PA10" s="779"/>
      <c r="PB10" s="779"/>
      <c r="PC10" s="779"/>
      <c r="PD10" s="779"/>
      <c r="PE10" s="779"/>
      <c r="PF10" s="779"/>
      <c r="PG10" s="779"/>
      <c r="PH10" s="779"/>
      <c r="PI10" s="779"/>
      <c r="PJ10" s="779"/>
      <c r="PK10" s="779"/>
      <c r="PL10" s="779"/>
      <c r="PM10" s="779"/>
      <c r="PN10" s="779"/>
      <c r="PO10" s="779"/>
    </row>
    <row r="11" spans="1:431" s="143" customFormat="1">
      <c r="A11" s="779"/>
      <c r="B11" s="779"/>
      <c r="C11" s="782"/>
      <c r="D11" s="788"/>
      <c r="E11" s="787"/>
      <c r="F11" s="787"/>
      <c r="G11" s="782"/>
      <c r="H11" s="782"/>
      <c r="I11" s="788"/>
      <c r="J11" s="787"/>
      <c r="K11" s="787"/>
      <c r="L11" s="782"/>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79"/>
      <c r="AY11" s="779"/>
      <c r="AZ11" s="779"/>
      <c r="BA11" s="779"/>
      <c r="BB11" s="779"/>
      <c r="BC11" s="779"/>
      <c r="BD11" s="779"/>
      <c r="BE11" s="779"/>
      <c r="BF11" s="779"/>
      <c r="BG11" s="779"/>
      <c r="BH11" s="779"/>
      <c r="BI11" s="779"/>
      <c r="BJ11" s="779"/>
      <c r="BK11" s="779"/>
      <c r="BL11" s="779"/>
      <c r="BM11" s="779"/>
      <c r="BN11" s="779"/>
      <c r="BO11" s="779"/>
      <c r="BP11" s="779"/>
      <c r="BQ11" s="779"/>
      <c r="BR11" s="779"/>
      <c r="BS11" s="779"/>
      <c r="BT11" s="779"/>
      <c r="BU11" s="779"/>
      <c r="BV11" s="779"/>
      <c r="BW11" s="779"/>
      <c r="BX11" s="779"/>
      <c r="BY11" s="779"/>
      <c r="BZ11" s="779"/>
      <c r="CA11" s="779"/>
      <c r="CB11" s="779"/>
      <c r="CC11" s="779"/>
      <c r="CD11" s="779"/>
      <c r="CE11" s="779"/>
      <c r="CF11" s="779"/>
      <c r="CG11" s="779"/>
      <c r="CH11" s="779"/>
      <c r="CI11" s="779"/>
      <c r="CJ11" s="779"/>
      <c r="CK11" s="779"/>
      <c r="CL11" s="779"/>
      <c r="CM11" s="779"/>
      <c r="CN11" s="779"/>
      <c r="CO11" s="779"/>
      <c r="CP11" s="779"/>
      <c r="CQ11" s="779"/>
      <c r="CR11" s="779"/>
      <c r="CS11" s="779"/>
      <c r="CT11" s="779"/>
      <c r="CU11" s="779"/>
      <c r="CV11" s="779"/>
      <c r="CW11" s="779"/>
      <c r="CX11" s="779"/>
      <c r="CY11" s="779"/>
      <c r="CZ11" s="779"/>
      <c r="DA11" s="779"/>
      <c r="DB11" s="779"/>
      <c r="DC11" s="779"/>
      <c r="DD11" s="779"/>
      <c r="DE11" s="779"/>
      <c r="DF11" s="779"/>
      <c r="DG11" s="779"/>
      <c r="DH11" s="779"/>
      <c r="DI11" s="779"/>
      <c r="DJ11" s="779"/>
      <c r="DK11" s="779"/>
      <c r="DL11" s="779"/>
      <c r="DM11" s="779"/>
      <c r="DN11" s="779"/>
      <c r="DO11" s="779"/>
      <c r="DP11" s="779"/>
      <c r="DQ11" s="779"/>
      <c r="DR11" s="779"/>
      <c r="DS11" s="779"/>
      <c r="DT11" s="779"/>
      <c r="DU11" s="779"/>
      <c r="DV11" s="779"/>
      <c r="DW11" s="779"/>
      <c r="DX11" s="779"/>
      <c r="DY11" s="779"/>
      <c r="DZ11" s="779"/>
      <c r="EA11" s="779"/>
      <c r="EB11" s="779"/>
      <c r="EC11" s="779"/>
      <c r="ED11" s="779"/>
      <c r="EE11" s="779"/>
      <c r="EF11" s="779"/>
      <c r="EG11" s="779"/>
      <c r="EH11" s="779"/>
      <c r="EI11" s="779"/>
      <c r="EJ11" s="779"/>
      <c r="EK11" s="779"/>
      <c r="EL11" s="779"/>
      <c r="EM11" s="779"/>
      <c r="EN11" s="779"/>
      <c r="EO11" s="779"/>
      <c r="EP11" s="779"/>
      <c r="EQ11" s="779"/>
      <c r="ER11" s="779"/>
      <c r="ES11" s="779"/>
      <c r="ET11" s="779"/>
      <c r="EU11" s="779"/>
      <c r="EV11" s="779"/>
      <c r="EW11" s="779"/>
      <c r="EX11" s="779"/>
      <c r="EY11" s="779"/>
      <c r="EZ11" s="779"/>
      <c r="FA11" s="779"/>
      <c r="FB11" s="779"/>
      <c r="FC11" s="779"/>
      <c r="FD11" s="779"/>
      <c r="FE11" s="779"/>
      <c r="FF11" s="779"/>
      <c r="FG11" s="779"/>
      <c r="FH11" s="779"/>
      <c r="FI11" s="779"/>
      <c r="FJ11" s="779"/>
      <c r="FK11" s="779"/>
      <c r="FL11" s="779"/>
      <c r="FM11" s="779"/>
      <c r="FN11" s="779"/>
      <c r="FO11" s="779"/>
      <c r="FP11" s="779"/>
      <c r="FQ11" s="779"/>
      <c r="FR11" s="779"/>
      <c r="FS11" s="779"/>
      <c r="FT11" s="779"/>
      <c r="FU11" s="779"/>
      <c r="FV11" s="779"/>
      <c r="FW11" s="779"/>
      <c r="FX11" s="779"/>
      <c r="FY11" s="779"/>
      <c r="FZ11" s="779"/>
      <c r="GA11" s="779"/>
      <c r="GB11" s="779"/>
      <c r="GC11" s="779"/>
      <c r="GD11" s="779"/>
      <c r="GE11" s="779"/>
      <c r="GF11" s="779"/>
      <c r="GG11" s="779"/>
      <c r="GH11" s="779"/>
      <c r="GI11" s="779"/>
      <c r="GJ11" s="779"/>
      <c r="GK11" s="779"/>
      <c r="GL11" s="779"/>
      <c r="GM11" s="779"/>
      <c r="GN11" s="779"/>
      <c r="GO11" s="779"/>
      <c r="GP11" s="779"/>
      <c r="GQ11" s="779"/>
      <c r="GR11" s="779"/>
      <c r="GS11" s="779"/>
      <c r="GT11" s="779"/>
      <c r="GU11" s="779"/>
      <c r="GV11" s="779"/>
      <c r="GW11" s="779"/>
      <c r="GX11" s="779"/>
      <c r="GY11" s="779"/>
      <c r="GZ11" s="779"/>
      <c r="HA11" s="779"/>
      <c r="HB11" s="779"/>
      <c r="HC11" s="779"/>
      <c r="HD11" s="779"/>
      <c r="HE11" s="779"/>
      <c r="HF11" s="779"/>
      <c r="HG11" s="779"/>
      <c r="HH11" s="779"/>
      <c r="HI11" s="779"/>
      <c r="HJ11" s="779"/>
      <c r="HK11" s="779"/>
      <c r="HL11" s="779"/>
      <c r="HM11" s="779"/>
      <c r="HN11" s="779"/>
      <c r="HO11" s="779"/>
      <c r="HP11" s="779"/>
      <c r="HQ11" s="779"/>
      <c r="HR11" s="779"/>
      <c r="HS11" s="779"/>
      <c r="HT11" s="779"/>
      <c r="HU11" s="779"/>
      <c r="HV11" s="779"/>
      <c r="HW11" s="779"/>
      <c r="HX11" s="779"/>
      <c r="HY11" s="779"/>
      <c r="HZ11" s="779"/>
      <c r="IA11" s="779"/>
      <c r="IB11" s="779"/>
      <c r="IC11" s="779"/>
      <c r="ID11" s="779"/>
      <c r="IE11" s="779"/>
      <c r="IF11" s="779"/>
      <c r="IG11" s="779"/>
      <c r="IH11" s="779"/>
      <c r="II11" s="779"/>
      <c r="IJ11" s="779"/>
      <c r="IK11" s="779"/>
      <c r="IL11" s="779"/>
      <c r="IM11" s="779"/>
      <c r="IN11" s="779"/>
      <c r="IO11" s="779"/>
      <c r="IP11" s="779"/>
      <c r="IQ11" s="779"/>
      <c r="IR11" s="779"/>
      <c r="IS11" s="779"/>
      <c r="IT11" s="779"/>
      <c r="IU11" s="779"/>
      <c r="IV11" s="779"/>
      <c r="IW11" s="779"/>
      <c r="IX11" s="779"/>
      <c r="IY11" s="779"/>
      <c r="IZ11" s="779"/>
      <c r="JA11" s="779"/>
      <c r="JB11" s="779"/>
      <c r="JC11" s="779"/>
      <c r="JD11" s="779"/>
      <c r="JE11" s="779"/>
      <c r="JF11" s="779"/>
      <c r="JG11" s="779"/>
      <c r="JH11" s="779"/>
      <c r="JI11" s="779"/>
      <c r="JJ11" s="779"/>
      <c r="JK11" s="779"/>
      <c r="JL11" s="779"/>
      <c r="JM11" s="779"/>
      <c r="JN11" s="779"/>
      <c r="JO11" s="779"/>
      <c r="JP11" s="779"/>
      <c r="JQ11" s="779"/>
      <c r="JR11" s="779"/>
      <c r="JS11" s="779"/>
      <c r="JT11" s="779"/>
      <c r="JU11" s="779"/>
      <c r="JV11" s="779"/>
      <c r="JW11" s="779"/>
      <c r="JX11" s="779"/>
      <c r="JY11" s="779"/>
      <c r="JZ11" s="779"/>
      <c r="KA11" s="779"/>
      <c r="KB11" s="779"/>
      <c r="KC11" s="779"/>
      <c r="KD11" s="779"/>
      <c r="KE11" s="779"/>
      <c r="KF11" s="779"/>
      <c r="KG11" s="779"/>
      <c r="KH11" s="779"/>
      <c r="KI11" s="779"/>
      <c r="KJ11" s="779"/>
      <c r="KK11" s="779"/>
      <c r="KL11" s="779"/>
      <c r="KM11" s="779"/>
      <c r="KN11" s="779"/>
      <c r="KO11" s="779"/>
      <c r="KP11" s="779"/>
      <c r="KQ11" s="779"/>
      <c r="KR11" s="779"/>
      <c r="KS11" s="779"/>
      <c r="KT11" s="779"/>
      <c r="KU11" s="779"/>
      <c r="KV11" s="779"/>
      <c r="KW11" s="779"/>
      <c r="KX11" s="779"/>
      <c r="KY11" s="779"/>
      <c r="KZ11" s="779"/>
      <c r="LA11" s="779"/>
      <c r="LB11" s="779"/>
      <c r="LC11" s="779"/>
      <c r="LD11" s="779"/>
      <c r="LE11" s="779"/>
      <c r="LF11" s="779"/>
      <c r="LG11" s="779"/>
      <c r="LH11" s="779"/>
      <c r="LI11" s="779"/>
      <c r="LJ11" s="779"/>
      <c r="LK11" s="779"/>
      <c r="LL11" s="779"/>
      <c r="LM11" s="779"/>
      <c r="LN11" s="779"/>
      <c r="LO11" s="779"/>
      <c r="LP11" s="779"/>
      <c r="LQ11" s="779"/>
      <c r="LR11" s="779"/>
      <c r="LS11" s="779"/>
      <c r="LT11" s="779"/>
      <c r="LU11" s="779"/>
      <c r="LV11" s="779"/>
      <c r="LW11" s="779"/>
      <c r="LX11" s="779"/>
      <c r="LY11" s="779"/>
      <c r="LZ11" s="779"/>
      <c r="MA11" s="779"/>
      <c r="MB11" s="779"/>
      <c r="MC11" s="779"/>
      <c r="MD11" s="779"/>
      <c r="ME11" s="779"/>
      <c r="MF11" s="779"/>
      <c r="MG11" s="779"/>
      <c r="MH11" s="779"/>
      <c r="MI11" s="779"/>
      <c r="MJ11" s="779"/>
      <c r="MK11" s="779"/>
      <c r="ML11" s="779"/>
      <c r="MM11" s="779"/>
      <c r="MN11" s="779"/>
      <c r="MO11" s="779"/>
      <c r="MP11" s="779"/>
      <c r="MQ11" s="779"/>
      <c r="MR11" s="779"/>
      <c r="MS11" s="779"/>
      <c r="MT11" s="779"/>
      <c r="MU11" s="779"/>
      <c r="MV11" s="779"/>
      <c r="MW11" s="779"/>
      <c r="MX11" s="779"/>
      <c r="MY11" s="779"/>
      <c r="MZ11" s="779"/>
      <c r="NA11" s="779"/>
      <c r="NB11" s="779"/>
      <c r="NC11" s="779"/>
      <c r="ND11" s="779"/>
      <c r="NE11" s="779"/>
      <c r="NF11" s="779"/>
      <c r="NG11" s="779"/>
      <c r="NH11" s="779"/>
      <c r="NI11" s="779"/>
      <c r="NJ11" s="779"/>
      <c r="NK11" s="779"/>
      <c r="NL11" s="779"/>
      <c r="NM11" s="779"/>
      <c r="NN11" s="779"/>
      <c r="NO11" s="779"/>
      <c r="NP11" s="779"/>
      <c r="NQ11" s="779"/>
      <c r="NR11" s="779"/>
      <c r="NS11" s="779"/>
      <c r="NT11" s="779"/>
      <c r="NU11" s="779"/>
      <c r="NV11" s="779"/>
      <c r="NW11" s="779"/>
      <c r="NX11" s="779"/>
      <c r="NY11" s="779"/>
      <c r="NZ11" s="779"/>
      <c r="OA11" s="779"/>
      <c r="OB11" s="779"/>
      <c r="OC11" s="779"/>
      <c r="OD11" s="779"/>
      <c r="OE11" s="779"/>
      <c r="OF11" s="779"/>
      <c r="OG11" s="779"/>
      <c r="OH11" s="779"/>
      <c r="OI11" s="779"/>
      <c r="OJ11" s="779"/>
      <c r="OK11" s="779"/>
      <c r="OL11" s="779"/>
      <c r="OM11" s="779"/>
      <c r="ON11" s="779"/>
      <c r="OO11" s="779"/>
      <c r="OP11" s="779"/>
      <c r="OQ11" s="779"/>
      <c r="OR11" s="779"/>
      <c r="OS11" s="779"/>
      <c r="OT11" s="779"/>
      <c r="OU11" s="779"/>
      <c r="OV11" s="779"/>
      <c r="OW11" s="779"/>
      <c r="OX11" s="779"/>
      <c r="OY11" s="779"/>
      <c r="OZ11" s="779"/>
      <c r="PA11" s="779"/>
      <c r="PB11" s="779"/>
      <c r="PC11" s="779"/>
      <c r="PD11" s="779"/>
      <c r="PE11" s="779"/>
      <c r="PF11" s="779"/>
      <c r="PG11" s="779"/>
      <c r="PH11" s="779"/>
      <c r="PI11" s="779"/>
      <c r="PJ11" s="779"/>
      <c r="PK11" s="779"/>
      <c r="PL11" s="779"/>
      <c r="PM11" s="779"/>
      <c r="PN11" s="779"/>
      <c r="PO11" s="779"/>
    </row>
    <row r="12" spans="1:431" s="143" customFormat="1">
      <c r="A12" s="779"/>
      <c r="B12" s="779"/>
      <c r="C12" s="782"/>
      <c r="D12" s="782"/>
      <c r="E12" s="787"/>
      <c r="F12" s="782"/>
      <c r="G12" s="149"/>
      <c r="H12" s="782"/>
      <c r="I12" s="782"/>
      <c r="J12" s="787"/>
      <c r="K12" s="787"/>
      <c r="L12" s="149"/>
      <c r="M12" s="779"/>
      <c r="N12" s="779"/>
      <c r="O12" s="779"/>
      <c r="P12" s="779"/>
      <c r="Q12" s="779"/>
      <c r="R12" s="779"/>
      <c r="S12" s="779"/>
      <c r="T12" s="779"/>
      <c r="U12" s="779"/>
      <c r="V12" s="779"/>
      <c r="W12" s="779"/>
      <c r="X12" s="779"/>
      <c r="Y12" s="779"/>
      <c r="Z12" s="779"/>
      <c r="AA12" s="779"/>
      <c r="AB12" s="779"/>
      <c r="AC12" s="779"/>
      <c r="AD12" s="779"/>
      <c r="AE12" s="779"/>
      <c r="AF12" s="779"/>
      <c r="AG12" s="779"/>
      <c r="AH12" s="779"/>
      <c r="AI12" s="779"/>
      <c r="AJ12" s="779"/>
      <c r="AK12" s="779"/>
      <c r="AL12" s="779"/>
      <c r="AM12" s="779"/>
      <c r="AN12" s="779"/>
      <c r="AO12" s="779"/>
      <c r="AP12" s="779"/>
      <c r="AQ12" s="779"/>
      <c r="AR12" s="779"/>
      <c r="AS12" s="779"/>
      <c r="AT12" s="779"/>
      <c r="AU12" s="779"/>
      <c r="AV12" s="779"/>
      <c r="AW12" s="779"/>
      <c r="AX12" s="779"/>
      <c r="AY12" s="779"/>
      <c r="AZ12" s="779"/>
      <c r="BA12" s="779"/>
      <c r="BB12" s="779"/>
      <c r="BC12" s="779"/>
      <c r="BD12" s="779"/>
      <c r="BE12" s="779"/>
      <c r="BF12" s="779"/>
      <c r="BG12" s="779"/>
      <c r="BH12" s="779"/>
      <c r="BI12" s="779"/>
      <c r="BJ12" s="779"/>
      <c r="BK12" s="779"/>
      <c r="BL12" s="779"/>
      <c r="BM12" s="779"/>
      <c r="BN12" s="779"/>
      <c r="BO12" s="779"/>
      <c r="BP12" s="779"/>
      <c r="BQ12" s="779"/>
      <c r="BR12" s="779"/>
      <c r="BS12" s="779"/>
      <c r="BT12" s="779"/>
      <c r="BU12" s="779"/>
      <c r="BV12" s="779"/>
      <c r="BW12" s="779"/>
      <c r="BX12" s="779"/>
      <c r="BY12" s="779"/>
      <c r="BZ12" s="779"/>
      <c r="CA12" s="779"/>
      <c r="CB12" s="779"/>
      <c r="CC12" s="779"/>
      <c r="CD12" s="779"/>
      <c r="CE12" s="779"/>
      <c r="CF12" s="779"/>
      <c r="CG12" s="779"/>
      <c r="CH12" s="779"/>
      <c r="CI12" s="779"/>
      <c r="CJ12" s="779"/>
      <c r="CK12" s="779"/>
      <c r="CL12" s="779"/>
      <c r="CM12" s="779"/>
      <c r="CN12" s="779"/>
      <c r="CO12" s="779"/>
      <c r="CP12" s="779"/>
      <c r="CQ12" s="779"/>
      <c r="CR12" s="779"/>
      <c r="CS12" s="779"/>
      <c r="CT12" s="779"/>
      <c r="CU12" s="779"/>
      <c r="CV12" s="779"/>
      <c r="CW12" s="779"/>
      <c r="CX12" s="779"/>
      <c r="CY12" s="779"/>
      <c r="CZ12" s="779"/>
      <c r="DA12" s="779"/>
      <c r="DB12" s="779"/>
      <c r="DC12" s="779"/>
      <c r="DD12" s="779"/>
      <c r="DE12" s="779"/>
      <c r="DF12" s="779"/>
      <c r="DG12" s="779"/>
      <c r="DH12" s="779"/>
      <c r="DI12" s="779"/>
      <c r="DJ12" s="779"/>
      <c r="DK12" s="779"/>
      <c r="DL12" s="779"/>
      <c r="DM12" s="779"/>
      <c r="DN12" s="779"/>
      <c r="DO12" s="779"/>
      <c r="DP12" s="779"/>
      <c r="DQ12" s="779"/>
      <c r="DR12" s="779"/>
      <c r="DS12" s="779"/>
      <c r="DT12" s="779"/>
      <c r="DU12" s="779"/>
      <c r="DV12" s="779"/>
      <c r="DW12" s="779"/>
      <c r="DX12" s="779"/>
      <c r="DY12" s="779"/>
      <c r="DZ12" s="779"/>
      <c r="EA12" s="779"/>
      <c r="EB12" s="779"/>
      <c r="EC12" s="779"/>
      <c r="ED12" s="779"/>
      <c r="EE12" s="779"/>
      <c r="EF12" s="779"/>
      <c r="EG12" s="779"/>
      <c r="EH12" s="779"/>
      <c r="EI12" s="779"/>
      <c r="EJ12" s="779"/>
      <c r="EK12" s="779"/>
      <c r="EL12" s="779"/>
      <c r="EM12" s="779"/>
      <c r="EN12" s="779"/>
      <c r="EO12" s="779"/>
      <c r="EP12" s="779"/>
      <c r="EQ12" s="779"/>
      <c r="ER12" s="779"/>
      <c r="ES12" s="779"/>
      <c r="ET12" s="779"/>
      <c r="EU12" s="779"/>
      <c r="EV12" s="779"/>
      <c r="EW12" s="779"/>
      <c r="EX12" s="779"/>
      <c r="EY12" s="779"/>
      <c r="EZ12" s="779"/>
      <c r="FA12" s="779"/>
      <c r="FB12" s="779"/>
      <c r="FC12" s="779"/>
      <c r="FD12" s="779"/>
      <c r="FE12" s="779"/>
      <c r="FF12" s="779"/>
      <c r="FG12" s="779"/>
      <c r="FH12" s="779"/>
      <c r="FI12" s="779"/>
      <c r="FJ12" s="779"/>
      <c r="FK12" s="779"/>
      <c r="FL12" s="779"/>
      <c r="FM12" s="779"/>
      <c r="FN12" s="779"/>
      <c r="FO12" s="779"/>
      <c r="FP12" s="779"/>
      <c r="FQ12" s="779"/>
      <c r="FR12" s="779"/>
      <c r="FS12" s="779"/>
      <c r="FT12" s="779"/>
      <c r="FU12" s="779"/>
      <c r="FV12" s="779"/>
      <c r="FW12" s="779"/>
      <c r="FX12" s="779"/>
      <c r="FY12" s="779"/>
      <c r="FZ12" s="779"/>
      <c r="GA12" s="779"/>
      <c r="GB12" s="779"/>
      <c r="GC12" s="779"/>
      <c r="GD12" s="779"/>
      <c r="GE12" s="779"/>
      <c r="GF12" s="779"/>
      <c r="GG12" s="779"/>
      <c r="GH12" s="779"/>
      <c r="GI12" s="779"/>
      <c r="GJ12" s="779"/>
      <c r="GK12" s="779"/>
      <c r="GL12" s="779"/>
      <c r="GM12" s="779"/>
      <c r="GN12" s="779"/>
      <c r="GO12" s="779"/>
      <c r="GP12" s="779"/>
      <c r="GQ12" s="779"/>
      <c r="GR12" s="779"/>
      <c r="GS12" s="779"/>
      <c r="GT12" s="779"/>
      <c r="GU12" s="779"/>
      <c r="GV12" s="779"/>
      <c r="GW12" s="779"/>
      <c r="GX12" s="779"/>
      <c r="GY12" s="779"/>
      <c r="GZ12" s="779"/>
      <c r="HA12" s="779"/>
      <c r="HB12" s="779"/>
      <c r="HC12" s="779"/>
      <c r="HD12" s="779"/>
      <c r="HE12" s="779"/>
      <c r="HF12" s="779"/>
      <c r="HG12" s="779"/>
      <c r="HH12" s="779"/>
      <c r="HI12" s="779"/>
      <c r="HJ12" s="779"/>
      <c r="HK12" s="779"/>
      <c r="HL12" s="779"/>
      <c r="HM12" s="779"/>
      <c r="HN12" s="779"/>
      <c r="HO12" s="779"/>
      <c r="HP12" s="779"/>
      <c r="HQ12" s="779"/>
      <c r="HR12" s="779"/>
      <c r="HS12" s="779"/>
      <c r="HT12" s="779"/>
      <c r="HU12" s="779"/>
      <c r="HV12" s="779"/>
      <c r="HW12" s="779"/>
      <c r="HX12" s="779"/>
      <c r="HY12" s="779"/>
      <c r="HZ12" s="779"/>
      <c r="IA12" s="779"/>
      <c r="IB12" s="779"/>
      <c r="IC12" s="779"/>
      <c r="ID12" s="779"/>
      <c r="IE12" s="779"/>
      <c r="IF12" s="779"/>
      <c r="IG12" s="779"/>
      <c r="IH12" s="779"/>
      <c r="II12" s="779"/>
      <c r="IJ12" s="779"/>
      <c r="IK12" s="779"/>
      <c r="IL12" s="779"/>
      <c r="IM12" s="779"/>
      <c r="IN12" s="779"/>
      <c r="IO12" s="779"/>
      <c r="IP12" s="779"/>
      <c r="IQ12" s="779"/>
      <c r="IR12" s="779"/>
      <c r="IS12" s="779"/>
      <c r="IT12" s="779"/>
      <c r="IU12" s="779"/>
      <c r="IV12" s="779"/>
      <c r="IW12" s="779"/>
      <c r="IX12" s="779"/>
      <c r="IY12" s="779"/>
      <c r="IZ12" s="779"/>
      <c r="JA12" s="779"/>
      <c r="JB12" s="779"/>
      <c r="JC12" s="779"/>
      <c r="JD12" s="779"/>
      <c r="JE12" s="779"/>
      <c r="JF12" s="779"/>
      <c r="JG12" s="779"/>
      <c r="JH12" s="779"/>
      <c r="JI12" s="779"/>
      <c r="JJ12" s="779"/>
      <c r="JK12" s="779"/>
      <c r="JL12" s="779"/>
      <c r="JM12" s="779"/>
      <c r="JN12" s="779"/>
      <c r="JO12" s="779"/>
      <c r="JP12" s="779"/>
      <c r="JQ12" s="779"/>
      <c r="JR12" s="779"/>
      <c r="JS12" s="779"/>
      <c r="JT12" s="779"/>
      <c r="JU12" s="779"/>
      <c r="JV12" s="779"/>
      <c r="JW12" s="779"/>
      <c r="JX12" s="779"/>
      <c r="JY12" s="779"/>
      <c r="JZ12" s="779"/>
      <c r="KA12" s="779"/>
      <c r="KB12" s="779"/>
      <c r="KC12" s="779"/>
      <c r="KD12" s="779"/>
      <c r="KE12" s="779"/>
      <c r="KF12" s="779"/>
      <c r="KG12" s="779"/>
      <c r="KH12" s="779"/>
      <c r="KI12" s="779"/>
      <c r="KJ12" s="779"/>
      <c r="KK12" s="779"/>
      <c r="KL12" s="779"/>
      <c r="KM12" s="779"/>
      <c r="KN12" s="779"/>
      <c r="KO12" s="779"/>
      <c r="KP12" s="779"/>
      <c r="KQ12" s="779"/>
      <c r="KR12" s="779"/>
      <c r="KS12" s="779"/>
      <c r="KT12" s="779"/>
      <c r="KU12" s="779"/>
      <c r="KV12" s="779"/>
      <c r="KW12" s="779"/>
      <c r="KX12" s="779"/>
      <c r="KY12" s="779"/>
      <c r="KZ12" s="779"/>
      <c r="LA12" s="779"/>
      <c r="LB12" s="779"/>
      <c r="LC12" s="779"/>
      <c r="LD12" s="779"/>
      <c r="LE12" s="779"/>
      <c r="LF12" s="779"/>
      <c r="LG12" s="779"/>
      <c r="LH12" s="779"/>
      <c r="LI12" s="779"/>
      <c r="LJ12" s="779"/>
      <c r="LK12" s="779"/>
      <c r="LL12" s="779"/>
      <c r="LM12" s="779"/>
      <c r="LN12" s="779"/>
      <c r="LO12" s="779"/>
      <c r="LP12" s="779"/>
      <c r="LQ12" s="779"/>
      <c r="LR12" s="779"/>
      <c r="LS12" s="779"/>
      <c r="LT12" s="779"/>
      <c r="LU12" s="779"/>
      <c r="LV12" s="779"/>
      <c r="LW12" s="779"/>
      <c r="LX12" s="779"/>
      <c r="LY12" s="779"/>
      <c r="LZ12" s="779"/>
      <c r="MA12" s="779"/>
      <c r="MB12" s="779"/>
      <c r="MC12" s="779"/>
      <c r="MD12" s="779"/>
      <c r="ME12" s="779"/>
      <c r="MF12" s="779"/>
      <c r="MG12" s="779"/>
      <c r="MH12" s="779"/>
      <c r="MI12" s="779"/>
      <c r="MJ12" s="779"/>
      <c r="MK12" s="779"/>
      <c r="ML12" s="779"/>
      <c r="MM12" s="779"/>
      <c r="MN12" s="779"/>
      <c r="MO12" s="779"/>
      <c r="MP12" s="779"/>
      <c r="MQ12" s="779"/>
      <c r="MR12" s="779"/>
      <c r="MS12" s="779"/>
      <c r="MT12" s="779"/>
      <c r="MU12" s="779"/>
      <c r="MV12" s="779"/>
      <c r="MW12" s="779"/>
      <c r="MX12" s="779"/>
      <c r="MY12" s="779"/>
      <c r="MZ12" s="779"/>
      <c r="NA12" s="779"/>
      <c r="NB12" s="779"/>
      <c r="NC12" s="779"/>
      <c r="ND12" s="779"/>
      <c r="NE12" s="779"/>
      <c r="NF12" s="779"/>
      <c r="NG12" s="779"/>
      <c r="NH12" s="779"/>
      <c r="NI12" s="779"/>
      <c r="NJ12" s="779"/>
      <c r="NK12" s="779"/>
      <c r="NL12" s="779"/>
      <c r="NM12" s="779"/>
      <c r="NN12" s="779"/>
      <c r="NO12" s="779"/>
      <c r="NP12" s="779"/>
      <c r="NQ12" s="779"/>
      <c r="NR12" s="779"/>
      <c r="NS12" s="779"/>
      <c r="NT12" s="779"/>
      <c r="NU12" s="779"/>
      <c r="NV12" s="779"/>
      <c r="NW12" s="779"/>
      <c r="NX12" s="779"/>
      <c r="NY12" s="779"/>
      <c r="NZ12" s="779"/>
      <c r="OA12" s="779"/>
      <c r="OB12" s="779"/>
      <c r="OC12" s="779"/>
      <c r="OD12" s="779"/>
      <c r="OE12" s="779"/>
      <c r="OF12" s="779"/>
      <c r="OG12" s="779"/>
      <c r="OH12" s="779"/>
      <c r="OI12" s="779"/>
      <c r="OJ12" s="779"/>
      <c r="OK12" s="779"/>
      <c r="OL12" s="779"/>
      <c r="OM12" s="779"/>
      <c r="ON12" s="779"/>
      <c r="OO12" s="779"/>
      <c r="OP12" s="779"/>
      <c r="OQ12" s="779"/>
      <c r="OR12" s="779"/>
      <c r="OS12" s="779"/>
      <c r="OT12" s="779"/>
      <c r="OU12" s="779"/>
      <c r="OV12" s="779"/>
      <c r="OW12" s="779"/>
      <c r="OX12" s="779"/>
      <c r="OY12" s="779"/>
      <c r="OZ12" s="779"/>
      <c r="PA12" s="779"/>
      <c r="PB12" s="779"/>
      <c r="PC12" s="779"/>
      <c r="PD12" s="779"/>
      <c r="PE12" s="779"/>
      <c r="PF12" s="779"/>
      <c r="PG12" s="779"/>
      <c r="PH12" s="779"/>
      <c r="PI12" s="779"/>
      <c r="PJ12" s="779"/>
      <c r="PK12" s="779"/>
      <c r="PL12" s="779"/>
      <c r="PM12" s="779"/>
      <c r="PN12" s="779"/>
      <c r="PO12" s="779"/>
    </row>
    <row r="13" spans="1:431" s="143" customFormat="1">
      <c r="A13" s="779"/>
      <c r="B13" s="779"/>
      <c r="C13" s="782"/>
      <c r="D13" s="782"/>
      <c r="E13" s="151"/>
      <c r="F13" s="149"/>
      <c r="G13" s="782"/>
      <c r="H13" s="782"/>
      <c r="I13" s="782"/>
      <c r="J13" s="151"/>
      <c r="K13" s="484"/>
      <c r="L13" s="782"/>
      <c r="M13" s="779"/>
      <c r="N13" s="779"/>
      <c r="O13" s="779"/>
      <c r="P13" s="779"/>
      <c r="Q13" s="779"/>
      <c r="R13" s="779"/>
      <c r="S13" s="779"/>
      <c r="T13" s="779"/>
      <c r="U13" s="779"/>
      <c r="V13" s="779"/>
      <c r="W13" s="779"/>
      <c r="X13" s="779"/>
      <c r="Y13" s="779"/>
      <c r="Z13" s="779"/>
      <c r="AA13" s="779"/>
      <c r="AB13" s="779"/>
      <c r="AC13" s="779"/>
      <c r="AD13" s="779"/>
      <c r="AE13" s="779"/>
      <c r="AF13" s="779"/>
      <c r="AG13" s="779"/>
      <c r="AH13" s="779"/>
      <c r="AI13" s="779"/>
      <c r="AJ13" s="779"/>
      <c r="AK13" s="779"/>
      <c r="AL13" s="779"/>
      <c r="AM13" s="779"/>
      <c r="AN13" s="779"/>
      <c r="AO13" s="779"/>
      <c r="AP13" s="779"/>
      <c r="AQ13" s="779"/>
      <c r="AR13" s="779"/>
      <c r="AS13" s="779"/>
      <c r="AT13" s="779"/>
      <c r="AU13" s="779"/>
      <c r="AV13" s="779"/>
      <c r="AW13" s="779"/>
      <c r="AX13" s="779"/>
      <c r="AY13" s="779"/>
      <c r="AZ13" s="779"/>
      <c r="BA13" s="779"/>
      <c r="BB13" s="779"/>
      <c r="BC13" s="779"/>
      <c r="BD13" s="779"/>
      <c r="BE13" s="779"/>
      <c r="BF13" s="779"/>
      <c r="BG13" s="779"/>
      <c r="BH13" s="779"/>
      <c r="BI13" s="779"/>
      <c r="BJ13" s="779"/>
      <c r="BK13" s="779"/>
      <c r="BL13" s="779"/>
      <c r="BM13" s="779"/>
      <c r="BN13" s="779"/>
      <c r="BO13" s="779"/>
      <c r="BP13" s="779"/>
      <c r="BQ13" s="779"/>
      <c r="BR13" s="779"/>
      <c r="BS13" s="779"/>
      <c r="BT13" s="779"/>
      <c r="BU13" s="779"/>
      <c r="BV13" s="779"/>
      <c r="BW13" s="779"/>
      <c r="BX13" s="779"/>
      <c r="BY13" s="779"/>
      <c r="BZ13" s="779"/>
      <c r="CA13" s="779"/>
      <c r="CB13" s="779"/>
      <c r="CC13" s="779"/>
      <c r="CD13" s="779"/>
      <c r="CE13" s="779"/>
      <c r="CF13" s="779"/>
      <c r="CG13" s="779"/>
      <c r="CH13" s="779"/>
      <c r="CI13" s="779"/>
      <c r="CJ13" s="779"/>
      <c r="CK13" s="779"/>
      <c r="CL13" s="779"/>
      <c r="CM13" s="779"/>
      <c r="CN13" s="779"/>
      <c r="CO13" s="779"/>
      <c r="CP13" s="779"/>
      <c r="CQ13" s="779"/>
      <c r="CR13" s="779"/>
      <c r="CS13" s="779"/>
      <c r="CT13" s="779"/>
      <c r="CU13" s="779"/>
      <c r="CV13" s="779"/>
      <c r="CW13" s="779"/>
      <c r="CX13" s="779"/>
      <c r="CY13" s="779"/>
      <c r="CZ13" s="779"/>
      <c r="DA13" s="779"/>
      <c r="DB13" s="779"/>
      <c r="DC13" s="779"/>
      <c r="DD13" s="779"/>
      <c r="DE13" s="779"/>
      <c r="DF13" s="779"/>
      <c r="DG13" s="779"/>
      <c r="DH13" s="779"/>
      <c r="DI13" s="779"/>
      <c r="DJ13" s="779"/>
      <c r="DK13" s="779"/>
      <c r="DL13" s="779"/>
      <c r="DM13" s="779"/>
      <c r="DN13" s="779"/>
      <c r="DO13" s="779"/>
      <c r="DP13" s="779"/>
      <c r="DQ13" s="779"/>
      <c r="DR13" s="779"/>
      <c r="DS13" s="779"/>
      <c r="DT13" s="779"/>
      <c r="DU13" s="779"/>
      <c r="DV13" s="779"/>
      <c r="DW13" s="779"/>
      <c r="DX13" s="779"/>
      <c r="DY13" s="779"/>
      <c r="DZ13" s="779"/>
      <c r="EA13" s="779"/>
      <c r="EB13" s="779"/>
      <c r="EC13" s="779"/>
      <c r="ED13" s="779"/>
      <c r="EE13" s="779"/>
      <c r="EF13" s="779"/>
      <c r="EG13" s="779"/>
      <c r="EH13" s="779"/>
      <c r="EI13" s="779"/>
      <c r="EJ13" s="779"/>
      <c r="EK13" s="779"/>
      <c r="EL13" s="779"/>
      <c r="EM13" s="779"/>
      <c r="EN13" s="779"/>
      <c r="EO13" s="779"/>
      <c r="EP13" s="779"/>
      <c r="EQ13" s="779"/>
      <c r="ER13" s="779"/>
      <c r="ES13" s="779"/>
      <c r="ET13" s="779"/>
      <c r="EU13" s="779"/>
      <c r="EV13" s="779"/>
      <c r="EW13" s="779"/>
      <c r="EX13" s="779"/>
      <c r="EY13" s="779"/>
      <c r="EZ13" s="779"/>
      <c r="FA13" s="779"/>
      <c r="FB13" s="779"/>
      <c r="FC13" s="779"/>
      <c r="FD13" s="779"/>
      <c r="FE13" s="779"/>
      <c r="FF13" s="779"/>
      <c r="FG13" s="779"/>
      <c r="FH13" s="779"/>
      <c r="FI13" s="779"/>
      <c r="FJ13" s="779"/>
      <c r="FK13" s="779"/>
      <c r="FL13" s="779"/>
      <c r="FM13" s="779"/>
      <c r="FN13" s="779"/>
      <c r="FO13" s="779"/>
      <c r="FP13" s="779"/>
      <c r="FQ13" s="779"/>
      <c r="FR13" s="779"/>
      <c r="FS13" s="779"/>
      <c r="FT13" s="779"/>
      <c r="FU13" s="779"/>
      <c r="FV13" s="779"/>
      <c r="FW13" s="779"/>
      <c r="FX13" s="779"/>
      <c r="FY13" s="779"/>
      <c r="FZ13" s="779"/>
      <c r="GA13" s="779"/>
      <c r="GB13" s="779"/>
      <c r="GC13" s="779"/>
      <c r="GD13" s="779"/>
      <c r="GE13" s="779"/>
      <c r="GF13" s="779"/>
      <c r="GG13" s="779"/>
      <c r="GH13" s="779"/>
      <c r="GI13" s="779"/>
      <c r="GJ13" s="779"/>
      <c r="GK13" s="779"/>
      <c r="GL13" s="779"/>
      <c r="GM13" s="779"/>
      <c r="GN13" s="779"/>
      <c r="GO13" s="779"/>
      <c r="GP13" s="779"/>
      <c r="GQ13" s="779"/>
      <c r="GR13" s="779"/>
      <c r="GS13" s="779"/>
      <c r="GT13" s="779"/>
      <c r="GU13" s="779"/>
      <c r="GV13" s="779"/>
      <c r="GW13" s="779"/>
      <c r="GX13" s="779"/>
      <c r="GY13" s="779"/>
      <c r="GZ13" s="779"/>
      <c r="HA13" s="779"/>
      <c r="HB13" s="779"/>
      <c r="HC13" s="779"/>
      <c r="HD13" s="779"/>
      <c r="HE13" s="779"/>
      <c r="HF13" s="779"/>
      <c r="HG13" s="779"/>
      <c r="HH13" s="779"/>
      <c r="HI13" s="779"/>
      <c r="HJ13" s="779"/>
      <c r="HK13" s="779"/>
      <c r="HL13" s="779"/>
      <c r="HM13" s="779"/>
      <c r="HN13" s="779"/>
      <c r="HO13" s="779"/>
      <c r="HP13" s="779"/>
      <c r="HQ13" s="779"/>
      <c r="HR13" s="779"/>
      <c r="HS13" s="779"/>
      <c r="HT13" s="779"/>
      <c r="HU13" s="779"/>
      <c r="HV13" s="779"/>
      <c r="HW13" s="779"/>
      <c r="HX13" s="779"/>
      <c r="HY13" s="779"/>
      <c r="HZ13" s="779"/>
      <c r="IA13" s="779"/>
      <c r="IB13" s="779"/>
      <c r="IC13" s="779"/>
      <c r="ID13" s="779"/>
      <c r="IE13" s="779"/>
      <c r="IF13" s="779"/>
      <c r="IG13" s="779"/>
      <c r="IH13" s="779"/>
      <c r="II13" s="779"/>
      <c r="IJ13" s="779"/>
      <c r="IK13" s="779"/>
      <c r="IL13" s="779"/>
      <c r="IM13" s="779"/>
      <c r="IN13" s="779"/>
      <c r="IO13" s="779"/>
      <c r="IP13" s="779"/>
      <c r="IQ13" s="779"/>
      <c r="IR13" s="779"/>
      <c r="IS13" s="779"/>
      <c r="IT13" s="779"/>
      <c r="IU13" s="779"/>
      <c r="IV13" s="779"/>
      <c r="IW13" s="779"/>
      <c r="IX13" s="779"/>
      <c r="IY13" s="779"/>
      <c r="IZ13" s="779"/>
      <c r="JA13" s="779"/>
      <c r="JB13" s="779"/>
      <c r="JC13" s="779"/>
      <c r="JD13" s="779"/>
      <c r="JE13" s="779"/>
      <c r="JF13" s="779"/>
      <c r="JG13" s="779"/>
      <c r="JH13" s="779"/>
      <c r="JI13" s="779"/>
      <c r="JJ13" s="779"/>
      <c r="JK13" s="779"/>
      <c r="JL13" s="779"/>
      <c r="JM13" s="779"/>
      <c r="JN13" s="779"/>
      <c r="JO13" s="779"/>
      <c r="JP13" s="779"/>
      <c r="JQ13" s="779"/>
      <c r="JR13" s="779"/>
      <c r="JS13" s="779"/>
      <c r="JT13" s="779"/>
      <c r="JU13" s="779"/>
      <c r="JV13" s="779"/>
      <c r="JW13" s="779"/>
      <c r="JX13" s="779"/>
      <c r="JY13" s="779"/>
      <c r="JZ13" s="779"/>
      <c r="KA13" s="779"/>
      <c r="KB13" s="779"/>
      <c r="KC13" s="779"/>
      <c r="KD13" s="779"/>
      <c r="KE13" s="779"/>
      <c r="KF13" s="779"/>
      <c r="KG13" s="779"/>
      <c r="KH13" s="779"/>
      <c r="KI13" s="779"/>
      <c r="KJ13" s="779"/>
      <c r="KK13" s="779"/>
      <c r="KL13" s="779"/>
      <c r="KM13" s="779"/>
      <c r="KN13" s="779"/>
      <c r="KO13" s="779"/>
      <c r="KP13" s="779"/>
      <c r="KQ13" s="779"/>
      <c r="KR13" s="779"/>
      <c r="KS13" s="779"/>
      <c r="KT13" s="779"/>
      <c r="KU13" s="779"/>
      <c r="KV13" s="779"/>
      <c r="KW13" s="779"/>
      <c r="KX13" s="779"/>
      <c r="KY13" s="779"/>
      <c r="KZ13" s="779"/>
      <c r="LA13" s="779"/>
      <c r="LB13" s="779"/>
      <c r="LC13" s="779"/>
      <c r="LD13" s="779"/>
      <c r="LE13" s="779"/>
      <c r="LF13" s="779"/>
      <c r="LG13" s="779"/>
      <c r="LH13" s="779"/>
      <c r="LI13" s="779"/>
      <c r="LJ13" s="779"/>
      <c r="LK13" s="779"/>
      <c r="LL13" s="779"/>
      <c r="LM13" s="779"/>
      <c r="LN13" s="779"/>
      <c r="LO13" s="779"/>
      <c r="LP13" s="779"/>
      <c r="LQ13" s="779"/>
      <c r="LR13" s="779"/>
      <c r="LS13" s="779"/>
      <c r="LT13" s="779"/>
      <c r="LU13" s="779"/>
      <c r="LV13" s="779"/>
      <c r="LW13" s="779"/>
      <c r="LX13" s="779"/>
      <c r="LY13" s="779"/>
      <c r="LZ13" s="779"/>
      <c r="MA13" s="779"/>
      <c r="MB13" s="779"/>
      <c r="MC13" s="779"/>
      <c r="MD13" s="779"/>
      <c r="ME13" s="779"/>
      <c r="MF13" s="779"/>
      <c r="MG13" s="779"/>
      <c r="MH13" s="779"/>
      <c r="MI13" s="779"/>
      <c r="MJ13" s="779"/>
      <c r="MK13" s="779"/>
      <c r="ML13" s="779"/>
      <c r="MM13" s="779"/>
      <c r="MN13" s="779"/>
      <c r="MO13" s="779"/>
      <c r="MP13" s="779"/>
      <c r="MQ13" s="779"/>
      <c r="MR13" s="779"/>
      <c r="MS13" s="779"/>
      <c r="MT13" s="779"/>
      <c r="MU13" s="779"/>
      <c r="MV13" s="779"/>
      <c r="MW13" s="779"/>
      <c r="MX13" s="779"/>
      <c r="MY13" s="779"/>
      <c r="MZ13" s="779"/>
      <c r="NA13" s="779"/>
      <c r="NB13" s="779"/>
      <c r="NC13" s="779"/>
      <c r="ND13" s="779"/>
      <c r="NE13" s="779"/>
      <c r="NF13" s="779"/>
      <c r="NG13" s="779"/>
      <c r="NH13" s="779"/>
      <c r="NI13" s="779"/>
      <c r="NJ13" s="779"/>
      <c r="NK13" s="779"/>
      <c r="NL13" s="779"/>
      <c r="NM13" s="779"/>
      <c r="NN13" s="779"/>
      <c r="NO13" s="779"/>
      <c r="NP13" s="779"/>
      <c r="NQ13" s="779"/>
      <c r="NR13" s="779"/>
      <c r="NS13" s="779"/>
      <c r="NT13" s="779"/>
      <c r="NU13" s="779"/>
      <c r="NV13" s="779"/>
      <c r="NW13" s="779"/>
      <c r="NX13" s="779"/>
      <c r="NY13" s="779"/>
      <c r="NZ13" s="779"/>
      <c r="OA13" s="779"/>
      <c r="OB13" s="779"/>
      <c r="OC13" s="779"/>
      <c r="OD13" s="779"/>
      <c r="OE13" s="779"/>
      <c r="OF13" s="779"/>
      <c r="OG13" s="779"/>
      <c r="OH13" s="779"/>
      <c r="OI13" s="779"/>
      <c r="OJ13" s="779"/>
      <c r="OK13" s="779"/>
      <c r="OL13" s="779"/>
      <c r="OM13" s="779"/>
      <c r="ON13" s="779"/>
      <c r="OO13" s="779"/>
      <c r="OP13" s="779"/>
      <c r="OQ13" s="779"/>
      <c r="OR13" s="779"/>
      <c r="OS13" s="779"/>
      <c r="OT13" s="779"/>
      <c r="OU13" s="779"/>
      <c r="OV13" s="779"/>
      <c r="OW13" s="779"/>
      <c r="OX13" s="779"/>
      <c r="OY13" s="779"/>
      <c r="OZ13" s="779"/>
      <c r="PA13" s="779"/>
      <c r="PB13" s="779"/>
      <c r="PC13" s="779"/>
      <c r="PD13" s="779"/>
      <c r="PE13" s="779"/>
      <c r="PF13" s="779"/>
      <c r="PG13" s="779"/>
      <c r="PH13" s="779"/>
      <c r="PI13" s="779"/>
      <c r="PJ13" s="779"/>
      <c r="PK13" s="779"/>
      <c r="PL13" s="779"/>
      <c r="PM13" s="779"/>
      <c r="PN13" s="779"/>
      <c r="PO13" s="779"/>
    </row>
    <row r="14" spans="1:431" s="143" customFormat="1">
      <c r="A14" s="779"/>
      <c r="B14" s="779"/>
      <c r="C14" s="782"/>
      <c r="D14" s="782"/>
      <c r="E14" s="782"/>
      <c r="F14" s="782"/>
      <c r="G14" s="782"/>
      <c r="H14" s="782"/>
      <c r="I14" s="782"/>
      <c r="J14" s="782"/>
      <c r="K14" s="782"/>
      <c r="L14" s="782"/>
      <c r="M14" s="779"/>
      <c r="N14" s="779"/>
      <c r="O14" s="779"/>
      <c r="P14" s="779"/>
      <c r="Q14" s="779"/>
      <c r="R14" s="779"/>
      <c r="S14" s="779"/>
      <c r="T14" s="779"/>
      <c r="U14" s="779"/>
      <c r="V14" s="779"/>
      <c r="W14" s="779"/>
      <c r="X14" s="779"/>
      <c r="Y14" s="779"/>
      <c r="Z14" s="779"/>
      <c r="AA14" s="779"/>
      <c r="AB14" s="779"/>
      <c r="AC14" s="779"/>
      <c r="AD14" s="779"/>
      <c r="AE14" s="779"/>
      <c r="AF14" s="779"/>
      <c r="AG14" s="779"/>
      <c r="AH14" s="779"/>
      <c r="AI14" s="779"/>
      <c r="AJ14" s="779"/>
      <c r="AK14" s="779"/>
      <c r="AL14" s="779"/>
      <c r="AM14" s="779"/>
      <c r="AN14" s="779"/>
      <c r="AO14" s="779"/>
      <c r="AP14" s="779"/>
      <c r="AQ14" s="779"/>
      <c r="AR14" s="779"/>
      <c r="AS14" s="779"/>
      <c r="AT14" s="779"/>
      <c r="AU14" s="779"/>
      <c r="AV14" s="779"/>
      <c r="AW14" s="779"/>
      <c r="AX14" s="779"/>
      <c r="AY14" s="779"/>
      <c r="AZ14" s="779"/>
      <c r="BA14" s="779"/>
      <c r="BB14" s="779"/>
      <c r="BC14" s="779"/>
      <c r="BD14" s="779"/>
      <c r="BE14" s="779"/>
      <c r="BF14" s="779"/>
      <c r="BG14" s="779"/>
      <c r="BH14" s="779"/>
      <c r="BI14" s="779"/>
      <c r="BJ14" s="779"/>
      <c r="BK14" s="779"/>
      <c r="BL14" s="779"/>
      <c r="BM14" s="779"/>
      <c r="BN14" s="779"/>
      <c r="BO14" s="779"/>
      <c r="BP14" s="779"/>
      <c r="BQ14" s="779"/>
      <c r="BR14" s="779"/>
      <c r="BS14" s="779"/>
      <c r="BT14" s="779"/>
      <c r="BU14" s="779"/>
      <c r="BV14" s="779"/>
      <c r="BW14" s="779"/>
      <c r="BX14" s="779"/>
      <c r="BY14" s="779"/>
      <c r="BZ14" s="779"/>
      <c r="CA14" s="779"/>
      <c r="CB14" s="779"/>
      <c r="CC14" s="779"/>
      <c r="CD14" s="779"/>
      <c r="CE14" s="779"/>
      <c r="CF14" s="779"/>
      <c r="CG14" s="779"/>
      <c r="CH14" s="779"/>
      <c r="CI14" s="779"/>
      <c r="CJ14" s="779"/>
      <c r="CK14" s="779"/>
      <c r="CL14" s="779"/>
      <c r="CM14" s="779"/>
      <c r="CN14" s="779"/>
      <c r="CO14" s="779"/>
      <c r="CP14" s="779"/>
      <c r="CQ14" s="779"/>
      <c r="CR14" s="779"/>
      <c r="CS14" s="779"/>
      <c r="CT14" s="779"/>
      <c r="CU14" s="779"/>
      <c r="CV14" s="779"/>
      <c r="CW14" s="779"/>
      <c r="CX14" s="779"/>
      <c r="CY14" s="779"/>
      <c r="CZ14" s="779"/>
      <c r="DA14" s="779"/>
      <c r="DB14" s="779"/>
      <c r="DC14" s="779"/>
      <c r="DD14" s="779"/>
      <c r="DE14" s="779"/>
      <c r="DF14" s="779"/>
      <c r="DG14" s="779"/>
      <c r="DH14" s="779"/>
      <c r="DI14" s="779"/>
      <c r="DJ14" s="779"/>
      <c r="DK14" s="779"/>
      <c r="DL14" s="779"/>
      <c r="DM14" s="779"/>
      <c r="DN14" s="779"/>
      <c r="DO14" s="779"/>
      <c r="DP14" s="779"/>
      <c r="DQ14" s="779"/>
      <c r="DR14" s="779"/>
      <c r="DS14" s="779"/>
      <c r="DT14" s="779"/>
      <c r="DU14" s="779"/>
      <c r="DV14" s="779"/>
      <c r="DW14" s="779"/>
      <c r="DX14" s="779"/>
      <c r="DY14" s="779"/>
      <c r="DZ14" s="779"/>
      <c r="EA14" s="779"/>
      <c r="EB14" s="779"/>
      <c r="EC14" s="779"/>
      <c r="ED14" s="779"/>
      <c r="EE14" s="779"/>
      <c r="EF14" s="779"/>
      <c r="EG14" s="779"/>
      <c r="EH14" s="779"/>
      <c r="EI14" s="779"/>
      <c r="EJ14" s="779"/>
      <c r="EK14" s="779"/>
      <c r="EL14" s="779"/>
      <c r="EM14" s="779"/>
      <c r="EN14" s="779"/>
      <c r="EO14" s="779"/>
      <c r="EP14" s="779"/>
      <c r="EQ14" s="779"/>
      <c r="ER14" s="779"/>
      <c r="ES14" s="779"/>
      <c r="ET14" s="779"/>
      <c r="EU14" s="779"/>
      <c r="EV14" s="779"/>
      <c r="EW14" s="779"/>
      <c r="EX14" s="779"/>
      <c r="EY14" s="779"/>
      <c r="EZ14" s="779"/>
      <c r="FA14" s="779"/>
      <c r="FB14" s="779"/>
      <c r="FC14" s="779"/>
      <c r="FD14" s="779"/>
      <c r="FE14" s="779"/>
      <c r="FF14" s="779"/>
      <c r="FG14" s="779"/>
      <c r="FH14" s="779"/>
      <c r="FI14" s="779"/>
      <c r="FJ14" s="779"/>
      <c r="FK14" s="779"/>
      <c r="FL14" s="779"/>
      <c r="FM14" s="779"/>
      <c r="FN14" s="779"/>
      <c r="FO14" s="779"/>
      <c r="FP14" s="779"/>
      <c r="FQ14" s="779"/>
      <c r="FR14" s="779"/>
      <c r="FS14" s="779"/>
      <c r="FT14" s="779"/>
      <c r="FU14" s="779"/>
      <c r="FV14" s="779"/>
      <c r="FW14" s="779"/>
      <c r="FX14" s="779"/>
      <c r="FY14" s="779"/>
      <c r="FZ14" s="779"/>
      <c r="GA14" s="779"/>
      <c r="GB14" s="779"/>
      <c r="GC14" s="779"/>
      <c r="GD14" s="779"/>
      <c r="GE14" s="779"/>
      <c r="GF14" s="779"/>
      <c r="GG14" s="779"/>
      <c r="GH14" s="779"/>
      <c r="GI14" s="779"/>
      <c r="GJ14" s="779"/>
      <c r="GK14" s="779"/>
      <c r="GL14" s="779"/>
      <c r="GM14" s="779"/>
      <c r="GN14" s="779"/>
      <c r="GO14" s="779"/>
      <c r="GP14" s="779"/>
      <c r="GQ14" s="779"/>
      <c r="GR14" s="779"/>
      <c r="GS14" s="779"/>
      <c r="GT14" s="779"/>
      <c r="GU14" s="779"/>
      <c r="GV14" s="779"/>
      <c r="GW14" s="779"/>
      <c r="GX14" s="779"/>
      <c r="GY14" s="779"/>
      <c r="GZ14" s="779"/>
      <c r="HA14" s="779"/>
      <c r="HB14" s="779"/>
      <c r="HC14" s="779"/>
      <c r="HD14" s="779"/>
      <c r="HE14" s="779"/>
      <c r="HF14" s="779"/>
      <c r="HG14" s="779"/>
      <c r="HH14" s="779"/>
      <c r="HI14" s="779"/>
      <c r="HJ14" s="779"/>
      <c r="HK14" s="779"/>
      <c r="HL14" s="779"/>
      <c r="HM14" s="779"/>
      <c r="HN14" s="779"/>
      <c r="HO14" s="779"/>
      <c r="HP14" s="779"/>
      <c r="HQ14" s="779"/>
      <c r="HR14" s="779"/>
      <c r="HS14" s="779"/>
      <c r="HT14" s="779"/>
      <c r="HU14" s="779"/>
      <c r="HV14" s="779"/>
      <c r="HW14" s="779"/>
      <c r="HX14" s="779"/>
      <c r="HY14" s="779"/>
      <c r="HZ14" s="779"/>
      <c r="IA14" s="779"/>
      <c r="IB14" s="779"/>
      <c r="IC14" s="779"/>
      <c r="ID14" s="779"/>
      <c r="IE14" s="779"/>
      <c r="IF14" s="779"/>
      <c r="IG14" s="779"/>
      <c r="IH14" s="779"/>
      <c r="II14" s="779"/>
      <c r="IJ14" s="779"/>
      <c r="IK14" s="779"/>
      <c r="IL14" s="779"/>
      <c r="IM14" s="779"/>
      <c r="IN14" s="779"/>
      <c r="IO14" s="779"/>
      <c r="IP14" s="779"/>
      <c r="IQ14" s="779"/>
      <c r="IR14" s="779"/>
      <c r="IS14" s="779"/>
      <c r="IT14" s="779"/>
      <c r="IU14" s="779"/>
      <c r="IV14" s="779"/>
      <c r="IW14" s="779"/>
      <c r="IX14" s="779"/>
      <c r="IY14" s="779"/>
      <c r="IZ14" s="779"/>
      <c r="JA14" s="779"/>
      <c r="JB14" s="779"/>
      <c r="JC14" s="779"/>
      <c r="JD14" s="779"/>
      <c r="JE14" s="779"/>
      <c r="JF14" s="779"/>
      <c r="JG14" s="779"/>
      <c r="JH14" s="779"/>
      <c r="JI14" s="779"/>
      <c r="JJ14" s="779"/>
      <c r="JK14" s="779"/>
      <c r="JL14" s="779"/>
      <c r="JM14" s="779"/>
      <c r="JN14" s="779"/>
      <c r="JO14" s="779"/>
      <c r="JP14" s="779"/>
      <c r="JQ14" s="779"/>
      <c r="JR14" s="779"/>
      <c r="JS14" s="779"/>
      <c r="JT14" s="779"/>
      <c r="JU14" s="779"/>
      <c r="JV14" s="779"/>
      <c r="JW14" s="779"/>
      <c r="JX14" s="779"/>
      <c r="JY14" s="779"/>
      <c r="JZ14" s="779"/>
      <c r="KA14" s="779"/>
      <c r="KB14" s="779"/>
      <c r="KC14" s="779"/>
      <c r="KD14" s="779"/>
      <c r="KE14" s="779"/>
      <c r="KF14" s="779"/>
      <c r="KG14" s="779"/>
      <c r="KH14" s="779"/>
      <c r="KI14" s="779"/>
      <c r="KJ14" s="779"/>
      <c r="KK14" s="779"/>
      <c r="KL14" s="779"/>
      <c r="KM14" s="779"/>
      <c r="KN14" s="779"/>
      <c r="KO14" s="779"/>
      <c r="KP14" s="779"/>
      <c r="KQ14" s="779"/>
      <c r="KR14" s="779"/>
      <c r="KS14" s="779"/>
      <c r="KT14" s="779"/>
      <c r="KU14" s="779"/>
      <c r="KV14" s="779"/>
      <c r="KW14" s="779"/>
      <c r="KX14" s="779"/>
      <c r="KY14" s="779"/>
      <c r="KZ14" s="779"/>
      <c r="LA14" s="779"/>
      <c r="LB14" s="779"/>
      <c r="LC14" s="779"/>
      <c r="LD14" s="779"/>
      <c r="LE14" s="779"/>
      <c r="LF14" s="779"/>
      <c r="LG14" s="779"/>
      <c r="LH14" s="779"/>
      <c r="LI14" s="779"/>
      <c r="LJ14" s="779"/>
      <c r="LK14" s="779"/>
      <c r="LL14" s="779"/>
      <c r="LM14" s="779"/>
      <c r="LN14" s="779"/>
      <c r="LO14" s="779"/>
      <c r="LP14" s="779"/>
      <c r="LQ14" s="779"/>
      <c r="LR14" s="779"/>
      <c r="LS14" s="779"/>
      <c r="LT14" s="779"/>
      <c r="LU14" s="779"/>
      <c r="LV14" s="779"/>
      <c r="LW14" s="779"/>
      <c r="LX14" s="779"/>
      <c r="LY14" s="779"/>
      <c r="LZ14" s="779"/>
      <c r="MA14" s="779"/>
      <c r="MB14" s="779"/>
      <c r="MC14" s="779"/>
      <c r="MD14" s="779"/>
      <c r="ME14" s="779"/>
      <c r="MF14" s="779"/>
      <c r="MG14" s="779"/>
      <c r="MH14" s="779"/>
      <c r="MI14" s="779"/>
      <c r="MJ14" s="779"/>
      <c r="MK14" s="779"/>
      <c r="ML14" s="779"/>
      <c r="MM14" s="779"/>
      <c r="MN14" s="779"/>
      <c r="MO14" s="779"/>
      <c r="MP14" s="779"/>
      <c r="MQ14" s="779"/>
      <c r="MR14" s="779"/>
      <c r="MS14" s="779"/>
      <c r="MT14" s="779"/>
      <c r="MU14" s="779"/>
      <c r="MV14" s="779"/>
      <c r="MW14" s="779"/>
      <c r="MX14" s="779"/>
      <c r="MY14" s="779"/>
      <c r="MZ14" s="779"/>
      <c r="NA14" s="779"/>
      <c r="NB14" s="779"/>
      <c r="NC14" s="779"/>
      <c r="ND14" s="779"/>
      <c r="NE14" s="779"/>
      <c r="NF14" s="779"/>
      <c r="NG14" s="779"/>
      <c r="NH14" s="779"/>
      <c r="NI14" s="779"/>
      <c r="NJ14" s="779"/>
      <c r="NK14" s="779"/>
      <c r="NL14" s="779"/>
      <c r="NM14" s="779"/>
      <c r="NN14" s="779"/>
      <c r="NO14" s="779"/>
      <c r="NP14" s="779"/>
      <c r="NQ14" s="779"/>
      <c r="NR14" s="779"/>
      <c r="NS14" s="779"/>
      <c r="NT14" s="779"/>
      <c r="NU14" s="779"/>
      <c r="NV14" s="779"/>
      <c r="NW14" s="779"/>
      <c r="NX14" s="779"/>
      <c r="NY14" s="779"/>
      <c r="NZ14" s="779"/>
      <c r="OA14" s="779"/>
      <c r="OB14" s="779"/>
      <c r="OC14" s="779"/>
      <c r="OD14" s="779"/>
      <c r="OE14" s="779"/>
      <c r="OF14" s="779"/>
      <c r="OG14" s="779"/>
      <c r="OH14" s="779"/>
      <c r="OI14" s="779"/>
      <c r="OJ14" s="779"/>
      <c r="OK14" s="779"/>
      <c r="OL14" s="779"/>
      <c r="OM14" s="779"/>
      <c r="ON14" s="779"/>
      <c r="OO14" s="779"/>
      <c r="OP14" s="779"/>
      <c r="OQ14" s="779"/>
      <c r="OR14" s="779"/>
      <c r="OS14" s="779"/>
      <c r="OT14" s="779"/>
      <c r="OU14" s="779"/>
      <c r="OV14" s="779"/>
      <c r="OW14" s="779"/>
      <c r="OX14" s="779"/>
      <c r="OY14" s="779"/>
      <c r="OZ14" s="779"/>
      <c r="PA14" s="779"/>
      <c r="PB14" s="779"/>
      <c r="PC14" s="779"/>
      <c r="PD14" s="779"/>
      <c r="PE14" s="779"/>
      <c r="PF14" s="779"/>
      <c r="PG14" s="779"/>
      <c r="PH14" s="779"/>
      <c r="PI14" s="779"/>
      <c r="PJ14" s="779"/>
      <c r="PK14" s="779"/>
      <c r="PL14" s="779"/>
      <c r="PM14" s="779"/>
      <c r="PN14" s="779"/>
      <c r="PO14" s="779"/>
    </row>
    <row r="15" spans="1:431" s="143" customFormat="1">
      <c r="A15" s="779"/>
      <c r="B15" s="779"/>
      <c r="C15" s="782"/>
      <c r="D15" s="782"/>
      <c r="E15" s="782"/>
      <c r="F15" s="782"/>
      <c r="G15" s="782"/>
      <c r="H15" s="782"/>
      <c r="I15" s="782"/>
      <c r="J15" s="782"/>
      <c r="K15" s="782"/>
      <c r="L15" s="782"/>
      <c r="M15" s="779"/>
      <c r="N15" s="779"/>
      <c r="O15" s="779"/>
      <c r="P15" s="779"/>
      <c r="Q15" s="779"/>
      <c r="R15" s="779"/>
      <c r="S15" s="779"/>
      <c r="T15" s="779"/>
      <c r="U15" s="779"/>
      <c r="V15" s="779"/>
      <c r="W15" s="779"/>
      <c r="X15" s="779"/>
      <c r="Y15" s="779"/>
      <c r="Z15" s="779"/>
      <c r="AA15" s="779"/>
      <c r="AB15" s="779"/>
      <c r="AC15" s="779"/>
      <c r="AD15" s="779"/>
      <c r="AE15" s="779"/>
      <c r="AF15" s="779"/>
      <c r="AG15" s="779"/>
      <c r="AH15" s="779"/>
      <c r="AI15" s="779"/>
      <c r="AJ15" s="779"/>
      <c r="AK15" s="779"/>
      <c r="AL15" s="779"/>
      <c r="AM15" s="779"/>
      <c r="AN15" s="779"/>
      <c r="AO15" s="779"/>
      <c r="AP15" s="779"/>
      <c r="AQ15" s="779"/>
      <c r="AR15" s="779"/>
      <c r="AS15" s="779"/>
      <c r="AT15" s="779"/>
      <c r="AU15" s="779"/>
      <c r="AV15" s="779"/>
      <c r="AW15" s="779"/>
      <c r="AX15" s="779"/>
      <c r="AY15" s="779"/>
      <c r="AZ15" s="779"/>
      <c r="BA15" s="779"/>
      <c r="BB15" s="779"/>
      <c r="BC15" s="779"/>
      <c r="BD15" s="779"/>
      <c r="BE15" s="779"/>
      <c r="BF15" s="779"/>
      <c r="BG15" s="779"/>
      <c r="BH15" s="779"/>
      <c r="BI15" s="779"/>
      <c r="BJ15" s="779"/>
      <c r="BK15" s="779"/>
      <c r="BL15" s="779"/>
      <c r="BM15" s="779"/>
      <c r="BN15" s="779"/>
      <c r="BO15" s="779"/>
      <c r="BP15" s="779"/>
      <c r="BQ15" s="779"/>
      <c r="BR15" s="779"/>
      <c r="BS15" s="779"/>
      <c r="BT15" s="779"/>
      <c r="BU15" s="779"/>
      <c r="BV15" s="779"/>
      <c r="BW15" s="779"/>
      <c r="BX15" s="779"/>
      <c r="BY15" s="779"/>
      <c r="BZ15" s="779"/>
      <c r="CA15" s="779"/>
      <c r="CB15" s="779"/>
      <c r="CC15" s="779"/>
      <c r="CD15" s="779"/>
      <c r="CE15" s="779"/>
      <c r="CF15" s="779"/>
      <c r="CG15" s="779"/>
      <c r="CH15" s="779"/>
      <c r="CI15" s="779"/>
      <c r="CJ15" s="779"/>
      <c r="CK15" s="779"/>
      <c r="CL15" s="779"/>
      <c r="CM15" s="779"/>
      <c r="CN15" s="779"/>
      <c r="CO15" s="779"/>
      <c r="CP15" s="779"/>
      <c r="CQ15" s="779"/>
      <c r="CR15" s="779"/>
      <c r="CS15" s="779"/>
      <c r="CT15" s="779"/>
      <c r="CU15" s="779"/>
      <c r="CV15" s="779"/>
      <c r="CW15" s="779"/>
      <c r="CX15" s="779"/>
      <c r="CY15" s="779"/>
      <c r="CZ15" s="779"/>
      <c r="DA15" s="779"/>
      <c r="DB15" s="779"/>
      <c r="DC15" s="779"/>
      <c r="DD15" s="779"/>
      <c r="DE15" s="779"/>
      <c r="DF15" s="779"/>
      <c r="DG15" s="779"/>
      <c r="DH15" s="779"/>
      <c r="DI15" s="779"/>
      <c r="DJ15" s="779"/>
      <c r="DK15" s="779"/>
      <c r="DL15" s="779"/>
      <c r="DM15" s="779"/>
      <c r="DN15" s="779"/>
      <c r="DO15" s="779"/>
      <c r="DP15" s="779"/>
      <c r="DQ15" s="779"/>
      <c r="DR15" s="779"/>
      <c r="DS15" s="779"/>
      <c r="DT15" s="779"/>
      <c r="DU15" s="779"/>
      <c r="DV15" s="779"/>
      <c r="DW15" s="779"/>
      <c r="DX15" s="779"/>
      <c r="DY15" s="779"/>
      <c r="DZ15" s="779"/>
      <c r="EA15" s="779"/>
      <c r="EB15" s="779"/>
      <c r="EC15" s="779"/>
      <c r="ED15" s="779"/>
      <c r="EE15" s="779"/>
      <c r="EF15" s="779"/>
      <c r="EG15" s="779"/>
      <c r="EH15" s="779"/>
      <c r="EI15" s="779"/>
      <c r="EJ15" s="779"/>
      <c r="EK15" s="779"/>
      <c r="EL15" s="779"/>
      <c r="EM15" s="779"/>
      <c r="EN15" s="779"/>
      <c r="EO15" s="779"/>
      <c r="EP15" s="779"/>
      <c r="EQ15" s="779"/>
      <c r="ER15" s="779"/>
      <c r="ES15" s="779"/>
      <c r="ET15" s="779"/>
      <c r="EU15" s="779"/>
      <c r="EV15" s="779"/>
      <c r="EW15" s="779"/>
      <c r="EX15" s="779"/>
      <c r="EY15" s="779"/>
      <c r="EZ15" s="779"/>
      <c r="FA15" s="779"/>
      <c r="FB15" s="779"/>
      <c r="FC15" s="779"/>
      <c r="FD15" s="779"/>
      <c r="FE15" s="779"/>
      <c r="FF15" s="779"/>
      <c r="FG15" s="779"/>
      <c r="FH15" s="779"/>
      <c r="FI15" s="779"/>
      <c r="FJ15" s="779"/>
      <c r="FK15" s="779"/>
      <c r="FL15" s="779"/>
      <c r="FM15" s="779"/>
      <c r="FN15" s="779"/>
      <c r="FO15" s="779"/>
      <c r="FP15" s="779"/>
      <c r="FQ15" s="779"/>
      <c r="FR15" s="779"/>
      <c r="FS15" s="779"/>
      <c r="FT15" s="779"/>
      <c r="FU15" s="779"/>
      <c r="FV15" s="779"/>
      <c r="FW15" s="779"/>
      <c r="FX15" s="779"/>
      <c r="FY15" s="779"/>
      <c r="FZ15" s="779"/>
      <c r="GA15" s="779"/>
      <c r="GB15" s="779"/>
      <c r="GC15" s="779"/>
      <c r="GD15" s="779"/>
      <c r="GE15" s="779"/>
      <c r="GF15" s="779"/>
      <c r="GG15" s="779"/>
      <c r="GH15" s="779"/>
      <c r="GI15" s="779"/>
      <c r="GJ15" s="779"/>
      <c r="GK15" s="779"/>
      <c r="GL15" s="779"/>
      <c r="GM15" s="779"/>
      <c r="GN15" s="779"/>
      <c r="GO15" s="779"/>
      <c r="GP15" s="779"/>
      <c r="GQ15" s="779"/>
      <c r="GR15" s="779"/>
      <c r="GS15" s="779"/>
      <c r="GT15" s="779"/>
      <c r="GU15" s="779"/>
      <c r="GV15" s="779"/>
      <c r="GW15" s="779"/>
      <c r="GX15" s="779"/>
      <c r="GY15" s="779"/>
      <c r="GZ15" s="779"/>
      <c r="HA15" s="779"/>
      <c r="HB15" s="779"/>
      <c r="HC15" s="779"/>
      <c r="HD15" s="779"/>
      <c r="HE15" s="779"/>
      <c r="HF15" s="779"/>
      <c r="HG15" s="779"/>
      <c r="HH15" s="779"/>
      <c r="HI15" s="779"/>
      <c r="HJ15" s="779"/>
      <c r="HK15" s="779"/>
      <c r="HL15" s="779"/>
      <c r="HM15" s="779"/>
      <c r="HN15" s="779"/>
      <c r="HO15" s="779"/>
      <c r="HP15" s="779"/>
      <c r="HQ15" s="779"/>
      <c r="HR15" s="779"/>
      <c r="HS15" s="779"/>
      <c r="HT15" s="779"/>
      <c r="HU15" s="779"/>
      <c r="HV15" s="779"/>
      <c r="HW15" s="779"/>
      <c r="HX15" s="779"/>
      <c r="HY15" s="779"/>
      <c r="HZ15" s="779"/>
      <c r="IA15" s="779"/>
      <c r="IB15" s="779"/>
      <c r="IC15" s="779"/>
      <c r="ID15" s="779"/>
      <c r="IE15" s="779"/>
      <c r="IF15" s="779"/>
      <c r="IG15" s="779"/>
      <c r="IH15" s="779"/>
      <c r="II15" s="779"/>
      <c r="IJ15" s="779"/>
      <c r="IK15" s="779"/>
      <c r="IL15" s="779"/>
      <c r="IM15" s="779"/>
      <c r="IN15" s="779"/>
      <c r="IO15" s="779"/>
      <c r="IP15" s="779"/>
      <c r="IQ15" s="779"/>
      <c r="IR15" s="779"/>
      <c r="IS15" s="779"/>
      <c r="IT15" s="779"/>
      <c r="IU15" s="779"/>
      <c r="IV15" s="779"/>
      <c r="IW15" s="779"/>
      <c r="IX15" s="779"/>
      <c r="IY15" s="779"/>
      <c r="IZ15" s="779"/>
      <c r="JA15" s="779"/>
      <c r="JB15" s="779"/>
      <c r="JC15" s="779"/>
      <c r="JD15" s="779"/>
      <c r="JE15" s="779"/>
      <c r="JF15" s="779"/>
      <c r="JG15" s="779"/>
      <c r="JH15" s="779"/>
      <c r="JI15" s="779"/>
      <c r="JJ15" s="779"/>
      <c r="JK15" s="779"/>
      <c r="JL15" s="779"/>
      <c r="JM15" s="779"/>
      <c r="JN15" s="779"/>
      <c r="JO15" s="779"/>
      <c r="JP15" s="779"/>
      <c r="JQ15" s="779"/>
      <c r="JR15" s="779"/>
      <c r="JS15" s="779"/>
      <c r="JT15" s="779"/>
      <c r="JU15" s="779"/>
      <c r="JV15" s="779"/>
      <c r="JW15" s="779"/>
      <c r="JX15" s="779"/>
      <c r="JY15" s="779"/>
      <c r="JZ15" s="779"/>
      <c r="KA15" s="779"/>
      <c r="KB15" s="779"/>
      <c r="KC15" s="779"/>
      <c r="KD15" s="779"/>
      <c r="KE15" s="779"/>
      <c r="KF15" s="779"/>
      <c r="KG15" s="779"/>
      <c r="KH15" s="779"/>
      <c r="KI15" s="779"/>
      <c r="KJ15" s="779"/>
      <c r="KK15" s="779"/>
      <c r="KL15" s="779"/>
      <c r="KM15" s="779"/>
      <c r="KN15" s="779"/>
      <c r="KO15" s="779"/>
      <c r="KP15" s="779"/>
      <c r="KQ15" s="779"/>
      <c r="KR15" s="779"/>
      <c r="KS15" s="779"/>
      <c r="KT15" s="779"/>
      <c r="KU15" s="779"/>
      <c r="KV15" s="779"/>
      <c r="KW15" s="779"/>
      <c r="KX15" s="779"/>
      <c r="KY15" s="779"/>
      <c r="KZ15" s="779"/>
      <c r="LA15" s="779"/>
      <c r="LB15" s="779"/>
      <c r="LC15" s="779"/>
      <c r="LD15" s="779"/>
      <c r="LE15" s="779"/>
      <c r="LF15" s="779"/>
      <c r="LG15" s="779"/>
      <c r="LH15" s="779"/>
      <c r="LI15" s="779"/>
      <c r="LJ15" s="779"/>
      <c r="LK15" s="779"/>
      <c r="LL15" s="779"/>
      <c r="LM15" s="779"/>
      <c r="LN15" s="779"/>
      <c r="LO15" s="779"/>
      <c r="LP15" s="779"/>
      <c r="LQ15" s="779"/>
      <c r="LR15" s="779"/>
      <c r="LS15" s="779"/>
      <c r="LT15" s="779"/>
      <c r="LU15" s="779"/>
      <c r="LV15" s="779"/>
      <c r="LW15" s="779"/>
      <c r="LX15" s="779"/>
      <c r="LY15" s="779"/>
      <c r="LZ15" s="779"/>
      <c r="MA15" s="779"/>
      <c r="MB15" s="779"/>
      <c r="MC15" s="779"/>
      <c r="MD15" s="779"/>
      <c r="ME15" s="779"/>
      <c r="MF15" s="779"/>
      <c r="MG15" s="779"/>
      <c r="MH15" s="779"/>
      <c r="MI15" s="779"/>
      <c r="MJ15" s="779"/>
      <c r="MK15" s="779"/>
      <c r="ML15" s="779"/>
      <c r="MM15" s="779"/>
      <c r="MN15" s="779"/>
      <c r="MO15" s="779"/>
      <c r="MP15" s="779"/>
      <c r="MQ15" s="779"/>
      <c r="MR15" s="779"/>
      <c r="MS15" s="779"/>
      <c r="MT15" s="779"/>
      <c r="MU15" s="779"/>
      <c r="MV15" s="779"/>
      <c r="MW15" s="779"/>
      <c r="MX15" s="779"/>
      <c r="MY15" s="779"/>
      <c r="MZ15" s="779"/>
      <c r="NA15" s="779"/>
      <c r="NB15" s="779"/>
      <c r="NC15" s="779"/>
      <c r="ND15" s="779"/>
      <c r="NE15" s="779"/>
      <c r="NF15" s="779"/>
      <c r="NG15" s="779"/>
      <c r="NH15" s="779"/>
      <c r="NI15" s="779"/>
      <c r="NJ15" s="779"/>
      <c r="NK15" s="779"/>
      <c r="NL15" s="779"/>
      <c r="NM15" s="779"/>
      <c r="NN15" s="779"/>
      <c r="NO15" s="779"/>
      <c r="NP15" s="779"/>
      <c r="NQ15" s="779"/>
      <c r="NR15" s="779"/>
      <c r="NS15" s="779"/>
      <c r="NT15" s="779"/>
      <c r="NU15" s="779"/>
      <c r="NV15" s="779"/>
      <c r="NW15" s="779"/>
      <c r="NX15" s="779"/>
      <c r="NY15" s="779"/>
      <c r="NZ15" s="779"/>
      <c r="OA15" s="779"/>
      <c r="OB15" s="779"/>
      <c r="OC15" s="779"/>
      <c r="OD15" s="779"/>
      <c r="OE15" s="779"/>
      <c r="OF15" s="779"/>
      <c r="OG15" s="779"/>
      <c r="OH15" s="779"/>
      <c r="OI15" s="779"/>
      <c r="OJ15" s="779"/>
      <c r="OK15" s="779"/>
      <c r="OL15" s="779"/>
      <c r="OM15" s="779"/>
      <c r="ON15" s="779"/>
      <c r="OO15" s="779"/>
      <c r="OP15" s="779"/>
      <c r="OQ15" s="779"/>
      <c r="OR15" s="779"/>
      <c r="OS15" s="779"/>
      <c r="OT15" s="779"/>
      <c r="OU15" s="779"/>
      <c r="OV15" s="779"/>
      <c r="OW15" s="779"/>
      <c r="OX15" s="779"/>
      <c r="OY15" s="779"/>
      <c r="OZ15" s="779"/>
      <c r="PA15" s="779"/>
      <c r="PB15" s="779"/>
      <c r="PC15" s="779"/>
      <c r="PD15" s="779"/>
      <c r="PE15" s="779"/>
      <c r="PF15" s="779"/>
      <c r="PG15" s="779"/>
      <c r="PH15" s="779"/>
      <c r="PI15" s="779"/>
      <c r="PJ15" s="779"/>
      <c r="PK15" s="779"/>
      <c r="PL15" s="779"/>
      <c r="PM15" s="779"/>
      <c r="PN15" s="779"/>
      <c r="PO15" s="779"/>
    </row>
    <row r="16" spans="1:431" s="143" customFormat="1">
      <c r="A16" s="779"/>
      <c r="B16" s="779"/>
      <c r="C16" s="782"/>
      <c r="D16" s="782"/>
      <c r="E16" s="782"/>
      <c r="F16" s="782"/>
      <c r="G16" s="782"/>
      <c r="H16" s="782"/>
      <c r="I16" s="782"/>
      <c r="J16" s="782"/>
      <c r="K16" s="782"/>
      <c r="L16" s="782"/>
      <c r="M16" s="779"/>
      <c r="N16" s="779"/>
      <c r="O16" s="779"/>
      <c r="P16" s="779"/>
      <c r="Q16" s="779"/>
      <c r="R16" s="779"/>
      <c r="S16" s="779"/>
      <c r="T16" s="779"/>
      <c r="U16" s="779"/>
      <c r="V16" s="779"/>
      <c r="W16" s="779"/>
      <c r="X16" s="779"/>
      <c r="Y16" s="779"/>
      <c r="Z16" s="779"/>
      <c r="AA16" s="779"/>
      <c r="AB16" s="779"/>
      <c r="AC16" s="779"/>
      <c r="AD16" s="779"/>
      <c r="AE16" s="779"/>
      <c r="AF16" s="779"/>
      <c r="AG16" s="779"/>
      <c r="AH16" s="779"/>
      <c r="AI16" s="779"/>
      <c r="AJ16" s="779"/>
      <c r="AK16" s="779"/>
      <c r="AL16" s="779"/>
      <c r="AM16" s="779"/>
      <c r="AN16" s="779"/>
      <c r="AO16" s="779"/>
      <c r="AP16" s="779"/>
      <c r="AQ16" s="779"/>
      <c r="AR16" s="779"/>
      <c r="AS16" s="779"/>
      <c r="AT16" s="779"/>
      <c r="AU16" s="779"/>
      <c r="AV16" s="779"/>
      <c r="AW16" s="779"/>
      <c r="AX16" s="779"/>
      <c r="AY16" s="779"/>
      <c r="AZ16" s="779"/>
      <c r="BA16" s="779"/>
      <c r="BB16" s="779"/>
      <c r="BC16" s="779"/>
      <c r="BD16" s="779"/>
      <c r="BE16" s="779"/>
      <c r="BF16" s="779"/>
      <c r="BG16" s="779"/>
      <c r="BH16" s="779"/>
      <c r="BI16" s="779"/>
      <c r="BJ16" s="779"/>
      <c r="BK16" s="779"/>
      <c r="BL16" s="779"/>
      <c r="BM16" s="779"/>
      <c r="BN16" s="779"/>
      <c r="BO16" s="779"/>
      <c r="BP16" s="779"/>
      <c r="BQ16" s="779"/>
      <c r="BR16" s="779"/>
      <c r="BS16" s="779"/>
      <c r="BT16" s="779"/>
      <c r="BU16" s="779"/>
      <c r="BV16" s="779"/>
      <c r="BW16" s="779"/>
      <c r="BX16" s="779"/>
      <c r="BY16" s="779"/>
      <c r="BZ16" s="779"/>
      <c r="CA16" s="779"/>
      <c r="CB16" s="779"/>
      <c r="CC16" s="779"/>
      <c r="CD16" s="779"/>
      <c r="CE16" s="779"/>
      <c r="CF16" s="779"/>
      <c r="CG16" s="779"/>
      <c r="CH16" s="779"/>
      <c r="CI16" s="779"/>
      <c r="CJ16" s="779"/>
      <c r="CK16" s="779"/>
      <c r="CL16" s="779"/>
      <c r="CM16" s="779"/>
      <c r="CN16" s="779"/>
      <c r="CO16" s="779"/>
      <c r="CP16" s="779"/>
      <c r="CQ16" s="779"/>
      <c r="CR16" s="779"/>
      <c r="CS16" s="779"/>
      <c r="CT16" s="779"/>
      <c r="CU16" s="779"/>
      <c r="CV16" s="779"/>
      <c r="CW16" s="779"/>
      <c r="CX16" s="779"/>
      <c r="CY16" s="779"/>
      <c r="CZ16" s="779"/>
      <c r="DA16" s="779"/>
      <c r="DB16" s="779"/>
      <c r="DC16" s="779"/>
      <c r="DD16" s="779"/>
      <c r="DE16" s="779"/>
      <c r="DF16" s="779"/>
      <c r="DG16" s="779"/>
      <c r="DH16" s="779"/>
      <c r="DI16" s="779"/>
      <c r="DJ16" s="779"/>
      <c r="DK16" s="779"/>
      <c r="DL16" s="779"/>
      <c r="DM16" s="779"/>
      <c r="DN16" s="779"/>
      <c r="DO16" s="779"/>
      <c r="DP16" s="779"/>
      <c r="DQ16" s="779"/>
      <c r="DR16" s="779"/>
      <c r="DS16" s="779"/>
      <c r="DT16" s="779"/>
      <c r="DU16" s="779"/>
      <c r="DV16" s="779"/>
      <c r="DW16" s="779"/>
      <c r="DX16" s="779"/>
      <c r="DY16" s="779"/>
      <c r="DZ16" s="779"/>
      <c r="EA16" s="779"/>
      <c r="EB16" s="779"/>
      <c r="EC16" s="779"/>
      <c r="ED16" s="779"/>
      <c r="EE16" s="779"/>
      <c r="EF16" s="779"/>
      <c r="EG16" s="779"/>
      <c r="EH16" s="779"/>
      <c r="EI16" s="779"/>
      <c r="EJ16" s="779"/>
      <c r="EK16" s="779"/>
      <c r="EL16" s="779"/>
      <c r="EM16" s="779"/>
      <c r="EN16" s="779"/>
      <c r="EO16" s="779"/>
      <c r="EP16" s="779"/>
      <c r="EQ16" s="779"/>
      <c r="ER16" s="779"/>
      <c r="ES16" s="779"/>
      <c r="ET16" s="779"/>
      <c r="EU16" s="779"/>
      <c r="EV16" s="779"/>
      <c r="EW16" s="779"/>
      <c r="EX16" s="779"/>
      <c r="EY16" s="779"/>
      <c r="EZ16" s="779"/>
      <c r="FA16" s="779"/>
      <c r="FB16" s="779"/>
      <c r="FC16" s="779"/>
      <c r="FD16" s="779"/>
      <c r="FE16" s="779"/>
      <c r="FF16" s="779"/>
      <c r="FG16" s="779"/>
      <c r="FH16" s="779"/>
      <c r="FI16" s="779"/>
      <c r="FJ16" s="779"/>
      <c r="FK16" s="779"/>
      <c r="FL16" s="779"/>
      <c r="FM16" s="779"/>
      <c r="FN16" s="779"/>
      <c r="FO16" s="779"/>
      <c r="FP16" s="779"/>
      <c r="FQ16" s="779"/>
      <c r="FR16" s="779"/>
      <c r="FS16" s="779"/>
      <c r="FT16" s="779"/>
      <c r="FU16" s="779"/>
      <c r="FV16" s="779"/>
      <c r="FW16" s="779"/>
      <c r="FX16" s="779"/>
      <c r="FY16" s="779"/>
      <c r="FZ16" s="779"/>
      <c r="GA16" s="779"/>
      <c r="GB16" s="779"/>
      <c r="GC16" s="779"/>
      <c r="GD16" s="779"/>
      <c r="GE16" s="779"/>
      <c r="GF16" s="779"/>
      <c r="GG16" s="779"/>
      <c r="GH16" s="779"/>
      <c r="GI16" s="779"/>
      <c r="GJ16" s="779"/>
      <c r="GK16" s="779"/>
      <c r="GL16" s="779"/>
      <c r="GM16" s="779"/>
      <c r="GN16" s="779"/>
      <c r="GO16" s="779"/>
      <c r="GP16" s="779"/>
      <c r="GQ16" s="779"/>
      <c r="GR16" s="779"/>
      <c r="GS16" s="779"/>
      <c r="GT16" s="779"/>
      <c r="GU16" s="779"/>
      <c r="GV16" s="779"/>
      <c r="GW16" s="779"/>
      <c r="GX16" s="779"/>
      <c r="GY16" s="779"/>
      <c r="GZ16" s="779"/>
      <c r="HA16" s="779"/>
      <c r="HB16" s="779"/>
      <c r="HC16" s="779"/>
      <c r="HD16" s="779"/>
      <c r="HE16" s="779"/>
      <c r="HF16" s="779"/>
      <c r="HG16" s="779"/>
      <c r="HH16" s="779"/>
      <c r="HI16" s="779"/>
      <c r="HJ16" s="779"/>
      <c r="HK16" s="779"/>
      <c r="HL16" s="779"/>
      <c r="HM16" s="779"/>
      <c r="HN16" s="779"/>
      <c r="HO16" s="779"/>
      <c r="HP16" s="779"/>
      <c r="HQ16" s="779"/>
      <c r="HR16" s="779"/>
      <c r="HS16" s="779"/>
      <c r="HT16" s="779"/>
      <c r="HU16" s="779"/>
      <c r="HV16" s="779"/>
      <c r="HW16" s="779"/>
      <c r="HX16" s="779"/>
      <c r="HY16" s="779"/>
      <c r="HZ16" s="779"/>
      <c r="IA16" s="779"/>
      <c r="IB16" s="779"/>
      <c r="IC16" s="779"/>
      <c r="ID16" s="779"/>
      <c r="IE16" s="779"/>
      <c r="IF16" s="779"/>
      <c r="IG16" s="779"/>
      <c r="IH16" s="779"/>
      <c r="II16" s="779"/>
      <c r="IJ16" s="779"/>
      <c r="IK16" s="779"/>
      <c r="IL16" s="779"/>
      <c r="IM16" s="779"/>
      <c r="IN16" s="779"/>
      <c r="IO16" s="779"/>
      <c r="IP16" s="779"/>
      <c r="IQ16" s="779"/>
      <c r="IR16" s="779"/>
      <c r="IS16" s="779"/>
      <c r="IT16" s="779"/>
      <c r="IU16" s="779"/>
      <c r="IV16" s="779"/>
      <c r="IW16" s="779"/>
      <c r="IX16" s="779"/>
      <c r="IY16" s="779"/>
      <c r="IZ16" s="779"/>
      <c r="JA16" s="779"/>
      <c r="JB16" s="779"/>
      <c r="JC16" s="779"/>
      <c r="JD16" s="779"/>
      <c r="JE16" s="779"/>
      <c r="JF16" s="779"/>
      <c r="JG16" s="779"/>
      <c r="JH16" s="779"/>
      <c r="JI16" s="779"/>
      <c r="JJ16" s="779"/>
      <c r="JK16" s="779"/>
      <c r="JL16" s="779"/>
      <c r="JM16" s="779"/>
      <c r="JN16" s="779"/>
      <c r="JO16" s="779"/>
      <c r="JP16" s="779"/>
      <c r="JQ16" s="779"/>
      <c r="JR16" s="779"/>
      <c r="JS16" s="779"/>
      <c r="JT16" s="779"/>
      <c r="JU16" s="779"/>
      <c r="JV16" s="779"/>
      <c r="JW16" s="779"/>
      <c r="JX16" s="779"/>
      <c r="JY16" s="779"/>
      <c r="JZ16" s="779"/>
      <c r="KA16" s="779"/>
      <c r="KB16" s="779"/>
      <c r="KC16" s="779"/>
      <c r="KD16" s="779"/>
      <c r="KE16" s="779"/>
      <c r="KF16" s="779"/>
      <c r="KG16" s="779"/>
      <c r="KH16" s="779"/>
      <c r="KI16" s="779"/>
      <c r="KJ16" s="779"/>
      <c r="KK16" s="779"/>
      <c r="KL16" s="779"/>
      <c r="KM16" s="779"/>
      <c r="KN16" s="779"/>
      <c r="KO16" s="779"/>
      <c r="KP16" s="779"/>
      <c r="KQ16" s="779"/>
      <c r="KR16" s="779"/>
      <c r="KS16" s="779"/>
      <c r="KT16" s="779"/>
      <c r="KU16" s="779"/>
      <c r="KV16" s="779"/>
      <c r="KW16" s="779"/>
      <c r="KX16" s="779"/>
      <c r="KY16" s="779"/>
      <c r="KZ16" s="779"/>
      <c r="LA16" s="779"/>
      <c r="LB16" s="779"/>
      <c r="LC16" s="779"/>
      <c r="LD16" s="779"/>
      <c r="LE16" s="779"/>
      <c r="LF16" s="779"/>
      <c r="LG16" s="779"/>
      <c r="LH16" s="779"/>
      <c r="LI16" s="779"/>
      <c r="LJ16" s="779"/>
      <c r="LK16" s="779"/>
      <c r="LL16" s="779"/>
      <c r="LM16" s="779"/>
      <c r="LN16" s="779"/>
      <c r="LO16" s="779"/>
      <c r="LP16" s="779"/>
      <c r="LQ16" s="779"/>
      <c r="LR16" s="779"/>
      <c r="LS16" s="779"/>
      <c r="LT16" s="779"/>
      <c r="LU16" s="779"/>
      <c r="LV16" s="779"/>
      <c r="LW16" s="779"/>
      <c r="LX16" s="779"/>
      <c r="LY16" s="779"/>
      <c r="LZ16" s="779"/>
      <c r="MA16" s="779"/>
      <c r="MB16" s="779"/>
      <c r="MC16" s="779"/>
      <c r="MD16" s="779"/>
      <c r="ME16" s="779"/>
      <c r="MF16" s="779"/>
      <c r="MG16" s="779"/>
      <c r="MH16" s="779"/>
      <c r="MI16" s="779"/>
      <c r="MJ16" s="779"/>
      <c r="MK16" s="779"/>
      <c r="ML16" s="779"/>
      <c r="MM16" s="779"/>
      <c r="MN16" s="779"/>
      <c r="MO16" s="779"/>
      <c r="MP16" s="779"/>
      <c r="MQ16" s="779"/>
      <c r="MR16" s="779"/>
      <c r="MS16" s="779"/>
      <c r="MT16" s="779"/>
      <c r="MU16" s="779"/>
      <c r="MV16" s="779"/>
      <c r="MW16" s="779"/>
      <c r="MX16" s="779"/>
      <c r="MY16" s="779"/>
      <c r="MZ16" s="779"/>
      <c r="NA16" s="779"/>
      <c r="NB16" s="779"/>
      <c r="NC16" s="779"/>
      <c r="ND16" s="779"/>
      <c r="NE16" s="779"/>
      <c r="NF16" s="779"/>
      <c r="NG16" s="779"/>
      <c r="NH16" s="779"/>
      <c r="NI16" s="779"/>
      <c r="NJ16" s="779"/>
      <c r="NK16" s="779"/>
      <c r="NL16" s="779"/>
      <c r="NM16" s="779"/>
      <c r="NN16" s="779"/>
      <c r="NO16" s="779"/>
      <c r="NP16" s="779"/>
      <c r="NQ16" s="779"/>
      <c r="NR16" s="779"/>
      <c r="NS16" s="779"/>
      <c r="NT16" s="779"/>
      <c r="NU16" s="779"/>
      <c r="NV16" s="779"/>
      <c r="NW16" s="779"/>
      <c r="NX16" s="779"/>
      <c r="NY16" s="779"/>
      <c r="NZ16" s="779"/>
      <c r="OA16" s="779"/>
      <c r="OB16" s="779"/>
      <c r="OC16" s="779"/>
      <c r="OD16" s="779"/>
      <c r="OE16" s="779"/>
      <c r="OF16" s="779"/>
      <c r="OG16" s="779"/>
      <c r="OH16" s="779"/>
      <c r="OI16" s="779"/>
      <c r="OJ16" s="779"/>
      <c r="OK16" s="779"/>
      <c r="OL16" s="779"/>
      <c r="OM16" s="779"/>
      <c r="ON16" s="779"/>
      <c r="OO16" s="779"/>
      <c r="OP16" s="779"/>
      <c r="OQ16" s="779"/>
      <c r="OR16" s="779"/>
      <c r="OS16" s="779"/>
      <c r="OT16" s="779"/>
      <c r="OU16" s="779"/>
      <c r="OV16" s="779"/>
      <c r="OW16" s="779"/>
      <c r="OX16" s="779"/>
      <c r="OY16" s="779"/>
      <c r="OZ16" s="779"/>
      <c r="PA16" s="779"/>
      <c r="PB16" s="779"/>
      <c r="PC16" s="779"/>
      <c r="PD16" s="779"/>
      <c r="PE16" s="779"/>
      <c r="PF16" s="779"/>
      <c r="PG16" s="779"/>
      <c r="PH16" s="779"/>
      <c r="PI16" s="779"/>
      <c r="PJ16" s="779"/>
      <c r="PK16" s="779"/>
      <c r="PL16" s="779"/>
      <c r="PM16" s="779"/>
      <c r="PN16" s="779"/>
      <c r="PO16" s="779"/>
    </row>
    <row r="17" spans="1:431" s="143" customFormat="1">
      <c r="A17" s="779"/>
      <c r="B17" s="779"/>
      <c r="C17" s="782"/>
      <c r="D17" s="782"/>
      <c r="E17" s="782"/>
      <c r="F17" s="782"/>
      <c r="G17" s="782"/>
      <c r="H17" s="782"/>
      <c r="I17" s="782"/>
      <c r="J17" s="782"/>
      <c r="K17" s="782"/>
      <c r="L17" s="782"/>
      <c r="M17" s="779"/>
      <c r="N17" s="779"/>
      <c r="O17" s="779"/>
      <c r="P17" s="779"/>
      <c r="Q17" s="779"/>
      <c r="R17" s="779"/>
      <c r="S17" s="779"/>
      <c r="T17" s="779"/>
      <c r="U17" s="779"/>
      <c r="V17" s="779"/>
      <c r="W17" s="779"/>
      <c r="X17" s="779"/>
      <c r="Y17" s="779"/>
      <c r="Z17" s="779"/>
      <c r="AA17" s="779"/>
      <c r="AB17" s="779"/>
      <c r="AC17" s="779"/>
      <c r="AD17" s="779"/>
      <c r="AE17" s="779"/>
      <c r="AF17" s="779"/>
      <c r="AG17" s="779"/>
      <c r="AH17" s="779"/>
      <c r="AI17" s="779"/>
      <c r="AJ17" s="779"/>
      <c r="AK17" s="779"/>
      <c r="AL17" s="779"/>
      <c r="AM17" s="779"/>
      <c r="AN17" s="779"/>
      <c r="AO17" s="779"/>
      <c r="AP17" s="779"/>
      <c r="AQ17" s="779"/>
      <c r="AR17" s="779"/>
      <c r="AS17" s="779"/>
      <c r="AT17" s="779"/>
      <c r="AU17" s="779"/>
      <c r="AV17" s="779"/>
      <c r="AW17" s="779"/>
      <c r="AX17" s="779"/>
      <c r="AY17" s="779"/>
      <c r="AZ17" s="779"/>
      <c r="BA17" s="779"/>
      <c r="BB17" s="779"/>
      <c r="BC17" s="779"/>
      <c r="BD17" s="779"/>
      <c r="BE17" s="779"/>
      <c r="BF17" s="779"/>
      <c r="BG17" s="779"/>
      <c r="BH17" s="779"/>
      <c r="BI17" s="779"/>
      <c r="BJ17" s="779"/>
      <c r="BK17" s="779"/>
      <c r="BL17" s="779"/>
      <c r="BM17" s="779"/>
      <c r="BN17" s="779"/>
      <c r="BO17" s="779"/>
      <c r="BP17" s="779"/>
      <c r="BQ17" s="779"/>
      <c r="BR17" s="779"/>
      <c r="BS17" s="779"/>
      <c r="BT17" s="779"/>
      <c r="BU17" s="779"/>
      <c r="BV17" s="779"/>
      <c r="BW17" s="779"/>
      <c r="BX17" s="779"/>
      <c r="BY17" s="779"/>
      <c r="BZ17" s="779"/>
      <c r="CA17" s="779"/>
      <c r="CB17" s="779"/>
      <c r="CC17" s="779"/>
      <c r="CD17" s="779"/>
      <c r="CE17" s="779"/>
      <c r="CF17" s="779"/>
      <c r="CG17" s="779"/>
      <c r="CH17" s="779"/>
      <c r="CI17" s="779"/>
      <c r="CJ17" s="779"/>
      <c r="CK17" s="779"/>
      <c r="CL17" s="779"/>
      <c r="CM17" s="779"/>
      <c r="CN17" s="779"/>
      <c r="CO17" s="779"/>
      <c r="CP17" s="779"/>
      <c r="CQ17" s="779"/>
      <c r="CR17" s="779"/>
      <c r="CS17" s="779"/>
      <c r="CT17" s="779"/>
      <c r="CU17" s="779"/>
      <c r="CV17" s="779"/>
      <c r="CW17" s="779"/>
      <c r="CX17" s="779"/>
      <c r="CY17" s="779"/>
      <c r="CZ17" s="779"/>
      <c r="DA17" s="779"/>
      <c r="DB17" s="779"/>
      <c r="DC17" s="779"/>
      <c r="DD17" s="779"/>
      <c r="DE17" s="779"/>
      <c r="DF17" s="779"/>
      <c r="DG17" s="779"/>
      <c r="DH17" s="779"/>
      <c r="DI17" s="779"/>
      <c r="DJ17" s="779"/>
      <c r="DK17" s="779"/>
      <c r="DL17" s="779"/>
      <c r="DM17" s="779"/>
      <c r="DN17" s="779"/>
      <c r="DO17" s="779"/>
      <c r="DP17" s="779"/>
      <c r="DQ17" s="779"/>
      <c r="DR17" s="779"/>
      <c r="DS17" s="779"/>
      <c r="DT17" s="779"/>
      <c r="DU17" s="779"/>
      <c r="DV17" s="779"/>
      <c r="DW17" s="779"/>
      <c r="DX17" s="779"/>
      <c r="DY17" s="779"/>
      <c r="DZ17" s="779"/>
      <c r="EA17" s="779"/>
      <c r="EB17" s="779"/>
      <c r="EC17" s="779"/>
      <c r="ED17" s="779"/>
      <c r="EE17" s="779"/>
      <c r="EF17" s="779"/>
      <c r="EG17" s="779"/>
      <c r="EH17" s="779"/>
      <c r="EI17" s="779"/>
      <c r="EJ17" s="779"/>
      <c r="EK17" s="779"/>
      <c r="EL17" s="779"/>
      <c r="EM17" s="779"/>
      <c r="EN17" s="779"/>
      <c r="EO17" s="779"/>
      <c r="EP17" s="779"/>
      <c r="EQ17" s="779"/>
      <c r="ER17" s="779"/>
      <c r="ES17" s="779"/>
      <c r="ET17" s="779"/>
      <c r="EU17" s="779"/>
      <c r="EV17" s="779"/>
      <c r="EW17" s="779"/>
      <c r="EX17" s="779"/>
      <c r="EY17" s="779"/>
      <c r="EZ17" s="779"/>
      <c r="FA17" s="779"/>
      <c r="FB17" s="779"/>
      <c r="FC17" s="779"/>
      <c r="FD17" s="779"/>
      <c r="FE17" s="779"/>
      <c r="FF17" s="779"/>
      <c r="FG17" s="779"/>
      <c r="FH17" s="779"/>
      <c r="FI17" s="779"/>
      <c r="FJ17" s="779"/>
      <c r="FK17" s="779"/>
      <c r="FL17" s="779"/>
      <c r="FM17" s="779"/>
      <c r="FN17" s="779"/>
      <c r="FO17" s="779"/>
      <c r="FP17" s="779"/>
      <c r="FQ17" s="779"/>
      <c r="FR17" s="779"/>
      <c r="FS17" s="779"/>
      <c r="FT17" s="779"/>
      <c r="FU17" s="779"/>
      <c r="FV17" s="779"/>
      <c r="FW17" s="779"/>
      <c r="FX17" s="779"/>
      <c r="FY17" s="779"/>
      <c r="FZ17" s="779"/>
      <c r="GA17" s="779"/>
      <c r="GB17" s="779"/>
      <c r="GC17" s="779"/>
      <c r="GD17" s="779"/>
      <c r="GE17" s="779"/>
      <c r="GF17" s="779"/>
      <c r="GG17" s="779"/>
      <c r="GH17" s="779"/>
      <c r="GI17" s="779"/>
      <c r="GJ17" s="779"/>
      <c r="GK17" s="779"/>
      <c r="GL17" s="779"/>
      <c r="GM17" s="779"/>
      <c r="GN17" s="779"/>
      <c r="GO17" s="779"/>
      <c r="GP17" s="779"/>
      <c r="GQ17" s="779"/>
      <c r="GR17" s="779"/>
      <c r="GS17" s="779"/>
      <c r="GT17" s="779"/>
      <c r="GU17" s="779"/>
      <c r="GV17" s="779"/>
      <c r="GW17" s="779"/>
      <c r="GX17" s="779"/>
      <c r="GY17" s="779"/>
      <c r="GZ17" s="779"/>
      <c r="HA17" s="779"/>
      <c r="HB17" s="779"/>
      <c r="HC17" s="779"/>
      <c r="HD17" s="779"/>
      <c r="HE17" s="779"/>
      <c r="HF17" s="779"/>
      <c r="HG17" s="779"/>
      <c r="HH17" s="779"/>
      <c r="HI17" s="779"/>
      <c r="HJ17" s="779"/>
      <c r="HK17" s="779"/>
      <c r="HL17" s="779"/>
      <c r="HM17" s="779"/>
      <c r="HN17" s="779"/>
      <c r="HO17" s="779"/>
      <c r="HP17" s="779"/>
      <c r="HQ17" s="779"/>
      <c r="HR17" s="779"/>
      <c r="HS17" s="779"/>
      <c r="HT17" s="779"/>
      <c r="HU17" s="779"/>
      <c r="HV17" s="779"/>
      <c r="HW17" s="779"/>
      <c r="HX17" s="779"/>
      <c r="HY17" s="779"/>
      <c r="HZ17" s="779"/>
      <c r="IA17" s="779"/>
      <c r="IB17" s="779"/>
      <c r="IC17" s="779"/>
      <c r="ID17" s="779"/>
      <c r="IE17" s="779"/>
      <c r="IF17" s="779"/>
      <c r="IG17" s="779"/>
      <c r="IH17" s="779"/>
      <c r="II17" s="779"/>
      <c r="IJ17" s="779"/>
      <c r="IK17" s="779"/>
      <c r="IL17" s="779"/>
      <c r="IM17" s="779"/>
      <c r="IN17" s="779"/>
      <c r="IO17" s="779"/>
      <c r="IP17" s="779"/>
      <c r="IQ17" s="779"/>
      <c r="IR17" s="779"/>
      <c r="IS17" s="779"/>
      <c r="IT17" s="779"/>
      <c r="IU17" s="779"/>
      <c r="IV17" s="779"/>
      <c r="IW17" s="779"/>
      <c r="IX17" s="779"/>
      <c r="IY17" s="779"/>
      <c r="IZ17" s="779"/>
      <c r="JA17" s="779"/>
      <c r="JB17" s="779"/>
      <c r="JC17" s="779"/>
      <c r="JD17" s="779"/>
      <c r="JE17" s="779"/>
      <c r="JF17" s="779"/>
      <c r="JG17" s="779"/>
      <c r="JH17" s="779"/>
      <c r="JI17" s="779"/>
      <c r="JJ17" s="779"/>
      <c r="JK17" s="779"/>
      <c r="JL17" s="779"/>
      <c r="JM17" s="779"/>
      <c r="JN17" s="779"/>
      <c r="JO17" s="779"/>
      <c r="JP17" s="779"/>
      <c r="JQ17" s="779"/>
      <c r="JR17" s="779"/>
      <c r="JS17" s="779"/>
      <c r="JT17" s="779"/>
      <c r="JU17" s="779"/>
      <c r="JV17" s="779"/>
      <c r="JW17" s="779"/>
      <c r="JX17" s="779"/>
      <c r="JY17" s="779"/>
      <c r="JZ17" s="779"/>
      <c r="KA17" s="779"/>
      <c r="KB17" s="779"/>
      <c r="KC17" s="779"/>
      <c r="KD17" s="779"/>
      <c r="KE17" s="779"/>
      <c r="KF17" s="779"/>
      <c r="KG17" s="779"/>
      <c r="KH17" s="779"/>
      <c r="KI17" s="779"/>
      <c r="KJ17" s="779"/>
      <c r="KK17" s="779"/>
      <c r="KL17" s="779"/>
      <c r="KM17" s="779"/>
      <c r="KN17" s="779"/>
      <c r="KO17" s="779"/>
      <c r="KP17" s="779"/>
      <c r="KQ17" s="779"/>
      <c r="KR17" s="779"/>
      <c r="KS17" s="779"/>
      <c r="KT17" s="779"/>
      <c r="KU17" s="779"/>
      <c r="KV17" s="779"/>
      <c r="KW17" s="779"/>
      <c r="KX17" s="779"/>
      <c r="KY17" s="779"/>
      <c r="KZ17" s="779"/>
      <c r="LA17" s="779"/>
      <c r="LB17" s="779"/>
      <c r="LC17" s="779"/>
      <c r="LD17" s="779"/>
      <c r="LE17" s="779"/>
      <c r="LF17" s="779"/>
      <c r="LG17" s="779"/>
      <c r="LH17" s="779"/>
      <c r="LI17" s="779"/>
      <c r="LJ17" s="779"/>
      <c r="LK17" s="779"/>
      <c r="LL17" s="779"/>
      <c r="LM17" s="779"/>
      <c r="LN17" s="779"/>
      <c r="LO17" s="779"/>
      <c r="LP17" s="779"/>
      <c r="LQ17" s="779"/>
      <c r="LR17" s="779"/>
      <c r="LS17" s="779"/>
      <c r="LT17" s="779"/>
      <c r="LU17" s="779"/>
      <c r="LV17" s="779"/>
      <c r="LW17" s="779"/>
      <c r="LX17" s="779"/>
      <c r="LY17" s="779"/>
      <c r="LZ17" s="779"/>
      <c r="MA17" s="779"/>
      <c r="MB17" s="779"/>
      <c r="MC17" s="779"/>
      <c r="MD17" s="779"/>
      <c r="ME17" s="779"/>
      <c r="MF17" s="779"/>
      <c r="MG17" s="779"/>
      <c r="MH17" s="779"/>
      <c r="MI17" s="779"/>
      <c r="MJ17" s="779"/>
      <c r="MK17" s="779"/>
      <c r="ML17" s="779"/>
      <c r="MM17" s="779"/>
      <c r="MN17" s="779"/>
      <c r="MO17" s="779"/>
      <c r="MP17" s="779"/>
      <c r="MQ17" s="779"/>
      <c r="MR17" s="779"/>
      <c r="MS17" s="779"/>
      <c r="MT17" s="779"/>
      <c r="MU17" s="779"/>
      <c r="MV17" s="779"/>
      <c r="MW17" s="779"/>
      <c r="MX17" s="779"/>
      <c r="MY17" s="779"/>
      <c r="MZ17" s="779"/>
      <c r="NA17" s="779"/>
      <c r="NB17" s="779"/>
      <c r="NC17" s="779"/>
      <c r="ND17" s="779"/>
      <c r="NE17" s="779"/>
      <c r="NF17" s="779"/>
      <c r="NG17" s="779"/>
      <c r="NH17" s="779"/>
      <c r="NI17" s="779"/>
      <c r="NJ17" s="779"/>
      <c r="NK17" s="779"/>
      <c r="NL17" s="779"/>
      <c r="NM17" s="779"/>
      <c r="NN17" s="779"/>
      <c r="NO17" s="779"/>
      <c r="NP17" s="779"/>
      <c r="NQ17" s="779"/>
      <c r="NR17" s="779"/>
      <c r="NS17" s="779"/>
      <c r="NT17" s="779"/>
      <c r="NU17" s="779"/>
      <c r="NV17" s="779"/>
      <c r="NW17" s="779"/>
      <c r="NX17" s="779"/>
      <c r="NY17" s="779"/>
      <c r="NZ17" s="779"/>
      <c r="OA17" s="779"/>
      <c r="OB17" s="779"/>
      <c r="OC17" s="779"/>
      <c r="OD17" s="779"/>
      <c r="OE17" s="779"/>
      <c r="OF17" s="779"/>
      <c r="OG17" s="779"/>
      <c r="OH17" s="779"/>
      <c r="OI17" s="779"/>
      <c r="OJ17" s="779"/>
      <c r="OK17" s="779"/>
      <c r="OL17" s="779"/>
      <c r="OM17" s="779"/>
      <c r="ON17" s="779"/>
      <c r="OO17" s="779"/>
      <c r="OP17" s="779"/>
      <c r="OQ17" s="779"/>
      <c r="OR17" s="779"/>
      <c r="OS17" s="779"/>
      <c r="OT17" s="779"/>
      <c r="OU17" s="779"/>
      <c r="OV17" s="779"/>
      <c r="OW17" s="779"/>
      <c r="OX17" s="779"/>
      <c r="OY17" s="779"/>
      <c r="OZ17" s="779"/>
      <c r="PA17" s="779"/>
      <c r="PB17" s="779"/>
      <c r="PC17" s="779"/>
      <c r="PD17" s="779"/>
      <c r="PE17" s="779"/>
      <c r="PF17" s="779"/>
      <c r="PG17" s="779"/>
      <c r="PH17" s="779"/>
      <c r="PI17" s="779"/>
      <c r="PJ17" s="779"/>
      <c r="PK17" s="779"/>
      <c r="PL17" s="779"/>
      <c r="PM17" s="779"/>
      <c r="PN17" s="779"/>
      <c r="PO17" s="779"/>
    </row>
    <row r="18" spans="1:431" s="143" customFormat="1">
      <c r="A18" s="779"/>
      <c r="B18" s="779"/>
      <c r="C18" s="782"/>
      <c r="D18" s="782"/>
      <c r="E18" s="782"/>
      <c r="F18" s="782"/>
      <c r="G18" s="782"/>
      <c r="H18" s="782"/>
      <c r="I18" s="782"/>
      <c r="J18" s="782"/>
      <c r="K18" s="782"/>
      <c r="L18" s="782"/>
      <c r="M18" s="779"/>
      <c r="N18" s="779"/>
      <c r="O18" s="779"/>
      <c r="P18" s="779"/>
      <c r="Q18" s="779"/>
      <c r="R18" s="779"/>
      <c r="S18" s="779"/>
      <c r="T18" s="779"/>
      <c r="U18" s="779"/>
      <c r="V18" s="779"/>
      <c r="W18" s="779"/>
      <c r="X18" s="779"/>
      <c r="Y18" s="779"/>
      <c r="Z18" s="779"/>
      <c r="AA18" s="779"/>
      <c r="AB18" s="779"/>
      <c r="AC18" s="779"/>
      <c r="AD18" s="779"/>
      <c r="AE18" s="779"/>
      <c r="AF18" s="779"/>
      <c r="AG18" s="779"/>
      <c r="AH18" s="779"/>
      <c r="AI18" s="779"/>
      <c r="AJ18" s="779"/>
      <c r="AK18" s="779"/>
      <c r="AL18" s="779"/>
      <c r="AM18" s="779"/>
      <c r="AN18" s="779"/>
      <c r="AO18" s="779"/>
      <c r="AP18" s="779"/>
      <c r="AQ18" s="779"/>
      <c r="AR18" s="779"/>
      <c r="AS18" s="779"/>
      <c r="AT18" s="779"/>
      <c r="AU18" s="779"/>
      <c r="AV18" s="779"/>
      <c r="AW18" s="779"/>
      <c r="AX18" s="779"/>
      <c r="AY18" s="779"/>
      <c r="AZ18" s="779"/>
      <c r="BA18" s="779"/>
      <c r="BB18" s="779"/>
      <c r="BC18" s="779"/>
      <c r="BD18" s="779"/>
      <c r="BE18" s="779"/>
      <c r="BF18" s="779"/>
      <c r="BG18" s="779"/>
      <c r="BH18" s="779"/>
      <c r="BI18" s="779"/>
      <c r="BJ18" s="779"/>
      <c r="BK18" s="779"/>
      <c r="BL18" s="779"/>
      <c r="BM18" s="779"/>
      <c r="BN18" s="779"/>
      <c r="BO18" s="779"/>
      <c r="BP18" s="779"/>
      <c r="BQ18" s="779"/>
      <c r="BR18" s="779"/>
      <c r="BS18" s="779"/>
      <c r="BT18" s="779"/>
      <c r="BU18" s="779"/>
      <c r="BV18" s="779"/>
      <c r="BW18" s="779"/>
      <c r="BX18" s="779"/>
      <c r="BY18" s="779"/>
      <c r="BZ18" s="779"/>
      <c r="CA18" s="779"/>
      <c r="CB18" s="779"/>
      <c r="CC18" s="779"/>
      <c r="CD18" s="779"/>
      <c r="CE18" s="779"/>
      <c r="CF18" s="779"/>
      <c r="CG18" s="779"/>
      <c r="CH18" s="779"/>
      <c r="CI18" s="779"/>
      <c r="CJ18" s="779"/>
      <c r="CK18" s="779"/>
      <c r="CL18" s="779"/>
      <c r="CM18" s="779"/>
      <c r="CN18" s="779"/>
      <c r="CO18" s="779"/>
      <c r="CP18" s="779"/>
      <c r="CQ18" s="779"/>
      <c r="CR18" s="779"/>
      <c r="CS18" s="779"/>
      <c r="CT18" s="779"/>
      <c r="CU18" s="779"/>
      <c r="CV18" s="779"/>
      <c r="CW18" s="779"/>
      <c r="CX18" s="779"/>
      <c r="CY18" s="779"/>
      <c r="CZ18" s="779"/>
      <c r="DA18" s="779"/>
      <c r="DB18" s="779"/>
      <c r="DC18" s="779"/>
      <c r="DD18" s="779"/>
      <c r="DE18" s="779"/>
      <c r="DF18" s="779"/>
      <c r="DG18" s="779"/>
      <c r="DH18" s="779"/>
      <c r="DI18" s="779"/>
      <c r="DJ18" s="779"/>
      <c r="DK18" s="779"/>
      <c r="DL18" s="779"/>
      <c r="DM18" s="779"/>
      <c r="DN18" s="779"/>
      <c r="DO18" s="779"/>
      <c r="DP18" s="779"/>
      <c r="DQ18" s="779"/>
      <c r="DR18" s="779"/>
      <c r="DS18" s="779"/>
      <c r="DT18" s="779"/>
      <c r="DU18" s="779"/>
      <c r="DV18" s="779"/>
      <c r="DW18" s="779"/>
      <c r="DX18" s="779"/>
      <c r="DY18" s="779"/>
      <c r="DZ18" s="779"/>
      <c r="EA18" s="779"/>
      <c r="EB18" s="779"/>
      <c r="EC18" s="779"/>
      <c r="ED18" s="779"/>
      <c r="EE18" s="779"/>
      <c r="EF18" s="779"/>
      <c r="EG18" s="779"/>
      <c r="EH18" s="779"/>
      <c r="EI18" s="779"/>
      <c r="EJ18" s="779"/>
      <c r="EK18" s="779"/>
      <c r="EL18" s="779"/>
      <c r="EM18" s="779"/>
      <c r="EN18" s="779"/>
      <c r="EO18" s="779"/>
      <c r="EP18" s="779"/>
      <c r="EQ18" s="779"/>
      <c r="ER18" s="779"/>
      <c r="ES18" s="779"/>
      <c r="ET18" s="779"/>
      <c r="EU18" s="779"/>
      <c r="EV18" s="779"/>
      <c r="EW18" s="779"/>
      <c r="EX18" s="779"/>
      <c r="EY18" s="779"/>
      <c r="EZ18" s="779"/>
      <c r="FA18" s="779"/>
      <c r="FB18" s="779"/>
      <c r="FC18" s="779"/>
      <c r="FD18" s="779"/>
      <c r="FE18" s="779"/>
      <c r="FF18" s="779"/>
      <c r="FG18" s="779"/>
      <c r="FH18" s="779"/>
      <c r="FI18" s="779"/>
      <c r="FJ18" s="779"/>
      <c r="FK18" s="779"/>
      <c r="FL18" s="779"/>
      <c r="FM18" s="779"/>
      <c r="FN18" s="779"/>
      <c r="FO18" s="779"/>
      <c r="FP18" s="779"/>
      <c r="FQ18" s="779"/>
      <c r="FR18" s="779"/>
      <c r="FS18" s="779"/>
      <c r="FT18" s="779"/>
      <c r="FU18" s="779"/>
      <c r="FV18" s="779"/>
      <c r="FW18" s="779"/>
      <c r="FX18" s="779"/>
      <c r="FY18" s="779"/>
      <c r="FZ18" s="779"/>
      <c r="GA18" s="779"/>
      <c r="GB18" s="779"/>
      <c r="GC18" s="779"/>
      <c r="GD18" s="779"/>
      <c r="GE18" s="779"/>
      <c r="GF18" s="779"/>
      <c r="GG18" s="779"/>
      <c r="GH18" s="779"/>
      <c r="GI18" s="779"/>
      <c r="GJ18" s="779"/>
      <c r="GK18" s="779"/>
      <c r="GL18" s="779"/>
      <c r="GM18" s="779"/>
      <c r="GN18" s="779"/>
      <c r="GO18" s="779"/>
      <c r="GP18" s="779"/>
      <c r="GQ18" s="779"/>
      <c r="GR18" s="779"/>
      <c r="GS18" s="779"/>
      <c r="GT18" s="779"/>
      <c r="GU18" s="779"/>
      <c r="GV18" s="779"/>
      <c r="GW18" s="779"/>
      <c r="GX18" s="779"/>
      <c r="GY18" s="779"/>
      <c r="GZ18" s="779"/>
      <c r="HA18" s="779"/>
      <c r="HB18" s="779"/>
      <c r="HC18" s="779"/>
      <c r="HD18" s="779"/>
      <c r="HE18" s="779"/>
      <c r="HF18" s="779"/>
      <c r="HG18" s="779"/>
      <c r="HH18" s="779"/>
      <c r="HI18" s="779"/>
      <c r="HJ18" s="779"/>
      <c r="HK18" s="779"/>
      <c r="HL18" s="779"/>
      <c r="HM18" s="779"/>
      <c r="HN18" s="779"/>
      <c r="HO18" s="779"/>
      <c r="HP18" s="779"/>
      <c r="HQ18" s="779"/>
      <c r="HR18" s="779"/>
      <c r="HS18" s="779"/>
      <c r="HT18" s="779"/>
      <c r="HU18" s="779"/>
      <c r="HV18" s="779"/>
      <c r="HW18" s="779"/>
      <c r="HX18" s="779"/>
      <c r="HY18" s="779"/>
      <c r="HZ18" s="779"/>
      <c r="IA18" s="779"/>
      <c r="IB18" s="779"/>
      <c r="IC18" s="779"/>
      <c r="ID18" s="779"/>
      <c r="IE18" s="779"/>
      <c r="IF18" s="779"/>
      <c r="IG18" s="779"/>
      <c r="IH18" s="779"/>
      <c r="II18" s="779"/>
      <c r="IJ18" s="779"/>
      <c r="IK18" s="779"/>
      <c r="IL18" s="779"/>
      <c r="IM18" s="779"/>
      <c r="IN18" s="779"/>
      <c r="IO18" s="779"/>
      <c r="IP18" s="779"/>
      <c r="IQ18" s="779"/>
      <c r="IR18" s="779"/>
      <c r="IS18" s="779"/>
      <c r="IT18" s="779"/>
      <c r="IU18" s="779"/>
      <c r="IV18" s="779"/>
      <c r="IW18" s="779"/>
      <c r="IX18" s="779"/>
      <c r="IY18" s="779"/>
      <c r="IZ18" s="779"/>
      <c r="JA18" s="779"/>
      <c r="JB18" s="779"/>
      <c r="JC18" s="779"/>
      <c r="JD18" s="779"/>
      <c r="JE18" s="779"/>
      <c r="JF18" s="779"/>
      <c r="JG18" s="779"/>
      <c r="JH18" s="779"/>
      <c r="JI18" s="779"/>
      <c r="JJ18" s="779"/>
      <c r="JK18" s="779"/>
      <c r="JL18" s="779"/>
      <c r="JM18" s="779"/>
      <c r="JN18" s="779"/>
      <c r="JO18" s="779"/>
      <c r="JP18" s="779"/>
      <c r="JQ18" s="779"/>
      <c r="JR18" s="779"/>
      <c r="JS18" s="779"/>
      <c r="JT18" s="779"/>
      <c r="JU18" s="779"/>
      <c r="JV18" s="779"/>
      <c r="JW18" s="779"/>
      <c r="JX18" s="779"/>
      <c r="JY18" s="779"/>
      <c r="JZ18" s="779"/>
      <c r="KA18" s="779"/>
      <c r="KB18" s="779"/>
      <c r="KC18" s="779"/>
      <c r="KD18" s="779"/>
      <c r="KE18" s="779"/>
      <c r="KF18" s="779"/>
      <c r="KG18" s="779"/>
      <c r="KH18" s="779"/>
      <c r="KI18" s="779"/>
      <c r="KJ18" s="779"/>
      <c r="KK18" s="779"/>
      <c r="KL18" s="779"/>
      <c r="KM18" s="779"/>
      <c r="KN18" s="779"/>
      <c r="KO18" s="779"/>
      <c r="KP18" s="779"/>
      <c r="KQ18" s="779"/>
      <c r="KR18" s="779"/>
      <c r="KS18" s="779"/>
      <c r="KT18" s="779"/>
      <c r="KU18" s="779"/>
      <c r="KV18" s="779"/>
      <c r="KW18" s="779"/>
      <c r="KX18" s="779"/>
      <c r="KY18" s="779"/>
      <c r="KZ18" s="779"/>
      <c r="LA18" s="779"/>
      <c r="LB18" s="779"/>
      <c r="LC18" s="779"/>
      <c r="LD18" s="779"/>
      <c r="LE18" s="779"/>
      <c r="LF18" s="779"/>
      <c r="LG18" s="779"/>
      <c r="LH18" s="779"/>
      <c r="LI18" s="779"/>
      <c r="LJ18" s="779"/>
      <c r="LK18" s="779"/>
      <c r="LL18" s="779"/>
      <c r="LM18" s="779"/>
      <c r="LN18" s="779"/>
      <c r="LO18" s="779"/>
      <c r="LP18" s="779"/>
      <c r="LQ18" s="779"/>
      <c r="LR18" s="779"/>
      <c r="LS18" s="779"/>
      <c r="LT18" s="779"/>
      <c r="LU18" s="779"/>
      <c r="LV18" s="779"/>
      <c r="LW18" s="779"/>
      <c r="LX18" s="779"/>
      <c r="LY18" s="779"/>
      <c r="LZ18" s="779"/>
      <c r="MA18" s="779"/>
      <c r="MB18" s="779"/>
      <c r="MC18" s="779"/>
      <c r="MD18" s="779"/>
      <c r="ME18" s="779"/>
      <c r="MF18" s="779"/>
      <c r="MG18" s="779"/>
      <c r="MH18" s="779"/>
      <c r="MI18" s="779"/>
      <c r="MJ18" s="779"/>
      <c r="MK18" s="779"/>
      <c r="ML18" s="779"/>
      <c r="MM18" s="779"/>
      <c r="MN18" s="779"/>
      <c r="MO18" s="779"/>
      <c r="MP18" s="779"/>
      <c r="MQ18" s="779"/>
      <c r="MR18" s="779"/>
      <c r="MS18" s="779"/>
      <c r="MT18" s="779"/>
      <c r="MU18" s="779"/>
      <c r="MV18" s="779"/>
      <c r="MW18" s="779"/>
      <c r="MX18" s="779"/>
      <c r="MY18" s="779"/>
      <c r="MZ18" s="779"/>
      <c r="NA18" s="779"/>
      <c r="NB18" s="779"/>
      <c r="NC18" s="779"/>
      <c r="ND18" s="779"/>
      <c r="NE18" s="779"/>
      <c r="NF18" s="779"/>
      <c r="NG18" s="779"/>
      <c r="NH18" s="779"/>
      <c r="NI18" s="779"/>
      <c r="NJ18" s="779"/>
      <c r="NK18" s="779"/>
      <c r="NL18" s="779"/>
      <c r="NM18" s="779"/>
      <c r="NN18" s="779"/>
      <c r="NO18" s="779"/>
      <c r="NP18" s="779"/>
      <c r="NQ18" s="779"/>
      <c r="NR18" s="779"/>
      <c r="NS18" s="779"/>
      <c r="NT18" s="779"/>
      <c r="NU18" s="779"/>
      <c r="NV18" s="779"/>
      <c r="NW18" s="779"/>
      <c r="NX18" s="779"/>
      <c r="NY18" s="779"/>
      <c r="NZ18" s="779"/>
      <c r="OA18" s="779"/>
      <c r="OB18" s="779"/>
      <c r="OC18" s="779"/>
      <c r="OD18" s="779"/>
      <c r="OE18" s="779"/>
      <c r="OF18" s="779"/>
      <c r="OG18" s="779"/>
      <c r="OH18" s="779"/>
      <c r="OI18" s="779"/>
      <c r="OJ18" s="779"/>
      <c r="OK18" s="779"/>
      <c r="OL18" s="779"/>
      <c r="OM18" s="779"/>
      <c r="ON18" s="779"/>
      <c r="OO18" s="779"/>
      <c r="OP18" s="779"/>
      <c r="OQ18" s="779"/>
      <c r="OR18" s="779"/>
      <c r="OS18" s="779"/>
      <c r="OT18" s="779"/>
      <c r="OU18" s="779"/>
      <c r="OV18" s="779"/>
      <c r="OW18" s="779"/>
      <c r="OX18" s="779"/>
      <c r="OY18" s="779"/>
      <c r="OZ18" s="779"/>
      <c r="PA18" s="779"/>
      <c r="PB18" s="779"/>
      <c r="PC18" s="779"/>
      <c r="PD18" s="779"/>
      <c r="PE18" s="779"/>
      <c r="PF18" s="779"/>
      <c r="PG18" s="779"/>
      <c r="PH18" s="779"/>
      <c r="PI18" s="779"/>
      <c r="PJ18" s="779"/>
      <c r="PK18" s="779"/>
      <c r="PL18" s="779"/>
      <c r="PM18" s="779"/>
      <c r="PN18" s="779"/>
      <c r="PO18" s="779"/>
    </row>
    <row r="19" spans="1:431" s="143" customFormat="1">
      <c r="A19" s="779"/>
      <c r="B19" s="779"/>
      <c r="C19" s="782"/>
      <c r="D19" s="782"/>
      <c r="E19" s="782"/>
      <c r="F19" s="782"/>
      <c r="G19" s="782"/>
      <c r="H19" s="782"/>
      <c r="I19" s="782"/>
      <c r="J19" s="782"/>
      <c r="K19" s="782"/>
      <c r="L19" s="782"/>
      <c r="M19" s="779"/>
      <c r="N19" s="779"/>
      <c r="O19" s="779"/>
      <c r="P19" s="779"/>
      <c r="Q19" s="779"/>
      <c r="R19" s="779"/>
      <c r="S19" s="779"/>
      <c r="T19" s="779"/>
      <c r="U19" s="779"/>
      <c r="V19" s="779"/>
      <c r="W19" s="779"/>
      <c r="X19" s="779"/>
      <c r="Y19" s="779"/>
      <c r="Z19" s="779"/>
      <c r="AA19" s="779"/>
      <c r="AB19" s="779"/>
      <c r="AC19" s="779"/>
      <c r="AD19" s="779"/>
      <c r="AE19" s="779"/>
      <c r="AF19" s="779"/>
      <c r="AG19" s="779"/>
      <c r="AH19" s="779"/>
      <c r="AI19" s="779"/>
      <c r="AJ19" s="779"/>
      <c r="AK19" s="779"/>
      <c r="AL19" s="779"/>
      <c r="AM19" s="779"/>
      <c r="AN19" s="779"/>
      <c r="AO19" s="779"/>
      <c r="AP19" s="779"/>
      <c r="AQ19" s="779"/>
      <c r="AR19" s="779"/>
      <c r="AS19" s="779"/>
      <c r="AT19" s="779"/>
      <c r="AU19" s="779"/>
      <c r="AV19" s="779"/>
      <c r="AW19" s="779"/>
      <c r="AX19" s="779"/>
      <c r="AY19" s="779"/>
      <c r="AZ19" s="779"/>
      <c r="BA19" s="779"/>
      <c r="BB19" s="779"/>
      <c r="BC19" s="779"/>
      <c r="BD19" s="779"/>
      <c r="BE19" s="779"/>
      <c r="BF19" s="779"/>
      <c r="BG19" s="779"/>
      <c r="BH19" s="779"/>
      <c r="BI19" s="779"/>
      <c r="BJ19" s="779"/>
      <c r="BK19" s="779"/>
      <c r="BL19" s="779"/>
      <c r="BM19" s="779"/>
      <c r="BN19" s="779"/>
      <c r="BO19" s="779"/>
      <c r="BP19" s="779"/>
      <c r="BQ19" s="779"/>
      <c r="BR19" s="779"/>
      <c r="BS19" s="779"/>
      <c r="BT19" s="779"/>
      <c r="BU19" s="779"/>
      <c r="BV19" s="779"/>
      <c r="BW19" s="779"/>
      <c r="BX19" s="779"/>
      <c r="BY19" s="779"/>
      <c r="BZ19" s="779"/>
      <c r="CA19" s="779"/>
      <c r="CB19" s="779"/>
      <c r="CC19" s="779"/>
      <c r="CD19" s="779"/>
      <c r="CE19" s="779"/>
      <c r="CF19" s="779"/>
      <c r="CG19" s="779"/>
      <c r="CH19" s="779"/>
      <c r="CI19" s="779"/>
      <c r="CJ19" s="779"/>
      <c r="CK19" s="779"/>
      <c r="CL19" s="779"/>
      <c r="CM19" s="779"/>
      <c r="CN19" s="779"/>
      <c r="CO19" s="779"/>
      <c r="CP19" s="779"/>
      <c r="CQ19" s="779"/>
      <c r="CR19" s="779"/>
      <c r="CS19" s="779"/>
      <c r="CT19" s="779"/>
      <c r="CU19" s="779"/>
      <c r="CV19" s="779"/>
      <c r="CW19" s="779"/>
      <c r="CX19" s="779"/>
      <c r="CY19" s="779"/>
      <c r="CZ19" s="779"/>
      <c r="DA19" s="779"/>
      <c r="DB19" s="779"/>
      <c r="DC19" s="779"/>
      <c r="DD19" s="779"/>
      <c r="DE19" s="779"/>
      <c r="DF19" s="779"/>
      <c r="DG19" s="779"/>
      <c r="DH19" s="779"/>
      <c r="DI19" s="779"/>
      <c r="DJ19" s="779"/>
      <c r="DK19" s="779"/>
      <c r="DL19" s="779"/>
      <c r="DM19" s="779"/>
      <c r="DN19" s="779"/>
      <c r="DO19" s="779"/>
      <c r="DP19" s="779"/>
      <c r="DQ19" s="779"/>
      <c r="DR19" s="779"/>
      <c r="DS19" s="779"/>
      <c r="DT19" s="779"/>
      <c r="DU19" s="779"/>
      <c r="DV19" s="779"/>
      <c r="DW19" s="779"/>
      <c r="DX19" s="779"/>
      <c r="DY19" s="779"/>
      <c r="DZ19" s="779"/>
      <c r="EA19" s="779"/>
      <c r="EB19" s="779"/>
      <c r="EC19" s="779"/>
      <c r="ED19" s="779"/>
      <c r="EE19" s="779"/>
      <c r="EF19" s="779"/>
      <c r="EG19" s="779"/>
      <c r="EH19" s="779"/>
      <c r="EI19" s="779"/>
      <c r="EJ19" s="779"/>
      <c r="EK19" s="779"/>
      <c r="EL19" s="779"/>
      <c r="EM19" s="779"/>
      <c r="EN19" s="779"/>
      <c r="EO19" s="779"/>
      <c r="EP19" s="779"/>
      <c r="EQ19" s="779"/>
      <c r="ER19" s="779"/>
      <c r="ES19" s="779"/>
      <c r="ET19" s="779"/>
      <c r="EU19" s="779"/>
      <c r="EV19" s="779"/>
      <c r="EW19" s="779"/>
      <c r="EX19" s="779"/>
      <c r="EY19" s="779"/>
      <c r="EZ19" s="779"/>
      <c r="FA19" s="779"/>
      <c r="FB19" s="779"/>
      <c r="FC19" s="779"/>
      <c r="FD19" s="779"/>
      <c r="FE19" s="779"/>
      <c r="FF19" s="779"/>
      <c r="FG19" s="779"/>
      <c r="FH19" s="779"/>
      <c r="FI19" s="779"/>
      <c r="FJ19" s="779"/>
      <c r="FK19" s="779"/>
      <c r="FL19" s="779"/>
      <c r="FM19" s="779"/>
      <c r="FN19" s="779"/>
      <c r="FO19" s="779"/>
      <c r="FP19" s="779"/>
      <c r="FQ19" s="779"/>
      <c r="FR19" s="779"/>
      <c r="FS19" s="779"/>
      <c r="FT19" s="779"/>
      <c r="FU19" s="779"/>
      <c r="FV19" s="779"/>
      <c r="FW19" s="779"/>
      <c r="FX19" s="779"/>
      <c r="FY19" s="779"/>
      <c r="FZ19" s="779"/>
      <c r="GA19" s="779"/>
      <c r="GB19" s="779"/>
      <c r="GC19" s="779"/>
      <c r="GD19" s="779"/>
      <c r="GE19" s="779"/>
      <c r="GF19" s="779"/>
      <c r="GG19" s="779"/>
      <c r="GH19" s="779"/>
      <c r="GI19" s="779"/>
      <c r="GJ19" s="779"/>
      <c r="GK19" s="779"/>
      <c r="GL19" s="779"/>
      <c r="GM19" s="779"/>
      <c r="GN19" s="779"/>
      <c r="GO19" s="779"/>
      <c r="GP19" s="779"/>
      <c r="GQ19" s="779"/>
      <c r="GR19" s="779"/>
      <c r="GS19" s="779"/>
      <c r="GT19" s="779"/>
      <c r="GU19" s="779"/>
      <c r="GV19" s="779"/>
      <c r="GW19" s="779"/>
      <c r="GX19" s="779"/>
      <c r="GY19" s="779"/>
      <c r="GZ19" s="779"/>
      <c r="HA19" s="779"/>
      <c r="HB19" s="779"/>
      <c r="HC19" s="779"/>
      <c r="HD19" s="779"/>
      <c r="HE19" s="779"/>
      <c r="HF19" s="779"/>
      <c r="HG19" s="779"/>
      <c r="HH19" s="779"/>
      <c r="HI19" s="779"/>
      <c r="HJ19" s="779"/>
      <c r="HK19" s="779"/>
      <c r="HL19" s="779"/>
      <c r="HM19" s="779"/>
      <c r="HN19" s="779"/>
      <c r="HO19" s="779"/>
      <c r="HP19" s="779"/>
      <c r="HQ19" s="779"/>
      <c r="HR19" s="779"/>
      <c r="HS19" s="779"/>
      <c r="HT19" s="779"/>
      <c r="HU19" s="779"/>
      <c r="HV19" s="779"/>
      <c r="HW19" s="779"/>
      <c r="HX19" s="779"/>
      <c r="HY19" s="779"/>
      <c r="HZ19" s="779"/>
      <c r="IA19" s="779"/>
      <c r="IB19" s="779"/>
      <c r="IC19" s="779"/>
      <c r="ID19" s="779"/>
      <c r="IE19" s="779"/>
      <c r="IF19" s="779"/>
      <c r="IG19" s="779"/>
      <c r="IH19" s="779"/>
      <c r="II19" s="779"/>
      <c r="IJ19" s="779"/>
      <c r="IK19" s="779"/>
      <c r="IL19" s="779"/>
      <c r="IM19" s="779"/>
      <c r="IN19" s="779"/>
      <c r="IO19" s="779"/>
      <c r="IP19" s="779"/>
      <c r="IQ19" s="779"/>
      <c r="IR19" s="779"/>
      <c r="IS19" s="779"/>
      <c r="IT19" s="779"/>
      <c r="IU19" s="779"/>
      <c r="IV19" s="779"/>
      <c r="IW19" s="779"/>
      <c r="IX19" s="779"/>
      <c r="IY19" s="779"/>
      <c r="IZ19" s="779"/>
      <c r="JA19" s="779"/>
      <c r="JB19" s="779"/>
      <c r="JC19" s="779"/>
      <c r="JD19" s="779"/>
      <c r="JE19" s="779"/>
      <c r="JF19" s="779"/>
      <c r="JG19" s="779"/>
      <c r="JH19" s="779"/>
      <c r="JI19" s="779"/>
      <c r="JJ19" s="779"/>
      <c r="JK19" s="779"/>
      <c r="JL19" s="779"/>
      <c r="JM19" s="779"/>
      <c r="JN19" s="779"/>
      <c r="JO19" s="779"/>
      <c r="JP19" s="779"/>
      <c r="JQ19" s="779"/>
      <c r="JR19" s="779"/>
      <c r="JS19" s="779"/>
      <c r="JT19" s="779"/>
      <c r="JU19" s="779"/>
      <c r="JV19" s="779"/>
      <c r="JW19" s="779"/>
      <c r="JX19" s="779"/>
      <c r="JY19" s="779"/>
      <c r="JZ19" s="779"/>
      <c r="KA19" s="779"/>
      <c r="KB19" s="779"/>
      <c r="KC19" s="779"/>
      <c r="KD19" s="779"/>
      <c r="KE19" s="779"/>
      <c r="KF19" s="779"/>
      <c r="KG19" s="779"/>
      <c r="KH19" s="779"/>
      <c r="KI19" s="779"/>
      <c r="KJ19" s="779"/>
      <c r="KK19" s="779"/>
      <c r="KL19" s="779"/>
      <c r="KM19" s="779"/>
      <c r="KN19" s="779"/>
      <c r="KO19" s="779"/>
      <c r="KP19" s="779"/>
      <c r="KQ19" s="779"/>
      <c r="KR19" s="779"/>
      <c r="KS19" s="779"/>
      <c r="KT19" s="779"/>
      <c r="KU19" s="779"/>
      <c r="KV19" s="779"/>
      <c r="KW19" s="779"/>
      <c r="KX19" s="779"/>
      <c r="KY19" s="779"/>
      <c r="KZ19" s="779"/>
      <c r="LA19" s="779"/>
      <c r="LB19" s="779"/>
      <c r="LC19" s="779"/>
      <c r="LD19" s="779"/>
      <c r="LE19" s="779"/>
      <c r="LF19" s="779"/>
      <c r="LG19" s="779"/>
      <c r="LH19" s="779"/>
      <c r="LI19" s="779"/>
      <c r="LJ19" s="779"/>
      <c r="LK19" s="779"/>
      <c r="LL19" s="779"/>
      <c r="LM19" s="779"/>
      <c r="LN19" s="779"/>
      <c r="LO19" s="779"/>
      <c r="LP19" s="779"/>
      <c r="LQ19" s="779"/>
      <c r="LR19" s="779"/>
      <c r="LS19" s="779"/>
      <c r="LT19" s="779"/>
      <c r="LU19" s="779"/>
      <c r="LV19" s="779"/>
      <c r="LW19" s="779"/>
      <c r="LX19" s="779"/>
      <c r="LY19" s="779"/>
      <c r="LZ19" s="779"/>
      <c r="MA19" s="779"/>
      <c r="MB19" s="779"/>
      <c r="MC19" s="779"/>
      <c r="MD19" s="779"/>
      <c r="ME19" s="779"/>
      <c r="MF19" s="779"/>
      <c r="MG19" s="779"/>
      <c r="MH19" s="779"/>
      <c r="MI19" s="779"/>
      <c r="MJ19" s="779"/>
      <c r="MK19" s="779"/>
      <c r="ML19" s="779"/>
      <c r="MM19" s="779"/>
      <c r="MN19" s="779"/>
      <c r="MO19" s="779"/>
      <c r="MP19" s="779"/>
      <c r="MQ19" s="779"/>
      <c r="MR19" s="779"/>
      <c r="MS19" s="779"/>
      <c r="MT19" s="779"/>
      <c r="MU19" s="779"/>
      <c r="MV19" s="779"/>
      <c r="MW19" s="779"/>
      <c r="MX19" s="779"/>
      <c r="MY19" s="779"/>
      <c r="MZ19" s="779"/>
      <c r="NA19" s="779"/>
      <c r="NB19" s="779"/>
      <c r="NC19" s="779"/>
      <c r="ND19" s="779"/>
      <c r="NE19" s="779"/>
      <c r="NF19" s="779"/>
      <c r="NG19" s="779"/>
      <c r="NH19" s="779"/>
      <c r="NI19" s="779"/>
      <c r="NJ19" s="779"/>
      <c r="NK19" s="779"/>
      <c r="NL19" s="779"/>
      <c r="NM19" s="779"/>
      <c r="NN19" s="779"/>
      <c r="NO19" s="779"/>
      <c r="NP19" s="779"/>
      <c r="NQ19" s="779"/>
      <c r="NR19" s="779"/>
      <c r="NS19" s="779"/>
      <c r="NT19" s="779"/>
      <c r="NU19" s="779"/>
      <c r="NV19" s="779"/>
      <c r="NW19" s="779"/>
      <c r="NX19" s="779"/>
      <c r="NY19" s="779"/>
      <c r="NZ19" s="779"/>
      <c r="OA19" s="779"/>
      <c r="OB19" s="779"/>
      <c r="OC19" s="779"/>
      <c r="OD19" s="779"/>
      <c r="OE19" s="779"/>
      <c r="OF19" s="779"/>
      <c r="OG19" s="779"/>
      <c r="OH19" s="779"/>
      <c r="OI19" s="779"/>
      <c r="OJ19" s="779"/>
      <c r="OK19" s="779"/>
      <c r="OL19" s="779"/>
      <c r="OM19" s="779"/>
      <c r="ON19" s="779"/>
      <c r="OO19" s="779"/>
      <c r="OP19" s="779"/>
      <c r="OQ19" s="779"/>
      <c r="OR19" s="779"/>
      <c r="OS19" s="779"/>
      <c r="OT19" s="779"/>
      <c r="OU19" s="779"/>
      <c r="OV19" s="779"/>
      <c r="OW19" s="779"/>
      <c r="OX19" s="779"/>
      <c r="OY19" s="779"/>
      <c r="OZ19" s="779"/>
      <c r="PA19" s="779"/>
      <c r="PB19" s="779"/>
      <c r="PC19" s="779"/>
      <c r="PD19" s="779"/>
      <c r="PE19" s="779"/>
      <c r="PF19" s="779"/>
      <c r="PG19" s="779"/>
      <c r="PH19" s="779"/>
      <c r="PI19" s="779"/>
      <c r="PJ19" s="779"/>
      <c r="PK19" s="779"/>
      <c r="PL19" s="779"/>
      <c r="PM19" s="779"/>
      <c r="PN19" s="779"/>
      <c r="PO19" s="779"/>
    </row>
    <row r="20" spans="1:431" s="143" customFormat="1">
      <c r="A20" s="779"/>
      <c r="B20" s="779"/>
      <c r="C20" s="782"/>
      <c r="D20" s="782"/>
      <c r="E20" s="782"/>
      <c r="F20" s="782"/>
      <c r="G20" s="782"/>
      <c r="H20" s="782"/>
      <c r="I20" s="782"/>
      <c r="J20" s="782"/>
      <c r="K20" s="782"/>
      <c r="L20" s="782"/>
      <c r="M20" s="779"/>
      <c r="N20" s="779"/>
      <c r="O20" s="779"/>
      <c r="P20" s="779"/>
      <c r="Q20" s="779"/>
      <c r="R20" s="779"/>
      <c r="S20" s="779"/>
      <c r="T20" s="779"/>
      <c r="U20" s="779"/>
      <c r="V20" s="779"/>
      <c r="W20" s="779"/>
      <c r="X20" s="779"/>
      <c r="Y20" s="779"/>
      <c r="Z20" s="779"/>
      <c r="AA20" s="779"/>
      <c r="AB20" s="779"/>
      <c r="AC20" s="779"/>
      <c r="AD20" s="779"/>
      <c r="AE20" s="779"/>
      <c r="AF20" s="779"/>
      <c r="AG20" s="779"/>
      <c r="AH20" s="779"/>
      <c r="AI20" s="779"/>
      <c r="AJ20" s="779"/>
      <c r="AK20" s="779"/>
      <c r="AL20" s="779"/>
      <c r="AM20" s="779"/>
      <c r="AN20" s="779"/>
      <c r="AO20" s="779"/>
      <c r="AP20" s="779"/>
      <c r="AQ20" s="779"/>
      <c r="AR20" s="779"/>
      <c r="AS20" s="779"/>
      <c r="AT20" s="779"/>
      <c r="AU20" s="779"/>
      <c r="AV20" s="779"/>
      <c r="AW20" s="779"/>
      <c r="AX20" s="779"/>
      <c r="AY20" s="779"/>
      <c r="AZ20" s="779"/>
      <c r="BA20" s="779"/>
      <c r="BB20" s="779"/>
      <c r="BC20" s="779"/>
      <c r="BD20" s="779"/>
      <c r="BE20" s="779"/>
      <c r="BF20" s="779"/>
      <c r="BG20" s="779"/>
      <c r="BH20" s="779"/>
      <c r="BI20" s="779"/>
      <c r="BJ20" s="779"/>
      <c r="BK20" s="779"/>
      <c r="BL20" s="779"/>
      <c r="BM20" s="779"/>
      <c r="BN20" s="779"/>
      <c r="BO20" s="779"/>
      <c r="BP20" s="779"/>
      <c r="BQ20" s="779"/>
      <c r="BR20" s="779"/>
      <c r="BS20" s="779"/>
      <c r="BT20" s="779"/>
      <c r="BU20" s="779"/>
      <c r="BV20" s="779"/>
      <c r="BW20" s="779"/>
      <c r="BX20" s="779"/>
      <c r="BY20" s="779"/>
      <c r="BZ20" s="779"/>
      <c r="CA20" s="779"/>
      <c r="CB20" s="779"/>
      <c r="CC20" s="779"/>
      <c r="CD20" s="779"/>
      <c r="CE20" s="779"/>
      <c r="CF20" s="779"/>
      <c r="CG20" s="779"/>
      <c r="CH20" s="779"/>
      <c r="CI20" s="779"/>
      <c r="CJ20" s="779"/>
      <c r="CK20" s="779"/>
      <c r="CL20" s="779"/>
      <c r="CM20" s="779"/>
      <c r="CN20" s="779"/>
      <c r="CO20" s="779"/>
      <c r="CP20" s="779"/>
      <c r="CQ20" s="779"/>
      <c r="CR20" s="779"/>
      <c r="CS20" s="779"/>
      <c r="CT20" s="779"/>
      <c r="CU20" s="779"/>
      <c r="CV20" s="779"/>
      <c r="CW20" s="779"/>
      <c r="CX20" s="779"/>
      <c r="CY20" s="779"/>
      <c r="CZ20" s="779"/>
      <c r="DA20" s="779"/>
      <c r="DB20" s="779"/>
      <c r="DC20" s="779"/>
      <c r="DD20" s="779"/>
      <c r="DE20" s="779"/>
      <c r="DF20" s="779"/>
      <c r="DG20" s="779"/>
      <c r="DH20" s="779"/>
      <c r="DI20" s="779"/>
      <c r="DJ20" s="779"/>
      <c r="DK20" s="779"/>
      <c r="DL20" s="779"/>
      <c r="DM20" s="779"/>
      <c r="DN20" s="779"/>
      <c r="DO20" s="779"/>
      <c r="DP20" s="779"/>
      <c r="DQ20" s="779"/>
      <c r="DR20" s="779"/>
      <c r="DS20" s="779"/>
      <c r="DT20" s="779"/>
      <c r="DU20" s="779"/>
      <c r="DV20" s="779"/>
      <c r="DW20" s="779"/>
      <c r="DX20" s="779"/>
      <c r="DY20" s="779"/>
      <c r="DZ20" s="779"/>
      <c r="EA20" s="779"/>
      <c r="EB20" s="779"/>
      <c r="EC20" s="779"/>
      <c r="ED20" s="779"/>
      <c r="EE20" s="779"/>
      <c r="EF20" s="779"/>
      <c r="EG20" s="779"/>
      <c r="EH20" s="779"/>
      <c r="EI20" s="779"/>
      <c r="EJ20" s="779"/>
      <c r="EK20" s="779"/>
      <c r="EL20" s="779"/>
      <c r="EM20" s="779"/>
      <c r="EN20" s="779"/>
      <c r="EO20" s="779"/>
      <c r="EP20" s="779"/>
      <c r="EQ20" s="779"/>
      <c r="ER20" s="779"/>
      <c r="ES20" s="779"/>
      <c r="ET20" s="779"/>
      <c r="EU20" s="779"/>
      <c r="EV20" s="779"/>
      <c r="EW20" s="779"/>
      <c r="EX20" s="779"/>
      <c r="EY20" s="779"/>
      <c r="EZ20" s="779"/>
      <c r="FA20" s="779"/>
      <c r="FB20" s="779"/>
      <c r="FC20" s="779"/>
      <c r="FD20" s="779"/>
      <c r="FE20" s="779"/>
      <c r="FF20" s="779"/>
      <c r="FG20" s="779"/>
      <c r="FH20" s="779"/>
      <c r="FI20" s="779"/>
      <c r="FJ20" s="779"/>
      <c r="FK20" s="779"/>
      <c r="FL20" s="779"/>
      <c r="FM20" s="779"/>
      <c r="FN20" s="779"/>
      <c r="FO20" s="779"/>
      <c r="FP20" s="779"/>
      <c r="FQ20" s="779"/>
      <c r="FR20" s="779"/>
      <c r="FS20" s="779"/>
      <c r="FT20" s="779"/>
      <c r="FU20" s="779"/>
      <c r="FV20" s="779"/>
      <c r="FW20" s="779"/>
      <c r="FX20" s="779"/>
      <c r="FY20" s="779"/>
      <c r="FZ20" s="779"/>
      <c r="GA20" s="779"/>
      <c r="GB20" s="779"/>
      <c r="GC20" s="779"/>
      <c r="GD20" s="779"/>
      <c r="GE20" s="779"/>
      <c r="GF20" s="779"/>
      <c r="GG20" s="779"/>
      <c r="GH20" s="779"/>
      <c r="GI20" s="779"/>
      <c r="GJ20" s="779"/>
      <c r="GK20" s="779"/>
      <c r="GL20" s="779"/>
      <c r="GM20" s="779"/>
      <c r="GN20" s="779"/>
      <c r="GO20" s="779"/>
      <c r="GP20" s="779"/>
      <c r="GQ20" s="779"/>
      <c r="GR20" s="779"/>
      <c r="GS20" s="779"/>
      <c r="GT20" s="779"/>
      <c r="GU20" s="779"/>
      <c r="GV20" s="779"/>
      <c r="GW20" s="779"/>
      <c r="GX20" s="779"/>
      <c r="GY20" s="779"/>
      <c r="GZ20" s="779"/>
      <c r="HA20" s="779"/>
      <c r="HB20" s="779"/>
      <c r="HC20" s="779"/>
      <c r="HD20" s="779"/>
      <c r="HE20" s="779"/>
      <c r="HF20" s="779"/>
      <c r="HG20" s="779"/>
      <c r="HH20" s="779"/>
      <c r="HI20" s="779"/>
      <c r="HJ20" s="779"/>
      <c r="HK20" s="779"/>
      <c r="HL20" s="779"/>
      <c r="HM20" s="779"/>
      <c r="HN20" s="779"/>
      <c r="HO20" s="779"/>
      <c r="HP20" s="779"/>
      <c r="HQ20" s="779"/>
      <c r="HR20" s="779"/>
      <c r="HS20" s="779"/>
      <c r="HT20" s="779"/>
      <c r="HU20" s="779"/>
      <c r="HV20" s="779"/>
      <c r="HW20" s="779"/>
      <c r="HX20" s="779"/>
      <c r="HY20" s="779"/>
      <c r="HZ20" s="779"/>
      <c r="IA20" s="779"/>
      <c r="IB20" s="779"/>
      <c r="IC20" s="779"/>
      <c r="ID20" s="779"/>
      <c r="IE20" s="779"/>
      <c r="IF20" s="779"/>
      <c r="IG20" s="779"/>
      <c r="IH20" s="779"/>
      <c r="II20" s="779"/>
      <c r="IJ20" s="779"/>
      <c r="IK20" s="779"/>
      <c r="IL20" s="779"/>
      <c r="IM20" s="779"/>
      <c r="IN20" s="779"/>
      <c r="IO20" s="779"/>
      <c r="IP20" s="779"/>
      <c r="IQ20" s="779"/>
      <c r="IR20" s="779"/>
      <c r="IS20" s="779"/>
      <c r="IT20" s="779"/>
      <c r="IU20" s="779"/>
      <c r="IV20" s="779"/>
      <c r="IW20" s="779"/>
      <c r="IX20" s="779"/>
      <c r="IY20" s="779"/>
      <c r="IZ20" s="779"/>
      <c r="JA20" s="779"/>
      <c r="JB20" s="779"/>
      <c r="JC20" s="779"/>
      <c r="JD20" s="779"/>
      <c r="JE20" s="779"/>
      <c r="JF20" s="779"/>
      <c r="JG20" s="779"/>
      <c r="JH20" s="779"/>
      <c r="JI20" s="779"/>
      <c r="JJ20" s="779"/>
      <c r="JK20" s="779"/>
      <c r="JL20" s="779"/>
      <c r="JM20" s="779"/>
      <c r="JN20" s="779"/>
      <c r="JO20" s="779"/>
      <c r="JP20" s="779"/>
      <c r="JQ20" s="779"/>
      <c r="JR20" s="779"/>
      <c r="JS20" s="779"/>
      <c r="JT20" s="779"/>
      <c r="JU20" s="779"/>
      <c r="JV20" s="779"/>
      <c r="JW20" s="779"/>
      <c r="JX20" s="779"/>
      <c r="JY20" s="779"/>
      <c r="JZ20" s="779"/>
      <c r="KA20" s="779"/>
      <c r="KB20" s="779"/>
      <c r="KC20" s="779"/>
      <c r="KD20" s="779"/>
      <c r="KE20" s="779"/>
      <c r="KF20" s="779"/>
      <c r="KG20" s="779"/>
      <c r="KH20" s="779"/>
      <c r="KI20" s="779"/>
      <c r="KJ20" s="779"/>
      <c r="KK20" s="779"/>
      <c r="KL20" s="779"/>
      <c r="KM20" s="779"/>
      <c r="KN20" s="779"/>
      <c r="KO20" s="779"/>
      <c r="KP20" s="779"/>
      <c r="KQ20" s="779"/>
      <c r="KR20" s="779"/>
      <c r="KS20" s="779"/>
      <c r="KT20" s="779"/>
      <c r="KU20" s="779"/>
      <c r="KV20" s="779"/>
      <c r="KW20" s="779"/>
      <c r="KX20" s="779"/>
      <c r="KY20" s="779"/>
      <c r="KZ20" s="779"/>
      <c r="LA20" s="779"/>
      <c r="LB20" s="779"/>
      <c r="LC20" s="779"/>
      <c r="LD20" s="779"/>
      <c r="LE20" s="779"/>
      <c r="LF20" s="779"/>
      <c r="LG20" s="779"/>
      <c r="LH20" s="779"/>
      <c r="LI20" s="779"/>
      <c r="LJ20" s="779"/>
      <c r="LK20" s="779"/>
      <c r="LL20" s="779"/>
      <c r="LM20" s="779"/>
      <c r="LN20" s="779"/>
      <c r="LO20" s="779"/>
      <c r="LP20" s="779"/>
      <c r="LQ20" s="779"/>
      <c r="LR20" s="779"/>
      <c r="LS20" s="779"/>
      <c r="LT20" s="779"/>
      <c r="LU20" s="779"/>
      <c r="LV20" s="779"/>
      <c r="LW20" s="779"/>
      <c r="LX20" s="779"/>
      <c r="LY20" s="779"/>
      <c r="LZ20" s="779"/>
      <c r="MA20" s="779"/>
      <c r="MB20" s="779"/>
      <c r="MC20" s="779"/>
      <c r="MD20" s="779"/>
      <c r="ME20" s="779"/>
      <c r="MF20" s="779"/>
      <c r="MG20" s="779"/>
      <c r="MH20" s="779"/>
      <c r="MI20" s="779"/>
      <c r="MJ20" s="779"/>
      <c r="MK20" s="779"/>
      <c r="ML20" s="779"/>
      <c r="MM20" s="779"/>
      <c r="MN20" s="779"/>
      <c r="MO20" s="779"/>
      <c r="MP20" s="779"/>
      <c r="MQ20" s="779"/>
      <c r="MR20" s="779"/>
      <c r="MS20" s="779"/>
      <c r="MT20" s="779"/>
      <c r="MU20" s="779"/>
      <c r="MV20" s="779"/>
      <c r="MW20" s="779"/>
      <c r="MX20" s="779"/>
      <c r="MY20" s="779"/>
      <c r="MZ20" s="779"/>
      <c r="NA20" s="779"/>
      <c r="NB20" s="779"/>
      <c r="NC20" s="779"/>
      <c r="ND20" s="779"/>
      <c r="NE20" s="779"/>
      <c r="NF20" s="779"/>
      <c r="NG20" s="779"/>
      <c r="NH20" s="779"/>
      <c r="NI20" s="779"/>
      <c r="NJ20" s="779"/>
      <c r="NK20" s="779"/>
      <c r="NL20" s="779"/>
      <c r="NM20" s="779"/>
      <c r="NN20" s="779"/>
      <c r="NO20" s="779"/>
      <c r="NP20" s="779"/>
      <c r="NQ20" s="779"/>
      <c r="NR20" s="779"/>
      <c r="NS20" s="779"/>
      <c r="NT20" s="779"/>
      <c r="NU20" s="779"/>
      <c r="NV20" s="779"/>
      <c r="NW20" s="779"/>
      <c r="NX20" s="779"/>
      <c r="NY20" s="779"/>
      <c r="NZ20" s="779"/>
      <c r="OA20" s="779"/>
      <c r="OB20" s="779"/>
      <c r="OC20" s="779"/>
      <c r="OD20" s="779"/>
      <c r="OE20" s="779"/>
      <c r="OF20" s="779"/>
      <c r="OG20" s="779"/>
      <c r="OH20" s="779"/>
      <c r="OI20" s="779"/>
      <c r="OJ20" s="779"/>
      <c r="OK20" s="779"/>
      <c r="OL20" s="779"/>
      <c r="OM20" s="779"/>
      <c r="ON20" s="779"/>
      <c r="OO20" s="779"/>
      <c r="OP20" s="779"/>
      <c r="OQ20" s="779"/>
      <c r="OR20" s="779"/>
      <c r="OS20" s="779"/>
      <c r="OT20" s="779"/>
      <c r="OU20" s="779"/>
      <c r="OV20" s="779"/>
      <c r="OW20" s="779"/>
      <c r="OX20" s="779"/>
      <c r="OY20" s="779"/>
      <c r="OZ20" s="779"/>
      <c r="PA20" s="779"/>
      <c r="PB20" s="779"/>
      <c r="PC20" s="779"/>
      <c r="PD20" s="779"/>
      <c r="PE20" s="779"/>
      <c r="PF20" s="779"/>
      <c r="PG20" s="779"/>
      <c r="PH20" s="779"/>
      <c r="PI20" s="779"/>
      <c r="PJ20" s="779"/>
      <c r="PK20" s="779"/>
      <c r="PL20" s="779"/>
      <c r="PM20" s="779"/>
      <c r="PN20" s="779"/>
      <c r="PO20" s="779"/>
    </row>
    <row r="21" spans="1:431" s="143" customFormat="1">
      <c r="A21" s="779"/>
      <c r="B21" s="779"/>
      <c r="C21" s="782"/>
      <c r="D21" s="782"/>
      <c r="E21" s="782"/>
      <c r="F21" s="782"/>
      <c r="G21" s="782"/>
      <c r="H21" s="782"/>
      <c r="I21" s="782"/>
      <c r="J21" s="782"/>
      <c r="K21" s="782"/>
      <c r="L21" s="782"/>
      <c r="M21" s="779"/>
      <c r="N21" s="779"/>
      <c r="O21" s="779"/>
      <c r="P21" s="779"/>
      <c r="Q21" s="779"/>
      <c r="R21" s="779"/>
      <c r="S21" s="779"/>
      <c r="T21" s="779"/>
      <c r="U21" s="779"/>
      <c r="V21" s="779"/>
      <c r="W21" s="779"/>
      <c r="X21" s="779"/>
      <c r="Y21" s="779"/>
      <c r="Z21" s="779"/>
      <c r="AA21" s="779"/>
      <c r="AB21" s="779"/>
      <c r="AC21" s="779"/>
      <c r="AD21" s="779"/>
      <c r="AE21" s="779"/>
      <c r="AF21" s="779"/>
      <c r="AG21" s="779"/>
      <c r="AH21" s="779"/>
      <c r="AI21" s="779"/>
      <c r="AJ21" s="779"/>
      <c r="AK21" s="779"/>
      <c r="AL21" s="779"/>
      <c r="AM21" s="779"/>
      <c r="AN21" s="779"/>
      <c r="AO21" s="779"/>
      <c r="AP21" s="779"/>
      <c r="AQ21" s="779"/>
      <c r="AR21" s="779"/>
      <c r="AS21" s="779"/>
      <c r="AT21" s="779"/>
      <c r="AU21" s="779"/>
      <c r="AV21" s="779"/>
      <c r="AW21" s="779"/>
      <c r="AX21" s="779"/>
      <c r="AY21" s="779"/>
      <c r="AZ21" s="779"/>
      <c r="BA21" s="779"/>
      <c r="BB21" s="779"/>
      <c r="BC21" s="779"/>
      <c r="BD21" s="779"/>
      <c r="BE21" s="779"/>
      <c r="BF21" s="779"/>
      <c r="BG21" s="779"/>
      <c r="BH21" s="779"/>
      <c r="BI21" s="779"/>
      <c r="BJ21" s="779"/>
      <c r="BK21" s="779"/>
      <c r="BL21" s="779"/>
      <c r="BM21" s="779"/>
      <c r="BN21" s="779"/>
      <c r="BO21" s="779"/>
      <c r="BP21" s="779"/>
      <c r="BQ21" s="779"/>
      <c r="BR21" s="779"/>
      <c r="BS21" s="779"/>
      <c r="BT21" s="779"/>
      <c r="BU21" s="779"/>
      <c r="BV21" s="779"/>
      <c r="BW21" s="779"/>
      <c r="BX21" s="779"/>
      <c r="BY21" s="779"/>
      <c r="BZ21" s="779"/>
      <c r="CA21" s="779"/>
      <c r="CB21" s="779"/>
      <c r="CC21" s="779"/>
      <c r="CD21" s="779"/>
      <c r="CE21" s="779"/>
      <c r="CF21" s="779"/>
      <c r="CG21" s="779"/>
      <c r="CH21" s="779"/>
      <c r="CI21" s="779"/>
      <c r="CJ21" s="779"/>
      <c r="CK21" s="779"/>
      <c r="CL21" s="779"/>
      <c r="CM21" s="779"/>
      <c r="CN21" s="779"/>
      <c r="CO21" s="779"/>
      <c r="CP21" s="779"/>
      <c r="CQ21" s="779"/>
      <c r="CR21" s="779"/>
      <c r="CS21" s="779"/>
      <c r="CT21" s="779"/>
      <c r="CU21" s="779"/>
      <c r="CV21" s="779"/>
      <c r="CW21" s="779"/>
      <c r="CX21" s="779"/>
      <c r="CY21" s="779"/>
      <c r="CZ21" s="779"/>
      <c r="DA21" s="779"/>
      <c r="DB21" s="779"/>
      <c r="DC21" s="779"/>
      <c r="DD21" s="779"/>
      <c r="DE21" s="779"/>
      <c r="DF21" s="779"/>
      <c r="DG21" s="779"/>
      <c r="DH21" s="779"/>
      <c r="DI21" s="779"/>
      <c r="DJ21" s="779"/>
      <c r="DK21" s="779"/>
      <c r="DL21" s="779"/>
      <c r="DM21" s="779"/>
      <c r="DN21" s="779"/>
      <c r="DO21" s="779"/>
      <c r="DP21" s="779"/>
      <c r="DQ21" s="779"/>
      <c r="DR21" s="779"/>
      <c r="DS21" s="779"/>
      <c r="DT21" s="779"/>
      <c r="DU21" s="779"/>
      <c r="DV21" s="779"/>
      <c r="DW21" s="779"/>
      <c r="DX21" s="779"/>
      <c r="DY21" s="779"/>
      <c r="DZ21" s="779"/>
      <c r="EA21" s="779"/>
      <c r="EB21" s="779"/>
      <c r="EC21" s="779"/>
      <c r="ED21" s="779"/>
      <c r="EE21" s="779"/>
      <c r="EF21" s="779"/>
      <c r="EG21" s="779"/>
      <c r="EH21" s="779"/>
      <c r="EI21" s="779"/>
      <c r="EJ21" s="779"/>
      <c r="EK21" s="779"/>
      <c r="EL21" s="779"/>
      <c r="EM21" s="779"/>
      <c r="EN21" s="779"/>
      <c r="EO21" s="779"/>
      <c r="EP21" s="779"/>
      <c r="EQ21" s="779"/>
      <c r="ER21" s="779"/>
      <c r="ES21" s="779"/>
      <c r="ET21" s="779"/>
      <c r="EU21" s="779"/>
      <c r="EV21" s="779"/>
      <c r="EW21" s="779"/>
      <c r="EX21" s="779"/>
      <c r="EY21" s="779"/>
      <c r="EZ21" s="779"/>
      <c r="FA21" s="779"/>
      <c r="FB21" s="779"/>
      <c r="FC21" s="779"/>
      <c r="FD21" s="779"/>
      <c r="FE21" s="779"/>
      <c r="FF21" s="779"/>
      <c r="FG21" s="779"/>
      <c r="FH21" s="779"/>
      <c r="FI21" s="779"/>
      <c r="FJ21" s="779"/>
      <c r="FK21" s="779"/>
      <c r="FL21" s="779"/>
      <c r="FM21" s="779"/>
      <c r="FN21" s="779"/>
      <c r="FO21" s="779"/>
      <c r="FP21" s="779"/>
      <c r="FQ21" s="779"/>
      <c r="FR21" s="779"/>
      <c r="FS21" s="779"/>
      <c r="FT21" s="779"/>
      <c r="FU21" s="779"/>
      <c r="FV21" s="779"/>
      <c r="FW21" s="779"/>
      <c r="FX21" s="779"/>
      <c r="FY21" s="779"/>
      <c r="FZ21" s="779"/>
      <c r="GA21" s="779"/>
      <c r="GB21" s="779"/>
      <c r="GC21" s="779"/>
      <c r="GD21" s="779"/>
      <c r="GE21" s="779"/>
      <c r="GF21" s="779"/>
      <c r="GG21" s="779"/>
      <c r="GH21" s="779"/>
      <c r="GI21" s="779"/>
      <c r="GJ21" s="779"/>
      <c r="GK21" s="779"/>
      <c r="GL21" s="779"/>
      <c r="GM21" s="779"/>
      <c r="GN21" s="779"/>
      <c r="GO21" s="779"/>
      <c r="GP21" s="779"/>
      <c r="GQ21" s="779"/>
      <c r="GR21" s="779"/>
      <c r="GS21" s="779"/>
      <c r="GT21" s="779"/>
      <c r="GU21" s="779"/>
      <c r="GV21" s="779"/>
      <c r="GW21" s="779"/>
      <c r="GX21" s="779"/>
      <c r="GY21" s="779"/>
      <c r="GZ21" s="779"/>
      <c r="HA21" s="779"/>
      <c r="HB21" s="779"/>
      <c r="HC21" s="779"/>
      <c r="HD21" s="779"/>
      <c r="HE21" s="779"/>
      <c r="HF21" s="779"/>
      <c r="HG21" s="779"/>
      <c r="HH21" s="779"/>
      <c r="HI21" s="779"/>
      <c r="HJ21" s="779"/>
      <c r="HK21" s="779"/>
      <c r="HL21" s="779"/>
      <c r="HM21" s="779"/>
      <c r="HN21" s="779"/>
      <c r="HO21" s="779"/>
      <c r="HP21" s="779"/>
      <c r="HQ21" s="779"/>
      <c r="HR21" s="779"/>
      <c r="HS21" s="779"/>
      <c r="HT21" s="779"/>
      <c r="HU21" s="779"/>
      <c r="HV21" s="779"/>
      <c r="HW21" s="779"/>
      <c r="HX21" s="779"/>
      <c r="HY21" s="779"/>
      <c r="HZ21" s="779"/>
      <c r="IA21" s="779"/>
      <c r="IB21" s="779"/>
      <c r="IC21" s="779"/>
      <c r="ID21" s="779"/>
      <c r="IE21" s="779"/>
      <c r="IF21" s="779"/>
      <c r="IG21" s="779"/>
      <c r="IH21" s="779"/>
      <c r="II21" s="779"/>
      <c r="IJ21" s="779"/>
      <c r="IK21" s="779"/>
      <c r="IL21" s="779"/>
      <c r="IM21" s="779"/>
      <c r="IN21" s="779"/>
      <c r="IO21" s="779"/>
      <c r="IP21" s="779"/>
      <c r="IQ21" s="779"/>
      <c r="IR21" s="779"/>
      <c r="IS21" s="779"/>
      <c r="IT21" s="779"/>
      <c r="IU21" s="779"/>
      <c r="IV21" s="779"/>
      <c r="IW21" s="779"/>
      <c r="IX21" s="779"/>
      <c r="IY21" s="779"/>
      <c r="IZ21" s="779"/>
      <c r="JA21" s="779"/>
      <c r="JB21" s="779"/>
      <c r="JC21" s="779"/>
      <c r="JD21" s="779"/>
      <c r="JE21" s="779"/>
      <c r="JF21" s="779"/>
      <c r="JG21" s="779"/>
      <c r="JH21" s="779"/>
      <c r="JI21" s="779"/>
      <c r="JJ21" s="779"/>
      <c r="JK21" s="779"/>
      <c r="JL21" s="779"/>
      <c r="JM21" s="779"/>
      <c r="JN21" s="779"/>
      <c r="JO21" s="779"/>
      <c r="JP21" s="779"/>
      <c r="JQ21" s="779"/>
      <c r="JR21" s="779"/>
      <c r="JS21" s="779"/>
      <c r="JT21" s="779"/>
      <c r="JU21" s="779"/>
      <c r="JV21" s="779"/>
      <c r="JW21" s="779"/>
      <c r="JX21" s="779"/>
      <c r="JY21" s="779"/>
      <c r="JZ21" s="779"/>
      <c r="KA21" s="779"/>
      <c r="KB21" s="779"/>
      <c r="KC21" s="779"/>
      <c r="KD21" s="779"/>
      <c r="KE21" s="779"/>
      <c r="KF21" s="779"/>
      <c r="KG21" s="779"/>
      <c r="KH21" s="779"/>
      <c r="KI21" s="779"/>
      <c r="KJ21" s="779"/>
      <c r="KK21" s="779"/>
      <c r="KL21" s="779"/>
      <c r="KM21" s="779"/>
      <c r="KN21" s="779"/>
      <c r="KO21" s="779"/>
      <c r="KP21" s="779"/>
      <c r="KQ21" s="779"/>
      <c r="KR21" s="779"/>
      <c r="KS21" s="779"/>
      <c r="KT21" s="779"/>
      <c r="KU21" s="779"/>
      <c r="KV21" s="779"/>
      <c r="KW21" s="779"/>
      <c r="KX21" s="779"/>
      <c r="KY21" s="779"/>
      <c r="KZ21" s="779"/>
      <c r="LA21" s="779"/>
      <c r="LB21" s="779"/>
      <c r="LC21" s="779"/>
      <c r="LD21" s="779"/>
      <c r="LE21" s="779"/>
      <c r="LF21" s="779"/>
      <c r="LG21" s="779"/>
      <c r="LH21" s="779"/>
      <c r="LI21" s="779"/>
      <c r="LJ21" s="779"/>
      <c r="LK21" s="779"/>
      <c r="LL21" s="779"/>
      <c r="LM21" s="779"/>
      <c r="LN21" s="779"/>
      <c r="LO21" s="779"/>
      <c r="LP21" s="779"/>
      <c r="LQ21" s="779"/>
      <c r="LR21" s="779"/>
      <c r="LS21" s="779"/>
      <c r="LT21" s="779"/>
      <c r="LU21" s="779"/>
      <c r="LV21" s="779"/>
      <c r="LW21" s="779"/>
      <c r="LX21" s="779"/>
      <c r="LY21" s="779"/>
      <c r="LZ21" s="779"/>
      <c r="MA21" s="779"/>
      <c r="MB21" s="779"/>
      <c r="MC21" s="779"/>
      <c r="MD21" s="779"/>
      <c r="ME21" s="779"/>
      <c r="MF21" s="779"/>
      <c r="MG21" s="779"/>
      <c r="MH21" s="779"/>
      <c r="MI21" s="779"/>
      <c r="MJ21" s="779"/>
      <c r="MK21" s="779"/>
      <c r="ML21" s="779"/>
      <c r="MM21" s="779"/>
      <c r="MN21" s="779"/>
      <c r="MO21" s="779"/>
      <c r="MP21" s="779"/>
      <c r="MQ21" s="779"/>
      <c r="MR21" s="779"/>
      <c r="MS21" s="779"/>
      <c r="MT21" s="779"/>
      <c r="MU21" s="779"/>
      <c r="MV21" s="779"/>
      <c r="MW21" s="779"/>
      <c r="MX21" s="779"/>
      <c r="MY21" s="779"/>
      <c r="MZ21" s="779"/>
      <c r="NA21" s="779"/>
      <c r="NB21" s="779"/>
      <c r="NC21" s="779"/>
      <c r="ND21" s="779"/>
      <c r="NE21" s="779"/>
      <c r="NF21" s="779"/>
      <c r="NG21" s="779"/>
      <c r="NH21" s="779"/>
      <c r="NI21" s="779"/>
      <c r="NJ21" s="779"/>
      <c r="NK21" s="779"/>
      <c r="NL21" s="779"/>
      <c r="NM21" s="779"/>
      <c r="NN21" s="779"/>
      <c r="NO21" s="779"/>
      <c r="NP21" s="779"/>
      <c r="NQ21" s="779"/>
      <c r="NR21" s="779"/>
      <c r="NS21" s="779"/>
      <c r="NT21" s="779"/>
      <c r="NU21" s="779"/>
      <c r="NV21" s="779"/>
      <c r="NW21" s="779"/>
      <c r="NX21" s="779"/>
      <c r="NY21" s="779"/>
      <c r="NZ21" s="779"/>
      <c r="OA21" s="779"/>
      <c r="OB21" s="779"/>
      <c r="OC21" s="779"/>
      <c r="OD21" s="779"/>
      <c r="OE21" s="779"/>
      <c r="OF21" s="779"/>
      <c r="OG21" s="779"/>
      <c r="OH21" s="779"/>
      <c r="OI21" s="779"/>
      <c r="OJ21" s="779"/>
      <c r="OK21" s="779"/>
      <c r="OL21" s="779"/>
      <c r="OM21" s="779"/>
      <c r="ON21" s="779"/>
      <c r="OO21" s="779"/>
      <c r="OP21" s="779"/>
      <c r="OQ21" s="779"/>
      <c r="OR21" s="779"/>
      <c r="OS21" s="779"/>
      <c r="OT21" s="779"/>
      <c r="OU21" s="779"/>
      <c r="OV21" s="779"/>
      <c r="OW21" s="779"/>
      <c r="OX21" s="779"/>
      <c r="OY21" s="779"/>
      <c r="OZ21" s="779"/>
      <c r="PA21" s="779"/>
      <c r="PB21" s="779"/>
      <c r="PC21" s="779"/>
      <c r="PD21" s="779"/>
      <c r="PE21" s="779"/>
      <c r="PF21" s="779"/>
      <c r="PG21" s="779"/>
      <c r="PH21" s="779"/>
      <c r="PI21" s="779"/>
      <c r="PJ21" s="779"/>
      <c r="PK21" s="779"/>
      <c r="PL21" s="779"/>
      <c r="PM21" s="779"/>
      <c r="PN21" s="779"/>
      <c r="PO21" s="779"/>
    </row>
    <row r="22" spans="1:431" s="143" customFormat="1">
      <c r="A22" s="779"/>
      <c r="B22" s="779"/>
      <c r="C22" s="782"/>
      <c r="D22" s="782"/>
      <c r="E22" s="782"/>
      <c r="F22" s="782"/>
      <c r="G22" s="782"/>
      <c r="H22" s="782"/>
      <c r="I22" s="782"/>
      <c r="J22" s="782"/>
      <c r="K22" s="782"/>
      <c r="L22" s="782"/>
      <c r="M22" s="779"/>
      <c r="N22" s="779"/>
      <c r="O22" s="779"/>
      <c r="P22" s="779"/>
      <c r="Q22" s="779"/>
      <c r="R22" s="779"/>
      <c r="S22" s="779"/>
      <c r="T22" s="779"/>
      <c r="U22" s="779"/>
      <c r="V22" s="779"/>
      <c r="W22" s="779"/>
      <c r="X22" s="779"/>
      <c r="Y22" s="779"/>
      <c r="Z22" s="779"/>
      <c r="AA22" s="779"/>
      <c r="AB22" s="779"/>
      <c r="AC22" s="779"/>
      <c r="AD22" s="779"/>
      <c r="AE22" s="779"/>
      <c r="AF22" s="779"/>
      <c r="AG22" s="779"/>
      <c r="AH22" s="779"/>
      <c r="AI22" s="779"/>
      <c r="AJ22" s="779"/>
      <c r="AK22" s="779"/>
      <c r="AL22" s="779"/>
      <c r="AM22" s="779"/>
      <c r="AN22" s="779"/>
      <c r="AO22" s="779"/>
      <c r="AP22" s="779"/>
      <c r="AQ22" s="779"/>
      <c r="AR22" s="779"/>
      <c r="AS22" s="779"/>
      <c r="AT22" s="779"/>
      <c r="AU22" s="779"/>
      <c r="AV22" s="779"/>
      <c r="AW22" s="779"/>
      <c r="AX22" s="779"/>
      <c r="AY22" s="779"/>
      <c r="AZ22" s="779"/>
      <c r="BA22" s="779"/>
      <c r="BB22" s="779"/>
      <c r="BC22" s="779"/>
      <c r="BD22" s="779"/>
      <c r="BE22" s="779"/>
      <c r="BF22" s="779"/>
      <c r="BG22" s="779"/>
      <c r="BH22" s="779"/>
      <c r="BI22" s="779"/>
      <c r="BJ22" s="779"/>
      <c r="BK22" s="779"/>
      <c r="BL22" s="779"/>
      <c r="BM22" s="779"/>
      <c r="BN22" s="779"/>
      <c r="BO22" s="779"/>
      <c r="BP22" s="779"/>
      <c r="BQ22" s="779"/>
      <c r="BR22" s="779"/>
      <c r="BS22" s="779"/>
      <c r="BT22" s="779"/>
      <c r="BU22" s="779"/>
      <c r="BV22" s="779"/>
      <c r="BW22" s="779"/>
      <c r="BX22" s="779"/>
      <c r="BY22" s="779"/>
      <c r="BZ22" s="779"/>
      <c r="CA22" s="779"/>
      <c r="CB22" s="779"/>
      <c r="CC22" s="779"/>
      <c r="CD22" s="779"/>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79"/>
      <c r="ED22" s="779"/>
      <c r="EE22" s="779"/>
      <c r="EF22" s="779"/>
      <c r="EG22" s="779"/>
      <c r="EH22" s="779"/>
      <c r="EI22" s="779"/>
      <c r="EJ22" s="779"/>
      <c r="EK22" s="779"/>
      <c r="EL22" s="779"/>
      <c r="EM22" s="779"/>
      <c r="EN22" s="779"/>
      <c r="EO22" s="779"/>
      <c r="EP22" s="779"/>
      <c r="EQ22" s="779"/>
      <c r="ER22" s="779"/>
      <c r="ES22" s="779"/>
      <c r="ET22" s="779"/>
      <c r="EU22" s="779"/>
      <c r="EV22" s="779"/>
      <c r="EW22" s="779"/>
      <c r="EX22" s="779"/>
      <c r="EY22" s="779"/>
      <c r="EZ22" s="779"/>
      <c r="FA22" s="779"/>
      <c r="FB22" s="779"/>
      <c r="FC22" s="779"/>
      <c r="FD22" s="779"/>
      <c r="FE22" s="779"/>
      <c r="FF22" s="779"/>
      <c r="FG22" s="779"/>
      <c r="FH22" s="779"/>
      <c r="FI22" s="779"/>
      <c r="FJ22" s="779"/>
      <c r="FK22" s="779"/>
      <c r="FL22" s="779"/>
      <c r="FM22" s="779"/>
      <c r="FN22" s="779"/>
      <c r="FO22" s="779"/>
      <c r="FP22" s="779"/>
      <c r="FQ22" s="779"/>
      <c r="FR22" s="779"/>
      <c r="FS22" s="779"/>
      <c r="FT22" s="779"/>
      <c r="FU22" s="779"/>
      <c r="FV22" s="779"/>
      <c r="FW22" s="779"/>
      <c r="FX22" s="779"/>
      <c r="FY22" s="779"/>
      <c r="FZ22" s="779"/>
      <c r="GA22" s="779"/>
      <c r="GB22" s="779"/>
      <c r="GC22" s="779"/>
      <c r="GD22" s="779"/>
      <c r="GE22" s="779"/>
      <c r="GF22" s="779"/>
      <c r="GG22" s="779"/>
      <c r="GH22" s="779"/>
      <c r="GI22" s="779"/>
      <c r="GJ22" s="779"/>
      <c r="GK22" s="779"/>
      <c r="GL22" s="779"/>
      <c r="GM22" s="779"/>
      <c r="GN22" s="779"/>
      <c r="GO22" s="779"/>
      <c r="GP22" s="779"/>
      <c r="GQ22" s="779"/>
      <c r="GR22" s="779"/>
      <c r="GS22" s="779"/>
      <c r="GT22" s="779"/>
      <c r="GU22" s="779"/>
      <c r="GV22" s="779"/>
      <c r="GW22" s="779"/>
      <c r="GX22" s="779"/>
      <c r="GY22" s="779"/>
      <c r="GZ22" s="779"/>
      <c r="HA22" s="779"/>
      <c r="HB22" s="779"/>
      <c r="HC22" s="779"/>
      <c r="HD22" s="779"/>
      <c r="HE22" s="779"/>
      <c r="HF22" s="779"/>
      <c r="HG22" s="779"/>
      <c r="HH22" s="779"/>
      <c r="HI22" s="779"/>
      <c r="HJ22" s="779"/>
      <c r="HK22" s="779"/>
      <c r="HL22" s="779"/>
      <c r="HM22" s="779"/>
      <c r="HN22" s="779"/>
      <c r="HO22" s="779"/>
      <c r="HP22" s="779"/>
      <c r="HQ22" s="779"/>
      <c r="HR22" s="779"/>
      <c r="HS22" s="779"/>
      <c r="HT22" s="779"/>
      <c r="HU22" s="779"/>
      <c r="HV22" s="779"/>
      <c r="HW22" s="779"/>
      <c r="HX22" s="779"/>
      <c r="HY22" s="779"/>
      <c r="HZ22" s="779"/>
      <c r="IA22" s="779"/>
      <c r="IB22" s="779"/>
      <c r="IC22" s="779"/>
      <c r="ID22" s="779"/>
      <c r="IE22" s="779"/>
      <c r="IF22" s="779"/>
      <c r="IG22" s="779"/>
      <c r="IH22" s="779"/>
      <c r="II22" s="779"/>
      <c r="IJ22" s="779"/>
      <c r="IK22" s="779"/>
      <c r="IL22" s="779"/>
      <c r="IM22" s="779"/>
      <c r="IN22" s="779"/>
      <c r="IO22" s="779"/>
      <c r="IP22" s="779"/>
      <c r="IQ22" s="779"/>
      <c r="IR22" s="779"/>
      <c r="IS22" s="779"/>
      <c r="IT22" s="779"/>
      <c r="IU22" s="779"/>
      <c r="IV22" s="779"/>
      <c r="IW22" s="779"/>
      <c r="IX22" s="779"/>
      <c r="IY22" s="779"/>
      <c r="IZ22" s="779"/>
      <c r="JA22" s="779"/>
      <c r="JB22" s="779"/>
      <c r="JC22" s="779"/>
      <c r="JD22" s="779"/>
      <c r="JE22" s="779"/>
      <c r="JF22" s="779"/>
      <c r="JG22" s="779"/>
      <c r="JH22" s="779"/>
      <c r="JI22" s="779"/>
      <c r="JJ22" s="779"/>
      <c r="JK22" s="779"/>
      <c r="JL22" s="779"/>
      <c r="JM22" s="779"/>
      <c r="JN22" s="779"/>
      <c r="JO22" s="779"/>
      <c r="JP22" s="779"/>
      <c r="JQ22" s="779"/>
      <c r="JR22" s="779"/>
      <c r="JS22" s="779"/>
      <c r="JT22" s="779"/>
      <c r="JU22" s="779"/>
      <c r="JV22" s="779"/>
      <c r="JW22" s="779"/>
      <c r="JX22" s="779"/>
      <c r="JY22" s="779"/>
      <c r="JZ22" s="779"/>
      <c r="KA22" s="779"/>
      <c r="KB22" s="779"/>
      <c r="KC22" s="779"/>
      <c r="KD22" s="779"/>
      <c r="KE22" s="779"/>
      <c r="KF22" s="779"/>
      <c r="KG22" s="779"/>
      <c r="KH22" s="779"/>
      <c r="KI22" s="779"/>
      <c r="KJ22" s="779"/>
      <c r="KK22" s="779"/>
      <c r="KL22" s="779"/>
      <c r="KM22" s="779"/>
      <c r="KN22" s="779"/>
      <c r="KO22" s="779"/>
      <c r="KP22" s="779"/>
      <c r="KQ22" s="779"/>
      <c r="KR22" s="779"/>
      <c r="KS22" s="779"/>
      <c r="KT22" s="779"/>
      <c r="KU22" s="779"/>
      <c r="KV22" s="779"/>
      <c r="KW22" s="779"/>
      <c r="KX22" s="779"/>
      <c r="KY22" s="779"/>
      <c r="KZ22" s="779"/>
      <c r="LA22" s="779"/>
      <c r="LB22" s="779"/>
      <c r="LC22" s="779"/>
      <c r="LD22" s="779"/>
      <c r="LE22" s="779"/>
      <c r="LF22" s="779"/>
      <c r="LG22" s="779"/>
      <c r="LH22" s="779"/>
      <c r="LI22" s="779"/>
      <c r="LJ22" s="779"/>
      <c r="LK22" s="779"/>
      <c r="LL22" s="779"/>
      <c r="LM22" s="779"/>
      <c r="LN22" s="779"/>
      <c r="LO22" s="779"/>
      <c r="LP22" s="779"/>
      <c r="LQ22" s="779"/>
      <c r="LR22" s="779"/>
      <c r="LS22" s="779"/>
      <c r="LT22" s="779"/>
      <c r="LU22" s="779"/>
      <c r="LV22" s="779"/>
      <c r="LW22" s="779"/>
      <c r="LX22" s="779"/>
      <c r="LY22" s="779"/>
      <c r="LZ22" s="779"/>
      <c r="MA22" s="779"/>
      <c r="MB22" s="779"/>
      <c r="MC22" s="779"/>
      <c r="MD22" s="779"/>
      <c r="ME22" s="779"/>
      <c r="MF22" s="779"/>
      <c r="MG22" s="779"/>
      <c r="MH22" s="779"/>
      <c r="MI22" s="779"/>
      <c r="MJ22" s="779"/>
      <c r="MK22" s="779"/>
      <c r="ML22" s="779"/>
      <c r="MM22" s="779"/>
      <c r="MN22" s="779"/>
      <c r="MO22" s="779"/>
      <c r="MP22" s="779"/>
      <c r="MQ22" s="779"/>
      <c r="MR22" s="779"/>
      <c r="MS22" s="779"/>
      <c r="MT22" s="779"/>
      <c r="MU22" s="779"/>
      <c r="MV22" s="779"/>
      <c r="MW22" s="779"/>
      <c r="MX22" s="779"/>
      <c r="MY22" s="779"/>
      <c r="MZ22" s="779"/>
      <c r="NA22" s="779"/>
      <c r="NB22" s="779"/>
      <c r="NC22" s="779"/>
      <c r="ND22" s="779"/>
      <c r="NE22" s="779"/>
      <c r="NF22" s="779"/>
      <c r="NG22" s="779"/>
      <c r="NH22" s="779"/>
      <c r="NI22" s="779"/>
      <c r="NJ22" s="779"/>
      <c r="NK22" s="779"/>
      <c r="NL22" s="779"/>
      <c r="NM22" s="779"/>
      <c r="NN22" s="779"/>
      <c r="NO22" s="779"/>
      <c r="NP22" s="779"/>
      <c r="NQ22" s="779"/>
      <c r="NR22" s="779"/>
      <c r="NS22" s="779"/>
      <c r="NT22" s="779"/>
      <c r="NU22" s="779"/>
      <c r="NV22" s="779"/>
      <c r="NW22" s="779"/>
      <c r="NX22" s="779"/>
      <c r="NY22" s="779"/>
      <c r="NZ22" s="779"/>
      <c r="OA22" s="779"/>
      <c r="OB22" s="779"/>
      <c r="OC22" s="779"/>
      <c r="OD22" s="779"/>
      <c r="OE22" s="779"/>
      <c r="OF22" s="779"/>
      <c r="OG22" s="779"/>
      <c r="OH22" s="779"/>
      <c r="OI22" s="779"/>
      <c r="OJ22" s="779"/>
      <c r="OK22" s="779"/>
      <c r="OL22" s="779"/>
      <c r="OM22" s="779"/>
      <c r="ON22" s="779"/>
      <c r="OO22" s="779"/>
      <c r="OP22" s="779"/>
      <c r="OQ22" s="779"/>
      <c r="OR22" s="779"/>
      <c r="OS22" s="779"/>
      <c r="OT22" s="779"/>
      <c r="OU22" s="779"/>
      <c r="OV22" s="779"/>
      <c r="OW22" s="779"/>
      <c r="OX22" s="779"/>
      <c r="OY22" s="779"/>
      <c r="OZ22" s="779"/>
      <c r="PA22" s="779"/>
      <c r="PB22" s="779"/>
      <c r="PC22" s="779"/>
      <c r="PD22" s="779"/>
      <c r="PE22" s="779"/>
      <c r="PF22" s="779"/>
      <c r="PG22" s="779"/>
      <c r="PH22" s="779"/>
      <c r="PI22" s="779"/>
      <c r="PJ22" s="779"/>
      <c r="PK22" s="779"/>
      <c r="PL22" s="779"/>
      <c r="PM22" s="779"/>
      <c r="PN22" s="779"/>
      <c r="PO22" s="779"/>
    </row>
    <row r="23" spans="1:431" s="143" customFormat="1">
      <c r="A23" s="779"/>
      <c r="B23" s="779"/>
      <c r="C23" s="782"/>
      <c r="D23" s="782"/>
      <c r="E23" s="782"/>
      <c r="F23" s="782"/>
      <c r="G23" s="782"/>
      <c r="H23" s="782"/>
      <c r="I23" s="782"/>
      <c r="J23" s="782"/>
      <c r="K23" s="782"/>
      <c r="L23" s="782"/>
      <c r="M23" s="779"/>
      <c r="N23" s="779"/>
      <c r="O23" s="779"/>
      <c r="P23" s="779"/>
      <c r="Q23" s="779"/>
      <c r="R23" s="779"/>
      <c r="S23" s="779"/>
      <c r="T23" s="779"/>
      <c r="U23" s="779"/>
      <c r="V23" s="779"/>
      <c r="W23" s="779"/>
      <c r="X23" s="779"/>
      <c r="Y23" s="779"/>
      <c r="Z23" s="779"/>
      <c r="AA23" s="779"/>
      <c r="AB23" s="779"/>
      <c r="AC23" s="779"/>
      <c r="AD23" s="779"/>
      <c r="AE23" s="779"/>
      <c r="AF23" s="779"/>
      <c r="AG23" s="779"/>
      <c r="AH23" s="779"/>
      <c r="AI23" s="779"/>
      <c r="AJ23" s="779"/>
      <c r="AK23" s="779"/>
      <c r="AL23" s="779"/>
      <c r="AM23" s="779"/>
      <c r="AN23" s="779"/>
      <c r="AO23" s="779"/>
      <c r="AP23" s="779"/>
      <c r="AQ23" s="779"/>
      <c r="AR23" s="779"/>
      <c r="AS23" s="779"/>
      <c r="AT23" s="779"/>
      <c r="AU23" s="779"/>
      <c r="AV23" s="779"/>
      <c r="AW23" s="779"/>
      <c r="AX23" s="779"/>
      <c r="AY23" s="779"/>
      <c r="AZ23" s="779"/>
      <c r="BA23" s="779"/>
      <c r="BB23" s="779"/>
      <c r="BC23" s="779"/>
      <c r="BD23" s="779"/>
      <c r="BE23" s="779"/>
      <c r="BF23" s="779"/>
      <c r="BG23" s="779"/>
      <c r="BH23" s="779"/>
      <c r="BI23" s="779"/>
      <c r="BJ23" s="779"/>
      <c r="BK23" s="779"/>
      <c r="BL23" s="779"/>
      <c r="BM23" s="779"/>
      <c r="BN23" s="779"/>
      <c r="BO23" s="779"/>
      <c r="BP23" s="779"/>
      <c r="BQ23" s="779"/>
      <c r="BR23" s="779"/>
      <c r="BS23" s="779"/>
      <c r="BT23" s="779"/>
      <c r="BU23" s="779"/>
      <c r="BV23" s="779"/>
      <c r="BW23" s="779"/>
      <c r="BX23" s="779"/>
      <c r="BY23" s="779"/>
      <c r="BZ23" s="779"/>
      <c r="CA23" s="779"/>
      <c r="CB23" s="779"/>
      <c r="CC23" s="779"/>
      <c r="CD23" s="779"/>
      <c r="CE23" s="779"/>
      <c r="CF23" s="779"/>
      <c r="CG23" s="779"/>
      <c r="CH23" s="779"/>
      <c r="CI23" s="779"/>
      <c r="CJ23" s="779"/>
      <c r="CK23" s="779"/>
      <c r="CL23" s="779"/>
      <c r="CM23" s="779"/>
      <c r="CN23" s="779"/>
      <c r="CO23" s="779"/>
      <c r="CP23" s="779"/>
      <c r="CQ23" s="779"/>
      <c r="CR23" s="779"/>
      <c r="CS23" s="779"/>
      <c r="CT23" s="779"/>
      <c r="CU23" s="779"/>
      <c r="CV23" s="779"/>
      <c r="CW23" s="779"/>
      <c r="CX23" s="779"/>
      <c r="CY23" s="779"/>
      <c r="CZ23" s="779"/>
      <c r="DA23" s="779"/>
      <c r="DB23" s="779"/>
      <c r="DC23" s="779"/>
      <c r="DD23" s="779"/>
      <c r="DE23" s="779"/>
      <c r="DF23" s="779"/>
      <c r="DG23" s="779"/>
      <c r="DH23" s="779"/>
      <c r="DI23" s="779"/>
      <c r="DJ23" s="779"/>
      <c r="DK23" s="779"/>
      <c r="DL23" s="779"/>
      <c r="DM23" s="779"/>
      <c r="DN23" s="779"/>
      <c r="DO23" s="779"/>
      <c r="DP23" s="779"/>
      <c r="DQ23" s="779"/>
      <c r="DR23" s="779"/>
      <c r="DS23" s="779"/>
      <c r="DT23" s="779"/>
      <c r="DU23" s="779"/>
      <c r="DV23" s="779"/>
      <c r="DW23" s="779"/>
      <c r="DX23" s="779"/>
      <c r="DY23" s="779"/>
      <c r="DZ23" s="779"/>
      <c r="EA23" s="779"/>
      <c r="EB23" s="779"/>
      <c r="EC23" s="779"/>
      <c r="ED23" s="779"/>
      <c r="EE23" s="779"/>
      <c r="EF23" s="779"/>
      <c r="EG23" s="779"/>
      <c r="EH23" s="779"/>
      <c r="EI23" s="779"/>
      <c r="EJ23" s="779"/>
      <c r="EK23" s="779"/>
      <c r="EL23" s="779"/>
      <c r="EM23" s="779"/>
      <c r="EN23" s="779"/>
      <c r="EO23" s="779"/>
      <c r="EP23" s="779"/>
      <c r="EQ23" s="779"/>
      <c r="ER23" s="779"/>
      <c r="ES23" s="779"/>
      <c r="ET23" s="779"/>
      <c r="EU23" s="779"/>
      <c r="EV23" s="779"/>
      <c r="EW23" s="779"/>
      <c r="EX23" s="779"/>
      <c r="EY23" s="779"/>
      <c r="EZ23" s="779"/>
      <c r="FA23" s="779"/>
      <c r="FB23" s="779"/>
      <c r="FC23" s="779"/>
      <c r="FD23" s="779"/>
      <c r="FE23" s="779"/>
      <c r="FF23" s="779"/>
      <c r="FG23" s="779"/>
      <c r="FH23" s="779"/>
      <c r="FI23" s="779"/>
      <c r="FJ23" s="779"/>
      <c r="FK23" s="779"/>
      <c r="FL23" s="779"/>
      <c r="FM23" s="779"/>
      <c r="FN23" s="779"/>
      <c r="FO23" s="779"/>
      <c r="FP23" s="779"/>
      <c r="FQ23" s="779"/>
      <c r="FR23" s="779"/>
      <c r="FS23" s="779"/>
      <c r="FT23" s="779"/>
      <c r="FU23" s="779"/>
      <c r="FV23" s="779"/>
      <c r="FW23" s="779"/>
      <c r="FX23" s="779"/>
      <c r="FY23" s="779"/>
      <c r="FZ23" s="779"/>
      <c r="GA23" s="779"/>
      <c r="GB23" s="779"/>
      <c r="GC23" s="779"/>
      <c r="GD23" s="779"/>
      <c r="GE23" s="779"/>
      <c r="GF23" s="779"/>
      <c r="GG23" s="779"/>
      <c r="GH23" s="779"/>
      <c r="GI23" s="779"/>
      <c r="GJ23" s="779"/>
      <c r="GK23" s="779"/>
      <c r="GL23" s="779"/>
      <c r="GM23" s="779"/>
      <c r="GN23" s="779"/>
      <c r="GO23" s="779"/>
      <c r="GP23" s="779"/>
      <c r="GQ23" s="779"/>
      <c r="GR23" s="779"/>
      <c r="GS23" s="779"/>
      <c r="GT23" s="779"/>
      <c r="GU23" s="779"/>
      <c r="GV23" s="779"/>
      <c r="GW23" s="779"/>
      <c r="GX23" s="779"/>
      <c r="GY23" s="779"/>
      <c r="GZ23" s="779"/>
      <c r="HA23" s="779"/>
      <c r="HB23" s="779"/>
      <c r="HC23" s="779"/>
      <c r="HD23" s="779"/>
      <c r="HE23" s="779"/>
      <c r="HF23" s="779"/>
      <c r="HG23" s="779"/>
      <c r="HH23" s="779"/>
      <c r="HI23" s="779"/>
      <c r="HJ23" s="779"/>
      <c r="HK23" s="779"/>
      <c r="HL23" s="779"/>
      <c r="HM23" s="779"/>
      <c r="HN23" s="779"/>
      <c r="HO23" s="779"/>
      <c r="HP23" s="779"/>
      <c r="HQ23" s="779"/>
      <c r="HR23" s="779"/>
      <c r="HS23" s="779"/>
      <c r="HT23" s="779"/>
      <c r="HU23" s="779"/>
      <c r="HV23" s="779"/>
      <c r="HW23" s="779"/>
      <c r="HX23" s="779"/>
      <c r="HY23" s="779"/>
      <c r="HZ23" s="779"/>
      <c r="IA23" s="779"/>
      <c r="IB23" s="779"/>
      <c r="IC23" s="779"/>
      <c r="ID23" s="779"/>
      <c r="IE23" s="779"/>
      <c r="IF23" s="779"/>
      <c r="IG23" s="779"/>
      <c r="IH23" s="779"/>
      <c r="II23" s="779"/>
      <c r="IJ23" s="779"/>
      <c r="IK23" s="779"/>
      <c r="IL23" s="779"/>
      <c r="IM23" s="779"/>
      <c r="IN23" s="779"/>
      <c r="IO23" s="779"/>
      <c r="IP23" s="779"/>
      <c r="IQ23" s="779"/>
      <c r="IR23" s="779"/>
      <c r="IS23" s="779"/>
      <c r="IT23" s="779"/>
      <c r="IU23" s="779"/>
      <c r="IV23" s="779"/>
      <c r="IW23" s="779"/>
      <c r="IX23" s="779"/>
      <c r="IY23" s="779"/>
      <c r="IZ23" s="779"/>
      <c r="JA23" s="779"/>
      <c r="JB23" s="779"/>
      <c r="JC23" s="779"/>
      <c r="JD23" s="779"/>
      <c r="JE23" s="779"/>
      <c r="JF23" s="779"/>
      <c r="JG23" s="779"/>
      <c r="JH23" s="779"/>
      <c r="JI23" s="779"/>
      <c r="JJ23" s="779"/>
      <c r="JK23" s="779"/>
      <c r="JL23" s="779"/>
      <c r="JM23" s="779"/>
      <c r="JN23" s="779"/>
      <c r="JO23" s="779"/>
      <c r="JP23" s="779"/>
      <c r="JQ23" s="779"/>
      <c r="JR23" s="779"/>
      <c r="JS23" s="779"/>
      <c r="JT23" s="779"/>
      <c r="JU23" s="779"/>
      <c r="JV23" s="779"/>
      <c r="JW23" s="779"/>
      <c r="JX23" s="779"/>
      <c r="JY23" s="779"/>
      <c r="JZ23" s="779"/>
      <c r="KA23" s="779"/>
      <c r="KB23" s="779"/>
      <c r="KC23" s="779"/>
      <c r="KD23" s="779"/>
      <c r="KE23" s="779"/>
      <c r="KF23" s="779"/>
      <c r="KG23" s="779"/>
      <c r="KH23" s="779"/>
      <c r="KI23" s="779"/>
      <c r="KJ23" s="779"/>
      <c r="KK23" s="779"/>
      <c r="KL23" s="779"/>
      <c r="KM23" s="779"/>
      <c r="KN23" s="779"/>
      <c r="KO23" s="779"/>
      <c r="KP23" s="779"/>
      <c r="KQ23" s="779"/>
      <c r="KR23" s="779"/>
      <c r="KS23" s="779"/>
      <c r="KT23" s="779"/>
      <c r="KU23" s="779"/>
      <c r="KV23" s="779"/>
      <c r="KW23" s="779"/>
      <c r="KX23" s="779"/>
      <c r="KY23" s="779"/>
      <c r="KZ23" s="779"/>
      <c r="LA23" s="779"/>
      <c r="LB23" s="779"/>
      <c r="LC23" s="779"/>
      <c r="LD23" s="779"/>
      <c r="LE23" s="779"/>
      <c r="LF23" s="779"/>
      <c r="LG23" s="779"/>
      <c r="LH23" s="779"/>
      <c r="LI23" s="779"/>
      <c r="LJ23" s="779"/>
      <c r="LK23" s="779"/>
      <c r="LL23" s="779"/>
      <c r="LM23" s="779"/>
      <c r="LN23" s="779"/>
      <c r="LO23" s="779"/>
      <c r="LP23" s="779"/>
      <c r="LQ23" s="779"/>
      <c r="LR23" s="779"/>
      <c r="LS23" s="779"/>
      <c r="LT23" s="779"/>
      <c r="LU23" s="779"/>
      <c r="LV23" s="779"/>
      <c r="LW23" s="779"/>
      <c r="LX23" s="779"/>
      <c r="LY23" s="779"/>
      <c r="LZ23" s="779"/>
      <c r="MA23" s="779"/>
      <c r="MB23" s="779"/>
      <c r="MC23" s="779"/>
      <c r="MD23" s="779"/>
      <c r="ME23" s="779"/>
      <c r="MF23" s="779"/>
      <c r="MG23" s="779"/>
      <c r="MH23" s="779"/>
      <c r="MI23" s="779"/>
      <c r="MJ23" s="779"/>
      <c r="MK23" s="779"/>
      <c r="ML23" s="779"/>
      <c r="MM23" s="779"/>
      <c r="MN23" s="779"/>
      <c r="MO23" s="779"/>
      <c r="MP23" s="779"/>
      <c r="MQ23" s="779"/>
      <c r="MR23" s="779"/>
      <c r="MS23" s="779"/>
      <c r="MT23" s="779"/>
      <c r="MU23" s="779"/>
      <c r="MV23" s="779"/>
      <c r="MW23" s="779"/>
      <c r="MX23" s="779"/>
      <c r="MY23" s="779"/>
      <c r="MZ23" s="779"/>
      <c r="NA23" s="779"/>
      <c r="NB23" s="779"/>
      <c r="NC23" s="779"/>
      <c r="ND23" s="779"/>
      <c r="NE23" s="779"/>
      <c r="NF23" s="779"/>
      <c r="NG23" s="779"/>
      <c r="NH23" s="779"/>
      <c r="NI23" s="779"/>
      <c r="NJ23" s="779"/>
      <c r="NK23" s="779"/>
      <c r="NL23" s="779"/>
      <c r="NM23" s="779"/>
      <c r="NN23" s="779"/>
      <c r="NO23" s="779"/>
      <c r="NP23" s="779"/>
      <c r="NQ23" s="779"/>
      <c r="NR23" s="779"/>
      <c r="NS23" s="779"/>
      <c r="NT23" s="779"/>
      <c r="NU23" s="779"/>
      <c r="NV23" s="779"/>
      <c r="NW23" s="779"/>
      <c r="NX23" s="779"/>
      <c r="NY23" s="779"/>
      <c r="NZ23" s="779"/>
      <c r="OA23" s="779"/>
      <c r="OB23" s="779"/>
      <c r="OC23" s="779"/>
      <c r="OD23" s="779"/>
      <c r="OE23" s="779"/>
      <c r="OF23" s="779"/>
      <c r="OG23" s="779"/>
      <c r="OH23" s="779"/>
      <c r="OI23" s="779"/>
      <c r="OJ23" s="779"/>
      <c r="OK23" s="779"/>
      <c r="OL23" s="779"/>
      <c r="OM23" s="779"/>
      <c r="ON23" s="779"/>
      <c r="OO23" s="779"/>
      <c r="OP23" s="779"/>
      <c r="OQ23" s="779"/>
      <c r="OR23" s="779"/>
      <c r="OS23" s="779"/>
      <c r="OT23" s="779"/>
      <c r="OU23" s="779"/>
      <c r="OV23" s="779"/>
      <c r="OW23" s="779"/>
      <c r="OX23" s="779"/>
      <c r="OY23" s="779"/>
      <c r="OZ23" s="779"/>
      <c r="PA23" s="779"/>
      <c r="PB23" s="779"/>
      <c r="PC23" s="779"/>
      <c r="PD23" s="779"/>
      <c r="PE23" s="779"/>
      <c r="PF23" s="779"/>
      <c r="PG23" s="779"/>
      <c r="PH23" s="779"/>
      <c r="PI23" s="779"/>
      <c r="PJ23" s="779"/>
      <c r="PK23" s="779"/>
      <c r="PL23" s="779"/>
      <c r="PM23" s="779"/>
      <c r="PN23" s="779"/>
      <c r="PO23" s="779"/>
    </row>
    <row r="24" spans="1:431" s="143" customFormat="1">
      <c r="A24" s="779"/>
      <c r="B24" s="779"/>
      <c r="C24" s="782"/>
      <c r="D24" s="782"/>
      <c r="E24" s="782"/>
      <c r="F24" s="782"/>
      <c r="G24" s="782"/>
      <c r="H24" s="782"/>
      <c r="I24" s="782"/>
      <c r="J24" s="782"/>
      <c r="K24" s="782"/>
      <c r="L24" s="782"/>
      <c r="M24" s="779"/>
      <c r="N24" s="779"/>
      <c r="O24" s="779"/>
      <c r="P24" s="779"/>
      <c r="Q24" s="779"/>
      <c r="R24" s="779"/>
      <c r="S24" s="779"/>
      <c r="T24" s="779"/>
      <c r="U24" s="779"/>
      <c r="V24" s="779"/>
      <c r="W24" s="779"/>
      <c r="X24" s="779"/>
      <c r="Y24" s="779"/>
      <c r="Z24" s="779"/>
      <c r="AA24" s="779"/>
      <c r="AB24" s="779"/>
      <c r="AC24" s="779"/>
      <c r="AD24" s="779"/>
      <c r="AE24" s="779"/>
      <c r="AF24" s="779"/>
      <c r="AG24" s="779"/>
      <c r="AH24" s="779"/>
      <c r="AI24" s="779"/>
      <c r="AJ24" s="779"/>
      <c r="AK24" s="779"/>
      <c r="AL24" s="779"/>
      <c r="AM24" s="779"/>
      <c r="AN24" s="779"/>
      <c r="AO24" s="779"/>
      <c r="AP24" s="779"/>
      <c r="AQ24" s="779"/>
      <c r="AR24" s="779"/>
      <c r="AS24" s="779"/>
      <c r="AT24" s="779"/>
      <c r="AU24" s="779"/>
      <c r="AV24" s="779"/>
      <c r="AW24" s="779"/>
      <c r="AX24" s="779"/>
      <c r="AY24" s="779"/>
      <c r="AZ24" s="779"/>
      <c r="BA24" s="779"/>
      <c r="BB24" s="779"/>
      <c r="BC24" s="779"/>
      <c r="BD24" s="779"/>
      <c r="BE24" s="779"/>
      <c r="BF24" s="779"/>
      <c r="BG24" s="779"/>
      <c r="BH24" s="779"/>
      <c r="BI24" s="779"/>
      <c r="BJ24" s="779"/>
      <c r="BK24" s="779"/>
      <c r="BL24" s="779"/>
      <c r="BM24" s="779"/>
      <c r="BN24" s="779"/>
      <c r="BO24" s="779"/>
      <c r="BP24" s="779"/>
      <c r="BQ24" s="779"/>
      <c r="BR24" s="779"/>
      <c r="BS24" s="779"/>
      <c r="BT24" s="779"/>
      <c r="BU24" s="779"/>
      <c r="BV24" s="779"/>
      <c r="BW24" s="779"/>
      <c r="BX24" s="779"/>
      <c r="BY24" s="779"/>
      <c r="BZ24" s="779"/>
      <c r="CA24" s="779"/>
      <c r="CB24" s="779"/>
      <c r="CC24" s="779"/>
      <c r="CD24" s="779"/>
      <c r="CE24" s="779"/>
      <c r="CF24" s="779"/>
      <c r="CG24" s="779"/>
      <c r="CH24" s="779"/>
      <c r="CI24" s="779"/>
      <c r="CJ24" s="779"/>
      <c r="CK24" s="779"/>
      <c r="CL24" s="779"/>
      <c r="CM24" s="779"/>
      <c r="CN24" s="779"/>
      <c r="CO24" s="779"/>
      <c r="CP24" s="779"/>
      <c r="CQ24" s="779"/>
      <c r="CR24" s="779"/>
      <c r="CS24" s="779"/>
      <c r="CT24" s="779"/>
      <c r="CU24" s="779"/>
      <c r="CV24" s="779"/>
      <c r="CW24" s="779"/>
      <c r="CX24" s="779"/>
      <c r="CY24" s="779"/>
      <c r="CZ24" s="779"/>
      <c r="DA24" s="779"/>
      <c r="DB24" s="779"/>
      <c r="DC24" s="779"/>
      <c r="DD24" s="779"/>
      <c r="DE24" s="779"/>
      <c r="DF24" s="779"/>
      <c r="DG24" s="779"/>
      <c r="DH24" s="779"/>
      <c r="DI24" s="779"/>
      <c r="DJ24" s="779"/>
      <c r="DK24" s="779"/>
      <c r="DL24" s="779"/>
      <c r="DM24" s="779"/>
      <c r="DN24" s="779"/>
      <c r="DO24" s="779"/>
      <c r="DP24" s="779"/>
      <c r="DQ24" s="779"/>
      <c r="DR24" s="779"/>
      <c r="DS24" s="779"/>
      <c r="DT24" s="779"/>
      <c r="DU24" s="779"/>
      <c r="DV24" s="779"/>
      <c r="DW24" s="779"/>
      <c r="DX24" s="779"/>
      <c r="DY24" s="779"/>
      <c r="DZ24" s="779"/>
      <c r="EA24" s="779"/>
      <c r="EB24" s="779"/>
      <c r="EC24" s="779"/>
      <c r="ED24" s="779"/>
      <c r="EE24" s="779"/>
      <c r="EF24" s="779"/>
      <c r="EG24" s="779"/>
      <c r="EH24" s="779"/>
      <c r="EI24" s="779"/>
      <c r="EJ24" s="779"/>
      <c r="EK24" s="779"/>
      <c r="EL24" s="779"/>
      <c r="EM24" s="779"/>
      <c r="EN24" s="779"/>
      <c r="EO24" s="779"/>
      <c r="EP24" s="779"/>
      <c r="EQ24" s="779"/>
      <c r="ER24" s="779"/>
      <c r="ES24" s="779"/>
      <c r="ET24" s="779"/>
      <c r="EU24" s="779"/>
      <c r="EV24" s="779"/>
      <c r="EW24" s="779"/>
      <c r="EX24" s="779"/>
      <c r="EY24" s="779"/>
      <c r="EZ24" s="779"/>
      <c r="FA24" s="779"/>
      <c r="FB24" s="779"/>
      <c r="FC24" s="779"/>
      <c r="FD24" s="779"/>
      <c r="FE24" s="779"/>
      <c r="FF24" s="779"/>
      <c r="FG24" s="779"/>
      <c r="FH24" s="779"/>
      <c r="FI24" s="779"/>
      <c r="FJ24" s="779"/>
      <c r="FK24" s="779"/>
      <c r="FL24" s="779"/>
      <c r="FM24" s="779"/>
      <c r="FN24" s="779"/>
      <c r="FO24" s="779"/>
      <c r="FP24" s="779"/>
      <c r="FQ24" s="779"/>
      <c r="FR24" s="779"/>
      <c r="FS24" s="779"/>
      <c r="FT24" s="779"/>
      <c r="FU24" s="779"/>
      <c r="FV24" s="779"/>
      <c r="FW24" s="779"/>
      <c r="FX24" s="779"/>
      <c r="FY24" s="779"/>
      <c r="FZ24" s="779"/>
      <c r="GA24" s="779"/>
      <c r="GB24" s="779"/>
      <c r="GC24" s="779"/>
      <c r="GD24" s="779"/>
      <c r="GE24" s="779"/>
      <c r="GF24" s="779"/>
      <c r="GG24" s="779"/>
      <c r="GH24" s="779"/>
      <c r="GI24" s="779"/>
      <c r="GJ24" s="779"/>
      <c r="GK24" s="779"/>
      <c r="GL24" s="779"/>
      <c r="GM24" s="779"/>
      <c r="GN24" s="779"/>
      <c r="GO24" s="779"/>
      <c r="GP24" s="779"/>
      <c r="GQ24" s="779"/>
      <c r="GR24" s="779"/>
      <c r="GS24" s="779"/>
      <c r="GT24" s="779"/>
      <c r="GU24" s="779"/>
      <c r="GV24" s="779"/>
      <c r="GW24" s="779"/>
      <c r="GX24" s="779"/>
      <c r="GY24" s="779"/>
      <c r="GZ24" s="779"/>
      <c r="HA24" s="779"/>
      <c r="HB24" s="779"/>
      <c r="HC24" s="779"/>
      <c r="HD24" s="779"/>
      <c r="HE24" s="779"/>
      <c r="HF24" s="779"/>
      <c r="HG24" s="779"/>
      <c r="HH24" s="779"/>
      <c r="HI24" s="779"/>
      <c r="HJ24" s="779"/>
      <c r="HK24" s="779"/>
      <c r="HL24" s="779"/>
      <c r="HM24" s="779"/>
      <c r="HN24" s="779"/>
      <c r="HO24" s="779"/>
      <c r="HP24" s="779"/>
      <c r="HQ24" s="779"/>
      <c r="HR24" s="779"/>
      <c r="HS24" s="779"/>
      <c r="HT24" s="779"/>
      <c r="HU24" s="779"/>
      <c r="HV24" s="779"/>
      <c r="HW24" s="779"/>
      <c r="HX24" s="779"/>
      <c r="HY24" s="779"/>
      <c r="HZ24" s="779"/>
      <c r="IA24" s="779"/>
      <c r="IB24" s="779"/>
      <c r="IC24" s="779"/>
      <c r="ID24" s="779"/>
      <c r="IE24" s="779"/>
      <c r="IF24" s="779"/>
      <c r="IG24" s="779"/>
      <c r="IH24" s="779"/>
      <c r="II24" s="779"/>
      <c r="IJ24" s="779"/>
      <c r="IK24" s="779"/>
      <c r="IL24" s="779"/>
      <c r="IM24" s="779"/>
      <c r="IN24" s="779"/>
      <c r="IO24" s="779"/>
      <c r="IP24" s="779"/>
      <c r="IQ24" s="779"/>
      <c r="IR24" s="779"/>
      <c r="IS24" s="779"/>
      <c r="IT24" s="779"/>
      <c r="IU24" s="779"/>
      <c r="IV24" s="779"/>
      <c r="IW24" s="779"/>
      <c r="IX24" s="779"/>
      <c r="IY24" s="779"/>
      <c r="IZ24" s="779"/>
      <c r="JA24" s="779"/>
      <c r="JB24" s="779"/>
      <c r="JC24" s="779"/>
      <c r="JD24" s="779"/>
      <c r="JE24" s="779"/>
      <c r="JF24" s="779"/>
      <c r="JG24" s="779"/>
      <c r="JH24" s="779"/>
      <c r="JI24" s="779"/>
      <c r="JJ24" s="779"/>
      <c r="JK24" s="779"/>
      <c r="JL24" s="779"/>
      <c r="JM24" s="779"/>
      <c r="JN24" s="779"/>
      <c r="JO24" s="779"/>
      <c r="JP24" s="779"/>
      <c r="JQ24" s="779"/>
      <c r="JR24" s="779"/>
      <c r="JS24" s="779"/>
      <c r="JT24" s="779"/>
      <c r="JU24" s="779"/>
      <c r="JV24" s="779"/>
      <c r="JW24" s="779"/>
      <c r="JX24" s="779"/>
      <c r="JY24" s="779"/>
      <c r="JZ24" s="779"/>
      <c r="KA24" s="779"/>
      <c r="KB24" s="779"/>
      <c r="KC24" s="779"/>
      <c r="KD24" s="779"/>
      <c r="KE24" s="779"/>
      <c r="KF24" s="779"/>
      <c r="KG24" s="779"/>
      <c r="KH24" s="779"/>
      <c r="KI24" s="779"/>
      <c r="KJ24" s="779"/>
      <c r="KK24" s="779"/>
      <c r="KL24" s="779"/>
      <c r="KM24" s="779"/>
      <c r="KN24" s="779"/>
      <c r="KO24" s="779"/>
      <c r="KP24" s="779"/>
      <c r="KQ24" s="779"/>
      <c r="KR24" s="779"/>
      <c r="KS24" s="779"/>
      <c r="KT24" s="779"/>
      <c r="KU24" s="779"/>
      <c r="KV24" s="779"/>
      <c r="KW24" s="779"/>
      <c r="KX24" s="779"/>
      <c r="KY24" s="779"/>
      <c r="KZ24" s="779"/>
      <c r="LA24" s="779"/>
      <c r="LB24" s="779"/>
      <c r="LC24" s="779"/>
      <c r="LD24" s="779"/>
      <c r="LE24" s="779"/>
      <c r="LF24" s="779"/>
      <c r="LG24" s="779"/>
      <c r="LH24" s="779"/>
      <c r="LI24" s="779"/>
      <c r="LJ24" s="779"/>
      <c r="LK24" s="779"/>
      <c r="LL24" s="779"/>
      <c r="LM24" s="779"/>
      <c r="LN24" s="779"/>
      <c r="LO24" s="779"/>
      <c r="LP24" s="779"/>
      <c r="LQ24" s="779"/>
      <c r="LR24" s="779"/>
      <c r="LS24" s="779"/>
      <c r="LT24" s="779"/>
      <c r="LU24" s="779"/>
      <c r="LV24" s="779"/>
      <c r="LW24" s="779"/>
      <c r="LX24" s="779"/>
      <c r="LY24" s="779"/>
      <c r="LZ24" s="779"/>
      <c r="MA24" s="779"/>
      <c r="MB24" s="779"/>
      <c r="MC24" s="779"/>
      <c r="MD24" s="779"/>
      <c r="ME24" s="779"/>
      <c r="MF24" s="779"/>
      <c r="MG24" s="779"/>
      <c r="MH24" s="779"/>
      <c r="MI24" s="779"/>
      <c r="MJ24" s="779"/>
      <c r="MK24" s="779"/>
      <c r="ML24" s="779"/>
      <c r="MM24" s="779"/>
      <c r="MN24" s="779"/>
      <c r="MO24" s="779"/>
      <c r="MP24" s="779"/>
      <c r="MQ24" s="779"/>
      <c r="MR24" s="779"/>
      <c r="MS24" s="779"/>
      <c r="MT24" s="779"/>
      <c r="MU24" s="779"/>
      <c r="MV24" s="779"/>
      <c r="MW24" s="779"/>
      <c r="MX24" s="779"/>
      <c r="MY24" s="779"/>
      <c r="MZ24" s="779"/>
      <c r="NA24" s="779"/>
      <c r="NB24" s="779"/>
      <c r="NC24" s="779"/>
      <c r="ND24" s="779"/>
      <c r="NE24" s="779"/>
      <c r="NF24" s="779"/>
      <c r="NG24" s="779"/>
      <c r="NH24" s="779"/>
      <c r="NI24" s="779"/>
      <c r="NJ24" s="779"/>
      <c r="NK24" s="779"/>
      <c r="NL24" s="779"/>
      <c r="NM24" s="779"/>
      <c r="NN24" s="779"/>
      <c r="NO24" s="779"/>
      <c r="NP24" s="779"/>
      <c r="NQ24" s="779"/>
      <c r="NR24" s="779"/>
      <c r="NS24" s="779"/>
      <c r="NT24" s="779"/>
      <c r="NU24" s="779"/>
      <c r="NV24" s="779"/>
      <c r="NW24" s="779"/>
      <c r="NX24" s="779"/>
      <c r="NY24" s="779"/>
      <c r="NZ24" s="779"/>
      <c r="OA24" s="779"/>
      <c r="OB24" s="779"/>
      <c r="OC24" s="779"/>
      <c r="OD24" s="779"/>
      <c r="OE24" s="779"/>
      <c r="OF24" s="779"/>
      <c r="OG24" s="779"/>
      <c r="OH24" s="779"/>
      <c r="OI24" s="779"/>
      <c r="OJ24" s="779"/>
      <c r="OK24" s="779"/>
      <c r="OL24" s="779"/>
      <c r="OM24" s="779"/>
      <c r="ON24" s="779"/>
      <c r="OO24" s="779"/>
      <c r="OP24" s="779"/>
      <c r="OQ24" s="779"/>
      <c r="OR24" s="779"/>
      <c r="OS24" s="779"/>
      <c r="OT24" s="779"/>
      <c r="OU24" s="779"/>
      <c r="OV24" s="779"/>
      <c r="OW24" s="779"/>
      <c r="OX24" s="779"/>
      <c r="OY24" s="779"/>
      <c r="OZ24" s="779"/>
      <c r="PA24" s="779"/>
      <c r="PB24" s="779"/>
      <c r="PC24" s="779"/>
      <c r="PD24" s="779"/>
      <c r="PE24" s="779"/>
      <c r="PF24" s="779"/>
      <c r="PG24" s="779"/>
      <c r="PH24" s="779"/>
      <c r="PI24" s="779"/>
      <c r="PJ24" s="779"/>
      <c r="PK24" s="779"/>
      <c r="PL24" s="779"/>
      <c r="PM24" s="779"/>
      <c r="PN24" s="779"/>
      <c r="PO24" s="779"/>
    </row>
    <row r="25" spans="1:431" s="143" customFormat="1">
      <c r="A25" s="779"/>
      <c r="B25" s="779"/>
      <c r="C25" s="782"/>
      <c r="D25" s="782"/>
      <c r="E25" s="782"/>
      <c r="F25" s="782"/>
      <c r="G25" s="782"/>
      <c r="H25" s="782"/>
      <c r="I25" s="782"/>
      <c r="J25" s="782"/>
      <c r="K25" s="782"/>
      <c r="L25" s="782"/>
      <c r="M25" s="779"/>
      <c r="N25" s="779"/>
      <c r="O25" s="779"/>
      <c r="P25" s="779"/>
      <c r="Q25" s="779"/>
      <c r="R25" s="779"/>
      <c r="S25" s="779"/>
      <c r="T25" s="779"/>
      <c r="U25" s="779"/>
      <c r="V25" s="779"/>
      <c r="W25" s="779"/>
      <c r="X25" s="779"/>
      <c r="Y25" s="779"/>
      <c r="Z25" s="779"/>
      <c r="AA25" s="779"/>
      <c r="AB25" s="779"/>
      <c r="AC25" s="779"/>
      <c r="AD25" s="779"/>
      <c r="AE25" s="779"/>
      <c r="AF25" s="779"/>
      <c r="AG25" s="779"/>
      <c r="AH25" s="779"/>
      <c r="AI25" s="779"/>
      <c r="AJ25" s="779"/>
      <c r="AK25" s="779"/>
      <c r="AL25" s="779"/>
      <c r="AM25" s="779"/>
      <c r="AN25" s="779"/>
      <c r="AO25" s="779"/>
      <c r="AP25" s="779"/>
      <c r="AQ25" s="779"/>
      <c r="AR25" s="779"/>
      <c r="AS25" s="779"/>
      <c r="AT25" s="779"/>
      <c r="AU25" s="779"/>
      <c r="AV25" s="779"/>
      <c r="AW25" s="779"/>
      <c r="AX25" s="779"/>
      <c r="AY25" s="779"/>
      <c r="AZ25" s="779"/>
      <c r="BA25" s="779"/>
      <c r="BB25" s="779"/>
      <c r="BC25" s="779"/>
      <c r="BD25" s="779"/>
      <c r="BE25" s="779"/>
      <c r="BF25" s="779"/>
      <c r="BG25" s="779"/>
      <c r="BH25" s="779"/>
      <c r="BI25" s="779"/>
      <c r="BJ25" s="779"/>
      <c r="BK25" s="779"/>
      <c r="BL25" s="779"/>
      <c r="BM25" s="779"/>
      <c r="BN25" s="779"/>
      <c r="BO25" s="779"/>
      <c r="BP25" s="779"/>
      <c r="BQ25" s="779"/>
      <c r="BR25" s="779"/>
      <c r="BS25" s="779"/>
      <c r="BT25" s="779"/>
      <c r="BU25" s="779"/>
      <c r="BV25" s="779"/>
      <c r="BW25" s="779"/>
      <c r="BX25" s="779"/>
      <c r="BY25" s="779"/>
      <c r="BZ25" s="779"/>
      <c r="CA25" s="779"/>
      <c r="CB25" s="779"/>
      <c r="CC25" s="779"/>
      <c r="CD25" s="779"/>
      <c r="CE25" s="779"/>
      <c r="CF25" s="779"/>
      <c r="CG25" s="779"/>
      <c r="CH25" s="779"/>
      <c r="CI25" s="779"/>
      <c r="CJ25" s="779"/>
      <c r="CK25" s="779"/>
      <c r="CL25" s="779"/>
      <c r="CM25" s="779"/>
      <c r="CN25" s="779"/>
      <c r="CO25" s="779"/>
      <c r="CP25" s="779"/>
      <c r="CQ25" s="779"/>
      <c r="CR25" s="779"/>
      <c r="CS25" s="779"/>
      <c r="CT25" s="779"/>
      <c r="CU25" s="779"/>
      <c r="CV25" s="779"/>
      <c r="CW25" s="779"/>
      <c r="CX25" s="779"/>
      <c r="CY25" s="779"/>
      <c r="CZ25" s="779"/>
      <c r="DA25" s="779"/>
      <c r="DB25" s="779"/>
      <c r="DC25" s="779"/>
      <c r="DD25" s="779"/>
      <c r="DE25" s="779"/>
      <c r="DF25" s="779"/>
      <c r="DG25" s="779"/>
      <c r="DH25" s="779"/>
      <c r="DI25" s="779"/>
      <c r="DJ25" s="779"/>
      <c r="DK25" s="779"/>
      <c r="DL25" s="779"/>
      <c r="DM25" s="779"/>
      <c r="DN25" s="779"/>
      <c r="DO25" s="779"/>
      <c r="DP25" s="779"/>
      <c r="DQ25" s="779"/>
      <c r="DR25" s="779"/>
      <c r="DS25" s="779"/>
      <c r="DT25" s="779"/>
      <c r="DU25" s="779"/>
      <c r="DV25" s="779"/>
      <c r="DW25" s="779"/>
      <c r="DX25" s="779"/>
      <c r="DY25" s="779"/>
      <c r="DZ25" s="779"/>
      <c r="EA25" s="779"/>
      <c r="EB25" s="779"/>
      <c r="EC25" s="779"/>
      <c r="ED25" s="779"/>
      <c r="EE25" s="779"/>
      <c r="EF25" s="779"/>
      <c r="EG25" s="779"/>
      <c r="EH25" s="779"/>
      <c r="EI25" s="779"/>
      <c r="EJ25" s="779"/>
      <c r="EK25" s="779"/>
      <c r="EL25" s="779"/>
      <c r="EM25" s="779"/>
      <c r="EN25" s="779"/>
      <c r="EO25" s="779"/>
      <c r="EP25" s="779"/>
      <c r="EQ25" s="779"/>
      <c r="ER25" s="779"/>
      <c r="ES25" s="779"/>
      <c r="ET25" s="779"/>
      <c r="EU25" s="779"/>
      <c r="EV25" s="779"/>
      <c r="EW25" s="779"/>
      <c r="EX25" s="779"/>
      <c r="EY25" s="779"/>
      <c r="EZ25" s="779"/>
      <c r="FA25" s="779"/>
      <c r="FB25" s="779"/>
      <c r="FC25" s="779"/>
      <c r="FD25" s="779"/>
      <c r="FE25" s="779"/>
      <c r="FF25" s="779"/>
      <c r="FG25" s="779"/>
      <c r="FH25" s="779"/>
      <c r="FI25" s="779"/>
      <c r="FJ25" s="779"/>
      <c r="FK25" s="779"/>
      <c r="FL25" s="779"/>
      <c r="FM25" s="779"/>
      <c r="FN25" s="779"/>
      <c r="FO25" s="779"/>
      <c r="FP25" s="779"/>
      <c r="FQ25" s="779"/>
      <c r="FR25" s="779"/>
      <c r="FS25" s="779"/>
      <c r="FT25" s="779"/>
      <c r="FU25" s="779"/>
      <c r="FV25" s="779"/>
      <c r="FW25" s="779"/>
      <c r="FX25" s="779"/>
      <c r="FY25" s="779"/>
      <c r="FZ25" s="779"/>
      <c r="GA25" s="779"/>
      <c r="GB25" s="779"/>
      <c r="GC25" s="779"/>
      <c r="GD25" s="779"/>
      <c r="GE25" s="779"/>
      <c r="GF25" s="779"/>
      <c r="GG25" s="779"/>
      <c r="GH25" s="779"/>
      <c r="GI25" s="779"/>
      <c r="GJ25" s="779"/>
      <c r="GK25" s="779"/>
      <c r="GL25" s="779"/>
      <c r="GM25" s="779"/>
      <c r="GN25" s="779"/>
      <c r="GO25" s="779"/>
      <c r="GP25" s="779"/>
      <c r="GQ25" s="779"/>
      <c r="GR25" s="779"/>
      <c r="GS25" s="779"/>
      <c r="GT25" s="779"/>
      <c r="GU25" s="779"/>
      <c r="GV25" s="779"/>
      <c r="GW25" s="779"/>
      <c r="GX25" s="779"/>
      <c r="GY25" s="779"/>
      <c r="GZ25" s="779"/>
      <c r="HA25" s="779"/>
      <c r="HB25" s="779"/>
      <c r="HC25" s="779"/>
      <c r="HD25" s="779"/>
      <c r="HE25" s="779"/>
      <c r="HF25" s="779"/>
      <c r="HG25" s="779"/>
      <c r="HH25" s="779"/>
      <c r="HI25" s="779"/>
      <c r="HJ25" s="779"/>
      <c r="HK25" s="779"/>
      <c r="HL25" s="779"/>
      <c r="HM25" s="779"/>
      <c r="HN25" s="779"/>
      <c r="HO25" s="779"/>
      <c r="HP25" s="779"/>
      <c r="HQ25" s="779"/>
      <c r="HR25" s="779"/>
      <c r="HS25" s="779"/>
      <c r="HT25" s="779"/>
      <c r="HU25" s="779"/>
      <c r="HV25" s="779"/>
      <c r="HW25" s="779"/>
      <c r="HX25" s="779"/>
      <c r="HY25" s="779"/>
      <c r="HZ25" s="779"/>
      <c r="IA25" s="779"/>
      <c r="IB25" s="779"/>
      <c r="IC25" s="779"/>
      <c r="ID25" s="779"/>
      <c r="IE25" s="779"/>
      <c r="IF25" s="779"/>
      <c r="IG25" s="779"/>
      <c r="IH25" s="779"/>
      <c r="II25" s="779"/>
      <c r="IJ25" s="779"/>
      <c r="IK25" s="779"/>
      <c r="IL25" s="779"/>
      <c r="IM25" s="779"/>
      <c r="IN25" s="779"/>
      <c r="IO25" s="779"/>
      <c r="IP25" s="779"/>
      <c r="IQ25" s="779"/>
      <c r="IR25" s="779"/>
      <c r="IS25" s="779"/>
      <c r="IT25" s="779"/>
      <c r="IU25" s="779"/>
      <c r="IV25" s="779"/>
      <c r="IW25" s="779"/>
      <c r="IX25" s="779"/>
      <c r="IY25" s="779"/>
      <c r="IZ25" s="779"/>
      <c r="JA25" s="779"/>
      <c r="JB25" s="779"/>
      <c r="JC25" s="779"/>
      <c r="JD25" s="779"/>
      <c r="JE25" s="779"/>
      <c r="JF25" s="779"/>
      <c r="JG25" s="779"/>
      <c r="JH25" s="779"/>
      <c r="JI25" s="779"/>
      <c r="JJ25" s="779"/>
      <c r="JK25" s="779"/>
      <c r="JL25" s="779"/>
      <c r="JM25" s="779"/>
      <c r="JN25" s="779"/>
      <c r="JO25" s="779"/>
      <c r="JP25" s="779"/>
      <c r="JQ25" s="779"/>
      <c r="JR25" s="779"/>
      <c r="JS25" s="779"/>
      <c r="JT25" s="779"/>
      <c r="JU25" s="779"/>
      <c r="JV25" s="779"/>
      <c r="JW25" s="779"/>
      <c r="JX25" s="779"/>
      <c r="JY25" s="779"/>
      <c r="JZ25" s="779"/>
      <c r="KA25" s="779"/>
      <c r="KB25" s="779"/>
      <c r="KC25" s="779"/>
      <c r="KD25" s="779"/>
      <c r="KE25" s="779"/>
      <c r="KF25" s="779"/>
      <c r="KG25" s="779"/>
      <c r="KH25" s="779"/>
      <c r="KI25" s="779"/>
      <c r="KJ25" s="779"/>
      <c r="KK25" s="779"/>
      <c r="KL25" s="779"/>
      <c r="KM25" s="779"/>
      <c r="KN25" s="779"/>
      <c r="KO25" s="779"/>
      <c r="KP25" s="779"/>
      <c r="KQ25" s="779"/>
      <c r="KR25" s="779"/>
      <c r="KS25" s="779"/>
      <c r="KT25" s="779"/>
      <c r="KU25" s="779"/>
      <c r="KV25" s="779"/>
      <c r="KW25" s="779"/>
      <c r="KX25" s="779"/>
      <c r="KY25" s="779"/>
      <c r="KZ25" s="779"/>
      <c r="LA25" s="779"/>
      <c r="LB25" s="779"/>
      <c r="LC25" s="779"/>
      <c r="LD25" s="779"/>
      <c r="LE25" s="779"/>
      <c r="LF25" s="779"/>
      <c r="LG25" s="779"/>
      <c r="LH25" s="779"/>
      <c r="LI25" s="779"/>
      <c r="LJ25" s="779"/>
      <c r="LK25" s="779"/>
      <c r="LL25" s="779"/>
      <c r="LM25" s="779"/>
      <c r="LN25" s="779"/>
      <c r="LO25" s="779"/>
      <c r="LP25" s="779"/>
      <c r="LQ25" s="779"/>
      <c r="LR25" s="779"/>
      <c r="LS25" s="779"/>
      <c r="LT25" s="779"/>
      <c r="LU25" s="779"/>
      <c r="LV25" s="779"/>
      <c r="LW25" s="779"/>
      <c r="LX25" s="779"/>
      <c r="LY25" s="779"/>
      <c r="LZ25" s="779"/>
      <c r="MA25" s="779"/>
      <c r="MB25" s="779"/>
      <c r="MC25" s="779"/>
      <c r="MD25" s="779"/>
      <c r="ME25" s="779"/>
      <c r="MF25" s="779"/>
      <c r="MG25" s="779"/>
      <c r="MH25" s="779"/>
      <c r="MI25" s="779"/>
      <c r="MJ25" s="779"/>
      <c r="MK25" s="779"/>
      <c r="ML25" s="779"/>
      <c r="MM25" s="779"/>
      <c r="MN25" s="779"/>
      <c r="MO25" s="779"/>
      <c r="MP25" s="779"/>
      <c r="MQ25" s="779"/>
      <c r="MR25" s="779"/>
      <c r="MS25" s="779"/>
      <c r="MT25" s="779"/>
      <c r="MU25" s="779"/>
      <c r="MV25" s="779"/>
      <c r="MW25" s="779"/>
      <c r="MX25" s="779"/>
      <c r="MY25" s="779"/>
      <c r="MZ25" s="779"/>
      <c r="NA25" s="779"/>
      <c r="NB25" s="779"/>
      <c r="NC25" s="779"/>
      <c r="ND25" s="779"/>
      <c r="NE25" s="779"/>
      <c r="NF25" s="779"/>
      <c r="NG25" s="779"/>
      <c r="NH25" s="779"/>
      <c r="NI25" s="779"/>
      <c r="NJ25" s="779"/>
      <c r="NK25" s="779"/>
      <c r="NL25" s="779"/>
      <c r="NM25" s="779"/>
      <c r="NN25" s="779"/>
      <c r="NO25" s="779"/>
      <c r="NP25" s="779"/>
      <c r="NQ25" s="779"/>
      <c r="NR25" s="779"/>
      <c r="NS25" s="779"/>
      <c r="NT25" s="779"/>
      <c r="NU25" s="779"/>
      <c r="NV25" s="779"/>
      <c r="NW25" s="779"/>
      <c r="NX25" s="779"/>
      <c r="NY25" s="779"/>
      <c r="NZ25" s="779"/>
      <c r="OA25" s="779"/>
      <c r="OB25" s="779"/>
      <c r="OC25" s="779"/>
      <c r="OD25" s="779"/>
      <c r="OE25" s="779"/>
      <c r="OF25" s="779"/>
      <c r="OG25" s="779"/>
      <c r="OH25" s="779"/>
      <c r="OI25" s="779"/>
      <c r="OJ25" s="779"/>
      <c r="OK25" s="779"/>
      <c r="OL25" s="779"/>
      <c r="OM25" s="779"/>
      <c r="ON25" s="779"/>
      <c r="OO25" s="779"/>
      <c r="OP25" s="779"/>
      <c r="OQ25" s="779"/>
      <c r="OR25" s="779"/>
      <c r="OS25" s="779"/>
      <c r="OT25" s="779"/>
      <c r="OU25" s="779"/>
      <c r="OV25" s="779"/>
      <c r="OW25" s="779"/>
      <c r="OX25" s="779"/>
      <c r="OY25" s="779"/>
      <c r="OZ25" s="779"/>
      <c r="PA25" s="779"/>
      <c r="PB25" s="779"/>
      <c r="PC25" s="779"/>
      <c r="PD25" s="779"/>
      <c r="PE25" s="779"/>
      <c r="PF25" s="779"/>
      <c r="PG25" s="779"/>
      <c r="PH25" s="779"/>
      <c r="PI25" s="779"/>
      <c r="PJ25" s="779"/>
      <c r="PK25" s="779"/>
      <c r="PL25" s="779"/>
      <c r="PM25" s="779"/>
      <c r="PN25" s="779"/>
      <c r="PO25" s="779"/>
    </row>
    <row r="26" spans="1:431" s="143" customFormat="1">
      <c r="A26" s="779"/>
      <c r="B26" s="779"/>
      <c r="C26" s="782"/>
      <c r="D26" s="782"/>
      <c r="E26" s="782"/>
      <c r="F26" s="782"/>
      <c r="G26" s="782"/>
      <c r="H26" s="782"/>
      <c r="I26" s="782"/>
      <c r="J26" s="782"/>
      <c r="K26" s="782"/>
      <c r="L26" s="782"/>
      <c r="M26" s="779"/>
      <c r="N26" s="779"/>
      <c r="O26" s="779"/>
      <c r="P26" s="779"/>
      <c r="Q26" s="779"/>
      <c r="R26" s="779"/>
      <c r="S26" s="779"/>
      <c r="T26" s="779"/>
      <c r="U26" s="779"/>
      <c r="V26" s="779"/>
      <c r="W26" s="779"/>
      <c r="X26" s="779"/>
      <c r="Y26" s="779"/>
      <c r="Z26" s="779"/>
      <c r="AA26" s="779"/>
      <c r="AB26" s="779"/>
      <c r="AC26" s="779"/>
      <c r="AD26" s="779"/>
      <c r="AE26" s="779"/>
      <c r="AF26" s="779"/>
      <c r="AG26" s="779"/>
      <c r="AH26" s="779"/>
      <c r="AI26" s="779"/>
      <c r="AJ26" s="779"/>
      <c r="AK26" s="779"/>
      <c r="AL26" s="779"/>
      <c r="AM26" s="779"/>
      <c r="AN26" s="779"/>
      <c r="AO26" s="779"/>
      <c r="AP26" s="779"/>
      <c r="AQ26" s="779"/>
      <c r="AR26" s="779"/>
      <c r="AS26" s="779"/>
      <c r="AT26" s="779"/>
      <c r="AU26" s="779"/>
      <c r="AV26" s="779"/>
      <c r="AW26" s="779"/>
      <c r="AX26" s="779"/>
      <c r="AY26" s="779"/>
      <c r="AZ26" s="779"/>
      <c r="BA26" s="779"/>
      <c r="BB26" s="779"/>
      <c r="BC26" s="779"/>
      <c r="BD26" s="779"/>
      <c r="BE26" s="779"/>
      <c r="BF26" s="779"/>
      <c r="BG26" s="779"/>
      <c r="BH26" s="779"/>
      <c r="BI26" s="779"/>
      <c r="BJ26" s="779"/>
      <c r="BK26" s="779"/>
      <c r="BL26" s="779"/>
      <c r="BM26" s="779"/>
      <c r="BN26" s="779"/>
      <c r="BO26" s="779"/>
      <c r="BP26" s="779"/>
      <c r="BQ26" s="779"/>
      <c r="BR26" s="779"/>
      <c r="BS26" s="779"/>
      <c r="BT26" s="779"/>
      <c r="BU26" s="779"/>
      <c r="BV26" s="779"/>
      <c r="BW26" s="779"/>
      <c r="BX26" s="779"/>
      <c r="BY26" s="779"/>
      <c r="BZ26" s="779"/>
      <c r="CA26" s="779"/>
      <c r="CB26" s="779"/>
      <c r="CC26" s="779"/>
      <c r="CD26" s="779"/>
      <c r="CE26" s="779"/>
      <c r="CF26" s="779"/>
      <c r="CG26" s="779"/>
      <c r="CH26" s="779"/>
      <c r="CI26" s="779"/>
      <c r="CJ26" s="779"/>
      <c r="CK26" s="779"/>
      <c r="CL26" s="779"/>
      <c r="CM26" s="779"/>
      <c r="CN26" s="779"/>
      <c r="CO26" s="779"/>
      <c r="CP26" s="779"/>
      <c r="CQ26" s="779"/>
      <c r="CR26" s="779"/>
      <c r="CS26" s="779"/>
      <c r="CT26" s="779"/>
      <c r="CU26" s="779"/>
      <c r="CV26" s="779"/>
      <c r="CW26" s="779"/>
      <c r="CX26" s="779"/>
      <c r="CY26" s="779"/>
      <c r="CZ26" s="779"/>
      <c r="DA26" s="779"/>
      <c r="DB26" s="779"/>
      <c r="DC26" s="779"/>
      <c r="DD26" s="779"/>
      <c r="DE26" s="779"/>
      <c r="DF26" s="779"/>
      <c r="DG26" s="779"/>
      <c r="DH26" s="779"/>
      <c r="DI26" s="779"/>
      <c r="DJ26" s="779"/>
      <c r="DK26" s="779"/>
      <c r="DL26" s="779"/>
      <c r="DM26" s="779"/>
      <c r="DN26" s="779"/>
      <c r="DO26" s="779"/>
      <c r="DP26" s="779"/>
      <c r="DQ26" s="779"/>
      <c r="DR26" s="779"/>
      <c r="DS26" s="779"/>
      <c r="DT26" s="779"/>
      <c r="DU26" s="779"/>
      <c r="DV26" s="779"/>
      <c r="DW26" s="779"/>
      <c r="DX26" s="779"/>
      <c r="DY26" s="779"/>
      <c r="DZ26" s="779"/>
      <c r="EA26" s="779"/>
      <c r="EB26" s="779"/>
      <c r="EC26" s="779"/>
      <c r="ED26" s="779"/>
      <c r="EE26" s="779"/>
      <c r="EF26" s="779"/>
      <c r="EG26" s="779"/>
      <c r="EH26" s="779"/>
      <c r="EI26" s="779"/>
      <c r="EJ26" s="779"/>
      <c r="EK26" s="779"/>
      <c r="EL26" s="779"/>
      <c r="EM26" s="779"/>
      <c r="EN26" s="779"/>
      <c r="EO26" s="779"/>
      <c r="EP26" s="779"/>
      <c r="EQ26" s="779"/>
      <c r="ER26" s="779"/>
      <c r="ES26" s="779"/>
      <c r="ET26" s="779"/>
      <c r="EU26" s="779"/>
      <c r="EV26" s="779"/>
      <c r="EW26" s="779"/>
      <c r="EX26" s="779"/>
      <c r="EY26" s="779"/>
      <c r="EZ26" s="779"/>
      <c r="FA26" s="779"/>
      <c r="FB26" s="779"/>
      <c r="FC26" s="779"/>
      <c r="FD26" s="779"/>
      <c r="FE26" s="779"/>
      <c r="FF26" s="779"/>
      <c r="FG26" s="779"/>
      <c r="FH26" s="779"/>
      <c r="FI26" s="779"/>
      <c r="FJ26" s="779"/>
      <c r="FK26" s="779"/>
      <c r="FL26" s="779"/>
      <c r="FM26" s="779"/>
      <c r="FN26" s="779"/>
      <c r="FO26" s="779"/>
      <c r="FP26" s="779"/>
      <c r="FQ26" s="779"/>
      <c r="FR26" s="779"/>
      <c r="FS26" s="779"/>
      <c r="FT26" s="779"/>
      <c r="FU26" s="779"/>
      <c r="FV26" s="779"/>
      <c r="FW26" s="779"/>
      <c r="FX26" s="779"/>
      <c r="FY26" s="779"/>
      <c r="FZ26" s="779"/>
      <c r="GA26" s="779"/>
      <c r="GB26" s="779"/>
      <c r="GC26" s="779"/>
      <c r="GD26" s="779"/>
      <c r="GE26" s="779"/>
      <c r="GF26" s="779"/>
      <c r="GG26" s="779"/>
      <c r="GH26" s="779"/>
      <c r="GI26" s="779"/>
      <c r="GJ26" s="779"/>
      <c r="GK26" s="779"/>
      <c r="GL26" s="779"/>
      <c r="GM26" s="779"/>
      <c r="GN26" s="779"/>
      <c r="GO26" s="779"/>
      <c r="GP26" s="779"/>
      <c r="GQ26" s="779"/>
      <c r="GR26" s="779"/>
      <c r="GS26" s="779"/>
      <c r="GT26" s="779"/>
      <c r="GU26" s="779"/>
      <c r="GV26" s="779"/>
      <c r="GW26" s="779"/>
      <c r="GX26" s="779"/>
      <c r="GY26" s="779"/>
      <c r="GZ26" s="779"/>
      <c r="HA26" s="779"/>
      <c r="HB26" s="779"/>
      <c r="HC26" s="779"/>
      <c r="HD26" s="779"/>
      <c r="HE26" s="779"/>
      <c r="HF26" s="779"/>
      <c r="HG26" s="779"/>
      <c r="HH26" s="779"/>
      <c r="HI26" s="779"/>
      <c r="HJ26" s="779"/>
      <c r="HK26" s="779"/>
      <c r="HL26" s="779"/>
      <c r="HM26" s="779"/>
      <c r="HN26" s="779"/>
      <c r="HO26" s="779"/>
      <c r="HP26" s="779"/>
      <c r="HQ26" s="779"/>
      <c r="HR26" s="779"/>
      <c r="HS26" s="779"/>
      <c r="HT26" s="779"/>
      <c r="HU26" s="779"/>
      <c r="HV26" s="779"/>
      <c r="HW26" s="779"/>
      <c r="HX26" s="779"/>
      <c r="HY26" s="779"/>
      <c r="HZ26" s="779"/>
      <c r="IA26" s="779"/>
      <c r="IB26" s="779"/>
      <c r="IC26" s="779"/>
      <c r="ID26" s="779"/>
      <c r="IE26" s="779"/>
      <c r="IF26" s="779"/>
      <c r="IG26" s="779"/>
      <c r="IH26" s="779"/>
      <c r="II26" s="779"/>
      <c r="IJ26" s="779"/>
      <c r="IK26" s="779"/>
      <c r="IL26" s="779"/>
      <c r="IM26" s="779"/>
      <c r="IN26" s="779"/>
      <c r="IO26" s="779"/>
      <c r="IP26" s="779"/>
      <c r="IQ26" s="779"/>
      <c r="IR26" s="779"/>
      <c r="IS26" s="779"/>
      <c r="IT26" s="779"/>
      <c r="IU26" s="779"/>
      <c r="IV26" s="779"/>
      <c r="IW26" s="779"/>
      <c r="IX26" s="779"/>
      <c r="IY26" s="779"/>
      <c r="IZ26" s="779"/>
      <c r="JA26" s="779"/>
      <c r="JB26" s="779"/>
      <c r="JC26" s="779"/>
      <c r="JD26" s="779"/>
      <c r="JE26" s="779"/>
      <c r="JF26" s="779"/>
      <c r="JG26" s="779"/>
      <c r="JH26" s="779"/>
      <c r="JI26" s="779"/>
      <c r="JJ26" s="779"/>
      <c r="JK26" s="779"/>
      <c r="JL26" s="779"/>
      <c r="JM26" s="779"/>
      <c r="JN26" s="779"/>
      <c r="JO26" s="779"/>
      <c r="JP26" s="779"/>
      <c r="JQ26" s="779"/>
      <c r="JR26" s="779"/>
      <c r="JS26" s="779"/>
      <c r="JT26" s="779"/>
      <c r="JU26" s="779"/>
      <c r="JV26" s="779"/>
      <c r="JW26" s="779"/>
      <c r="JX26" s="779"/>
      <c r="JY26" s="779"/>
      <c r="JZ26" s="779"/>
      <c r="KA26" s="779"/>
      <c r="KB26" s="779"/>
      <c r="KC26" s="779"/>
      <c r="KD26" s="779"/>
      <c r="KE26" s="779"/>
      <c r="KF26" s="779"/>
      <c r="KG26" s="779"/>
      <c r="KH26" s="779"/>
      <c r="KI26" s="779"/>
      <c r="KJ26" s="779"/>
      <c r="KK26" s="779"/>
      <c r="KL26" s="779"/>
      <c r="KM26" s="779"/>
      <c r="KN26" s="779"/>
      <c r="KO26" s="779"/>
      <c r="KP26" s="779"/>
      <c r="KQ26" s="779"/>
      <c r="KR26" s="779"/>
      <c r="KS26" s="779"/>
      <c r="KT26" s="779"/>
      <c r="KU26" s="779"/>
      <c r="KV26" s="779"/>
      <c r="KW26" s="779"/>
      <c r="KX26" s="779"/>
      <c r="KY26" s="779"/>
      <c r="KZ26" s="779"/>
      <c r="LA26" s="779"/>
      <c r="LB26" s="779"/>
      <c r="LC26" s="779"/>
      <c r="LD26" s="779"/>
      <c r="LE26" s="779"/>
      <c r="LF26" s="779"/>
      <c r="LG26" s="779"/>
      <c r="LH26" s="779"/>
      <c r="LI26" s="779"/>
      <c r="LJ26" s="779"/>
      <c r="LK26" s="779"/>
      <c r="LL26" s="779"/>
      <c r="LM26" s="779"/>
      <c r="LN26" s="779"/>
      <c r="LO26" s="779"/>
      <c r="LP26" s="779"/>
      <c r="LQ26" s="779"/>
      <c r="LR26" s="779"/>
      <c r="LS26" s="779"/>
      <c r="LT26" s="779"/>
      <c r="LU26" s="779"/>
      <c r="LV26" s="779"/>
      <c r="LW26" s="779"/>
      <c r="LX26" s="779"/>
      <c r="LY26" s="779"/>
      <c r="LZ26" s="779"/>
      <c r="MA26" s="779"/>
      <c r="MB26" s="779"/>
      <c r="MC26" s="779"/>
      <c r="MD26" s="779"/>
      <c r="ME26" s="779"/>
      <c r="MF26" s="779"/>
      <c r="MG26" s="779"/>
      <c r="MH26" s="779"/>
      <c r="MI26" s="779"/>
      <c r="MJ26" s="779"/>
      <c r="MK26" s="779"/>
      <c r="ML26" s="779"/>
      <c r="MM26" s="779"/>
      <c r="MN26" s="779"/>
      <c r="MO26" s="779"/>
      <c r="MP26" s="779"/>
      <c r="MQ26" s="779"/>
      <c r="MR26" s="779"/>
      <c r="MS26" s="779"/>
      <c r="MT26" s="779"/>
      <c r="MU26" s="779"/>
      <c r="MV26" s="779"/>
      <c r="MW26" s="779"/>
      <c r="MX26" s="779"/>
      <c r="MY26" s="779"/>
      <c r="MZ26" s="779"/>
      <c r="NA26" s="779"/>
      <c r="NB26" s="779"/>
      <c r="NC26" s="779"/>
      <c r="ND26" s="779"/>
      <c r="NE26" s="779"/>
      <c r="NF26" s="779"/>
      <c r="NG26" s="779"/>
      <c r="NH26" s="779"/>
      <c r="NI26" s="779"/>
      <c r="NJ26" s="779"/>
      <c r="NK26" s="779"/>
      <c r="NL26" s="779"/>
      <c r="NM26" s="779"/>
      <c r="NN26" s="779"/>
      <c r="NO26" s="779"/>
      <c r="NP26" s="779"/>
      <c r="NQ26" s="779"/>
      <c r="NR26" s="779"/>
      <c r="NS26" s="779"/>
      <c r="NT26" s="779"/>
      <c r="NU26" s="779"/>
      <c r="NV26" s="779"/>
      <c r="NW26" s="779"/>
      <c r="NX26" s="779"/>
      <c r="NY26" s="779"/>
      <c r="NZ26" s="779"/>
      <c r="OA26" s="779"/>
      <c r="OB26" s="779"/>
      <c r="OC26" s="779"/>
      <c r="OD26" s="779"/>
      <c r="OE26" s="779"/>
      <c r="OF26" s="779"/>
      <c r="OG26" s="779"/>
      <c r="OH26" s="779"/>
      <c r="OI26" s="779"/>
      <c r="OJ26" s="779"/>
      <c r="OK26" s="779"/>
      <c r="OL26" s="779"/>
      <c r="OM26" s="779"/>
      <c r="ON26" s="779"/>
      <c r="OO26" s="779"/>
      <c r="OP26" s="779"/>
      <c r="OQ26" s="779"/>
      <c r="OR26" s="779"/>
      <c r="OS26" s="779"/>
      <c r="OT26" s="779"/>
      <c r="OU26" s="779"/>
      <c r="OV26" s="779"/>
      <c r="OW26" s="779"/>
      <c r="OX26" s="779"/>
      <c r="OY26" s="779"/>
      <c r="OZ26" s="779"/>
      <c r="PA26" s="779"/>
      <c r="PB26" s="779"/>
      <c r="PC26" s="779"/>
      <c r="PD26" s="779"/>
      <c r="PE26" s="779"/>
      <c r="PF26" s="779"/>
      <c r="PG26" s="779"/>
      <c r="PH26" s="779"/>
      <c r="PI26" s="779"/>
      <c r="PJ26" s="779"/>
      <c r="PK26" s="779"/>
      <c r="PL26" s="779"/>
      <c r="PM26" s="779"/>
      <c r="PN26" s="779"/>
      <c r="PO26" s="779"/>
    </row>
    <row r="27" spans="1:431" s="143" customFormat="1">
      <c r="A27" s="779"/>
      <c r="B27" s="779"/>
      <c r="C27" s="782"/>
      <c r="D27" s="782"/>
      <c r="E27" s="782"/>
      <c r="F27" s="782"/>
      <c r="G27" s="782"/>
      <c r="H27" s="782"/>
      <c r="I27" s="782"/>
      <c r="J27" s="782"/>
      <c r="K27" s="782"/>
      <c r="L27" s="782"/>
      <c r="M27" s="779"/>
      <c r="N27" s="779"/>
      <c r="O27" s="779"/>
      <c r="P27" s="779"/>
      <c r="Q27" s="779"/>
      <c r="R27" s="779"/>
      <c r="S27" s="779"/>
      <c r="T27" s="779"/>
      <c r="U27" s="779"/>
      <c r="V27" s="779"/>
      <c r="W27" s="779"/>
      <c r="X27" s="779"/>
      <c r="Y27" s="779"/>
      <c r="Z27" s="779"/>
      <c r="AA27" s="779"/>
      <c r="AB27" s="779"/>
      <c r="AC27" s="779"/>
      <c r="AD27" s="779"/>
      <c r="AE27" s="779"/>
      <c r="AF27" s="779"/>
      <c r="AG27" s="779"/>
      <c r="AH27" s="779"/>
      <c r="AI27" s="779"/>
      <c r="AJ27" s="779"/>
      <c r="AK27" s="779"/>
      <c r="AL27" s="779"/>
      <c r="AM27" s="779"/>
      <c r="AN27" s="779"/>
      <c r="AO27" s="779"/>
      <c r="AP27" s="779"/>
      <c r="AQ27" s="779"/>
      <c r="AR27" s="779"/>
      <c r="AS27" s="779"/>
      <c r="AT27" s="779"/>
      <c r="AU27" s="779"/>
      <c r="AV27" s="779"/>
      <c r="AW27" s="779"/>
      <c r="AX27" s="779"/>
      <c r="AY27" s="779"/>
      <c r="AZ27" s="779"/>
      <c r="BA27" s="779"/>
      <c r="BB27" s="779"/>
      <c r="BC27" s="779"/>
      <c r="BD27" s="779"/>
      <c r="BE27" s="779"/>
      <c r="BF27" s="779"/>
      <c r="BG27" s="779"/>
      <c r="BH27" s="779"/>
      <c r="BI27" s="779"/>
      <c r="BJ27" s="779"/>
      <c r="BK27" s="779"/>
      <c r="BL27" s="779"/>
      <c r="BM27" s="779"/>
      <c r="BN27" s="779"/>
      <c r="BO27" s="779"/>
      <c r="BP27" s="779"/>
      <c r="BQ27" s="779"/>
      <c r="BR27" s="779"/>
      <c r="BS27" s="779"/>
      <c r="BT27" s="779"/>
      <c r="BU27" s="779"/>
      <c r="BV27" s="779"/>
      <c r="BW27" s="779"/>
      <c r="BX27" s="779"/>
      <c r="BY27" s="779"/>
      <c r="BZ27" s="779"/>
      <c r="CA27" s="779"/>
      <c r="CB27" s="779"/>
      <c r="CC27" s="779"/>
      <c r="CD27" s="779"/>
      <c r="CE27" s="779"/>
      <c r="CF27" s="779"/>
      <c r="CG27" s="779"/>
      <c r="CH27" s="779"/>
      <c r="CI27" s="779"/>
      <c r="CJ27" s="779"/>
      <c r="CK27" s="779"/>
      <c r="CL27" s="779"/>
      <c r="CM27" s="779"/>
      <c r="CN27" s="779"/>
      <c r="CO27" s="779"/>
      <c r="CP27" s="779"/>
      <c r="CQ27" s="779"/>
      <c r="CR27" s="779"/>
      <c r="CS27" s="779"/>
      <c r="CT27" s="779"/>
      <c r="CU27" s="779"/>
      <c r="CV27" s="779"/>
      <c r="CW27" s="779"/>
      <c r="CX27" s="779"/>
      <c r="CY27" s="779"/>
      <c r="CZ27" s="779"/>
      <c r="DA27" s="779"/>
      <c r="DB27" s="779"/>
      <c r="DC27" s="779"/>
      <c r="DD27" s="779"/>
      <c r="DE27" s="779"/>
      <c r="DF27" s="779"/>
      <c r="DG27" s="779"/>
      <c r="DH27" s="779"/>
      <c r="DI27" s="779"/>
      <c r="DJ27" s="779"/>
      <c r="DK27" s="779"/>
      <c r="DL27" s="779"/>
      <c r="DM27" s="779"/>
      <c r="DN27" s="779"/>
      <c r="DO27" s="779"/>
      <c r="DP27" s="779"/>
      <c r="DQ27" s="779"/>
      <c r="DR27" s="779"/>
      <c r="DS27" s="779"/>
      <c r="DT27" s="779"/>
      <c r="DU27" s="779"/>
      <c r="DV27" s="779"/>
      <c r="DW27" s="779"/>
      <c r="DX27" s="779"/>
      <c r="DY27" s="779"/>
      <c r="DZ27" s="779"/>
      <c r="EA27" s="779"/>
      <c r="EB27" s="779"/>
      <c r="EC27" s="779"/>
      <c r="ED27" s="779"/>
      <c r="EE27" s="779"/>
      <c r="EF27" s="779"/>
      <c r="EG27" s="779"/>
      <c r="EH27" s="779"/>
      <c r="EI27" s="779"/>
      <c r="EJ27" s="779"/>
      <c r="EK27" s="779"/>
      <c r="EL27" s="779"/>
      <c r="EM27" s="779"/>
      <c r="EN27" s="779"/>
      <c r="EO27" s="779"/>
      <c r="EP27" s="779"/>
      <c r="EQ27" s="779"/>
      <c r="ER27" s="779"/>
      <c r="ES27" s="779"/>
      <c r="ET27" s="779"/>
      <c r="EU27" s="779"/>
      <c r="EV27" s="779"/>
      <c r="EW27" s="779"/>
      <c r="EX27" s="779"/>
      <c r="EY27" s="779"/>
      <c r="EZ27" s="779"/>
      <c r="FA27" s="779"/>
      <c r="FB27" s="779"/>
      <c r="FC27" s="779"/>
      <c r="FD27" s="779"/>
      <c r="FE27" s="779"/>
      <c r="FF27" s="779"/>
      <c r="FG27" s="779"/>
      <c r="FH27" s="779"/>
      <c r="FI27" s="779"/>
      <c r="FJ27" s="779"/>
      <c r="FK27" s="779"/>
      <c r="FL27" s="779"/>
      <c r="FM27" s="779"/>
      <c r="FN27" s="779"/>
      <c r="FO27" s="779"/>
      <c r="FP27" s="779"/>
      <c r="FQ27" s="779"/>
      <c r="FR27" s="779"/>
      <c r="FS27" s="779"/>
      <c r="FT27" s="779"/>
      <c r="FU27" s="779"/>
      <c r="FV27" s="779"/>
      <c r="FW27" s="779"/>
      <c r="FX27" s="779"/>
      <c r="FY27" s="779"/>
      <c r="FZ27" s="779"/>
      <c r="GA27" s="779"/>
      <c r="GB27" s="779"/>
      <c r="GC27" s="779"/>
      <c r="GD27" s="779"/>
      <c r="GE27" s="779"/>
      <c r="GF27" s="779"/>
      <c r="GG27" s="779"/>
      <c r="GH27" s="779"/>
      <c r="GI27" s="779"/>
      <c r="GJ27" s="779"/>
      <c r="GK27" s="779"/>
      <c r="GL27" s="779"/>
      <c r="GM27" s="779"/>
      <c r="GN27" s="779"/>
      <c r="GO27" s="779"/>
      <c r="GP27" s="779"/>
      <c r="GQ27" s="779"/>
      <c r="GR27" s="779"/>
      <c r="GS27" s="779"/>
      <c r="GT27" s="779"/>
      <c r="GU27" s="779"/>
      <c r="GV27" s="779"/>
      <c r="GW27" s="779"/>
      <c r="GX27" s="779"/>
      <c r="GY27" s="779"/>
      <c r="GZ27" s="779"/>
      <c r="HA27" s="779"/>
      <c r="HB27" s="779"/>
      <c r="HC27" s="779"/>
      <c r="HD27" s="779"/>
      <c r="HE27" s="779"/>
      <c r="HF27" s="779"/>
      <c r="HG27" s="779"/>
      <c r="HH27" s="779"/>
      <c r="HI27" s="779"/>
      <c r="HJ27" s="779"/>
      <c r="HK27" s="779"/>
      <c r="HL27" s="779"/>
      <c r="HM27" s="779"/>
      <c r="HN27" s="779"/>
      <c r="HO27" s="779"/>
      <c r="HP27" s="779"/>
      <c r="HQ27" s="779"/>
      <c r="HR27" s="779"/>
      <c r="HS27" s="779"/>
      <c r="HT27" s="779"/>
      <c r="HU27" s="779"/>
      <c r="HV27" s="779"/>
      <c r="HW27" s="779"/>
      <c r="HX27" s="779"/>
      <c r="HY27" s="779"/>
      <c r="HZ27" s="779"/>
      <c r="IA27" s="779"/>
      <c r="IB27" s="779"/>
      <c r="IC27" s="779"/>
      <c r="ID27" s="779"/>
      <c r="IE27" s="779"/>
      <c r="IF27" s="779"/>
      <c r="IG27" s="779"/>
      <c r="IH27" s="779"/>
      <c r="II27" s="779"/>
      <c r="IJ27" s="779"/>
      <c r="IK27" s="779"/>
      <c r="IL27" s="779"/>
      <c r="IM27" s="779"/>
      <c r="IN27" s="779"/>
      <c r="IO27" s="779"/>
      <c r="IP27" s="779"/>
      <c r="IQ27" s="779"/>
      <c r="IR27" s="779"/>
      <c r="IS27" s="779"/>
      <c r="IT27" s="779"/>
      <c r="IU27" s="779"/>
      <c r="IV27" s="779"/>
      <c r="IW27" s="779"/>
      <c r="IX27" s="779"/>
      <c r="IY27" s="779"/>
      <c r="IZ27" s="779"/>
      <c r="JA27" s="779"/>
      <c r="JB27" s="779"/>
      <c r="JC27" s="779"/>
      <c r="JD27" s="779"/>
      <c r="JE27" s="779"/>
      <c r="JF27" s="779"/>
      <c r="JG27" s="779"/>
      <c r="JH27" s="779"/>
      <c r="JI27" s="779"/>
      <c r="JJ27" s="779"/>
      <c r="JK27" s="779"/>
      <c r="JL27" s="779"/>
      <c r="JM27" s="779"/>
      <c r="JN27" s="779"/>
      <c r="JO27" s="779"/>
      <c r="JP27" s="779"/>
      <c r="JQ27" s="779"/>
      <c r="JR27" s="779"/>
      <c r="JS27" s="779"/>
      <c r="JT27" s="779"/>
      <c r="JU27" s="779"/>
      <c r="JV27" s="779"/>
      <c r="JW27" s="779"/>
      <c r="JX27" s="779"/>
      <c r="JY27" s="779"/>
      <c r="JZ27" s="779"/>
      <c r="KA27" s="779"/>
      <c r="KB27" s="779"/>
      <c r="KC27" s="779"/>
      <c r="KD27" s="779"/>
      <c r="KE27" s="779"/>
      <c r="KF27" s="779"/>
      <c r="KG27" s="779"/>
      <c r="KH27" s="779"/>
      <c r="KI27" s="779"/>
      <c r="KJ27" s="779"/>
      <c r="KK27" s="779"/>
      <c r="KL27" s="779"/>
      <c r="KM27" s="779"/>
      <c r="KN27" s="779"/>
      <c r="KO27" s="779"/>
      <c r="KP27" s="779"/>
      <c r="KQ27" s="779"/>
      <c r="KR27" s="779"/>
      <c r="KS27" s="779"/>
      <c r="KT27" s="779"/>
      <c r="KU27" s="779"/>
      <c r="KV27" s="779"/>
      <c r="KW27" s="779"/>
      <c r="KX27" s="779"/>
      <c r="KY27" s="779"/>
      <c r="KZ27" s="779"/>
      <c r="LA27" s="779"/>
      <c r="LB27" s="779"/>
      <c r="LC27" s="779"/>
      <c r="LD27" s="779"/>
      <c r="LE27" s="779"/>
      <c r="LF27" s="779"/>
      <c r="LG27" s="779"/>
      <c r="LH27" s="779"/>
      <c r="LI27" s="779"/>
      <c r="LJ27" s="779"/>
      <c r="LK27" s="779"/>
      <c r="LL27" s="779"/>
      <c r="LM27" s="779"/>
      <c r="LN27" s="779"/>
      <c r="LO27" s="779"/>
      <c r="LP27" s="779"/>
      <c r="LQ27" s="779"/>
      <c r="LR27" s="779"/>
      <c r="LS27" s="779"/>
      <c r="LT27" s="779"/>
      <c r="LU27" s="779"/>
      <c r="LV27" s="779"/>
      <c r="LW27" s="779"/>
      <c r="LX27" s="779"/>
      <c r="LY27" s="779"/>
      <c r="LZ27" s="779"/>
      <c r="MA27" s="779"/>
      <c r="MB27" s="779"/>
      <c r="MC27" s="779"/>
      <c r="MD27" s="779"/>
      <c r="ME27" s="779"/>
      <c r="MF27" s="779"/>
      <c r="MG27" s="779"/>
      <c r="MH27" s="779"/>
      <c r="MI27" s="779"/>
      <c r="MJ27" s="779"/>
      <c r="MK27" s="779"/>
      <c r="ML27" s="779"/>
      <c r="MM27" s="779"/>
      <c r="MN27" s="779"/>
      <c r="MO27" s="779"/>
      <c r="MP27" s="779"/>
      <c r="MQ27" s="779"/>
      <c r="MR27" s="779"/>
      <c r="MS27" s="779"/>
      <c r="MT27" s="779"/>
      <c r="MU27" s="779"/>
      <c r="MV27" s="779"/>
      <c r="MW27" s="779"/>
      <c r="MX27" s="779"/>
      <c r="MY27" s="779"/>
      <c r="MZ27" s="779"/>
      <c r="NA27" s="779"/>
      <c r="NB27" s="779"/>
      <c r="NC27" s="779"/>
      <c r="ND27" s="779"/>
      <c r="NE27" s="779"/>
      <c r="NF27" s="779"/>
      <c r="NG27" s="779"/>
      <c r="NH27" s="779"/>
      <c r="NI27" s="779"/>
      <c r="NJ27" s="779"/>
      <c r="NK27" s="779"/>
      <c r="NL27" s="779"/>
      <c r="NM27" s="779"/>
      <c r="NN27" s="779"/>
      <c r="NO27" s="779"/>
      <c r="NP27" s="779"/>
      <c r="NQ27" s="779"/>
      <c r="NR27" s="779"/>
      <c r="NS27" s="779"/>
      <c r="NT27" s="779"/>
      <c r="NU27" s="779"/>
      <c r="NV27" s="779"/>
      <c r="NW27" s="779"/>
      <c r="NX27" s="779"/>
      <c r="NY27" s="779"/>
      <c r="NZ27" s="779"/>
      <c r="OA27" s="779"/>
      <c r="OB27" s="779"/>
      <c r="OC27" s="779"/>
      <c r="OD27" s="779"/>
      <c r="OE27" s="779"/>
      <c r="OF27" s="779"/>
      <c r="OG27" s="779"/>
      <c r="OH27" s="779"/>
      <c r="OI27" s="779"/>
      <c r="OJ27" s="779"/>
      <c r="OK27" s="779"/>
      <c r="OL27" s="779"/>
      <c r="OM27" s="779"/>
      <c r="ON27" s="779"/>
      <c r="OO27" s="779"/>
      <c r="OP27" s="779"/>
      <c r="OQ27" s="779"/>
      <c r="OR27" s="779"/>
      <c r="OS27" s="779"/>
      <c r="OT27" s="779"/>
      <c r="OU27" s="779"/>
      <c r="OV27" s="779"/>
      <c r="OW27" s="779"/>
      <c r="OX27" s="779"/>
      <c r="OY27" s="779"/>
      <c r="OZ27" s="779"/>
      <c r="PA27" s="779"/>
      <c r="PB27" s="779"/>
      <c r="PC27" s="779"/>
      <c r="PD27" s="779"/>
      <c r="PE27" s="779"/>
      <c r="PF27" s="779"/>
      <c r="PG27" s="779"/>
      <c r="PH27" s="779"/>
      <c r="PI27" s="779"/>
      <c r="PJ27" s="779"/>
      <c r="PK27" s="779"/>
      <c r="PL27" s="779"/>
      <c r="PM27" s="779"/>
      <c r="PN27" s="779"/>
      <c r="PO27" s="779"/>
    </row>
    <row r="28" spans="1:431" s="143" customFormat="1">
      <c r="A28" s="779"/>
      <c r="B28" s="779"/>
      <c r="C28" s="782"/>
      <c r="D28" s="782"/>
      <c r="E28" s="782"/>
      <c r="F28" s="782"/>
      <c r="G28" s="782"/>
      <c r="H28" s="782"/>
      <c r="I28" s="782"/>
      <c r="J28" s="782"/>
      <c r="K28" s="782"/>
      <c r="L28" s="782"/>
      <c r="M28" s="779"/>
      <c r="N28" s="779"/>
      <c r="O28" s="779"/>
      <c r="P28" s="779"/>
      <c r="Q28" s="779"/>
      <c r="R28" s="779"/>
      <c r="S28" s="779"/>
      <c r="T28" s="779"/>
      <c r="U28" s="779"/>
      <c r="V28" s="779"/>
      <c r="W28" s="779"/>
      <c r="X28" s="779"/>
      <c r="Y28" s="779"/>
      <c r="Z28" s="779"/>
      <c r="AA28" s="779"/>
      <c r="AB28" s="779"/>
      <c r="AC28" s="779"/>
      <c r="AD28" s="779"/>
      <c r="AE28" s="779"/>
      <c r="AF28" s="779"/>
      <c r="AG28" s="779"/>
      <c r="AH28" s="779"/>
      <c r="AI28" s="779"/>
      <c r="AJ28" s="779"/>
      <c r="AK28" s="779"/>
      <c r="AL28" s="779"/>
      <c r="AM28" s="779"/>
      <c r="AN28" s="779"/>
      <c r="AO28" s="779"/>
      <c r="AP28" s="779"/>
      <c r="AQ28" s="779"/>
      <c r="AR28" s="779"/>
      <c r="AS28" s="779"/>
      <c r="AT28" s="779"/>
      <c r="AU28" s="779"/>
      <c r="AV28" s="779"/>
      <c r="AW28" s="779"/>
      <c r="AX28" s="779"/>
      <c r="AY28" s="779"/>
      <c r="AZ28" s="779"/>
      <c r="BA28" s="779"/>
      <c r="BB28" s="779"/>
      <c r="BC28" s="779"/>
      <c r="BD28" s="779"/>
      <c r="BE28" s="779"/>
      <c r="BF28" s="779"/>
      <c r="BG28" s="779"/>
      <c r="BH28" s="779"/>
      <c r="BI28" s="779"/>
      <c r="BJ28" s="779"/>
      <c r="BK28" s="779"/>
      <c r="BL28" s="779"/>
      <c r="BM28" s="779"/>
      <c r="BN28" s="779"/>
      <c r="BO28" s="779"/>
      <c r="BP28" s="779"/>
      <c r="BQ28" s="779"/>
      <c r="BR28" s="779"/>
      <c r="BS28" s="779"/>
      <c r="BT28" s="779"/>
      <c r="BU28" s="779"/>
      <c r="BV28" s="779"/>
      <c r="BW28" s="779"/>
      <c r="BX28" s="779"/>
      <c r="BY28" s="779"/>
      <c r="BZ28" s="779"/>
      <c r="CA28" s="779"/>
      <c r="CB28" s="779"/>
      <c r="CC28" s="779"/>
      <c r="CD28" s="779"/>
      <c r="CE28" s="779"/>
      <c r="CF28" s="779"/>
      <c r="CG28" s="779"/>
      <c r="CH28" s="779"/>
      <c r="CI28" s="779"/>
      <c r="CJ28" s="779"/>
      <c r="CK28" s="779"/>
      <c r="CL28" s="779"/>
      <c r="CM28" s="779"/>
      <c r="CN28" s="779"/>
      <c r="CO28" s="779"/>
      <c r="CP28" s="779"/>
      <c r="CQ28" s="779"/>
      <c r="CR28" s="779"/>
      <c r="CS28" s="779"/>
      <c r="CT28" s="779"/>
      <c r="CU28" s="779"/>
      <c r="CV28" s="779"/>
      <c r="CW28" s="779"/>
      <c r="CX28" s="779"/>
      <c r="CY28" s="779"/>
      <c r="CZ28" s="779"/>
      <c r="DA28" s="779"/>
      <c r="DB28" s="779"/>
      <c r="DC28" s="779"/>
      <c r="DD28" s="779"/>
      <c r="DE28" s="779"/>
      <c r="DF28" s="779"/>
      <c r="DG28" s="779"/>
      <c r="DH28" s="779"/>
      <c r="DI28" s="779"/>
      <c r="DJ28" s="779"/>
      <c r="DK28" s="779"/>
      <c r="DL28" s="779"/>
      <c r="DM28" s="779"/>
      <c r="DN28" s="779"/>
      <c r="DO28" s="779"/>
      <c r="DP28" s="779"/>
      <c r="DQ28" s="779"/>
      <c r="DR28" s="779"/>
      <c r="DS28" s="779"/>
      <c r="DT28" s="779"/>
      <c r="DU28" s="779"/>
      <c r="DV28" s="779"/>
      <c r="DW28" s="779"/>
      <c r="DX28" s="779"/>
      <c r="DY28" s="779"/>
      <c r="DZ28" s="779"/>
      <c r="EA28" s="779"/>
      <c r="EB28" s="779"/>
      <c r="EC28" s="779"/>
      <c r="ED28" s="779"/>
      <c r="EE28" s="779"/>
      <c r="EF28" s="779"/>
      <c r="EG28" s="779"/>
      <c r="EH28" s="779"/>
      <c r="EI28" s="779"/>
      <c r="EJ28" s="779"/>
      <c r="EK28" s="779"/>
      <c r="EL28" s="779"/>
      <c r="EM28" s="779"/>
      <c r="EN28" s="779"/>
      <c r="EO28" s="779"/>
      <c r="EP28" s="779"/>
      <c r="EQ28" s="779"/>
      <c r="ER28" s="779"/>
      <c r="ES28" s="779"/>
      <c r="ET28" s="779"/>
      <c r="EU28" s="779"/>
      <c r="EV28" s="779"/>
      <c r="EW28" s="779"/>
      <c r="EX28" s="779"/>
      <c r="EY28" s="779"/>
      <c r="EZ28" s="779"/>
      <c r="FA28" s="779"/>
      <c r="FB28" s="779"/>
      <c r="FC28" s="779"/>
      <c r="FD28" s="779"/>
      <c r="FE28" s="779"/>
      <c r="FF28" s="779"/>
      <c r="FG28" s="779"/>
      <c r="FH28" s="779"/>
      <c r="FI28" s="779"/>
      <c r="FJ28" s="779"/>
      <c r="FK28" s="779"/>
      <c r="FL28" s="779"/>
      <c r="FM28" s="779"/>
      <c r="FN28" s="779"/>
      <c r="FO28" s="779"/>
      <c r="FP28" s="779"/>
      <c r="FQ28" s="779"/>
      <c r="FR28" s="779"/>
      <c r="FS28" s="779"/>
      <c r="FT28" s="779"/>
      <c r="FU28" s="779"/>
      <c r="FV28" s="779"/>
      <c r="FW28" s="779"/>
      <c r="FX28" s="779"/>
      <c r="FY28" s="779"/>
      <c r="FZ28" s="779"/>
      <c r="GA28" s="779"/>
      <c r="GB28" s="779"/>
      <c r="GC28" s="779"/>
      <c r="GD28" s="779"/>
      <c r="GE28" s="779"/>
      <c r="GF28" s="779"/>
      <c r="GG28" s="779"/>
      <c r="GH28" s="779"/>
      <c r="GI28" s="779"/>
      <c r="GJ28" s="779"/>
      <c r="GK28" s="779"/>
      <c r="GL28" s="779"/>
      <c r="GM28" s="779"/>
      <c r="GN28" s="779"/>
      <c r="GO28" s="779"/>
      <c r="GP28" s="779"/>
      <c r="GQ28" s="779"/>
      <c r="GR28" s="779"/>
      <c r="GS28" s="779"/>
      <c r="GT28" s="779"/>
      <c r="GU28" s="779"/>
      <c r="GV28" s="779"/>
      <c r="GW28" s="779"/>
      <c r="GX28" s="779"/>
      <c r="GY28" s="779"/>
      <c r="GZ28" s="779"/>
      <c r="HA28" s="779"/>
      <c r="HB28" s="779"/>
      <c r="HC28" s="779"/>
      <c r="HD28" s="779"/>
      <c r="HE28" s="779"/>
      <c r="HF28" s="779"/>
      <c r="HG28" s="779"/>
      <c r="HH28" s="779"/>
      <c r="HI28" s="779"/>
      <c r="HJ28" s="779"/>
      <c r="HK28" s="779"/>
      <c r="HL28" s="779"/>
      <c r="HM28" s="779"/>
      <c r="HN28" s="779"/>
      <c r="HO28" s="779"/>
      <c r="HP28" s="779"/>
      <c r="HQ28" s="779"/>
      <c r="HR28" s="779"/>
      <c r="HS28" s="779"/>
      <c r="HT28" s="779"/>
      <c r="HU28" s="779"/>
      <c r="HV28" s="779"/>
      <c r="HW28" s="779"/>
      <c r="HX28" s="779"/>
      <c r="HY28" s="779"/>
      <c r="HZ28" s="779"/>
      <c r="IA28" s="779"/>
      <c r="IB28" s="779"/>
      <c r="IC28" s="779"/>
      <c r="ID28" s="779"/>
      <c r="IE28" s="779"/>
      <c r="IF28" s="779"/>
      <c r="IG28" s="779"/>
      <c r="IH28" s="779"/>
      <c r="II28" s="779"/>
      <c r="IJ28" s="779"/>
      <c r="IK28" s="779"/>
      <c r="IL28" s="779"/>
      <c r="IM28" s="779"/>
      <c r="IN28" s="779"/>
      <c r="IO28" s="779"/>
      <c r="IP28" s="779"/>
      <c r="IQ28" s="779"/>
      <c r="IR28" s="779"/>
      <c r="IS28" s="779"/>
      <c r="IT28" s="779"/>
      <c r="IU28" s="779"/>
      <c r="IV28" s="779"/>
      <c r="IW28" s="779"/>
      <c r="IX28" s="779"/>
      <c r="IY28" s="779"/>
      <c r="IZ28" s="779"/>
      <c r="JA28" s="779"/>
      <c r="JB28" s="779"/>
      <c r="JC28" s="779"/>
      <c r="JD28" s="779"/>
      <c r="JE28" s="779"/>
      <c r="JF28" s="779"/>
      <c r="JG28" s="779"/>
      <c r="JH28" s="779"/>
      <c r="JI28" s="779"/>
      <c r="JJ28" s="779"/>
      <c r="JK28" s="779"/>
      <c r="JL28" s="779"/>
      <c r="JM28" s="779"/>
      <c r="JN28" s="779"/>
      <c r="JO28" s="779"/>
      <c r="JP28" s="779"/>
      <c r="JQ28" s="779"/>
      <c r="JR28" s="779"/>
      <c r="JS28" s="779"/>
      <c r="JT28" s="779"/>
      <c r="JU28" s="779"/>
      <c r="JV28" s="779"/>
      <c r="JW28" s="779"/>
      <c r="JX28" s="779"/>
      <c r="JY28" s="779"/>
      <c r="JZ28" s="779"/>
      <c r="KA28" s="779"/>
      <c r="KB28" s="779"/>
      <c r="KC28" s="779"/>
      <c r="KD28" s="779"/>
      <c r="KE28" s="779"/>
      <c r="KF28" s="779"/>
      <c r="KG28" s="779"/>
      <c r="KH28" s="779"/>
      <c r="KI28" s="779"/>
      <c r="KJ28" s="779"/>
      <c r="KK28" s="779"/>
      <c r="KL28" s="779"/>
      <c r="KM28" s="779"/>
      <c r="KN28" s="779"/>
      <c r="KO28" s="779"/>
      <c r="KP28" s="779"/>
      <c r="KQ28" s="779"/>
      <c r="KR28" s="779"/>
      <c r="KS28" s="779"/>
      <c r="KT28" s="779"/>
      <c r="KU28" s="779"/>
      <c r="KV28" s="779"/>
      <c r="KW28" s="779"/>
      <c r="KX28" s="779"/>
      <c r="KY28" s="779"/>
      <c r="KZ28" s="779"/>
      <c r="LA28" s="779"/>
      <c r="LB28" s="779"/>
      <c r="LC28" s="779"/>
      <c r="LD28" s="779"/>
      <c r="LE28" s="779"/>
      <c r="LF28" s="779"/>
      <c r="LG28" s="779"/>
      <c r="LH28" s="779"/>
      <c r="LI28" s="779"/>
      <c r="LJ28" s="779"/>
      <c r="LK28" s="779"/>
      <c r="LL28" s="779"/>
      <c r="LM28" s="779"/>
      <c r="LN28" s="779"/>
      <c r="LO28" s="779"/>
      <c r="LP28" s="779"/>
      <c r="LQ28" s="779"/>
      <c r="LR28" s="779"/>
      <c r="LS28" s="779"/>
      <c r="LT28" s="779"/>
      <c r="LU28" s="779"/>
      <c r="LV28" s="779"/>
      <c r="LW28" s="779"/>
      <c r="LX28" s="779"/>
      <c r="LY28" s="779"/>
      <c r="LZ28" s="779"/>
      <c r="MA28" s="779"/>
      <c r="MB28" s="779"/>
      <c r="MC28" s="779"/>
      <c r="MD28" s="779"/>
      <c r="ME28" s="779"/>
      <c r="MF28" s="779"/>
      <c r="MG28" s="779"/>
      <c r="MH28" s="779"/>
      <c r="MI28" s="779"/>
      <c r="MJ28" s="779"/>
      <c r="MK28" s="779"/>
      <c r="ML28" s="779"/>
      <c r="MM28" s="779"/>
      <c r="MN28" s="779"/>
      <c r="MO28" s="779"/>
      <c r="MP28" s="779"/>
      <c r="MQ28" s="779"/>
      <c r="MR28" s="779"/>
      <c r="MS28" s="779"/>
      <c r="MT28" s="779"/>
      <c r="MU28" s="779"/>
      <c r="MV28" s="779"/>
      <c r="MW28" s="779"/>
      <c r="MX28" s="779"/>
      <c r="MY28" s="779"/>
      <c r="MZ28" s="779"/>
      <c r="NA28" s="779"/>
      <c r="NB28" s="779"/>
      <c r="NC28" s="779"/>
      <c r="ND28" s="779"/>
      <c r="NE28" s="779"/>
      <c r="NF28" s="779"/>
      <c r="NG28" s="779"/>
      <c r="NH28" s="779"/>
      <c r="NI28" s="779"/>
      <c r="NJ28" s="779"/>
      <c r="NK28" s="779"/>
      <c r="NL28" s="779"/>
      <c r="NM28" s="779"/>
      <c r="NN28" s="779"/>
      <c r="NO28" s="779"/>
      <c r="NP28" s="779"/>
      <c r="NQ28" s="779"/>
      <c r="NR28" s="779"/>
      <c r="NS28" s="779"/>
      <c r="NT28" s="779"/>
      <c r="NU28" s="779"/>
      <c r="NV28" s="779"/>
      <c r="NW28" s="779"/>
      <c r="NX28" s="779"/>
      <c r="NY28" s="779"/>
      <c r="NZ28" s="779"/>
      <c r="OA28" s="779"/>
      <c r="OB28" s="779"/>
      <c r="OC28" s="779"/>
      <c r="OD28" s="779"/>
      <c r="OE28" s="779"/>
      <c r="OF28" s="779"/>
      <c r="OG28" s="779"/>
      <c r="OH28" s="779"/>
      <c r="OI28" s="779"/>
      <c r="OJ28" s="779"/>
      <c r="OK28" s="779"/>
      <c r="OL28" s="779"/>
      <c r="OM28" s="779"/>
      <c r="ON28" s="779"/>
      <c r="OO28" s="779"/>
      <c r="OP28" s="779"/>
      <c r="OQ28" s="779"/>
      <c r="OR28" s="779"/>
      <c r="OS28" s="779"/>
      <c r="OT28" s="779"/>
      <c r="OU28" s="779"/>
      <c r="OV28" s="779"/>
      <c r="OW28" s="779"/>
      <c r="OX28" s="779"/>
      <c r="OY28" s="779"/>
      <c r="OZ28" s="779"/>
      <c r="PA28" s="779"/>
      <c r="PB28" s="779"/>
      <c r="PC28" s="779"/>
      <c r="PD28" s="779"/>
      <c r="PE28" s="779"/>
      <c r="PF28" s="779"/>
      <c r="PG28" s="779"/>
      <c r="PH28" s="779"/>
      <c r="PI28" s="779"/>
      <c r="PJ28" s="779"/>
      <c r="PK28" s="779"/>
      <c r="PL28" s="779"/>
      <c r="PM28" s="779"/>
      <c r="PN28" s="779"/>
      <c r="PO28" s="779"/>
    </row>
    <row r="29" spans="1:431" s="143" customFormat="1">
      <c r="A29" s="779"/>
      <c r="B29" s="779"/>
      <c r="C29" s="782"/>
      <c r="D29" s="782"/>
      <c r="E29" s="782"/>
      <c r="F29" s="782"/>
      <c r="G29" s="782"/>
      <c r="H29" s="782"/>
      <c r="I29" s="782"/>
      <c r="J29" s="782"/>
      <c r="K29" s="782"/>
      <c r="L29" s="782"/>
      <c r="M29" s="779"/>
      <c r="N29" s="779"/>
      <c r="O29" s="779"/>
      <c r="P29" s="779"/>
      <c r="Q29" s="779"/>
      <c r="R29" s="779"/>
      <c r="S29" s="779"/>
      <c r="T29" s="779"/>
      <c r="U29" s="779"/>
      <c r="V29" s="779"/>
      <c r="W29" s="779"/>
      <c r="X29" s="779"/>
      <c r="Y29" s="779"/>
      <c r="Z29" s="779"/>
      <c r="AA29" s="779"/>
      <c r="AB29" s="779"/>
      <c r="AC29" s="779"/>
      <c r="AD29" s="779"/>
      <c r="AE29" s="779"/>
      <c r="AF29" s="779"/>
      <c r="AG29" s="779"/>
      <c r="AH29" s="779"/>
      <c r="AI29" s="779"/>
      <c r="AJ29" s="779"/>
      <c r="AK29" s="779"/>
      <c r="AL29" s="779"/>
      <c r="AM29" s="779"/>
      <c r="AN29" s="779"/>
      <c r="AO29" s="779"/>
      <c r="AP29" s="779"/>
      <c r="AQ29" s="779"/>
      <c r="AR29" s="779"/>
      <c r="AS29" s="779"/>
      <c r="AT29" s="779"/>
      <c r="AU29" s="779"/>
      <c r="AV29" s="779"/>
      <c r="AW29" s="779"/>
      <c r="AX29" s="779"/>
      <c r="AY29" s="779"/>
      <c r="AZ29" s="779"/>
      <c r="BA29" s="779"/>
      <c r="BB29" s="779"/>
      <c r="BC29" s="779"/>
      <c r="BD29" s="779"/>
      <c r="BE29" s="779"/>
      <c r="BF29" s="779"/>
      <c r="BG29" s="779"/>
      <c r="BH29" s="779"/>
      <c r="BI29" s="779"/>
      <c r="BJ29" s="779"/>
      <c r="BK29" s="779"/>
      <c r="BL29" s="779"/>
      <c r="BM29" s="779"/>
      <c r="BN29" s="779"/>
      <c r="BO29" s="779"/>
      <c r="BP29" s="779"/>
      <c r="BQ29" s="779"/>
      <c r="BR29" s="779"/>
      <c r="BS29" s="779"/>
      <c r="BT29" s="779"/>
      <c r="BU29" s="779"/>
      <c r="BV29" s="779"/>
      <c r="BW29" s="779"/>
      <c r="BX29" s="779"/>
      <c r="BY29" s="779"/>
      <c r="BZ29" s="779"/>
      <c r="CA29" s="779"/>
      <c r="CB29" s="779"/>
      <c r="CC29" s="779"/>
      <c r="CD29" s="779"/>
      <c r="CE29" s="779"/>
      <c r="CF29" s="779"/>
      <c r="CG29" s="779"/>
      <c r="CH29" s="779"/>
      <c r="CI29" s="779"/>
      <c r="CJ29" s="779"/>
      <c r="CK29" s="779"/>
      <c r="CL29" s="779"/>
      <c r="CM29" s="779"/>
      <c r="CN29" s="779"/>
      <c r="CO29" s="779"/>
      <c r="CP29" s="779"/>
      <c r="CQ29" s="779"/>
      <c r="CR29" s="779"/>
      <c r="CS29" s="779"/>
      <c r="CT29" s="779"/>
      <c r="CU29" s="779"/>
      <c r="CV29" s="779"/>
      <c r="CW29" s="779"/>
      <c r="CX29" s="779"/>
      <c r="CY29" s="779"/>
      <c r="CZ29" s="779"/>
      <c r="DA29" s="779"/>
      <c r="DB29" s="779"/>
      <c r="DC29" s="779"/>
      <c r="DD29" s="779"/>
      <c r="DE29" s="779"/>
      <c r="DF29" s="779"/>
      <c r="DG29" s="779"/>
      <c r="DH29" s="779"/>
      <c r="DI29" s="779"/>
      <c r="DJ29" s="779"/>
      <c r="DK29" s="779"/>
      <c r="DL29" s="779"/>
      <c r="DM29" s="779"/>
      <c r="DN29" s="779"/>
      <c r="DO29" s="779"/>
      <c r="DP29" s="779"/>
      <c r="DQ29" s="779"/>
      <c r="DR29" s="779"/>
      <c r="DS29" s="779"/>
      <c r="DT29" s="779"/>
      <c r="DU29" s="779"/>
      <c r="DV29" s="779"/>
      <c r="DW29" s="779"/>
      <c r="DX29" s="779"/>
      <c r="DY29" s="779"/>
      <c r="DZ29" s="779"/>
      <c r="EA29" s="779"/>
      <c r="EB29" s="779"/>
      <c r="EC29" s="779"/>
      <c r="ED29" s="779"/>
      <c r="EE29" s="779"/>
      <c r="EF29" s="779"/>
      <c r="EG29" s="779"/>
      <c r="EH29" s="779"/>
      <c r="EI29" s="779"/>
      <c r="EJ29" s="779"/>
      <c r="EK29" s="779"/>
      <c r="EL29" s="779"/>
      <c r="EM29" s="779"/>
      <c r="EN29" s="779"/>
      <c r="EO29" s="779"/>
      <c r="EP29" s="779"/>
      <c r="EQ29" s="779"/>
      <c r="ER29" s="779"/>
      <c r="ES29" s="779"/>
      <c r="ET29" s="779"/>
      <c r="EU29" s="779"/>
      <c r="EV29" s="779"/>
      <c r="EW29" s="779"/>
      <c r="EX29" s="779"/>
      <c r="EY29" s="779"/>
      <c r="EZ29" s="779"/>
      <c r="FA29" s="779"/>
      <c r="FB29" s="779"/>
      <c r="FC29" s="779"/>
      <c r="FD29" s="779"/>
      <c r="FE29" s="779"/>
      <c r="FF29" s="779"/>
      <c r="FG29" s="779"/>
      <c r="FH29" s="779"/>
      <c r="FI29" s="779"/>
      <c r="FJ29" s="779"/>
      <c r="FK29" s="779"/>
      <c r="FL29" s="779"/>
      <c r="FM29" s="779"/>
      <c r="FN29" s="779"/>
      <c r="FO29" s="779"/>
      <c r="FP29" s="779"/>
      <c r="FQ29" s="779"/>
      <c r="FR29" s="779"/>
      <c r="FS29" s="779"/>
      <c r="FT29" s="779"/>
      <c r="FU29" s="779"/>
      <c r="FV29" s="779"/>
      <c r="FW29" s="779"/>
      <c r="FX29" s="779"/>
      <c r="FY29" s="779"/>
      <c r="FZ29" s="779"/>
      <c r="GA29" s="779"/>
      <c r="GB29" s="779"/>
      <c r="GC29" s="779"/>
      <c r="GD29" s="779"/>
      <c r="GE29" s="779"/>
      <c r="GF29" s="779"/>
      <c r="GG29" s="779"/>
      <c r="GH29" s="779"/>
      <c r="GI29" s="779"/>
      <c r="GJ29" s="779"/>
      <c r="GK29" s="779"/>
      <c r="GL29" s="779"/>
      <c r="GM29" s="779"/>
      <c r="GN29" s="779"/>
      <c r="GO29" s="779"/>
      <c r="GP29" s="779"/>
      <c r="GQ29" s="779"/>
      <c r="GR29" s="779"/>
      <c r="GS29" s="779"/>
      <c r="GT29" s="779"/>
      <c r="GU29" s="779"/>
      <c r="GV29" s="779"/>
      <c r="GW29" s="779"/>
      <c r="GX29" s="779"/>
      <c r="GY29" s="779"/>
      <c r="GZ29" s="779"/>
      <c r="HA29" s="779"/>
      <c r="HB29" s="779"/>
      <c r="HC29" s="779"/>
      <c r="HD29" s="779"/>
      <c r="HE29" s="779"/>
      <c r="HF29" s="779"/>
      <c r="HG29" s="779"/>
      <c r="HH29" s="779"/>
      <c r="HI29" s="779"/>
      <c r="HJ29" s="779"/>
      <c r="HK29" s="779"/>
      <c r="HL29" s="779"/>
      <c r="HM29" s="779"/>
      <c r="HN29" s="779"/>
      <c r="HO29" s="779"/>
      <c r="HP29" s="779"/>
      <c r="HQ29" s="779"/>
      <c r="HR29" s="779"/>
      <c r="HS29" s="779"/>
      <c r="HT29" s="779"/>
      <c r="HU29" s="779"/>
      <c r="HV29" s="779"/>
      <c r="HW29" s="779"/>
      <c r="HX29" s="779"/>
      <c r="HY29" s="779"/>
      <c r="HZ29" s="779"/>
      <c r="IA29" s="779"/>
      <c r="IB29" s="779"/>
      <c r="IC29" s="779"/>
      <c r="ID29" s="779"/>
      <c r="IE29" s="779"/>
      <c r="IF29" s="779"/>
      <c r="IG29" s="779"/>
      <c r="IH29" s="779"/>
      <c r="II29" s="779"/>
      <c r="IJ29" s="779"/>
      <c r="IK29" s="779"/>
      <c r="IL29" s="779"/>
      <c r="IM29" s="779"/>
      <c r="IN29" s="779"/>
      <c r="IO29" s="779"/>
      <c r="IP29" s="779"/>
      <c r="IQ29" s="779"/>
      <c r="IR29" s="779"/>
      <c r="IS29" s="779"/>
      <c r="IT29" s="779"/>
      <c r="IU29" s="779"/>
      <c r="IV29" s="779"/>
      <c r="IW29" s="779"/>
      <c r="IX29" s="779"/>
      <c r="IY29" s="779"/>
      <c r="IZ29" s="779"/>
      <c r="JA29" s="779"/>
      <c r="JB29" s="779"/>
      <c r="JC29" s="779"/>
      <c r="JD29" s="779"/>
      <c r="JE29" s="779"/>
      <c r="JF29" s="779"/>
      <c r="JG29" s="779"/>
      <c r="JH29" s="779"/>
      <c r="JI29" s="779"/>
      <c r="JJ29" s="779"/>
      <c r="JK29" s="779"/>
      <c r="JL29" s="779"/>
      <c r="JM29" s="779"/>
      <c r="JN29" s="779"/>
      <c r="JO29" s="779"/>
      <c r="JP29" s="779"/>
      <c r="JQ29" s="779"/>
      <c r="JR29" s="779"/>
      <c r="JS29" s="779"/>
      <c r="JT29" s="779"/>
      <c r="JU29" s="779"/>
      <c r="JV29" s="779"/>
      <c r="JW29" s="779"/>
      <c r="JX29" s="779"/>
      <c r="JY29" s="779"/>
      <c r="JZ29" s="779"/>
      <c r="KA29" s="779"/>
      <c r="KB29" s="779"/>
      <c r="KC29" s="779"/>
      <c r="KD29" s="779"/>
      <c r="KE29" s="779"/>
      <c r="KF29" s="779"/>
      <c r="KG29" s="779"/>
      <c r="KH29" s="779"/>
      <c r="KI29" s="779"/>
      <c r="KJ29" s="779"/>
      <c r="KK29" s="779"/>
      <c r="KL29" s="779"/>
      <c r="KM29" s="779"/>
      <c r="KN29" s="779"/>
      <c r="KO29" s="779"/>
      <c r="KP29" s="779"/>
      <c r="KQ29" s="779"/>
      <c r="KR29" s="779"/>
      <c r="KS29" s="779"/>
      <c r="KT29" s="779"/>
      <c r="KU29" s="779"/>
      <c r="KV29" s="779"/>
      <c r="KW29" s="779"/>
      <c r="KX29" s="779"/>
      <c r="KY29" s="779"/>
      <c r="KZ29" s="779"/>
      <c r="LA29" s="779"/>
      <c r="LB29" s="779"/>
      <c r="LC29" s="779"/>
      <c r="LD29" s="779"/>
      <c r="LE29" s="779"/>
      <c r="LF29" s="779"/>
      <c r="LG29" s="779"/>
      <c r="LH29" s="779"/>
      <c r="LI29" s="779"/>
      <c r="LJ29" s="779"/>
      <c r="LK29" s="779"/>
      <c r="LL29" s="779"/>
      <c r="LM29" s="779"/>
      <c r="LN29" s="779"/>
      <c r="LO29" s="779"/>
      <c r="LP29" s="779"/>
      <c r="LQ29" s="779"/>
      <c r="LR29" s="779"/>
      <c r="LS29" s="779"/>
      <c r="LT29" s="779"/>
      <c r="LU29" s="779"/>
      <c r="LV29" s="779"/>
      <c r="LW29" s="779"/>
      <c r="LX29" s="779"/>
      <c r="LY29" s="779"/>
      <c r="LZ29" s="779"/>
      <c r="MA29" s="779"/>
      <c r="MB29" s="779"/>
      <c r="MC29" s="779"/>
      <c r="MD29" s="779"/>
      <c r="ME29" s="779"/>
      <c r="MF29" s="779"/>
      <c r="MG29" s="779"/>
      <c r="MH29" s="779"/>
      <c r="MI29" s="779"/>
      <c r="MJ29" s="779"/>
      <c r="MK29" s="779"/>
      <c r="ML29" s="779"/>
      <c r="MM29" s="779"/>
      <c r="MN29" s="779"/>
      <c r="MO29" s="779"/>
      <c r="MP29" s="779"/>
      <c r="MQ29" s="779"/>
      <c r="MR29" s="779"/>
      <c r="MS29" s="779"/>
      <c r="MT29" s="779"/>
      <c r="MU29" s="779"/>
      <c r="MV29" s="779"/>
      <c r="MW29" s="779"/>
      <c r="MX29" s="779"/>
      <c r="MY29" s="779"/>
      <c r="MZ29" s="779"/>
      <c r="NA29" s="779"/>
      <c r="NB29" s="779"/>
      <c r="NC29" s="779"/>
      <c r="ND29" s="779"/>
      <c r="NE29" s="779"/>
      <c r="NF29" s="779"/>
      <c r="NG29" s="779"/>
      <c r="NH29" s="779"/>
      <c r="NI29" s="779"/>
      <c r="NJ29" s="779"/>
      <c r="NK29" s="779"/>
      <c r="NL29" s="779"/>
      <c r="NM29" s="779"/>
      <c r="NN29" s="779"/>
      <c r="NO29" s="779"/>
      <c r="NP29" s="779"/>
      <c r="NQ29" s="779"/>
      <c r="NR29" s="779"/>
      <c r="NS29" s="779"/>
      <c r="NT29" s="779"/>
      <c r="NU29" s="779"/>
      <c r="NV29" s="779"/>
      <c r="NW29" s="779"/>
      <c r="NX29" s="779"/>
      <c r="NY29" s="779"/>
      <c r="NZ29" s="779"/>
      <c r="OA29" s="779"/>
      <c r="OB29" s="779"/>
      <c r="OC29" s="779"/>
      <c r="OD29" s="779"/>
      <c r="OE29" s="779"/>
      <c r="OF29" s="779"/>
      <c r="OG29" s="779"/>
      <c r="OH29" s="779"/>
      <c r="OI29" s="779"/>
      <c r="OJ29" s="779"/>
      <c r="OK29" s="779"/>
      <c r="OL29" s="779"/>
      <c r="OM29" s="779"/>
      <c r="ON29" s="779"/>
      <c r="OO29" s="779"/>
      <c r="OP29" s="779"/>
      <c r="OQ29" s="779"/>
      <c r="OR29" s="779"/>
      <c r="OS29" s="779"/>
      <c r="OT29" s="779"/>
      <c r="OU29" s="779"/>
      <c r="OV29" s="779"/>
      <c r="OW29" s="779"/>
      <c r="OX29" s="779"/>
      <c r="OY29" s="779"/>
      <c r="OZ29" s="779"/>
      <c r="PA29" s="779"/>
      <c r="PB29" s="779"/>
      <c r="PC29" s="779"/>
      <c r="PD29" s="779"/>
      <c r="PE29" s="779"/>
      <c r="PF29" s="779"/>
      <c r="PG29" s="779"/>
      <c r="PH29" s="779"/>
      <c r="PI29" s="779"/>
      <c r="PJ29" s="779"/>
      <c r="PK29" s="779"/>
      <c r="PL29" s="779"/>
      <c r="PM29" s="779"/>
      <c r="PN29" s="779"/>
      <c r="PO29" s="779"/>
    </row>
    <row r="30" spans="1:431" s="143" customFormat="1">
      <c r="A30" s="779"/>
      <c r="B30" s="779"/>
      <c r="C30" s="782"/>
      <c r="D30" s="782"/>
      <c r="E30" s="782"/>
      <c r="F30" s="782"/>
      <c r="G30" s="782"/>
      <c r="H30" s="782"/>
      <c r="I30" s="782"/>
      <c r="J30" s="782"/>
      <c r="K30" s="782"/>
      <c r="L30" s="782"/>
      <c r="M30" s="779"/>
      <c r="N30" s="779"/>
      <c r="O30" s="779"/>
      <c r="P30" s="779"/>
      <c r="Q30" s="779"/>
      <c r="R30" s="779"/>
      <c r="S30" s="779"/>
      <c r="T30" s="779"/>
      <c r="U30" s="779"/>
      <c r="V30" s="779"/>
      <c r="W30" s="779"/>
      <c r="X30" s="779"/>
      <c r="Y30" s="779"/>
      <c r="Z30" s="779"/>
      <c r="AA30" s="779"/>
      <c r="AB30" s="779"/>
      <c r="AC30" s="779"/>
      <c r="AD30" s="779"/>
      <c r="AE30" s="779"/>
      <c r="AF30" s="779"/>
      <c r="AG30" s="779"/>
      <c r="AH30" s="779"/>
      <c r="AI30" s="779"/>
      <c r="AJ30" s="779"/>
      <c r="AK30" s="779"/>
      <c r="AL30" s="779"/>
      <c r="AM30" s="779"/>
      <c r="AN30" s="779"/>
      <c r="AO30" s="779"/>
      <c r="AP30" s="779"/>
      <c r="AQ30" s="779"/>
      <c r="AR30" s="779"/>
      <c r="AS30" s="779"/>
      <c r="AT30" s="779"/>
      <c r="AU30" s="779"/>
      <c r="AV30" s="779"/>
      <c r="AW30" s="779"/>
      <c r="AX30" s="779"/>
      <c r="AY30" s="779"/>
      <c r="AZ30" s="779"/>
      <c r="BA30" s="779"/>
      <c r="BB30" s="779"/>
      <c r="BC30" s="779"/>
      <c r="BD30" s="779"/>
      <c r="BE30" s="779"/>
      <c r="BF30" s="779"/>
      <c r="BG30" s="779"/>
      <c r="BH30" s="779"/>
      <c r="BI30" s="779"/>
      <c r="BJ30" s="779"/>
      <c r="BK30" s="779"/>
      <c r="BL30" s="779"/>
      <c r="BM30" s="779"/>
      <c r="BN30" s="779"/>
      <c r="BO30" s="779"/>
      <c r="BP30" s="779"/>
      <c r="BQ30" s="779"/>
      <c r="BR30" s="779"/>
      <c r="BS30" s="779"/>
      <c r="BT30" s="779"/>
      <c r="BU30" s="779"/>
      <c r="BV30" s="779"/>
      <c r="BW30" s="779"/>
      <c r="BX30" s="779"/>
      <c r="BY30" s="779"/>
      <c r="BZ30" s="779"/>
      <c r="CA30" s="779"/>
      <c r="CB30" s="779"/>
      <c r="CC30" s="779"/>
      <c r="CD30" s="779"/>
      <c r="CE30" s="779"/>
      <c r="CF30" s="779"/>
      <c r="CG30" s="779"/>
      <c r="CH30" s="779"/>
      <c r="CI30" s="779"/>
      <c r="CJ30" s="779"/>
      <c r="CK30" s="779"/>
      <c r="CL30" s="779"/>
      <c r="CM30" s="779"/>
      <c r="CN30" s="779"/>
      <c r="CO30" s="779"/>
      <c r="CP30" s="779"/>
      <c r="CQ30" s="779"/>
      <c r="CR30" s="779"/>
      <c r="CS30" s="779"/>
      <c r="CT30" s="779"/>
      <c r="CU30" s="779"/>
      <c r="CV30" s="779"/>
      <c r="CW30" s="779"/>
      <c r="CX30" s="779"/>
      <c r="CY30" s="779"/>
      <c r="CZ30" s="779"/>
      <c r="DA30" s="779"/>
      <c r="DB30" s="779"/>
      <c r="DC30" s="779"/>
      <c r="DD30" s="779"/>
      <c r="DE30" s="779"/>
      <c r="DF30" s="779"/>
      <c r="DG30" s="779"/>
      <c r="DH30" s="779"/>
      <c r="DI30" s="779"/>
      <c r="DJ30" s="779"/>
      <c r="DK30" s="779"/>
      <c r="DL30" s="779"/>
      <c r="DM30" s="779"/>
      <c r="DN30" s="779"/>
      <c r="DO30" s="779"/>
      <c r="DP30" s="779"/>
      <c r="DQ30" s="779"/>
      <c r="DR30" s="779"/>
      <c r="DS30" s="779"/>
      <c r="DT30" s="779"/>
      <c r="DU30" s="779"/>
      <c r="DV30" s="779"/>
      <c r="DW30" s="779"/>
      <c r="DX30" s="779"/>
      <c r="DY30" s="779"/>
      <c r="DZ30" s="779"/>
      <c r="EA30" s="779"/>
      <c r="EB30" s="779"/>
      <c r="EC30" s="779"/>
      <c r="ED30" s="779"/>
      <c r="EE30" s="779"/>
      <c r="EF30" s="779"/>
      <c r="EG30" s="779"/>
      <c r="EH30" s="779"/>
      <c r="EI30" s="779"/>
      <c r="EJ30" s="779"/>
      <c r="EK30" s="779"/>
      <c r="EL30" s="779"/>
      <c r="EM30" s="779"/>
      <c r="EN30" s="779"/>
      <c r="EO30" s="779"/>
      <c r="EP30" s="779"/>
      <c r="EQ30" s="779"/>
      <c r="ER30" s="779"/>
      <c r="ES30" s="779"/>
      <c r="ET30" s="779"/>
      <c r="EU30" s="779"/>
      <c r="EV30" s="779"/>
      <c r="EW30" s="779"/>
      <c r="EX30" s="779"/>
      <c r="EY30" s="779"/>
      <c r="EZ30" s="779"/>
      <c r="FA30" s="779"/>
      <c r="FB30" s="779"/>
      <c r="FC30" s="779"/>
      <c r="FD30" s="779"/>
      <c r="FE30" s="779"/>
      <c r="FF30" s="779"/>
      <c r="FG30" s="779"/>
      <c r="FH30" s="779"/>
      <c r="FI30" s="779"/>
      <c r="FJ30" s="779"/>
      <c r="FK30" s="779"/>
      <c r="FL30" s="779"/>
      <c r="FM30" s="779"/>
      <c r="FN30" s="779"/>
      <c r="FO30" s="779"/>
      <c r="FP30" s="779"/>
      <c r="FQ30" s="779"/>
      <c r="FR30" s="779"/>
      <c r="FS30" s="779"/>
      <c r="FT30" s="779"/>
      <c r="FU30" s="779"/>
      <c r="FV30" s="779"/>
      <c r="FW30" s="779"/>
      <c r="FX30" s="779"/>
      <c r="FY30" s="779"/>
      <c r="FZ30" s="779"/>
      <c r="GA30" s="779"/>
      <c r="GB30" s="779"/>
      <c r="GC30" s="779"/>
      <c r="GD30" s="779"/>
      <c r="GE30" s="779"/>
      <c r="GF30" s="779"/>
      <c r="GG30" s="779"/>
      <c r="GH30" s="779"/>
      <c r="GI30" s="779"/>
      <c r="GJ30" s="779"/>
      <c r="GK30" s="779"/>
      <c r="GL30" s="779"/>
      <c r="GM30" s="779"/>
      <c r="GN30" s="779"/>
      <c r="GO30" s="779"/>
      <c r="GP30" s="779"/>
      <c r="GQ30" s="779"/>
      <c r="GR30" s="779"/>
      <c r="GS30" s="779"/>
      <c r="GT30" s="779"/>
      <c r="GU30" s="779"/>
      <c r="GV30" s="779"/>
      <c r="GW30" s="779"/>
      <c r="GX30" s="779"/>
      <c r="GY30" s="779"/>
      <c r="GZ30" s="779"/>
      <c r="HA30" s="779"/>
      <c r="HB30" s="779"/>
      <c r="HC30" s="779"/>
      <c r="HD30" s="779"/>
      <c r="HE30" s="779"/>
      <c r="HF30" s="779"/>
      <c r="HG30" s="779"/>
      <c r="HH30" s="779"/>
      <c r="HI30" s="779"/>
      <c r="HJ30" s="779"/>
      <c r="HK30" s="779"/>
      <c r="HL30" s="779"/>
      <c r="HM30" s="779"/>
      <c r="HN30" s="779"/>
      <c r="HO30" s="779"/>
      <c r="HP30" s="779"/>
      <c r="HQ30" s="779"/>
      <c r="HR30" s="779"/>
      <c r="HS30" s="779"/>
      <c r="HT30" s="779"/>
      <c r="HU30" s="779"/>
      <c r="HV30" s="779"/>
      <c r="HW30" s="779"/>
      <c r="HX30" s="779"/>
      <c r="HY30" s="779"/>
      <c r="HZ30" s="779"/>
      <c r="IA30" s="779"/>
      <c r="IB30" s="779"/>
      <c r="IC30" s="779"/>
      <c r="ID30" s="779"/>
      <c r="IE30" s="779"/>
      <c r="IF30" s="779"/>
      <c r="IG30" s="779"/>
      <c r="IH30" s="779"/>
      <c r="II30" s="779"/>
      <c r="IJ30" s="779"/>
      <c r="IK30" s="779"/>
      <c r="IL30" s="779"/>
      <c r="IM30" s="779"/>
      <c r="IN30" s="779"/>
      <c r="IO30" s="779"/>
      <c r="IP30" s="779"/>
      <c r="IQ30" s="779"/>
      <c r="IR30" s="779"/>
      <c r="IS30" s="779"/>
      <c r="IT30" s="779"/>
      <c r="IU30" s="779"/>
      <c r="IV30" s="779"/>
      <c r="IW30" s="779"/>
      <c r="IX30" s="779"/>
      <c r="IY30" s="779"/>
      <c r="IZ30" s="779"/>
      <c r="JA30" s="779"/>
      <c r="JB30" s="779"/>
      <c r="JC30" s="779"/>
      <c r="JD30" s="779"/>
      <c r="JE30" s="779"/>
      <c r="JF30" s="779"/>
      <c r="JG30" s="779"/>
      <c r="JH30" s="779"/>
      <c r="JI30" s="779"/>
      <c r="JJ30" s="779"/>
      <c r="JK30" s="779"/>
      <c r="JL30" s="779"/>
      <c r="JM30" s="779"/>
      <c r="JN30" s="779"/>
      <c r="JO30" s="779"/>
      <c r="JP30" s="779"/>
      <c r="JQ30" s="779"/>
      <c r="JR30" s="779"/>
      <c r="JS30" s="779"/>
      <c r="JT30" s="779"/>
      <c r="JU30" s="779"/>
      <c r="JV30" s="779"/>
      <c r="JW30" s="779"/>
      <c r="JX30" s="779"/>
      <c r="JY30" s="779"/>
      <c r="JZ30" s="779"/>
      <c r="KA30" s="779"/>
      <c r="KB30" s="779"/>
      <c r="KC30" s="779"/>
      <c r="KD30" s="779"/>
      <c r="KE30" s="779"/>
      <c r="KF30" s="779"/>
      <c r="KG30" s="779"/>
      <c r="KH30" s="779"/>
      <c r="KI30" s="779"/>
      <c r="KJ30" s="779"/>
      <c r="KK30" s="779"/>
      <c r="KL30" s="779"/>
      <c r="KM30" s="779"/>
      <c r="KN30" s="779"/>
      <c r="KO30" s="779"/>
      <c r="KP30" s="779"/>
      <c r="KQ30" s="779"/>
      <c r="KR30" s="779"/>
      <c r="KS30" s="779"/>
      <c r="KT30" s="779"/>
      <c r="KU30" s="779"/>
      <c r="KV30" s="779"/>
      <c r="KW30" s="779"/>
      <c r="KX30" s="779"/>
      <c r="KY30" s="779"/>
      <c r="KZ30" s="779"/>
      <c r="LA30" s="779"/>
      <c r="LB30" s="779"/>
      <c r="LC30" s="779"/>
      <c r="LD30" s="779"/>
      <c r="LE30" s="779"/>
      <c r="LF30" s="779"/>
      <c r="LG30" s="779"/>
      <c r="LH30" s="779"/>
      <c r="LI30" s="779"/>
      <c r="LJ30" s="779"/>
      <c r="LK30" s="779"/>
      <c r="LL30" s="779"/>
      <c r="LM30" s="779"/>
      <c r="LN30" s="779"/>
      <c r="LO30" s="779"/>
      <c r="LP30" s="779"/>
      <c r="LQ30" s="779"/>
      <c r="LR30" s="779"/>
      <c r="LS30" s="779"/>
      <c r="LT30" s="779"/>
      <c r="LU30" s="779"/>
      <c r="LV30" s="779"/>
      <c r="LW30" s="779"/>
      <c r="LX30" s="779"/>
      <c r="LY30" s="779"/>
      <c r="LZ30" s="779"/>
      <c r="MA30" s="779"/>
      <c r="MB30" s="779"/>
      <c r="MC30" s="779"/>
      <c r="MD30" s="779"/>
      <c r="ME30" s="779"/>
      <c r="MF30" s="779"/>
      <c r="MG30" s="779"/>
      <c r="MH30" s="779"/>
      <c r="MI30" s="779"/>
      <c r="MJ30" s="779"/>
      <c r="MK30" s="779"/>
      <c r="ML30" s="779"/>
      <c r="MM30" s="779"/>
      <c r="MN30" s="779"/>
      <c r="MO30" s="779"/>
      <c r="MP30" s="779"/>
      <c r="MQ30" s="779"/>
      <c r="MR30" s="779"/>
      <c r="MS30" s="779"/>
      <c r="MT30" s="779"/>
      <c r="MU30" s="779"/>
      <c r="MV30" s="779"/>
      <c r="MW30" s="779"/>
      <c r="MX30" s="779"/>
      <c r="MY30" s="779"/>
      <c r="MZ30" s="779"/>
      <c r="NA30" s="779"/>
      <c r="NB30" s="779"/>
      <c r="NC30" s="779"/>
      <c r="ND30" s="779"/>
      <c r="NE30" s="779"/>
      <c r="NF30" s="779"/>
      <c r="NG30" s="779"/>
      <c r="NH30" s="779"/>
      <c r="NI30" s="779"/>
      <c r="NJ30" s="779"/>
      <c r="NK30" s="779"/>
      <c r="NL30" s="779"/>
      <c r="NM30" s="779"/>
      <c r="NN30" s="779"/>
      <c r="NO30" s="779"/>
      <c r="NP30" s="779"/>
      <c r="NQ30" s="779"/>
      <c r="NR30" s="779"/>
      <c r="NS30" s="779"/>
      <c r="NT30" s="779"/>
      <c r="NU30" s="779"/>
      <c r="NV30" s="779"/>
      <c r="NW30" s="779"/>
      <c r="NX30" s="779"/>
      <c r="NY30" s="779"/>
      <c r="NZ30" s="779"/>
      <c r="OA30" s="779"/>
      <c r="OB30" s="779"/>
      <c r="OC30" s="779"/>
      <c r="OD30" s="779"/>
      <c r="OE30" s="779"/>
      <c r="OF30" s="779"/>
      <c r="OG30" s="779"/>
      <c r="OH30" s="779"/>
      <c r="OI30" s="779"/>
      <c r="OJ30" s="779"/>
      <c r="OK30" s="779"/>
      <c r="OL30" s="779"/>
      <c r="OM30" s="779"/>
      <c r="ON30" s="779"/>
      <c r="OO30" s="779"/>
      <c r="OP30" s="779"/>
      <c r="OQ30" s="779"/>
      <c r="OR30" s="779"/>
      <c r="OS30" s="779"/>
      <c r="OT30" s="779"/>
      <c r="OU30" s="779"/>
      <c r="OV30" s="779"/>
      <c r="OW30" s="779"/>
      <c r="OX30" s="779"/>
      <c r="OY30" s="779"/>
      <c r="OZ30" s="779"/>
      <c r="PA30" s="779"/>
      <c r="PB30" s="779"/>
      <c r="PC30" s="779"/>
      <c r="PD30" s="779"/>
      <c r="PE30" s="779"/>
      <c r="PF30" s="779"/>
      <c r="PG30" s="779"/>
      <c r="PH30" s="779"/>
      <c r="PI30" s="779"/>
      <c r="PJ30" s="779"/>
      <c r="PK30" s="779"/>
      <c r="PL30" s="779"/>
      <c r="PM30" s="779"/>
      <c r="PN30" s="779"/>
      <c r="PO30" s="779"/>
    </row>
    <row r="31" spans="1:431" s="143" customFormat="1">
      <c r="A31" s="779"/>
      <c r="B31" s="779"/>
      <c r="C31" s="782"/>
      <c r="D31" s="782"/>
      <c r="E31" s="782"/>
      <c r="F31" s="782"/>
      <c r="G31" s="782"/>
      <c r="H31" s="782"/>
      <c r="I31" s="782"/>
      <c r="J31" s="782"/>
      <c r="K31" s="782"/>
      <c r="L31" s="782"/>
      <c r="M31" s="779"/>
      <c r="N31" s="779"/>
      <c r="O31" s="779"/>
      <c r="P31" s="779"/>
      <c r="Q31" s="779"/>
      <c r="R31" s="779"/>
      <c r="S31" s="779"/>
      <c r="T31" s="779"/>
      <c r="U31" s="779"/>
      <c r="V31" s="779"/>
      <c r="W31" s="779"/>
      <c r="X31" s="779"/>
      <c r="Y31" s="779"/>
      <c r="Z31" s="779"/>
      <c r="AA31" s="779"/>
      <c r="AB31" s="779"/>
      <c r="AC31" s="779"/>
      <c r="AD31" s="779"/>
      <c r="AE31" s="779"/>
      <c r="AF31" s="779"/>
      <c r="AG31" s="779"/>
      <c r="AH31" s="779"/>
      <c r="AI31" s="779"/>
      <c r="AJ31" s="779"/>
      <c r="AK31" s="779"/>
      <c r="AL31" s="779"/>
      <c r="AM31" s="779"/>
      <c r="AN31" s="779"/>
      <c r="AO31" s="779"/>
      <c r="AP31" s="779"/>
      <c r="AQ31" s="779"/>
      <c r="AR31" s="779"/>
      <c r="AS31" s="779"/>
      <c r="AT31" s="779"/>
      <c r="AU31" s="779"/>
      <c r="AV31" s="779"/>
      <c r="AW31" s="779"/>
      <c r="AX31" s="779"/>
      <c r="AY31" s="779"/>
      <c r="AZ31" s="779"/>
      <c r="BA31" s="779"/>
      <c r="BB31" s="779"/>
      <c r="BC31" s="779"/>
      <c r="BD31" s="779"/>
      <c r="BE31" s="779"/>
      <c r="BF31" s="779"/>
      <c r="BG31" s="779"/>
      <c r="BH31" s="779"/>
      <c r="BI31" s="779"/>
      <c r="BJ31" s="779"/>
      <c r="BK31" s="779"/>
      <c r="BL31" s="779"/>
      <c r="BM31" s="779"/>
      <c r="BN31" s="779"/>
      <c r="BO31" s="779"/>
      <c r="BP31" s="779"/>
      <c r="BQ31" s="779"/>
      <c r="BR31" s="779"/>
      <c r="BS31" s="779"/>
      <c r="BT31" s="779"/>
      <c r="BU31" s="779"/>
      <c r="BV31" s="779"/>
      <c r="BW31" s="779"/>
      <c r="BX31" s="779"/>
      <c r="BY31" s="779"/>
      <c r="BZ31" s="779"/>
      <c r="CA31" s="779"/>
      <c r="CB31" s="779"/>
      <c r="CC31" s="779"/>
      <c r="CD31" s="779"/>
      <c r="CE31" s="779"/>
      <c r="CF31" s="779"/>
      <c r="CG31" s="779"/>
      <c r="CH31" s="779"/>
      <c r="CI31" s="779"/>
      <c r="CJ31" s="779"/>
      <c r="CK31" s="779"/>
      <c r="CL31" s="779"/>
      <c r="CM31" s="779"/>
      <c r="CN31" s="779"/>
      <c r="CO31" s="779"/>
      <c r="CP31" s="779"/>
      <c r="CQ31" s="779"/>
      <c r="CR31" s="779"/>
      <c r="CS31" s="779"/>
      <c r="CT31" s="779"/>
      <c r="CU31" s="779"/>
      <c r="CV31" s="779"/>
      <c r="CW31" s="779"/>
      <c r="CX31" s="779"/>
      <c r="CY31" s="779"/>
      <c r="CZ31" s="779"/>
      <c r="DA31" s="779"/>
      <c r="DB31" s="779"/>
      <c r="DC31" s="779"/>
      <c r="DD31" s="779"/>
      <c r="DE31" s="779"/>
      <c r="DF31" s="779"/>
      <c r="DG31" s="779"/>
      <c r="DH31" s="779"/>
      <c r="DI31" s="779"/>
      <c r="DJ31" s="779"/>
      <c r="DK31" s="779"/>
      <c r="DL31" s="779"/>
      <c r="DM31" s="779"/>
      <c r="DN31" s="779"/>
      <c r="DO31" s="779"/>
      <c r="DP31" s="779"/>
      <c r="DQ31" s="779"/>
      <c r="DR31" s="779"/>
      <c r="DS31" s="779"/>
      <c r="DT31" s="779"/>
      <c r="DU31" s="779"/>
      <c r="DV31" s="779"/>
      <c r="DW31" s="779"/>
      <c r="DX31" s="779"/>
      <c r="DY31" s="779"/>
      <c r="DZ31" s="779"/>
      <c r="EA31" s="779"/>
      <c r="EB31" s="779"/>
      <c r="EC31" s="779"/>
      <c r="ED31" s="779"/>
      <c r="EE31" s="779"/>
      <c r="EF31" s="779"/>
      <c r="EG31" s="779"/>
      <c r="EH31" s="779"/>
      <c r="EI31" s="779"/>
      <c r="EJ31" s="779"/>
      <c r="EK31" s="779"/>
      <c r="EL31" s="779"/>
      <c r="EM31" s="779"/>
      <c r="EN31" s="779"/>
      <c r="EO31" s="779"/>
      <c r="EP31" s="779"/>
      <c r="EQ31" s="779"/>
      <c r="ER31" s="779"/>
      <c r="ES31" s="779"/>
      <c r="ET31" s="779"/>
      <c r="EU31" s="779"/>
      <c r="EV31" s="779"/>
      <c r="EW31" s="779"/>
      <c r="EX31" s="779"/>
      <c r="EY31" s="779"/>
      <c r="EZ31" s="779"/>
      <c r="FA31" s="779"/>
      <c r="FB31" s="779"/>
      <c r="FC31" s="779"/>
      <c r="FD31" s="779"/>
      <c r="FE31" s="779"/>
      <c r="FF31" s="779"/>
      <c r="FG31" s="779"/>
      <c r="FH31" s="779"/>
      <c r="FI31" s="779"/>
      <c r="FJ31" s="779"/>
      <c r="FK31" s="779"/>
      <c r="FL31" s="779"/>
      <c r="FM31" s="779"/>
      <c r="FN31" s="779"/>
      <c r="FO31" s="779"/>
      <c r="FP31" s="779"/>
      <c r="FQ31" s="779"/>
      <c r="FR31" s="779"/>
      <c r="FS31" s="779"/>
      <c r="FT31" s="779"/>
      <c r="FU31" s="779"/>
      <c r="FV31" s="779"/>
      <c r="FW31" s="779"/>
      <c r="FX31" s="779"/>
      <c r="FY31" s="779"/>
      <c r="FZ31" s="779"/>
      <c r="GA31" s="779"/>
      <c r="GB31" s="779"/>
      <c r="GC31" s="779"/>
      <c r="GD31" s="779"/>
      <c r="GE31" s="779"/>
      <c r="GF31" s="779"/>
      <c r="GG31" s="779"/>
      <c r="GH31" s="779"/>
      <c r="GI31" s="779"/>
      <c r="GJ31" s="779"/>
      <c r="GK31" s="779"/>
      <c r="GL31" s="779"/>
      <c r="GM31" s="779"/>
      <c r="GN31" s="779"/>
      <c r="GO31" s="779"/>
      <c r="GP31" s="779"/>
      <c r="GQ31" s="779"/>
      <c r="GR31" s="779"/>
      <c r="GS31" s="779"/>
      <c r="GT31" s="779"/>
      <c r="GU31" s="779"/>
      <c r="GV31" s="779"/>
      <c r="GW31" s="779"/>
      <c r="GX31" s="779"/>
      <c r="GY31" s="779"/>
      <c r="GZ31" s="779"/>
      <c r="HA31" s="779"/>
      <c r="HB31" s="779"/>
      <c r="HC31" s="779"/>
      <c r="HD31" s="779"/>
      <c r="HE31" s="779"/>
      <c r="HF31" s="779"/>
      <c r="HG31" s="779"/>
      <c r="HH31" s="779"/>
      <c r="HI31" s="779"/>
      <c r="HJ31" s="779"/>
      <c r="HK31" s="779"/>
      <c r="HL31" s="779"/>
      <c r="HM31" s="779"/>
      <c r="HN31" s="779"/>
      <c r="HO31" s="779"/>
      <c r="HP31" s="779"/>
      <c r="HQ31" s="779"/>
      <c r="HR31" s="779"/>
      <c r="HS31" s="779"/>
      <c r="HT31" s="779"/>
      <c r="HU31" s="779"/>
      <c r="HV31" s="779"/>
      <c r="HW31" s="779"/>
      <c r="HX31" s="779"/>
      <c r="HY31" s="779"/>
      <c r="HZ31" s="779"/>
      <c r="IA31" s="779"/>
      <c r="IB31" s="779"/>
      <c r="IC31" s="779"/>
      <c r="ID31" s="779"/>
      <c r="IE31" s="779"/>
      <c r="IF31" s="779"/>
      <c r="IG31" s="779"/>
      <c r="IH31" s="779"/>
      <c r="II31" s="779"/>
      <c r="IJ31" s="779"/>
      <c r="IK31" s="779"/>
      <c r="IL31" s="779"/>
      <c r="IM31" s="779"/>
      <c r="IN31" s="779"/>
      <c r="IO31" s="779"/>
      <c r="IP31" s="779"/>
      <c r="IQ31" s="779"/>
      <c r="IR31" s="779"/>
      <c r="IS31" s="779"/>
      <c r="IT31" s="779"/>
      <c r="IU31" s="779"/>
      <c r="IV31" s="779"/>
      <c r="IW31" s="779"/>
      <c r="IX31" s="779"/>
      <c r="IY31" s="779"/>
      <c r="IZ31" s="779"/>
      <c r="JA31" s="779"/>
      <c r="JB31" s="779"/>
      <c r="JC31" s="779"/>
      <c r="JD31" s="779"/>
      <c r="JE31" s="779"/>
      <c r="JF31" s="779"/>
      <c r="JG31" s="779"/>
      <c r="JH31" s="779"/>
      <c r="JI31" s="779"/>
      <c r="JJ31" s="779"/>
      <c r="JK31" s="779"/>
      <c r="JL31" s="779"/>
      <c r="JM31" s="779"/>
      <c r="JN31" s="779"/>
      <c r="JO31" s="779"/>
      <c r="JP31" s="779"/>
      <c r="JQ31" s="779"/>
      <c r="JR31" s="779"/>
      <c r="JS31" s="779"/>
      <c r="JT31" s="779"/>
      <c r="JU31" s="779"/>
      <c r="JV31" s="779"/>
      <c r="JW31" s="779"/>
      <c r="JX31" s="779"/>
      <c r="JY31" s="779"/>
      <c r="JZ31" s="779"/>
      <c r="KA31" s="779"/>
      <c r="KB31" s="779"/>
      <c r="KC31" s="779"/>
      <c r="KD31" s="779"/>
      <c r="KE31" s="779"/>
      <c r="KF31" s="779"/>
      <c r="KG31" s="779"/>
      <c r="KH31" s="779"/>
      <c r="KI31" s="779"/>
      <c r="KJ31" s="779"/>
      <c r="KK31" s="779"/>
      <c r="KL31" s="779"/>
      <c r="KM31" s="779"/>
      <c r="KN31" s="779"/>
      <c r="KO31" s="779"/>
      <c r="KP31" s="779"/>
      <c r="KQ31" s="779"/>
      <c r="KR31" s="779"/>
      <c r="KS31" s="779"/>
      <c r="KT31" s="779"/>
      <c r="KU31" s="779"/>
      <c r="KV31" s="779"/>
      <c r="KW31" s="779"/>
      <c r="KX31" s="779"/>
      <c r="KY31" s="779"/>
      <c r="KZ31" s="779"/>
      <c r="LA31" s="779"/>
      <c r="LB31" s="779"/>
      <c r="LC31" s="779"/>
      <c r="LD31" s="779"/>
      <c r="LE31" s="779"/>
      <c r="LF31" s="779"/>
      <c r="LG31" s="779"/>
      <c r="LH31" s="779"/>
      <c r="LI31" s="779"/>
      <c r="LJ31" s="779"/>
      <c r="LK31" s="779"/>
      <c r="LL31" s="779"/>
      <c r="LM31" s="779"/>
      <c r="LN31" s="779"/>
      <c r="LO31" s="779"/>
      <c r="LP31" s="779"/>
      <c r="LQ31" s="779"/>
      <c r="LR31" s="779"/>
      <c r="LS31" s="779"/>
      <c r="LT31" s="779"/>
      <c r="LU31" s="779"/>
      <c r="LV31" s="779"/>
      <c r="LW31" s="779"/>
      <c r="LX31" s="779"/>
      <c r="LY31" s="779"/>
      <c r="LZ31" s="779"/>
      <c r="MA31" s="779"/>
      <c r="MB31" s="779"/>
      <c r="MC31" s="779"/>
      <c r="MD31" s="779"/>
      <c r="ME31" s="779"/>
      <c r="MF31" s="779"/>
      <c r="MG31" s="779"/>
      <c r="MH31" s="779"/>
      <c r="MI31" s="779"/>
      <c r="MJ31" s="779"/>
      <c r="MK31" s="779"/>
      <c r="ML31" s="779"/>
      <c r="MM31" s="779"/>
      <c r="MN31" s="779"/>
      <c r="MO31" s="779"/>
      <c r="MP31" s="779"/>
      <c r="MQ31" s="779"/>
      <c r="MR31" s="779"/>
      <c r="MS31" s="779"/>
      <c r="MT31" s="779"/>
      <c r="MU31" s="779"/>
      <c r="MV31" s="779"/>
      <c r="MW31" s="779"/>
      <c r="MX31" s="779"/>
      <c r="MY31" s="779"/>
      <c r="MZ31" s="779"/>
      <c r="NA31" s="779"/>
      <c r="NB31" s="779"/>
      <c r="NC31" s="779"/>
      <c r="ND31" s="779"/>
      <c r="NE31" s="779"/>
      <c r="NF31" s="779"/>
      <c r="NG31" s="779"/>
      <c r="NH31" s="779"/>
      <c r="NI31" s="779"/>
      <c r="NJ31" s="779"/>
      <c r="NK31" s="779"/>
      <c r="NL31" s="779"/>
      <c r="NM31" s="779"/>
      <c r="NN31" s="779"/>
      <c r="NO31" s="779"/>
      <c r="NP31" s="779"/>
      <c r="NQ31" s="779"/>
      <c r="NR31" s="779"/>
      <c r="NS31" s="779"/>
      <c r="NT31" s="779"/>
      <c r="NU31" s="779"/>
      <c r="NV31" s="779"/>
      <c r="NW31" s="779"/>
      <c r="NX31" s="779"/>
      <c r="NY31" s="779"/>
      <c r="NZ31" s="779"/>
      <c r="OA31" s="779"/>
      <c r="OB31" s="779"/>
      <c r="OC31" s="779"/>
      <c r="OD31" s="779"/>
      <c r="OE31" s="779"/>
      <c r="OF31" s="779"/>
      <c r="OG31" s="779"/>
      <c r="OH31" s="779"/>
      <c r="OI31" s="779"/>
      <c r="OJ31" s="779"/>
      <c r="OK31" s="779"/>
      <c r="OL31" s="779"/>
      <c r="OM31" s="779"/>
      <c r="ON31" s="779"/>
      <c r="OO31" s="779"/>
      <c r="OP31" s="779"/>
      <c r="OQ31" s="779"/>
      <c r="OR31" s="779"/>
      <c r="OS31" s="779"/>
      <c r="OT31" s="779"/>
      <c r="OU31" s="779"/>
      <c r="OV31" s="779"/>
      <c r="OW31" s="779"/>
      <c r="OX31" s="779"/>
      <c r="OY31" s="779"/>
      <c r="OZ31" s="779"/>
      <c r="PA31" s="779"/>
      <c r="PB31" s="779"/>
      <c r="PC31" s="779"/>
      <c r="PD31" s="779"/>
      <c r="PE31" s="779"/>
      <c r="PF31" s="779"/>
      <c r="PG31" s="779"/>
      <c r="PH31" s="779"/>
      <c r="PI31" s="779"/>
      <c r="PJ31" s="779"/>
      <c r="PK31" s="779"/>
      <c r="PL31" s="779"/>
      <c r="PM31" s="779"/>
      <c r="PN31" s="779"/>
      <c r="PO31" s="779"/>
    </row>
    <row r="32" spans="1:431" s="143" customFormat="1">
      <c r="A32" s="779"/>
      <c r="B32" s="779"/>
      <c r="C32" s="782"/>
      <c r="D32" s="782"/>
      <c r="E32" s="782"/>
      <c r="F32" s="782"/>
      <c r="G32" s="782"/>
      <c r="H32" s="782"/>
      <c r="I32" s="782"/>
      <c r="J32" s="782"/>
      <c r="K32" s="782"/>
      <c r="L32" s="782"/>
      <c r="M32" s="779"/>
      <c r="N32" s="779"/>
      <c r="O32" s="779"/>
      <c r="P32" s="779"/>
      <c r="Q32" s="779"/>
      <c r="R32" s="779"/>
      <c r="S32" s="779"/>
      <c r="T32" s="779"/>
      <c r="U32" s="779"/>
      <c r="V32" s="779"/>
      <c r="W32" s="779"/>
      <c r="X32" s="779"/>
      <c r="Y32" s="779"/>
      <c r="Z32" s="779"/>
      <c r="AA32" s="779"/>
      <c r="AB32" s="779"/>
      <c r="AC32" s="779"/>
      <c r="AD32" s="779"/>
      <c r="AE32" s="779"/>
      <c r="AF32" s="779"/>
      <c r="AG32" s="779"/>
      <c r="AH32" s="779"/>
      <c r="AI32" s="779"/>
      <c r="AJ32" s="779"/>
      <c r="AK32" s="779"/>
      <c r="AL32" s="779"/>
      <c r="AM32" s="779"/>
      <c r="AN32" s="779"/>
      <c r="AO32" s="779"/>
      <c r="AP32" s="779"/>
      <c r="AQ32" s="779"/>
      <c r="AR32" s="779"/>
      <c r="AS32" s="779"/>
      <c r="AT32" s="779"/>
      <c r="AU32" s="779"/>
      <c r="AV32" s="779"/>
      <c r="AW32" s="779"/>
      <c r="AX32" s="779"/>
      <c r="AY32" s="779"/>
      <c r="AZ32" s="779"/>
      <c r="BA32" s="779"/>
      <c r="BB32" s="779"/>
      <c r="BC32" s="779"/>
      <c r="BD32" s="779"/>
      <c r="BE32" s="779"/>
      <c r="BF32" s="779"/>
      <c r="BG32" s="779"/>
      <c r="BH32" s="779"/>
      <c r="BI32" s="779"/>
      <c r="BJ32" s="779"/>
      <c r="BK32" s="779"/>
      <c r="BL32" s="779"/>
      <c r="BM32" s="779"/>
      <c r="BN32" s="779"/>
      <c r="BO32" s="779"/>
      <c r="BP32" s="779"/>
      <c r="BQ32" s="779"/>
      <c r="BR32" s="779"/>
      <c r="BS32" s="779"/>
      <c r="BT32" s="779"/>
      <c r="BU32" s="779"/>
      <c r="BV32" s="779"/>
      <c r="BW32" s="779"/>
      <c r="BX32" s="779"/>
      <c r="BY32" s="779"/>
      <c r="BZ32" s="779"/>
      <c r="CA32" s="779"/>
      <c r="CB32" s="779"/>
      <c r="CC32" s="779"/>
      <c r="CD32" s="779"/>
      <c r="CE32" s="779"/>
      <c r="CF32" s="779"/>
      <c r="CG32" s="779"/>
      <c r="CH32" s="779"/>
      <c r="CI32" s="779"/>
      <c r="CJ32" s="779"/>
      <c r="CK32" s="779"/>
      <c r="CL32" s="779"/>
      <c r="CM32" s="779"/>
      <c r="CN32" s="779"/>
      <c r="CO32" s="779"/>
      <c r="CP32" s="779"/>
      <c r="CQ32" s="779"/>
      <c r="CR32" s="779"/>
      <c r="CS32" s="779"/>
      <c r="CT32" s="779"/>
      <c r="CU32" s="779"/>
      <c r="CV32" s="779"/>
      <c r="CW32" s="779"/>
      <c r="CX32" s="779"/>
      <c r="CY32" s="779"/>
      <c r="CZ32" s="779"/>
      <c r="DA32" s="779"/>
      <c r="DB32" s="779"/>
      <c r="DC32" s="779"/>
      <c r="DD32" s="779"/>
      <c r="DE32" s="779"/>
      <c r="DF32" s="779"/>
      <c r="DG32" s="779"/>
      <c r="DH32" s="779"/>
      <c r="DI32" s="779"/>
      <c r="DJ32" s="779"/>
      <c r="DK32" s="779"/>
      <c r="DL32" s="779"/>
      <c r="DM32" s="779"/>
      <c r="DN32" s="779"/>
      <c r="DO32" s="779"/>
      <c r="DP32" s="779"/>
      <c r="DQ32" s="779"/>
      <c r="DR32" s="779"/>
      <c r="DS32" s="779"/>
      <c r="DT32" s="779"/>
      <c r="DU32" s="779"/>
      <c r="DV32" s="779"/>
      <c r="DW32" s="779"/>
      <c r="DX32" s="779"/>
      <c r="DY32" s="779"/>
      <c r="DZ32" s="779"/>
      <c r="EA32" s="779"/>
      <c r="EB32" s="779"/>
      <c r="EC32" s="779"/>
      <c r="ED32" s="779"/>
      <c r="EE32" s="779"/>
      <c r="EF32" s="779"/>
      <c r="EG32" s="779"/>
      <c r="EH32" s="779"/>
      <c r="EI32" s="779"/>
      <c r="EJ32" s="779"/>
      <c r="EK32" s="779"/>
      <c r="EL32" s="779"/>
      <c r="EM32" s="779"/>
      <c r="EN32" s="779"/>
      <c r="EO32" s="779"/>
      <c r="EP32" s="779"/>
      <c r="EQ32" s="779"/>
      <c r="ER32" s="779"/>
      <c r="ES32" s="779"/>
      <c r="ET32" s="779"/>
      <c r="EU32" s="779"/>
      <c r="EV32" s="779"/>
      <c r="EW32" s="779"/>
      <c r="EX32" s="779"/>
      <c r="EY32" s="779"/>
      <c r="EZ32" s="779"/>
      <c r="FA32" s="779"/>
      <c r="FB32" s="779"/>
      <c r="FC32" s="779"/>
      <c r="FD32" s="779"/>
      <c r="FE32" s="779"/>
      <c r="FF32" s="779"/>
      <c r="FG32" s="779"/>
      <c r="FH32" s="779"/>
      <c r="FI32" s="779"/>
      <c r="FJ32" s="779"/>
      <c r="FK32" s="779"/>
      <c r="FL32" s="779"/>
      <c r="FM32" s="779"/>
      <c r="FN32" s="779"/>
      <c r="FO32" s="779"/>
      <c r="FP32" s="779"/>
      <c r="FQ32" s="779"/>
      <c r="FR32" s="779"/>
      <c r="FS32" s="779"/>
      <c r="FT32" s="779"/>
      <c r="FU32" s="779"/>
      <c r="FV32" s="779"/>
      <c r="FW32" s="779"/>
      <c r="FX32" s="779"/>
      <c r="FY32" s="779"/>
      <c r="FZ32" s="779"/>
      <c r="GA32" s="779"/>
      <c r="GB32" s="779"/>
      <c r="GC32" s="779"/>
      <c r="GD32" s="779"/>
      <c r="GE32" s="779"/>
      <c r="GF32" s="779"/>
      <c r="GG32" s="779"/>
      <c r="GH32" s="779"/>
      <c r="GI32" s="779"/>
      <c r="GJ32" s="779"/>
      <c r="GK32" s="779"/>
      <c r="GL32" s="779"/>
      <c r="GM32" s="779"/>
      <c r="GN32" s="779"/>
      <c r="GO32" s="779"/>
      <c r="GP32" s="779"/>
      <c r="GQ32" s="779"/>
      <c r="GR32" s="779"/>
      <c r="GS32" s="779"/>
      <c r="GT32" s="779"/>
      <c r="GU32" s="779"/>
      <c r="GV32" s="779"/>
      <c r="GW32" s="779"/>
      <c r="GX32" s="779"/>
      <c r="GY32" s="779"/>
      <c r="GZ32" s="779"/>
      <c r="HA32" s="779"/>
      <c r="HB32" s="779"/>
      <c r="HC32" s="779"/>
      <c r="HD32" s="779"/>
      <c r="HE32" s="779"/>
      <c r="HF32" s="779"/>
      <c r="HG32" s="779"/>
      <c r="HH32" s="779"/>
      <c r="HI32" s="779"/>
      <c r="HJ32" s="779"/>
      <c r="HK32" s="779"/>
      <c r="HL32" s="779"/>
      <c r="HM32" s="779"/>
      <c r="HN32" s="779"/>
      <c r="HO32" s="779"/>
      <c r="HP32" s="779"/>
      <c r="HQ32" s="779"/>
      <c r="HR32" s="779"/>
      <c r="HS32" s="779"/>
      <c r="HT32" s="779"/>
      <c r="HU32" s="779"/>
      <c r="HV32" s="779"/>
      <c r="HW32" s="779"/>
      <c r="HX32" s="779"/>
      <c r="HY32" s="779"/>
      <c r="HZ32" s="779"/>
      <c r="IA32" s="779"/>
      <c r="IB32" s="779"/>
      <c r="IC32" s="779"/>
      <c r="ID32" s="779"/>
      <c r="IE32" s="779"/>
      <c r="IF32" s="779"/>
      <c r="IG32" s="779"/>
      <c r="IH32" s="779"/>
      <c r="II32" s="779"/>
      <c r="IJ32" s="779"/>
      <c r="IK32" s="779"/>
      <c r="IL32" s="779"/>
      <c r="IM32" s="779"/>
      <c r="IN32" s="779"/>
      <c r="IO32" s="779"/>
      <c r="IP32" s="779"/>
      <c r="IQ32" s="779"/>
      <c r="IR32" s="779"/>
      <c r="IS32" s="779"/>
      <c r="IT32" s="779"/>
      <c r="IU32" s="779"/>
      <c r="IV32" s="779"/>
      <c r="IW32" s="779"/>
      <c r="IX32" s="779"/>
      <c r="IY32" s="779"/>
      <c r="IZ32" s="779"/>
      <c r="JA32" s="779"/>
      <c r="JB32" s="779"/>
      <c r="JC32" s="779"/>
      <c r="JD32" s="779"/>
      <c r="JE32" s="779"/>
      <c r="JF32" s="779"/>
      <c r="JG32" s="779"/>
      <c r="JH32" s="779"/>
      <c r="JI32" s="779"/>
      <c r="JJ32" s="779"/>
      <c r="JK32" s="779"/>
      <c r="JL32" s="779"/>
      <c r="JM32" s="779"/>
      <c r="JN32" s="779"/>
      <c r="JO32" s="779"/>
      <c r="JP32" s="779"/>
      <c r="JQ32" s="779"/>
      <c r="JR32" s="779"/>
      <c r="JS32" s="779"/>
      <c r="JT32" s="779"/>
      <c r="JU32" s="779"/>
      <c r="JV32" s="779"/>
      <c r="JW32" s="779"/>
      <c r="JX32" s="779"/>
      <c r="JY32" s="779"/>
      <c r="JZ32" s="779"/>
      <c r="KA32" s="779"/>
      <c r="KB32" s="779"/>
      <c r="KC32" s="779"/>
      <c r="KD32" s="779"/>
      <c r="KE32" s="779"/>
      <c r="KF32" s="779"/>
      <c r="KG32" s="779"/>
      <c r="KH32" s="779"/>
      <c r="KI32" s="779"/>
      <c r="KJ32" s="779"/>
      <c r="KK32" s="779"/>
      <c r="KL32" s="779"/>
      <c r="KM32" s="779"/>
      <c r="KN32" s="779"/>
      <c r="KO32" s="779"/>
      <c r="KP32" s="779"/>
      <c r="KQ32" s="779"/>
      <c r="KR32" s="779"/>
      <c r="KS32" s="779"/>
      <c r="KT32" s="779"/>
      <c r="KU32" s="779"/>
      <c r="KV32" s="779"/>
      <c r="KW32" s="779"/>
      <c r="KX32" s="779"/>
      <c r="KY32" s="779"/>
      <c r="KZ32" s="779"/>
      <c r="LA32" s="779"/>
      <c r="LB32" s="779"/>
      <c r="LC32" s="779"/>
      <c r="LD32" s="779"/>
      <c r="LE32" s="779"/>
      <c r="LF32" s="779"/>
      <c r="LG32" s="779"/>
      <c r="LH32" s="779"/>
      <c r="LI32" s="779"/>
      <c r="LJ32" s="779"/>
      <c r="LK32" s="779"/>
      <c r="LL32" s="779"/>
      <c r="LM32" s="779"/>
      <c r="LN32" s="779"/>
      <c r="LO32" s="779"/>
      <c r="LP32" s="779"/>
      <c r="LQ32" s="779"/>
      <c r="LR32" s="779"/>
      <c r="LS32" s="779"/>
      <c r="LT32" s="779"/>
      <c r="LU32" s="779"/>
      <c r="LV32" s="779"/>
      <c r="LW32" s="779"/>
      <c r="LX32" s="779"/>
      <c r="LY32" s="779"/>
      <c r="LZ32" s="779"/>
      <c r="MA32" s="779"/>
      <c r="MB32" s="779"/>
      <c r="MC32" s="779"/>
      <c r="MD32" s="779"/>
      <c r="ME32" s="779"/>
      <c r="MF32" s="779"/>
      <c r="MG32" s="779"/>
      <c r="MH32" s="779"/>
      <c r="MI32" s="779"/>
      <c r="MJ32" s="779"/>
      <c r="MK32" s="779"/>
      <c r="ML32" s="779"/>
      <c r="MM32" s="779"/>
      <c r="MN32" s="779"/>
      <c r="MO32" s="779"/>
      <c r="MP32" s="779"/>
      <c r="MQ32" s="779"/>
      <c r="MR32" s="779"/>
      <c r="MS32" s="779"/>
      <c r="MT32" s="779"/>
      <c r="MU32" s="779"/>
      <c r="MV32" s="779"/>
      <c r="MW32" s="779"/>
      <c r="MX32" s="779"/>
      <c r="MY32" s="779"/>
      <c r="MZ32" s="779"/>
      <c r="NA32" s="779"/>
      <c r="NB32" s="779"/>
      <c r="NC32" s="779"/>
      <c r="ND32" s="779"/>
      <c r="NE32" s="779"/>
      <c r="NF32" s="779"/>
      <c r="NG32" s="779"/>
      <c r="NH32" s="779"/>
      <c r="NI32" s="779"/>
      <c r="NJ32" s="779"/>
      <c r="NK32" s="779"/>
      <c r="NL32" s="779"/>
      <c r="NM32" s="779"/>
      <c r="NN32" s="779"/>
      <c r="NO32" s="779"/>
      <c r="NP32" s="779"/>
      <c r="NQ32" s="779"/>
      <c r="NR32" s="779"/>
      <c r="NS32" s="779"/>
      <c r="NT32" s="779"/>
      <c r="NU32" s="779"/>
      <c r="NV32" s="779"/>
      <c r="NW32" s="779"/>
      <c r="NX32" s="779"/>
      <c r="NY32" s="779"/>
      <c r="NZ32" s="779"/>
      <c r="OA32" s="779"/>
      <c r="OB32" s="779"/>
      <c r="OC32" s="779"/>
      <c r="OD32" s="779"/>
      <c r="OE32" s="779"/>
      <c r="OF32" s="779"/>
      <c r="OG32" s="779"/>
      <c r="OH32" s="779"/>
      <c r="OI32" s="779"/>
      <c r="OJ32" s="779"/>
      <c r="OK32" s="779"/>
      <c r="OL32" s="779"/>
      <c r="OM32" s="779"/>
      <c r="ON32" s="779"/>
      <c r="OO32" s="779"/>
      <c r="OP32" s="779"/>
      <c r="OQ32" s="779"/>
      <c r="OR32" s="779"/>
      <c r="OS32" s="779"/>
      <c r="OT32" s="779"/>
      <c r="OU32" s="779"/>
      <c r="OV32" s="779"/>
      <c r="OW32" s="779"/>
      <c r="OX32" s="779"/>
      <c r="OY32" s="779"/>
      <c r="OZ32" s="779"/>
      <c r="PA32" s="779"/>
      <c r="PB32" s="779"/>
      <c r="PC32" s="779"/>
      <c r="PD32" s="779"/>
      <c r="PE32" s="779"/>
      <c r="PF32" s="779"/>
      <c r="PG32" s="779"/>
      <c r="PH32" s="779"/>
      <c r="PI32" s="779"/>
      <c r="PJ32" s="779"/>
      <c r="PK32" s="779"/>
      <c r="PL32" s="779"/>
      <c r="PM32" s="779"/>
      <c r="PN32" s="779"/>
      <c r="PO32" s="779"/>
    </row>
    <row r="33" spans="1:431" s="143" customFormat="1">
      <c r="A33" s="779"/>
      <c r="B33" s="779"/>
      <c r="C33" s="782"/>
      <c r="D33" s="782"/>
      <c r="E33" s="782"/>
      <c r="F33" s="782"/>
      <c r="G33" s="782"/>
      <c r="H33" s="782"/>
      <c r="I33" s="782"/>
      <c r="J33" s="782"/>
      <c r="K33" s="782"/>
      <c r="L33" s="782"/>
      <c r="M33" s="779"/>
      <c r="N33" s="779"/>
      <c r="O33" s="779"/>
      <c r="P33" s="779"/>
      <c r="Q33" s="779"/>
      <c r="R33" s="779"/>
      <c r="S33" s="779"/>
      <c r="T33" s="779"/>
      <c r="U33" s="779"/>
      <c r="V33" s="779"/>
      <c r="W33" s="779"/>
      <c r="X33" s="779"/>
      <c r="Y33" s="779"/>
      <c r="Z33" s="779"/>
      <c r="AA33" s="779"/>
      <c r="AB33" s="779"/>
      <c r="AC33" s="779"/>
      <c r="AD33" s="779"/>
      <c r="AE33" s="779"/>
      <c r="AF33" s="779"/>
      <c r="AG33" s="779"/>
      <c r="AH33" s="779"/>
      <c r="AI33" s="779"/>
      <c r="AJ33" s="779"/>
      <c r="AK33" s="779"/>
      <c r="AL33" s="779"/>
      <c r="AM33" s="779"/>
      <c r="AN33" s="779"/>
      <c r="AO33" s="779"/>
      <c r="AP33" s="779"/>
      <c r="AQ33" s="779"/>
      <c r="AR33" s="779"/>
      <c r="AS33" s="779"/>
      <c r="AT33" s="779"/>
      <c r="AU33" s="779"/>
      <c r="AV33" s="779"/>
      <c r="AW33" s="779"/>
      <c r="AX33" s="779"/>
      <c r="AY33" s="779"/>
      <c r="AZ33" s="779"/>
      <c r="BA33" s="779"/>
      <c r="BB33" s="779"/>
      <c r="BC33" s="779"/>
      <c r="BD33" s="779"/>
      <c r="BE33" s="779"/>
      <c r="BF33" s="779"/>
      <c r="BG33" s="779"/>
      <c r="BH33" s="779"/>
      <c r="BI33" s="779"/>
      <c r="BJ33" s="779"/>
      <c r="BK33" s="779"/>
      <c r="BL33" s="779"/>
      <c r="BM33" s="779"/>
      <c r="BN33" s="779"/>
      <c r="BO33" s="779"/>
      <c r="BP33" s="779"/>
      <c r="BQ33" s="779"/>
      <c r="BR33" s="779"/>
      <c r="BS33" s="779"/>
      <c r="BT33" s="779"/>
      <c r="BU33" s="779"/>
      <c r="BV33" s="779"/>
      <c r="BW33" s="779"/>
      <c r="BX33" s="779"/>
      <c r="BY33" s="779"/>
      <c r="BZ33" s="779"/>
      <c r="CA33" s="779"/>
      <c r="CB33" s="779"/>
      <c r="CC33" s="779"/>
      <c r="CD33" s="779"/>
      <c r="CE33" s="779"/>
      <c r="CF33" s="779"/>
      <c r="CG33" s="779"/>
      <c r="CH33" s="779"/>
      <c r="CI33" s="779"/>
      <c r="CJ33" s="779"/>
      <c r="CK33" s="779"/>
      <c r="CL33" s="779"/>
      <c r="CM33" s="779"/>
      <c r="CN33" s="779"/>
      <c r="CO33" s="779"/>
      <c r="CP33" s="779"/>
      <c r="CQ33" s="779"/>
      <c r="CR33" s="779"/>
      <c r="CS33" s="779"/>
      <c r="CT33" s="779"/>
      <c r="CU33" s="779"/>
      <c r="CV33" s="779"/>
      <c r="CW33" s="779"/>
      <c r="CX33" s="779"/>
      <c r="CY33" s="779"/>
      <c r="CZ33" s="779"/>
      <c r="DA33" s="779"/>
      <c r="DB33" s="779"/>
      <c r="DC33" s="779"/>
      <c r="DD33" s="779"/>
      <c r="DE33" s="779"/>
      <c r="DF33" s="779"/>
      <c r="DG33" s="779"/>
      <c r="DH33" s="779"/>
      <c r="DI33" s="779"/>
      <c r="DJ33" s="779"/>
      <c r="DK33" s="779"/>
      <c r="DL33" s="779"/>
      <c r="DM33" s="779"/>
      <c r="DN33" s="779"/>
      <c r="DO33" s="779"/>
      <c r="DP33" s="779"/>
      <c r="DQ33" s="779"/>
      <c r="DR33" s="779"/>
      <c r="DS33" s="779"/>
      <c r="DT33" s="779"/>
      <c r="DU33" s="779"/>
      <c r="DV33" s="779"/>
      <c r="DW33" s="779"/>
      <c r="DX33" s="779"/>
      <c r="DY33" s="779"/>
      <c r="DZ33" s="779"/>
      <c r="EA33" s="779"/>
      <c r="EB33" s="779"/>
      <c r="EC33" s="779"/>
      <c r="ED33" s="779"/>
      <c r="EE33" s="779"/>
      <c r="EF33" s="779"/>
      <c r="EG33" s="779"/>
      <c r="EH33" s="779"/>
      <c r="EI33" s="779"/>
      <c r="EJ33" s="779"/>
      <c r="EK33" s="779"/>
      <c r="EL33" s="779"/>
      <c r="EM33" s="779"/>
      <c r="EN33" s="779"/>
      <c r="EO33" s="779"/>
      <c r="EP33" s="779"/>
      <c r="EQ33" s="779"/>
      <c r="ER33" s="779"/>
      <c r="ES33" s="779"/>
      <c r="ET33" s="779"/>
      <c r="EU33" s="779"/>
      <c r="EV33" s="779"/>
      <c r="EW33" s="779"/>
      <c r="EX33" s="779"/>
      <c r="EY33" s="779"/>
      <c r="EZ33" s="779"/>
      <c r="FA33" s="779"/>
      <c r="FB33" s="779"/>
      <c r="FC33" s="779"/>
      <c r="FD33" s="779"/>
      <c r="FE33" s="779"/>
      <c r="FF33" s="779"/>
      <c r="FG33" s="779"/>
      <c r="FH33" s="779"/>
      <c r="FI33" s="779"/>
      <c r="FJ33" s="779"/>
      <c r="FK33" s="779"/>
      <c r="FL33" s="779"/>
      <c r="FM33" s="779"/>
      <c r="FN33" s="779"/>
      <c r="FO33" s="779"/>
      <c r="FP33" s="779"/>
      <c r="FQ33" s="779"/>
      <c r="FR33" s="779"/>
      <c r="FS33" s="779"/>
      <c r="FT33" s="779"/>
      <c r="FU33" s="779"/>
      <c r="FV33" s="779"/>
      <c r="FW33" s="779"/>
      <c r="FX33" s="779"/>
      <c r="FY33" s="779"/>
      <c r="FZ33" s="779"/>
      <c r="GA33" s="779"/>
      <c r="GB33" s="779"/>
      <c r="GC33" s="779"/>
      <c r="GD33" s="779"/>
      <c r="GE33" s="779"/>
      <c r="GF33" s="779"/>
      <c r="GG33" s="779"/>
      <c r="GH33" s="779"/>
      <c r="GI33" s="779"/>
      <c r="GJ33" s="779"/>
      <c r="GK33" s="779"/>
      <c r="GL33" s="779"/>
      <c r="GM33" s="779"/>
      <c r="GN33" s="779"/>
      <c r="GO33" s="779"/>
      <c r="GP33" s="779"/>
      <c r="GQ33" s="779"/>
      <c r="GR33" s="779"/>
      <c r="GS33" s="779"/>
      <c r="GT33" s="779"/>
      <c r="GU33" s="779"/>
      <c r="GV33" s="779"/>
      <c r="GW33" s="779"/>
      <c r="GX33" s="779"/>
      <c r="GY33" s="779"/>
      <c r="GZ33" s="779"/>
      <c r="HA33" s="779"/>
      <c r="HB33" s="779"/>
      <c r="HC33" s="779"/>
      <c r="HD33" s="779"/>
      <c r="HE33" s="779"/>
      <c r="HF33" s="779"/>
      <c r="HG33" s="779"/>
      <c r="HH33" s="779"/>
      <c r="HI33" s="779"/>
      <c r="HJ33" s="779"/>
      <c r="HK33" s="779"/>
      <c r="HL33" s="779"/>
      <c r="HM33" s="779"/>
      <c r="HN33" s="779"/>
      <c r="HO33" s="779"/>
      <c r="HP33" s="779"/>
      <c r="HQ33" s="779"/>
      <c r="HR33" s="779"/>
      <c r="HS33" s="779"/>
      <c r="HT33" s="779"/>
      <c r="HU33" s="779"/>
      <c r="HV33" s="779"/>
      <c r="HW33" s="779"/>
      <c r="HX33" s="779"/>
      <c r="HY33" s="779"/>
      <c r="HZ33" s="779"/>
      <c r="IA33" s="779"/>
      <c r="IB33" s="779"/>
      <c r="IC33" s="779"/>
      <c r="ID33" s="779"/>
      <c r="IE33" s="779"/>
      <c r="IF33" s="779"/>
      <c r="IG33" s="779"/>
      <c r="IH33" s="779"/>
      <c r="II33" s="779"/>
      <c r="IJ33" s="779"/>
      <c r="IK33" s="779"/>
      <c r="IL33" s="779"/>
      <c r="IM33" s="779"/>
      <c r="IN33" s="779"/>
      <c r="IO33" s="779"/>
      <c r="IP33" s="779"/>
      <c r="IQ33" s="779"/>
      <c r="IR33" s="779"/>
      <c r="IS33" s="779"/>
      <c r="IT33" s="779"/>
      <c r="IU33" s="779"/>
      <c r="IV33" s="779"/>
      <c r="IW33" s="779"/>
      <c r="IX33" s="779"/>
      <c r="IY33" s="779"/>
      <c r="IZ33" s="779"/>
      <c r="JA33" s="779"/>
      <c r="JB33" s="779"/>
      <c r="JC33" s="779"/>
      <c r="JD33" s="779"/>
      <c r="JE33" s="779"/>
      <c r="JF33" s="779"/>
      <c r="JG33" s="779"/>
      <c r="JH33" s="779"/>
      <c r="JI33" s="779"/>
      <c r="JJ33" s="779"/>
      <c r="JK33" s="779"/>
      <c r="JL33" s="779"/>
      <c r="JM33" s="779"/>
      <c r="JN33" s="779"/>
      <c r="JO33" s="779"/>
      <c r="JP33" s="779"/>
      <c r="JQ33" s="779"/>
      <c r="JR33" s="779"/>
      <c r="JS33" s="779"/>
      <c r="JT33" s="779"/>
      <c r="JU33" s="779"/>
      <c r="JV33" s="779"/>
      <c r="JW33" s="779"/>
      <c r="JX33" s="779"/>
      <c r="JY33" s="779"/>
      <c r="JZ33" s="779"/>
      <c r="KA33" s="779"/>
      <c r="KB33" s="779"/>
      <c r="KC33" s="779"/>
      <c r="KD33" s="779"/>
      <c r="KE33" s="779"/>
      <c r="KF33" s="779"/>
      <c r="KG33" s="779"/>
      <c r="KH33" s="779"/>
      <c r="KI33" s="779"/>
      <c r="KJ33" s="779"/>
      <c r="KK33" s="779"/>
      <c r="KL33" s="779"/>
      <c r="KM33" s="779"/>
      <c r="KN33" s="779"/>
      <c r="KO33" s="779"/>
      <c r="KP33" s="779"/>
      <c r="KQ33" s="779"/>
      <c r="KR33" s="779"/>
      <c r="KS33" s="779"/>
      <c r="KT33" s="779"/>
      <c r="KU33" s="779"/>
      <c r="KV33" s="779"/>
      <c r="KW33" s="779"/>
      <c r="KX33" s="779"/>
      <c r="KY33" s="779"/>
      <c r="KZ33" s="779"/>
      <c r="LA33" s="779"/>
      <c r="LB33" s="779"/>
      <c r="LC33" s="779"/>
      <c r="LD33" s="779"/>
      <c r="LE33" s="779"/>
      <c r="LF33" s="779"/>
      <c r="LG33" s="779"/>
      <c r="LH33" s="779"/>
      <c r="LI33" s="779"/>
      <c r="LJ33" s="779"/>
      <c r="LK33" s="779"/>
      <c r="LL33" s="779"/>
      <c r="LM33" s="779"/>
      <c r="LN33" s="779"/>
      <c r="LO33" s="779"/>
      <c r="LP33" s="779"/>
      <c r="LQ33" s="779"/>
      <c r="LR33" s="779"/>
      <c r="LS33" s="779"/>
      <c r="LT33" s="779"/>
      <c r="LU33" s="779"/>
      <c r="LV33" s="779"/>
      <c r="LW33" s="779"/>
      <c r="LX33" s="779"/>
      <c r="LY33" s="779"/>
      <c r="LZ33" s="779"/>
      <c r="MA33" s="779"/>
      <c r="MB33" s="779"/>
      <c r="MC33" s="779"/>
      <c r="MD33" s="779"/>
      <c r="ME33" s="779"/>
      <c r="MF33" s="779"/>
      <c r="MG33" s="779"/>
      <c r="MH33" s="779"/>
      <c r="MI33" s="779"/>
      <c r="MJ33" s="779"/>
      <c r="MK33" s="779"/>
      <c r="ML33" s="779"/>
      <c r="MM33" s="779"/>
      <c r="MN33" s="779"/>
      <c r="MO33" s="779"/>
      <c r="MP33" s="779"/>
      <c r="MQ33" s="779"/>
      <c r="MR33" s="779"/>
      <c r="MS33" s="779"/>
      <c r="MT33" s="779"/>
      <c r="MU33" s="779"/>
      <c r="MV33" s="779"/>
      <c r="MW33" s="779"/>
      <c r="MX33" s="779"/>
      <c r="MY33" s="779"/>
      <c r="MZ33" s="779"/>
      <c r="NA33" s="779"/>
      <c r="NB33" s="779"/>
      <c r="NC33" s="779"/>
      <c r="ND33" s="779"/>
      <c r="NE33" s="779"/>
      <c r="NF33" s="779"/>
      <c r="NG33" s="779"/>
      <c r="NH33" s="779"/>
      <c r="NI33" s="779"/>
      <c r="NJ33" s="779"/>
      <c r="NK33" s="779"/>
      <c r="NL33" s="779"/>
      <c r="NM33" s="779"/>
      <c r="NN33" s="779"/>
      <c r="NO33" s="779"/>
      <c r="NP33" s="779"/>
      <c r="NQ33" s="779"/>
      <c r="NR33" s="779"/>
      <c r="NS33" s="779"/>
      <c r="NT33" s="779"/>
      <c r="NU33" s="779"/>
      <c r="NV33" s="779"/>
      <c r="NW33" s="779"/>
      <c r="NX33" s="779"/>
      <c r="NY33" s="779"/>
      <c r="NZ33" s="779"/>
      <c r="OA33" s="779"/>
      <c r="OB33" s="779"/>
      <c r="OC33" s="779"/>
      <c r="OD33" s="779"/>
      <c r="OE33" s="779"/>
      <c r="OF33" s="779"/>
      <c r="OG33" s="779"/>
      <c r="OH33" s="779"/>
      <c r="OI33" s="779"/>
      <c r="OJ33" s="779"/>
      <c r="OK33" s="779"/>
      <c r="OL33" s="779"/>
      <c r="OM33" s="779"/>
      <c r="ON33" s="779"/>
      <c r="OO33" s="779"/>
      <c r="OP33" s="779"/>
      <c r="OQ33" s="779"/>
      <c r="OR33" s="779"/>
      <c r="OS33" s="779"/>
      <c r="OT33" s="779"/>
      <c r="OU33" s="779"/>
      <c r="OV33" s="779"/>
      <c r="OW33" s="779"/>
      <c r="OX33" s="779"/>
      <c r="OY33" s="779"/>
      <c r="OZ33" s="779"/>
      <c r="PA33" s="779"/>
      <c r="PB33" s="779"/>
      <c r="PC33" s="779"/>
      <c r="PD33" s="779"/>
      <c r="PE33" s="779"/>
      <c r="PF33" s="779"/>
      <c r="PG33" s="779"/>
      <c r="PH33" s="779"/>
      <c r="PI33" s="779"/>
      <c r="PJ33" s="779"/>
      <c r="PK33" s="779"/>
      <c r="PL33" s="779"/>
      <c r="PM33" s="779"/>
      <c r="PN33" s="779"/>
      <c r="PO33" s="779"/>
    </row>
    <row r="34" spans="1:431" s="143" customFormat="1">
      <c r="A34" s="779"/>
      <c r="B34" s="779"/>
      <c r="C34" s="782"/>
      <c r="D34" s="782"/>
      <c r="E34" s="782"/>
      <c r="F34" s="782"/>
      <c r="G34" s="782"/>
      <c r="H34" s="782"/>
      <c r="I34" s="782"/>
      <c r="J34" s="782"/>
      <c r="K34" s="782"/>
      <c r="L34" s="782"/>
      <c r="M34" s="779"/>
      <c r="N34" s="779"/>
      <c r="O34" s="779"/>
      <c r="P34" s="779"/>
      <c r="Q34" s="779"/>
      <c r="R34" s="779"/>
      <c r="S34" s="779"/>
      <c r="T34" s="779"/>
      <c r="U34" s="779"/>
      <c r="V34" s="779"/>
      <c r="W34" s="779"/>
      <c r="X34" s="779"/>
      <c r="Y34" s="779"/>
      <c r="Z34" s="779"/>
      <c r="AA34" s="779"/>
      <c r="AB34" s="779"/>
      <c r="AC34" s="779"/>
      <c r="AD34" s="779"/>
      <c r="AE34" s="779"/>
      <c r="AF34" s="779"/>
      <c r="AG34" s="779"/>
      <c r="AH34" s="779"/>
      <c r="AI34" s="779"/>
      <c r="AJ34" s="779"/>
      <c r="AK34" s="779"/>
      <c r="AL34" s="779"/>
      <c r="AM34" s="779"/>
      <c r="AN34" s="779"/>
      <c r="AO34" s="779"/>
      <c r="AP34" s="779"/>
      <c r="AQ34" s="779"/>
      <c r="AR34" s="779"/>
      <c r="AS34" s="779"/>
      <c r="AT34" s="779"/>
      <c r="AU34" s="779"/>
      <c r="AV34" s="779"/>
      <c r="AW34" s="779"/>
      <c r="AX34" s="779"/>
      <c r="AY34" s="779"/>
      <c r="AZ34" s="779"/>
      <c r="BA34" s="779"/>
      <c r="BB34" s="779"/>
      <c r="BC34" s="779"/>
      <c r="BD34" s="779"/>
      <c r="BE34" s="779"/>
      <c r="BF34" s="779"/>
      <c r="BG34" s="779"/>
      <c r="BH34" s="779"/>
      <c r="BI34" s="779"/>
      <c r="BJ34" s="779"/>
      <c r="BK34" s="779"/>
      <c r="BL34" s="779"/>
      <c r="BM34" s="779"/>
      <c r="BN34" s="779"/>
      <c r="BO34" s="779"/>
      <c r="BP34" s="779"/>
      <c r="BQ34" s="779"/>
      <c r="BR34" s="779"/>
      <c r="BS34" s="779"/>
      <c r="BT34" s="779"/>
      <c r="BU34" s="779"/>
      <c r="BV34" s="779"/>
      <c r="BW34" s="779"/>
      <c r="BX34" s="779"/>
      <c r="BY34" s="779"/>
      <c r="BZ34" s="779"/>
      <c r="CA34" s="779"/>
      <c r="CB34" s="779"/>
      <c r="CC34" s="779"/>
      <c r="CD34" s="779"/>
      <c r="CE34" s="779"/>
      <c r="CF34" s="779"/>
      <c r="CG34" s="779"/>
      <c r="CH34" s="779"/>
      <c r="CI34" s="779"/>
      <c r="CJ34" s="779"/>
      <c r="CK34" s="779"/>
      <c r="CL34" s="779"/>
      <c r="CM34" s="779"/>
      <c r="CN34" s="779"/>
      <c r="CO34" s="779"/>
      <c r="CP34" s="779"/>
      <c r="CQ34" s="779"/>
      <c r="CR34" s="779"/>
      <c r="CS34" s="779"/>
      <c r="CT34" s="779"/>
      <c r="CU34" s="779"/>
      <c r="CV34" s="779"/>
      <c r="CW34" s="779"/>
      <c r="CX34" s="779"/>
      <c r="CY34" s="779"/>
      <c r="CZ34" s="779"/>
      <c r="DA34" s="779"/>
      <c r="DB34" s="779"/>
      <c r="DC34" s="779"/>
      <c r="DD34" s="779"/>
      <c r="DE34" s="779"/>
      <c r="DF34" s="779"/>
      <c r="DG34" s="779"/>
      <c r="DH34" s="779"/>
      <c r="DI34" s="779"/>
      <c r="DJ34" s="779"/>
      <c r="DK34" s="779"/>
      <c r="DL34" s="779"/>
      <c r="DM34" s="779"/>
      <c r="DN34" s="779"/>
      <c r="DO34" s="779"/>
      <c r="DP34" s="779"/>
      <c r="DQ34" s="779"/>
      <c r="DR34" s="779"/>
      <c r="DS34" s="779"/>
      <c r="DT34" s="779"/>
      <c r="DU34" s="779"/>
      <c r="DV34" s="779"/>
      <c r="DW34" s="779"/>
      <c r="DX34" s="779"/>
      <c r="DY34" s="779"/>
      <c r="DZ34" s="779"/>
      <c r="EA34" s="779"/>
      <c r="EB34" s="779"/>
      <c r="EC34" s="779"/>
      <c r="ED34" s="779"/>
      <c r="EE34" s="779"/>
      <c r="EF34" s="779"/>
      <c r="EG34" s="779"/>
      <c r="EH34" s="779"/>
      <c r="EI34" s="779"/>
      <c r="EJ34" s="779"/>
      <c r="EK34" s="779"/>
      <c r="EL34" s="779"/>
      <c r="EM34" s="779"/>
      <c r="EN34" s="779"/>
      <c r="EO34" s="779"/>
      <c r="EP34" s="779"/>
      <c r="EQ34" s="779"/>
      <c r="ER34" s="779"/>
      <c r="ES34" s="779"/>
      <c r="ET34" s="779"/>
      <c r="EU34" s="779"/>
      <c r="EV34" s="779"/>
      <c r="EW34" s="779"/>
      <c r="EX34" s="779"/>
      <c r="EY34" s="779"/>
      <c r="EZ34" s="779"/>
      <c r="FA34" s="779"/>
      <c r="FB34" s="779"/>
      <c r="FC34" s="779"/>
      <c r="FD34" s="779"/>
      <c r="FE34" s="779"/>
      <c r="FF34" s="779"/>
      <c r="FG34" s="779"/>
      <c r="FH34" s="779"/>
      <c r="FI34" s="779"/>
      <c r="FJ34" s="779"/>
      <c r="FK34" s="779"/>
      <c r="FL34" s="779"/>
      <c r="FM34" s="779"/>
      <c r="FN34" s="779"/>
      <c r="FO34" s="779"/>
      <c r="FP34" s="779"/>
      <c r="FQ34" s="779"/>
      <c r="FR34" s="779"/>
      <c r="FS34" s="779"/>
      <c r="FT34" s="779"/>
      <c r="FU34" s="779"/>
      <c r="FV34" s="779"/>
      <c r="FW34" s="779"/>
      <c r="FX34" s="779"/>
      <c r="FY34" s="779"/>
      <c r="FZ34" s="779"/>
      <c r="GA34" s="779"/>
      <c r="GB34" s="779"/>
      <c r="GC34" s="779"/>
      <c r="GD34" s="779"/>
      <c r="GE34" s="779"/>
      <c r="GF34" s="779"/>
      <c r="GG34" s="779"/>
      <c r="GH34" s="779"/>
      <c r="GI34" s="779"/>
      <c r="GJ34" s="779"/>
      <c r="GK34" s="779"/>
      <c r="GL34" s="779"/>
      <c r="GM34" s="779"/>
      <c r="GN34" s="779"/>
      <c r="GO34" s="779"/>
      <c r="GP34" s="779"/>
      <c r="GQ34" s="779"/>
      <c r="GR34" s="779"/>
      <c r="GS34" s="779"/>
      <c r="GT34" s="779"/>
      <c r="GU34" s="779"/>
      <c r="GV34" s="779"/>
      <c r="GW34" s="779"/>
      <c r="GX34" s="779"/>
      <c r="GY34" s="779"/>
      <c r="GZ34" s="779"/>
      <c r="HA34" s="779"/>
      <c r="HB34" s="779"/>
      <c r="HC34" s="779"/>
      <c r="HD34" s="779"/>
      <c r="HE34" s="779"/>
      <c r="HF34" s="779"/>
      <c r="HG34" s="779"/>
      <c r="HH34" s="779"/>
      <c r="HI34" s="779"/>
      <c r="HJ34" s="779"/>
      <c r="HK34" s="779"/>
      <c r="HL34" s="779"/>
      <c r="HM34" s="779"/>
      <c r="HN34" s="779"/>
      <c r="HO34" s="779"/>
      <c r="HP34" s="779"/>
      <c r="HQ34" s="779"/>
      <c r="HR34" s="779"/>
      <c r="HS34" s="779"/>
      <c r="HT34" s="779"/>
      <c r="HU34" s="779"/>
      <c r="HV34" s="779"/>
      <c r="HW34" s="779"/>
      <c r="HX34" s="779"/>
      <c r="HY34" s="779"/>
      <c r="HZ34" s="779"/>
      <c r="IA34" s="779"/>
      <c r="IB34" s="779"/>
      <c r="IC34" s="779"/>
      <c r="ID34" s="779"/>
      <c r="IE34" s="779"/>
      <c r="IF34" s="779"/>
      <c r="IG34" s="779"/>
      <c r="IH34" s="779"/>
      <c r="II34" s="779"/>
      <c r="IJ34" s="779"/>
      <c r="IK34" s="779"/>
      <c r="IL34" s="779"/>
      <c r="IM34" s="779"/>
      <c r="IN34" s="779"/>
      <c r="IO34" s="779"/>
      <c r="IP34" s="779"/>
      <c r="IQ34" s="779"/>
      <c r="IR34" s="779"/>
      <c r="IS34" s="779"/>
      <c r="IT34" s="779"/>
      <c r="IU34" s="779"/>
      <c r="IV34" s="779"/>
      <c r="IW34" s="779"/>
      <c r="IX34" s="779"/>
      <c r="IY34" s="779"/>
      <c r="IZ34" s="779"/>
      <c r="JA34" s="779"/>
      <c r="JB34" s="779"/>
      <c r="JC34" s="779"/>
      <c r="JD34" s="779"/>
      <c r="JE34" s="779"/>
      <c r="JF34" s="779"/>
      <c r="JG34" s="779"/>
      <c r="JH34" s="779"/>
      <c r="JI34" s="779"/>
      <c r="JJ34" s="779"/>
      <c r="JK34" s="779"/>
      <c r="JL34" s="779"/>
      <c r="JM34" s="779"/>
      <c r="JN34" s="779"/>
      <c r="JO34" s="779"/>
      <c r="JP34" s="779"/>
      <c r="JQ34" s="779"/>
      <c r="JR34" s="779"/>
      <c r="JS34" s="779"/>
      <c r="JT34" s="779"/>
      <c r="JU34" s="779"/>
      <c r="JV34" s="779"/>
      <c r="JW34" s="779"/>
      <c r="JX34" s="779"/>
      <c r="JY34" s="779"/>
      <c r="JZ34" s="779"/>
      <c r="KA34" s="779"/>
      <c r="KB34" s="779"/>
      <c r="KC34" s="779"/>
      <c r="KD34" s="779"/>
      <c r="KE34" s="779"/>
      <c r="KF34" s="779"/>
      <c r="KG34" s="779"/>
      <c r="KH34" s="779"/>
      <c r="KI34" s="779"/>
      <c r="KJ34" s="779"/>
      <c r="KK34" s="779"/>
      <c r="KL34" s="779"/>
      <c r="KM34" s="779"/>
      <c r="KN34" s="779"/>
      <c r="KO34" s="779"/>
      <c r="KP34" s="779"/>
      <c r="KQ34" s="779"/>
      <c r="KR34" s="779"/>
      <c r="KS34" s="779"/>
      <c r="KT34" s="779"/>
      <c r="KU34" s="779"/>
      <c r="KV34" s="779"/>
      <c r="KW34" s="779"/>
      <c r="KX34" s="779"/>
      <c r="KY34" s="779"/>
      <c r="KZ34" s="779"/>
      <c r="LA34" s="779"/>
      <c r="LB34" s="779"/>
      <c r="LC34" s="779"/>
      <c r="LD34" s="779"/>
      <c r="LE34" s="779"/>
      <c r="LF34" s="779"/>
      <c r="LG34" s="779"/>
      <c r="LH34" s="779"/>
      <c r="LI34" s="779"/>
      <c r="LJ34" s="779"/>
      <c r="LK34" s="779"/>
      <c r="LL34" s="779"/>
      <c r="LM34" s="779"/>
      <c r="LN34" s="779"/>
      <c r="LO34" s="779"/>
      <c r="LP34" s="779"/>
      <c r="LQ34" s="779"/>
      <c r="LR34" s="779"/>
      <c r="LS34" s="779"/>
      <c r="LT34" s="779"/>
      <c r="LU34" s="779"/>
      <c r="LV34" s="779"/>
      <c r="LW34" s="779"/>
      <c r="LX34" s="779"/>
      <c r="LY34" s="779"/>
      <c r="LZ34" s="779"/>
      <c r="MA34" s="779"/>
      <c r="MB34" s="779"/>
      <c r="MC34" s="779"/>
      <c r="MD34" s="779"/>
      <c r="ME34" s="779"/>
      <c r="MF34" s="779"/>
      <c r="MG34" s="779"/>
      <c r="MH34" s="779"/>
      <c r="MI34" s="779"/>
      <c r="MJ34" s="779"/>
      <c r="MK34" s="779"/>
      <c r="ML34" s="779"/>
      <c r="MM34" s="779"/>
      <c r="MN34" s="779"/>
      <c r="MO34" s="779"/>
      <c r="MP34" s="779"/>
      <c r="MQ34" s="779"/>
      <c r="MR34" s="779"/>
      <c r="MS34" s="779"/>
      <c r="MT34" s="779"/>
      <c r="MU34" s="779"/>
      <c r="MV34" s="779"/>
      <c r="MW34" s="779"/>
      <c r="MX34" s="779"/>
      <c r="MY34" s="779"/>
      <c r="MZ34" s="779"/>
      <c r="NA34" s="779"/>
      <c r="NB34" s="779"/>
      <c r="NC34" s="779"/>
      <c r="ND34" s="779"/>
      <c r="NE34" s="779"/>
      <c r="NF34" s="779"/>
      <c r="NG34" s="779"/>
      <c r="NH34" s="779"/>
      <c r="NI34" s="779"/>
      <c r="NJ34" s="779"/>
      <c r="NK34" s="779"/>
      <c r="NL34" s="779"/>
      <c r="NM34" s="779"/>
      <c r="NN34" s="779"/>
      <c r="NO34" s="779"/>
      <c r="NP34" s="779"/>
      <c r="NQ34" s="779"/>
      <c r="NR34" s="779"/>
      <c r="NS34" s="779"/>
      <c r="NT34" s="779"/>
      <c r="NU34" s="779"/>
      <c r="NV34" s="779"/>
      <c r="NW34" s="779"/>
      <c r="NX34" s="779"/>
      <c r="NY34" s="779"/>
      <c r="NZ34" s="779"/>
      <c r="OA34" s="779"/>
      <c r="OB34" s="779"/>
      <c r="OC34" s="779"/>
      <c r="OD34" s="779"/>
      <c r="OE34" s="779"/>
      <c r="OF34" s="779"/>
      <c r="OG34" s="779"/>
      <c r="OH34" s="779"/>
      <c r="OI34" s="779"/>
      <c r="OJ34" s="779"/>
      <c r="OK34" s="779"/>
      <c r="OL34" s="779"/>
      <c r="OM34" s="779"/>
      <c r="ON34" s="779"/>
      <c r="OO34" s="779"/>
      <c r="OP34" s="779"/>
      <c r="OQ34" s="779"/>
      <c r="OR34" s="779"/>
      <c r="OS34" s="779"/>
      <c r="OT34" s="779"/>
      <c r="OU34" s="779"/>
      <c r="OV34" s="779"/>
      <c r="OW34" s="779"/>
      <c r="OX34" s="779"/>
      <c r="OY34" s="779"/>
      <c r="OZ34" s="779"/>
      <c r="PA34" s="779"/>
      <c r="PB34" s="779"/>
      <c r="PC34" s="779"/>
      <c r="PD34" s="779"/>
      <c r="PE34" s="779"/>
      <c r="PF34" s="779"/>
      <c r="PG34" s="779"/>
      <c r="PH34" s="779"/>
      <c r="PI34" s="779"/>
      <c r="PJ34" s="779"/>
      <c r="PK34" s="779"/>
      <c r="PL34" s="779"/>
      <c r="PM34" s="779"/>
      <c r="PN34" s="779"/>
      <c r="PO34" s="779"/>
    </row>
    <row r="35" spans="1:431" s="143" customFormat="1">
      <c r="A35" s="779"/>
      <c r="B35" s="779"/>
      <c r="C35" s="782"/>
      <c r="D35" s="782"/>
      <c r="E35" s="782"/>
      <c r="F35" s="782"/>
      <c r="G35" s="782"/>
      <c r="H35" s="782"/>
      <c r="I35" s="782"/>
      <c r="J35" s="782"/>
      <c r="K35" s="782"/>
      <c r="L35" s="782"/>
      <c r="M35" s="779"/>
      <c r="N35" s="779"/>
      <c r="O35" s="779"/>
      <c r="P35" s="779"/>
      <c r="Q35" s="779"/>
      <c r="R35" s="779"/>
      <c r="S35" s="779"/>
      <c r="T35" s="779"/>
      <c r="U35" s="779"/>
      <c r="V35" s="779"/>
      <c r="W35" s="779"/>
      <c r="X35" s="779"/>
      <c r="Y35" s="779"/>
      <c r="Z35" s="779"/>
      <c r="AA35" s="779"/>
      <c r="AB35" s="779"/>
      <c r="AC35" s="779"/>
      <c r="AD35" s="779"/>
      <c r="AE35" s="779"/>
      <c r="AF35" s="779"/>
      <c r="AG35" s="779"/>
      <c r="AH35" s="779"/>
      <c r="AI35" s="779"/>
      <c r="AJ35" s="779"/>
      <c r="AK35" s="779"/>
      <c r="AL35" s="779"/>
      <c r="AM35" s="779"/>
      <c r="AN35" s="779"/>
      <c r="AO35" s="779"/>
      <c r="AP35" s="779"/>
      <c r="AQ35" s="779"/>
      <c r="AR35" s="779"/>
      <c r="AS35" s="779"/>
      <c r="AT35" s="779"/>
      <c r="AU35" s="779"/>
      <c r="AV35" s="779"/>
      <c r="AW35" s="779"/>
      <c r="AX35" s="779"/>
      <c r="AY35" s="779"/>
      <c r="AZ35" s="779"/>
      <c r="BA35" s="779"/>
      <c r="BB35" s="779"/>
      <c r="BC35" s="779"/>
      <c r="BD35" s="779"/>
      <c r="BE35" s="779"/>
      <c r="BF35" s="779"/>
      <c r="BG35" s="779"/>
      <c r="BH35" s="779"/>
      <c r="BI35" s="779"/>
      <c r="BJ35" s="779"/>
      <c r="BK35" s="779"/>
      <c r="BL35" s="779"/>
      <c r="BM35" s="779"/>
      <c r="BN35" s="779"/>
      <c r="BO35" s="779"/>
      <c r="BP35" s="779"/>
      <c r="BQ35" s="779"/>
      <c r="BR35" s="779"/>
      <c r="BS35" s="779"/>
      <c r="BT35" s="779"/>
      <c r="BU35" s="779"/>
      <c r="BV35" s="779"/>
      <c r="BW35" s="779"/>
      <c r="BX35" s="779"/>
      <c r="BY35" s="779"/>
      <c r="BZ35" s="779"/>
      <c r="CA35" s="779"/>
      <c r="CB35" s="779"/>
      <c r="CC35" s="779"/>
      <c r="CD35" s="779"/>
      <c r="CE35" s="779"/>
      <c r="CF35" s="779"/>
      <c r="CG35" s="779"/>
      <c r="CH35" s="779"/>
      <c r="CI35" s="779"/>
      <c r="CJ35" s="779"/>
      <c r="CK35" s="779"/>
      <c r="CL35" s="779"/>
      <c r="CM35" s="779"/>
      <c r="CN35" s="779"/>
      <c r="CO35" s="779"/>
      <c r="CP35" s="779"/>
      <c r="CQ35" s="779"/>
      <c r="CR35" s="779"/>
      <c r="CS35" s="779"/>
      <c r="CT35" s="779"/>
      <c r="CU35" s="779"/>
      <c r="CV35" s="779"/>
      <c r="CW35" s="779"/>
      <c r="CX35" s="779"/>
      <c r="CY35" s="779"/>
      <c r="CZ35" s="779"/>
      <c r="DA35" s="779"/>
      <c r="DB35" s="779"/>
      <c r="DC35" s="779"/>
      <c r="DD35" s="779"/>
      <c r="DE35" s="779"/>
      <c r="DF35" s="779"/>
      <c r="DG35" s="779"/>
      <c r="DH35" s="779"/>
      <c r="DI35" s="779"/>
      <c r="DJ35" s="779"/>
      <c r="DK35" s="779"/>
      <c r="DL35" s="779"/>
      <c r="DM35" s="779"/>
      <c r="DN35" s="779"/>
      <c r="DO35" s="779"/>
      <c r="DP35" s="779"/>
      <c r="DQ35" s="779"/>
      <c r="DR35" s="779"/>
      <c r="DS35" s="779"/>
      <c r="DT35" s="779"/>
      <c r="DU35" s="779"/>
      <c r="DV35" s="779"/>
      <c r="DW35" s="779"/>
      <c r="DX35" s="779"/>
      <c r="DY35" s="779"/>
      <c r="DZ35" s="779"/>
      <c r="EA35" s="779"/>
      <c r="EB35" s="779"/>
      <c r="EC35" s="779"/>
      <c r="ED35" s="779"/>
      <c r="EE35" s="779"/>
      <c r="EF35" s="779"/>
      <c r="EG35" s="779"/>
      <c r="EH35" s="779"/>
      <c r="EI35" s="779"/>
      <c r="EJ35" s="779"/>
      <c r="EK35" s="779"/>
      <c r="EL35" s="779"/>
      <c r="EM35" s="779"/>
      <c r="EN35" s="779"/>
      <c r="EO35" s="779"/>
      <c r="EP35" s="779"/>
      <c r="EQ35" s="779"/>
      <c r="ER35" s="779"/>
      <c r="ES35" s="779"/>
      <c r="ET35" s="779"/>
      <c r="EU35" s="779"/>
      <c r="EV35" s="779"/>
      <c r="EW35" s="779"/>
      <c r="EX35" s="779"/>
      <c r="EY35" s="779"/>
      <c r="EZ35" s="779"/>
      <c r="FA35" s="779"/>
      <c r="FB35" s="779"/>
      <c r="FC35" s="779"/>
      <c r="FD35" s="779"/>
      <c r="FE35" s="779"/>
      <c r="FF35" s="779"/>
      <c r="FG35" s="779"/>
      <c r="FH35" s="779"/>
      <c r="FI35" s="779"/>
      <c r="FJ35" s="779"/>
      <c r="FK35" s="779"/>
      <c r="FL35" s="779"/>
      <c r="FM35" s="779"/>
      <c r="FN35" s="779"/>
      <c r="FO35" s="779"/>
      <c r="FP35" s="779"/>
      <c r="FQ35" s="779"/>
      <c r="FR35" s="779"/>
      <c r="FS35" s="779"/>
      <c r="FT35" s="779"/>
      <c r="FU35" s="779"/>
      <c r="FV35" s="779"/>
      <c r="FW35" s="779"/>
      <c r="FX35" s="779"/>
      <c r="FY35" s="779"/>
      <c r="FZ35" s="779"/>
      <c r="GA35" s="779"/>
      <c r="GB35" s="779"/>
      <c r="GC35" s="779"/>
      <c r="GD35" s="779"/>
      <c r="GE35" s="779"/>
      <c r="GF35" s="779"/>
      <c r="GG35" s="779"/>
      <c r="GH35" s="779"/>
      <c r="GI35" s="779"/>
      <c r="GJ35" s="779"/>
      <c r="GK35" s="779"/>
      <c r="GL35" s="779"/>
      <c r="GM35" s="779"/>
      <c r="GN35" s="779"/>
      <c r="GO35" s="779"/>
      <c r="GP35" s="779"/>
      <c r="GQ35" s="779"/>
      <c r="GR35" s="779"/>
      <c r="GS35" s="779"/>
      <c r="GT35" s="779"/>
      <c r="GU35" s="779"/>
      <c r="GV35" s="779"/>
      <c r="GW35" s="779"/>
      <c r="GX35" s="779"/>
      <c r="GY35" s="779"/>
      <c r="GZ35" s="779"/>
      <c r="HA35" s="779"/>
      <c r="HB35" s="779"/>
      <c r="HC35" s="779"/>
      <c r="HD35" s="779"/>
      <c r="HE35" s="779"/>
      <c r="HF35" s="779"/>
      <c r="HG35" s="779"/>
      <c r="HH35" s="779"/>
      <c r="HI35" s="779"/>
      <c r="HJ35" s="779"/>
      <c r="HK35" s="779"/>
      <c r="HL35" s="779"/>
      <c r="HM35" s="779"/>
      <c r="HN35" s="779"/>
      <c r="HO35" s="779"/>
      <c r="HP35" s="779"/>
      <c r="HQ35" s="779"/>
      <c r="HR35" s="779"/>
      <c r="HS35" s="779"/>
      <c r="HT35" s="779"/>
      <c r="HU35" s="779"/>
      <c r="HV35" s="779"/>
      <c r="HW35" s="779"/>
      <c r="HX35" s="779"/>
      <c r="HY35" s="779"/>
      <c r="HZ35" s="779"/>
      <c r="IA35" s="779"/>
      <c r="IB35" s="779"/>
      <c r="IC35" s="779"/>
      <c r="ID35" s="779"/>
      <c r="IE35" s="779"/>
      <c r="IF35" s="779"/>
      <c r="IG35" s="779"/>
      <c r="IH35" s="779"/>
      <c r="II35" s="779"/>
      <c r="IJ35" s="779"/>
      <c r="IK35" s="779"/>
      <c r="IL35" s="779"/>
      <c r="IM35" s="779"/>
      <c r="IN35" s="779"/>
      <c r="IO35" s="779"/>
      <c r="IP35" s="779"/>
      <c r="IQ35" s="779"/>
      <c r="IR35" s="779"/>
      <c r="IS35" s="779"/>
      <c r="IT35" s="779"/>
      <c r="IU35" s="779"/>
      <c r="IV35" s="779"/>
      <c r="IW35" s="779"/>
      <c r="IX35" s="779"/>
      <c r="IY35" s="779"/>
      <c r="IZ35" s="779"/>
      <c r="JA35" s="779"/>
      <c r="JB35" s="779"/>
      <c r="JC35" s="779"/>
      <c r="JD35" s="779"/>
      <c r="JE35" s="779"/>
      <c r="JF35" s="779"/>
      <c r="JG35" s="779"/>
      <c r="JH35" s="779"/>
      <c r="JI35" s="779"/>
      <c r="JJ35" s="779"/>
      <c r="JK35" s="779"/>
      <c r="JL35" s="779"/>
      <c r="JM35" s="779"/>
      <c r="JN35" s="779"/>
      <c r="JO35" s="779"/>
      <c r="JP35" s="779"/>
      <c r="JQ35" s="779"/>
      <c r="JR35" s="779"/>
      <c r="JS35" s="779"/>
      <c r="JT35" s="779"/>
      <c r="JU35" s="779"/>
      <c r="JV35" s="779"/>
      <c r="JW35" s="779"/>
      <c r="JX35" s="779"/>
      <c r="JY35" s="779"/>
      <c r="JZ35" s="779"/>
      <c r="KA35" s="779"/>
      <c r="KB35" s="779"/>
      <c r="KC35" s="779"/>
      <c r="KD35" s="779"/>
      <c r="KE35" s="779"/>
      <c r="KF35" s="779"/>
      <c r="KG35" s="779"/>
      <c r="KH35" s="779"/>
      <c r="KI35" s="779"/>
      <c r="KJ35" s="779"/>
      <c r="KK35" s="779"/>
      <c r="KL35" s="779"/>
      <c r="KM35" s="779"/>
      <c r="KN35" s="779"/>
      <c r="KO35" s="779"/>
      <c r="KP35" s="779"/>
      <c r="KQ35" s="779"/>
      <c r="KR35" s="779"/>
      <c r="KS35" s="779"/>
      <c r="KT35" s="779"/>
      <c r="KU35" s="779"/>
      <c r="KV35" s="779"/>
      <c r="KW35" s="779"/>
      <c r="KX35" s="779"/>
      <c r="KY35" s="779"/>
      <c r="KZ35" s="779"/>
      <c r="LA35" s="779"/>
      <c r="LB35" s="779"/>
      <c r="LC35" s="779"/>
      <c r="LD35" s="779"/>
      <c r="LE35" s="779"/>
      <c r="LF35" s="779"/>
      <c r="LG35" s="779"/>
      <c r="LH35" s="779"/>
      <c r="LI35" s="779"/>
      <c r="LJ35" s="779"/>
      <c r="LK35" s="779"/>
      <c r="LL35" s="779"/>
      <c r="LM35" s="779"/>
      <c r="LN35" s="779"/>
      <c r="LO35" s="779"/>
      <c r="LP35" s="779"/>
      <c r="LQ35" s="779"/>
      <c r="LR35" s="779"/>
      <c r="LS35" s="779"/>
      <c r="LT35" s="779"/>
      <c r="LU35" s="779"/>
      <c r="LV35" s="779"/>
      <c r="LW35" s="779"/>
      <c r="LX35" s="779"/>
      <c r="LY35" s="779"/>
      <c r="LZ35" s="779"/>
      <c r="MA35" s="779"/>
      <c r="MB35" s="779"/>
      <c r="MC35" s="779"/>
      <c r="MD35" s="779"/>
      <c r="ME35" s="779"/>
      <c r="MF35" s="779"/>
      <c r="MG35" s="779"/>
      <c r="MH35" s="779"/>
      <c r="MI35" s="779"/>
      <c r="MJ35" s="779"/>
      <c r="MK35" s="779"/>
      <c r="ML35" s="779"/>
      <c r="MM35" s="779"/>
      <c r="MN35" s="779"/>
      <c r="MO35" s="779"/>
      <c r="MP35" s="779"/>
      <c r="MQ35" s="779"/>
      <c r="MR35" s="779"/>
      <c r="MS35" s="779"/>
      <c r="MT35" s="779"/>
      <c r="MU35" s="779"/>
      <c r="MV35" s="779"/>
      <c r="MW35" s="779"/>
      <c r="MX35" s="779"/>
      <c r="MY35" s="779"/>
      <c r="MZ35" s="779"/>
      <c r="NA35" s="779"/>
      <c r="NB35" s="779"/>
      <c r="NC35" s="779"/>
      <c r="ND35" s="779"/>
      <c r="NE35" s="779"/>
      <c r="NF35" s="779"/>
      <c r="NG35" s="779"/>
      <c r="NH35" s="779"/>
      <c r="NI35" s="779"/>
      <c r="NJ35" s="779"/>
      <c r="NK35" s="779"/>
      <c r="NL35" s="779"/>
      <c r="NM35" s="779"/>
      <c r="NN35" s="779"/>
      <c r="NO35" s="779"/>
      <c r="NP35" s="779"/>
      <c r="NQ35" s="779"/>
      <c r="NR35" s="779"/>
      <c r="NS35" s="779"/>
      <c r="NT35" s="779"/>
      <c r="NU35" s="779"/>
      <c r="NV35" s="779"/>
      <c r="NW35" s="779"/>
      <c r="NX35" s="779"/>
      <c r="NY35" s="779"/>
      <c r="NZ35" s="779"/>
      <c r="OA35" s="779"/>
      <c r="OB35" s="779"/>
      <c r="OC35" s="779"/>
      <c r="OD35" s="779"/>
      <c r="OE35" s="779"/>
      <c r="OF35" s="779"/>
      <c r="OG35" s="779"/>
      <c r="OH35" s="779"/>
      <c r="OI35" s="779"/>
      <c r="OJ35" s="779"/>
      <c r="OK35" s="779"/>
      <c r="OL35" s="779"/>
      <c r="OM35" s="779"/>
      <c r="ON35" s="779"/>
      <c r="OO35" s="779"/>
      <c r="OP35" s="779"/>
      <c r="OQ35" s="779"/>
      <c r="OR35" s="779"/>
      <c r="OS35" s="779"/>
      <c r="OT35" s="779"/>
      <c r="OU35" s="779"/>
      <c r="OV35" s="779"/>
      <c r="OW35" s="779"/>
      <c r="OX35" s="779"/>
      <c r="OY35" s="779"/>
      <c r="OZ35" s="779"/>
      <c r="PA35" s="779"/>
      <c r="PB35" s="779"/>
      <c r="PC35" s="779"/>
      <c r="PD35" s="779"/>
      <c r="PE35" s="779"/>
      <c r="PF35" s="779"/>
      <c r="PG35" s="779"/>
      <c r="PH35" s="779"/>
      <c r="PI35" s="779"/>
      <c r="PJ35" s="779"/>
      <c r="PK35" s="779"/>
      <c r="PL35" s="779"/>
      <c r="PM35" s="779"/>
      <c r="PN35" s="779"/>
      <c r="PO35" s="779"/>
    </row>
    <row r="36" spans="1:431" s="143" customFormat="1">
      <c r="A36" s="779"/>
      <c r="B36" s="779"/>
      <c r="C36" s="782"/>
      <c r="D36" s="782"/>
      <c r="E36" s="782"/>
      <c r="F36" s="782"/>
      <c r="G36" s="782"/>
      <c r="H36" s="782"/>
      <c r="I36" s="782"/>
      <c r="J36" s="782"/>
      <c r="K36" s="782"/>
      <c r="L36" s="782"/>
      <c r="M36" s="779"/>
      <c r="N36" s="779"/>
      <c r="O36" s="779"/>
      <c r="P36" s="779"/>
      <c r="Q36" s="779"/>
      <c r="R36" s="779"/>
      <c r="S36" s="779"/>
      <c r="T36" s="779"/>
      <c r="U36" s="779"/>
      <c r="V36" s="779"/>
      <c r="W36" s="779"/>
      <c r="X36" s="779"/>
      <c r="Y36" s="779"/>
      <c r="Z36" s="779"/>
      <c r="AA36" s="779"/>
      <c r="AB36" s="779"/>
      <c r="AC36" s="779"/>
      <c r="AD36" s="779"/>
      <c r="AE36" s="779"/>
      <c r="AF36" s="779"/>
      <c r="AG36" s="779"/>
      <c r="AH36" s="779"/>
      <c r="AI36" s="779"/>
      <c r="AJ36" s="779"/>
      <c r="AK36" s="779"/>
      <c r="AL36" s="779"/>
      <c r="AM36" s="779"/>
      <c r="AN36" s="779"/>
      <c r="AO36" s="779"/>
      <c r="AP36" s="779"/>
      <c r="AQ36" s="779"/>
      <c r="AR36" s="779"/>
      <c r="AS36" s="779"/>
      <c r="AT36" s="779"/>
      <c r="AU36" s="779"/>
      <c r="AV36" s="779"/>
      <c r="AW36" s="779"/>
      <c r="AX36" s="779"/>
      <c r="AY36" s="779"/>
      <c r="AZ36" s="779"/>
      <c r="BA36" s="779"/>
      <c r="BB36" s="779"/>
      <c r="BC36" s="779"/>
      <c r="BD36" s="779"/>
      <c r="BE36" s="779"/>
      <c r="BF36" s="779"/>
      <c r="BG36" s="779"/>
      <c r="BH36" s="779"/>
      <c r="BI36" s="779"/>
      <c r="BJ36" s="779"/>
      <c r="BK36" s="779"/>
      <c r="BL36" s="779"/>
      <c r="BM36" s="779"/>
      <c r="BN36" s="779"/>
      <c r="BO36" s="779"/>
      <c r="BP36" s="779"/>
      <c r="BQ36" s="779"/>
      <c r="BR36" s="779"/>
      <c r="BS36" s="779"/>
      <c r="BT36" s="779"/>
      <c r="BU36" s="779"/>
      <c r="BV36" s="779"/>
      <c r="BW36" s="779"/>
      <c r="BX36" s="779"/>
      <c r="BY36" s="779"/>
      <c r="BZ36" s="779"/>
      <c r="CA36" s="779"/>
      <c r="CB36" s="779"/>
      <c r="CC36" s="779"/>
      <c r="CD36" s="779"/>
      <c r="CE36" s="779"/>
      <c r="CF36" s="779"/>
      <c r="CG36" s="779"/>
      <c r="CH36" s="779"/>
      <c r="CI36" s="779"/>
      <c r="CJ36" s="779"/>
      <c r="CK36" s="779"/>
      <c r="CL36" s="779"/>
      <c r="CM36" s="779"/>
      <c r="CN36" s="779"/>
      <c r="CO36" s="779"/>
      <c r="CP36" s="779"/>
      <c r="CQ36" s="779"/>
      <c r="CR36" s="779"/>
      <c r="CS36" s="779"/>
      <c r="CT36" s="779"/>
      <c r="CU36" s="779"/>
      <c r="CV36" s="779"/>
      <c r="CW36" s="779"/>
      <c r="CX36" s="779"/>
      <c r="CY36" s="779"/>
      <c r="CZ36" s="779"/>
      <c r="DA36" s="779"/>
      <c r="DB36" s="779"/>
      <c r="DC36" s="779"/>
      <c r="DD36" s="779"/>
      <c r="DE36" s="779"/>
      <c r="DF36" s="779"/>
      <c r="DG36" s="779"/>
      <c r="DH36" s="779"/>
      <c r="DI36" s="779"/>
      <c r="DJ36" s="779"/>
      <c r="DK36" s="779"/>
      <c r="DL36" s="779"/>
      <c r="DM36" s="779"/>
      <c r="DN36" s="779"/>
      <c r="DO36" s="779"/>
      <c r="DP36" s="779"/>
      <c r="DQ36" s="779"/>
      <c r="DR36" s="779"/>
      <c r="DS36" s="779"/>
      <c r="DT36" s="779"/>
      <c r="DU36" s="779"/>
      <c r="DV36" s="779"/>
      <c r="DW36" s="779"/>
      <c r="DX36" s="779"/>
      <c r="DY36" s="779"/>
      <c r="DZ36" s="779"/>
      <c r="EA36" s="779"/>
      <c r="EB36" s="779"/>
      <c r="EC36" s="779"/>
      <c r="ED36" s="779"/>
      <c r="EE36" s="779"/>
      <c r="EF36" s="779"/>
      <c r="EG36" s="779"/>
      <c r="EH36" s="779"/>
      <c r="EI36" s="779"/>
      <c r="EJ36" s="779"/>
      <c r="EK36" s="779"/>
      <c r="EL36" s="779"/>
      <c r="EM36" s="779"/>
      <c r="EN36" s="779"/>
      <c r="EO36" s="779"/>
      <c r="EP36" s="779"/>
      <c r="EQ36" s="779"/>
      <c r="ER36" s="779"/>
      <c r="ES36" s="779"/>
      <c r="ET36" s="779"/>
      <c r="EU36" s="779"/>
      <c r="EV36" s="779"/>
      <c r="EW36" s="779"/>
      <c r="EX36" s="779"/>
      <c r="EY36" s="779"/>
      <c r="EZ36" s="779"/>
      <c r="FA36" s="779"/>
      <c r="FB36" s="779"/>
      <c r="FC36" s="779"/>
      <c r="FD36" s="779"/>
      <c r="FE36" s="779"/>
      <c r="FF36" s="779"/>
      <c r="FG36" s="779"/>
      <c r="FH36" s="779"/>
      <c r="FI36" s="779"/>
      <c r="FJ36" s="779"/>
      <c r="FK36" s="779"/>
      <c r="FL36" s="779"/>
      <c r="FM36" s="779"/>
      <c r="FN36" s="779"/>
      <c r="FO36" s="779"/>
      <c r="FP36" s="779"/>
      <c r="FQ36" s="779"/>
      <c r="FR36" s="779"/>
      <c r="FS36" s="779"/>
      <c r="FT36" s="779"/>
      <c r="FU36" s="779"/>
      <c r="FV36" s="779"/>
      <c r="FW36" s="779"/>
      <c r="FX36" s="779"/>
      <c r="FY36" s="779"/>
      <c r="FZ36" s="779"/>
      <c r="GA36" s="779"/>
      <c r="GB36" s="779"/>
      <c r="GC36" s="779"/>
      <c r="GD36" s="779"/>
      <c r="GE36" s="779"/>
      <c r="GF36" s="779"/>
      <c r="GG36" s="779"/>
      <c r="GH36" s="779"/>
      <c r="GI36" s="779"/>
      <c r="GJ36" s="779"/>
      <c r="GK36" s="779"/>
      <c r="GL36" s="779"/>
      <c r="GM36" s="779"/>
      <c r="GN36" s="779"/>
      <c r="GO36" s="779"/>
      <c r="GP36" s="779"/>
      <c r="GQ36" s="779"/>
      <c r="GR36" s="779"/>
      <c r="GS36" s="779"/>
      <c r="GT36" s="779"/>
      <c r="GU36" s="779"/>
      <c r="GV36" s="779"/>
      <c r="GW36" s="779"/>
      <c r="GX36" s="779"/>
      <c r="GY36" s="779"/>
      <c r="GZ36" s="779"/>
      <c r="HA36" s="779"/>
      <c r="HB36" s="779"/>
      <c r="HC36" s="779"/>
      <c r="HD36" s="779"/>
      <c r="HE36" s="779"/>
      <c r="HF36" s="779"/>
      <c r="HG36" s="779"/>
      <c r="HH36" s="779"/>
      <c r="HI36" s="779"/>
      <c r="HJ36" s="779"/>
      <c r="HK36" s="779"/>
      <c r="HL36" s="779"/>
      <c r="HM36" s="779"/>
      <c r="HN36" s="779"/>
      <c r="HO36" s="779"/>
      <c r="HP36" s="779"/>
      <c r="HQ36" s="779"/>
      <c r="HR36" s="779"/>
      <c r="HS36" s="779"/>
      <c r="HT36" s="779"/>
      <c r="HU36" s="779"/>
      <c r="HV36" s="779"/>
      <c r="HW36" s="779"/>
      <c r="HX36" s="779"/>
      <c r="HY36" s="779"/>
      <c r="HZ36" s="779"/>
      <c r="IA36" s="779"/>
      <c r="IB36" s="779"/>
      <c r="IC36" s="779"/>
      <c r="ID36" s="779"/>
      <c r="IE36" s="779"/>
      <c r="IF36" s="779"/>
      <c r="IG36" s="779"/>
      <c r="IH36" s="779"/>
      <c r="II36" s="779"/>
      <c r="IJ36" s="779"/>
      <c r="IK36" s="779"/>
      <c r="IL36" s="779"/>
      <c r="IM36" s="779"/>
      <c r="IN36" s="779"/>
      <c r="IO36" s="779"/>
      <c r="IP36" s="779"/>
      <c r="IQ36" s="779"/>
      <c r="IR36" s="779"/>
      <c r="IS36" s="779"/>
      <c r="IT36" s="779"/>
      <c r="IU36" s="779"/>
      <c r="IV36" s="779"/>
      <c r="IW36" s="779"/>
      <c r="IX36" s="779"/>
      <c r="IY36" s="779"/>
      <c r="IZ36" s="779"/>
      <c r="JA36" s="779"/>
      <c r="JB36" s="779"/>
      <c r="JC36" s="779"/>
      <c r="JD36" s="779"/>
      <c r="JE36" s="779"/>
      <c r="JF36" s="779"/>
      <c r="JG36" s="779"/>
      <c r="JH36" s="779"/>
      <c r="JI36" s="779"/>
      <c r="JJ36" s="779"/>
      <c r="JK36" s="779"/>
      <c r="JL36" s="779"/>
      <c r="JM36" s="779"/>
      <c r="JN36" s="779"/>
      <c r="JO36" s="779"/>
      <c r="JP36" s="779"/>
      <c r="JQ36" s="779"/>
      <c r="JR36" s="779"/>
      <c r="JS36" s="779"/>
      <c r="JT36" s="779"/>
      <c r="JU36" s="779"/>
      <c r="JV36" s="779"/>
      <c r="JW36" s="779"/>
      <c r="JX36" s="779"/>
      <c r="JY36" s="779"/>
      <c r="JZ36" s="779"/>
      <c r="KA36" s="779"/>
      <c r="KB36" s="779"/>
      <c r="KC36" s="779"/>
      <c r="KD36" s="779"/>
      <c r="KE36" s="779"/>
      <c r="KF36" s="779"/>
      <c r="KG36" s="779"/>
      <c r="KH36" s="779"/>
      <c r="KI36" s="779"/>
      <c r="KJ36" s="779"/>
      <c r="KK36" s="779"/>
      <c r="KL36" s="779"/>
      <c r="KM36" s="779"/>
      <c r="KN36" s="779"/>
      <c r="KO36" s="779"/>
      <c r="KP36" s="779"/>
      <c r="KQ36" s="779"/>
      <c r="KR36" s="779"/>
      <c r="KS36" s="779"/>
      <c r="KT36" s="779"/>
      <c r="KU36" s="779"/>
      <c r="KV36" s="779"/>
      <c r="KW36" s="779"/>
      <c r="KX36" s="779"/>
      <c r="KY36" s="779"/>
      <c r="KZ36" s="779"/>
      <c r="LA36" s="779"/>
      <c r="LB36" s="779"/>
      <c r="LC36" s="779"/>
      <c r="LD36" s="779"/>
      <c r="LE36" s="779"/>
      <c r="LF36" s="779"/>
      <c r="LG36" s="779"/>
      <c r="LH36" s="779"/>
      <c r="LI36" s="779"/>
      <c r="LJ36" s="779"/>
      <c r="LK36" s="779"/>
      <c r="LL36" s="779"/>
      <c r="LM36" s="779"/>
      <c r="LN36" s="779"/>
      <c r="LO36" s="779"/>
      <c r="LP36" s="779"/>
      <c r="LQ36" s="779"/>
      <c r="LR36" s="779"/>
      <c r="LS36" s="779"/>
      <c r="LT36" s="779"/>
      <c r="LU36" s="779"/>
      <c r="LV36" s="779"/>
      <c r="LW36" s="779"/>
      <c r="LX36" s="779"/>
      <c r="LY36" s="779"/>
      <c r="LZ36" s="779"/>
      <c r="MA36" s="779"/>
      <c r="MB36" s="779"/>
      <c r="MC36" s="779"/>
      <c r="MD36" s="779"/>
      <c r="ME36" s="779"/>
      <c r="MF36" s="779"/>
      <c r="MG36" s="779"/>
      <c r="MH36" s="779"/>
      <c r="MI36" s="779"/>
      <c r="MJ36" s="779"/>
      <c r="MK36" s="779"/>
      <c r="ML36" s="779"/>
      <c r="MM36" s="779"/>
      <c r="MN36" s="779"/>
      <c r="MO36" s="779"/>
      <c r="MP36" s="779"/>
      <c r="MQ36" s="779"/>
      <c r="MR36" s="779"/>
      <c r="MS36" s="779"/>
      <c r="MT36" s="779"/>
      <c r="MU36" s="779"/>
      <c r="MV36" s="779"/>
      <c r="MW36" s="779"/>
      <c r="MX36" s="779"/>
      <c r="MY36" s="779"/>
      <c r="MZ36" s="779"/>
      <c r="NA36" s="779"/>
      <c r="NB36" s="779"/>
      <c r="NC36" s="779"/>
      <c r="ND36" s="779"/>
      <c r="NE36" s="779"/>
      <c r="NF36" s="779"/>
      <c r="NG36" s="779"/>
      <c r="NH36" s="779"/>
      <c r="NI36" s="779"/>
      <c r="NJ36" s="779"/>
      <c r="NK36" s="779"/>
      <c r="NL36" s="779"/>
      <c r="NM36" s="779"/>
      <c r="NN36" s="779"/>
      <c r="NO36" s="779"/>
      <c r="NP36" s="779"/>
      <c r="NQ36" s="779"/>
      <c r="NR36" s="779"/>
      <c r="NS36" s="779"/>
      <c r="NT36" s="779"/>
      <c r="NU36" s="779"/>
      <c r="NV36" s="779"/>
      <c r="NW36" s="779"/>
      <c r="NX36" s="779"/>
      <c r="NY36" s="779"/>
      <c r="NZ36" s="779"/>
      <c r="OA36" s="779"/>
      <c r="OB36" s="779"/>
      <c r="OC36" s="779"/>
      <c r="OD36" s="779"/>
      <c r="OE36" s="779"/>
      <c r="OF36" s="779"/>
      <c r="OG36" s="779"/>
      <c r="OH36" s="779"/>
      <c r="OI36" s="779"/>
      <c r="OJ36" s="779"/>
      <c r="OK36" s="779"/>
      <c r="OL36" s="779"/>
      <c r="OM36" s="779"/>
      <c r="ON36" s="779"/>
      <c r="OO36" s="779"/>
      <c r="OP36" s="779"/>
      <c r="OQ36" s="779"/>
      <c r="OR36" s="779"/>
      <c r="OS36" s="779"/>
      <c r="OT36" s="779"/>
      <c r="OU36" s="779"/>
      <c r="OV36" s="779"/>
      <c r="OW36" s="779"/>
      <c r="OX36" s="779"/>
      <c r="OY36" s="779"/>
      <c r="OZ36" s="779"/>
      <c r="PA36" s="779"/>
      <c r="PB36" s="779"/>
      <c r="PC36" s="779"/>
      <c r="PD36" s="779"/>
      <c r="PE36" s="779"/>
      <c r="PF36" s="779"/>
      <c r="PG36" s="779"/>
      <c r="PH36" s="779"/>
      <c r="PI36" s="779"/>
      <c r="PJ36" s="779"/>
      <c r="PK36" s="779"/>
      <c r="PL36" s="779"/>
      <c r="PM36" s="779"/>
      <c r="PN36" s="779"/>
      <c r="PO36" s="779"/>
    </row>
    <row r="37" spans="1:431" s="143" customFormat="1">
      <c r="A37" s="779"/>
      <c r="B37" s="779"/>
      <c r="C37" s="782"/>
      <c r="D37" s="782"/>
      <c r="E37" s="782"/>
      <c r="F37" s="782"/>
      <c r="G37" s="782"/>
      <c r="H37" s="782"/>
      <c r="I37" s="782"/>
      <c r="J37" s="782"/>
      <c r="K37" s="782"/>
      <c r="L37" s="782"/>
      <c r="M37" s="779"/>
      <c r="N37" s="779"/>
      <c r="O37" s="779"/>
      <c r="P37" s="779"/>
      <c r="Q37" s="779"/>
      <c r="R37" s="779"/>
      <c r="S37" s="779"/>
      <c r="T37" s="779"/>
      <c r="U37" s="779"/>
      <c r="V37" s="779"/>
      <c r="W37" s="779"/>
      <c r="X37" s="779"/>
      <c r="Y37" s="779"/>
      <c r="Z37" s="779"/>
      <c r="AA37" s="779"/>
      <c r="AB37" s="779"/>
      <c r="AC37" s="779"/>
      <c r="AD37" s="779"/>
      <c r="AE37" s="779"/>
      <c r="AF37" s="779"/>
      <c r="AG37" s="779"/>
      <c r="AH37" s="779"/>
      <c r="AI37" s="779"/>
      <c r="AJ37" s="779"/>
      <c r="AK37" s="779"/>
      <c r="AL37" s="779"/>
      <c r="AM37" s="779"/>
      <c r="AN37" s="779"/>
      <c r="AO37" s="779"/>
      <c r="AP37" s="779"/>
      <c r="AQ37" s="779"/>
      <c r="AR37" s="779"/>
      <c r="AS37" s="779"/>
      <c r="AT37" s="779"/>
      <c r="AU37" s="779"/>
      <c r="AV37" s="779"/>
      <c r="AW37" s="779"/>
      <c r="AX37" s="779"/>
      <c r="AY37" s="779"/>
      <c r="AZ37" s="779"/>
      <c r="BA37" s="779"/>
      <c r="BB37" s="779"/>
      <c r="BC37" s="779"/>
      <c r="BD37" s="779"/>
      <c r="BE37" s="779"/>
      <c r="BF37" s="779"/>
      <c r="BG37" s="779"/>
      <c r="BH37" s="779"/>
      <c r="BI37" s="779"/>
      <c r="BJ37" s="779"/>
      <c r="BK37" s="779"/>
      <c r="BL37" s="779"/>
      <c r="BM37" s="779"/>
      <c r="BN37" s="779"/>
      <c r="BO37" s="779"/>
      <c r="BP37" s="779"/>
      <c r="BQ37" s="779"/>
      <c r="BR37" s="779"/>
      <c r="BS37" s="779"/>
      <c r="BT37" s="779"/>
      <c r="BU37" s="779"/>
      <c r="BV37" s="779"/>
      <c r="BW37" s="779"/>
      <c r="BX37" s="779"/>
      <c r="BY37" s="779"/>
      <c r="BZ37" s="779"/>
      <c r="CA37" s="779"/>
      <c r="CB37" s="779"/>
      <c r="CC37" s="779"/>
      <c r="CD37" s="779"/>
      <c r="CE37" s="779"/>
      <c r="CF37" s="779"/>
      <c r="CG37" s="779"/>
      <c r="CH37" s="779"/>
      <c r="CI37" s="779"/>
      <c r="CJ37" s="779"/>
      <c r="CK37" s="779"/>
      <c r="CL37" s="779"/>
      <c r="CM37" s="779"/>
      <c r="CN37" s="779"/>
      <c r="CO37" s="779"/>
      <c r="CP37" s="779"/>
      <c r="CQ37" s="779"/>
      <c r="CR37" s="779"/>
      <c r="CS37" s="779"/>
      <c r="CT37" s="779"/>
      <c r="CU37" s="779"/>
      <c r="CV37" s="779"/>
      <c r="CW37" s="779"/>
      <c r="CX37" s="779"/>
      <c r="CY37" s="779"/>
      <c r="CZ37" s="779"/>
      <c r="DA37" s="779"/>
      <c r="DB37" s="779"/>
      <c r="DC37" s="779"/>
      <c r="DD37" s="779"/>
      <c r="DE37" s="779"/>
      <c r="DF37" s="779"/>
      <c r="DG37" s="779"/>
      <c r="DH37" s="779"/>
      <c r="DI37" s="779"/>
      <c r="DJ37" s="779"/>
      <c r="DK37" s="779"/>
      <c r="DL37" s="779"/>
      <c r="DM37" s="779"/>
      <c r="DN37" s="779"/>
      <c r="DO37" s="779"/>
      <c r="DP37" s="779"/>
      <c r="DQ37" s="779"/>
      <c r="DR37" s="779"/>
      <c r="DS37" s="779"/>
      <c r="DT37" s="779"/>
      <c r="DU37" s="779"/>
      <c r="DV37" s="779"/>
      <c r="DW37" s="779"/>
      <c r="DX37" s="779"/>
      <c r="DY37" s="779"/>
      <c r="DZ37" s="779"/>
      <c r="EA37" s="779"/>
      <c r="EB37" s="779"/>
      <c r="EC37" s="779"/>
      <c r="ED37" s="779"/>
      <c r="EE37" s="779"/>
      <c r="EF37" s="779"/>
      <c r="EG37" s="779"/>
      <c r="EH37" s="779"/>
      <c r="EI37" s="779"/>
      <c r="EJ37" s="779"/>
      <c r="EK37" s="779"/>
      <c r="EL37" s="779"/>
      <c r="EM37" s="779"/>
      <c r="EN37" s="779"/>
      <c r="EO37" s="779"/>
      <c r="EP37" s="779"/>
      <c r="EQ37" s="779"/>
      <c r="ER37" s="779"/>
      <c r="ES37" s="779"/>
      <c r="ET37" s="779"/>
      <c r="EU37" s="779"/>
      <c r="EV37" s="779"/>
      <c r="EW37" s="779"/>
      <c r="EX37" s="779"/>
      <c r="EY37" s="779"/>
      <c r="EZ37" s="779"/>
      <c r="FA37" s="779"/>
      <c r="FB37" s="779"/>
      <c r="FC37" s="779"/>
      <c r="FD37" s="779"/>
      <c r="FE37" s="779"/>
      <c r="FF37" s="779"/>
      <c r="FG37" s="779"/>
      <c r="FH37" s="779"/>
      <c r="FI37" s="779"/>
      <c r="FJ37" s="779"/>
      <c r="FK37" s="779"/>
      <c r="FL37" s="779"/>
      <c r="FM37" s="779"/>
      <c r="FN37" s="779"/>
      <c r="FO37" s="779"/>
      <c r="FP37" s="779"/>
      <c r="FQ37" s="779"/>
      <c r="FR37" s="779"/>
      <c r="FS37" s="779"/>
      <c r="FT37" s="779"/>
      <c r="FU37" s="779"/>
      <c r="FV37" s="779"/>
      <c r="FW37" s="779"/>
      <c r="FX37" s="779"/>
      <c r="FY37" s="779"/>
      <c r="FZ37" s="779"/>
      <c r="GA37" s="779"/>
      <c r="GB37" s="779"/>
      <c r="GC37" s="779"/>
      <c r="GD37" s="779"/>
      <c r="GE37" s="779"/>
      <c r="GF37" s="779"/>
      <c r="GG37" s="779"/>
      <c r="GH37" s="779"/>
      <c r="GI37" s="779"/>
      <c r="GJ37" s="779"/>
      <c r="GK37" s="779"/>
      <c r="GL37" s="779"/>
      <c r="GM37" s="779"/>
      <c r="GN37" s="779"/>
      <c r="GO37" s="779"/>
      <c r="GP37" s="779"/>
      <c r="GQ37" s="779"/>
      <c r="GR37" s="779"/>
      <c r="GS37" s="779"/>
      <c r="GT37" s="779"/>
      <c r="GU37" s="779"/>
      <c r="GV37" s="779"/>
      <c r="GW37" s="779"/>
      <c r="GX37" s="779"/>
      <c r="GY37" s="779"/>
      <c r="GZ37" s="779"/>
      <c r="HA37" s="779"/>
      <c r="HB37" s="779"/>
      <c r="HC37" s="779"/>
      <c r="HD37" s="779"/>
      <c r="HE37" s="779"/>
      <c r="HF37" s="779"/>
      <c r="HG37" s="779"/>
      <c r="HH37" s="779"/>
      <c r="HI37" s="779"/>
      <c r="HJ37" s="779"/>
      <c r="HK37" s="779"/>
      <c r="HL37" s="779"/>
      <c r="HM37" s="779"/>
      <c r="HN37" s="779"/>
      <c r="HO37" s="779"/>
      <c r="HP37" s="779"/>
      <c r="HQ37" s="779"/>
      <c r="HR37" s="779"/>
      <c r="HS37" s="779"/>
      <c r="HT37" s="779"/>
      <c r="HU37" s="779"/>
      <c r="HV37" s="779"/>
      <c r="HW37" s="779"/>
      <c r="HX37" s="779"/>
      <c r="HY37" s="779"/>
      <c r="HZ37" s="779"/>
      <c r="IA37" s="779"/>
      <c r="IB37" s="779"/>
      <c r="IC37" s="779"/>
      <c r="ID37" s="779"/>
      <c r="IE37" s="779"/>
      <c r="IF37" s="779"/>
      <c r="IG37" s="779"/>
      <c r="IH37" s="779"/>
      <c r="II37" s="779"/>
      <c r="IJ37" s="779"/>
      <c r="IK37" s="779"/>
      <c r="IL37" s="779"/>
      <c r="IM37" s="779"/>
      <c r="IN37" s="779"/>
      <c r="IO37" s="779"/>
      <c r="IP37" s="779"/>
      <c r="IQ37" s="779"/>
      <c r="IR37" s="779"/>
      <c r="IS37" s="779"/>
      <c r="IT37" s="779"/>
      <c r="IU37" s="779"/>
      <c r="IV37" s="779"/>
      <c r="IW37" s="779"/>
      <c r="IX37" s="779"/>
      <c r="IY37" s="779"/>
      <c r="IZ37" s="779"/>
      <c r="JA37" s="779"/>
      <c r="JB37" s="779"/>
      <c r="JC37" s="779"/>
      <c r="JD37" s="779"/>
      <c r="JE37" s="779"/>
      <c r="JF37" s="779"/>
      <c r="JG37" s="779"/>
      <c r="JH37" s="779"/>
      <c r="JI37" s="779"/>
      <c r="JJ37" s="779"/>
      <c r="JK37" s="779"/>
      <c r="JL37" s="779"/>
      <c r="JM37" s="779"/>
      <c r="JN37" s="779"/>
      <c r="JO37" s="779"/>
      <c r="JP37" s="779"/>
      <c r="JQ37" s="779"/>
      <c r="JR37" s="779"/>
      <c r="JS37" s="779"/>
      <c r="JT37" s="779"/>
      <c r="JU37" s="779"/>
      <c r="JV37" s="779"/>
      <c r="JW37" s="779"/>
      <c r="JX37" s="779"/>
      <c r="JY37" s="779"/>
      <c r="JZ37" s="779"/>
      <c r="KA37" s="779"/>
      <c r="KB37" s="779"/>
      <c r="KC37" s="779"/>
      <c r="KD37" s="779"/>
      <c r="KE37" s="779"/>
      <c r="KF37" s="779"/>
      <c r="KG37" s="779"/>
      <c r="KH37" s="779"/>
      <c r="KI37" s="779"/>
      <c r="KJ37" s="779"/>
      <c r="KK37" s="779"/>
      <c r="KL37" s="779"/>
      <c r="KM37" s="779"/>
      <c r="KN37" s="779"/>
      <c r="KO37" s="779"/>
      <c r="KP37" s="779"/>
      <c r="KQ37" s="779"/>
      <c r="KR37" s="779"/>
      <c r="KS37" s="779"/>
      <c r="KT37" s="779"/>
      <c r="KU37" s="779"/>
      <c r="KV37" s="779"/>
      <c r="KW37" s="779"/>
      <c r="KX37" s="779"/>
      <c r="KY37" s="779"/>
      <c r="KZ37" s="779"/>
      <c r="LA37" s="779"/>
      <c r="LB37" s="779"/>
      <c r="LC37" s="779"/>
      <c r="LD37" s="779"/>
      <c r="LE37" s="779"/>
      <c r="LF37" s="779"/>
      <c r="LG37" s="779"/>
      <c r="LH37" s="779"/>
      <c r="LI37" s="779"/>
      <c r="LJ37" s="779"/>
      <c r="LK37" s="779"/>
      <c r="LL37" s="779"/>
      <c r="LM37" s="779"/>
      <c r="LN37" s="779"/>
      <c r="LO37" s="779"/>
      <c r="LP37" s="779"/>
      <c r="LQ37" s="779"/>
      <c r="LR37" s="779"/>
      <c r="LS37" s="779"/>
      <c r="LT37" s="779"/>
      <c r="LU37" s="779"/>
      <c r="LV37" s="779"/>
      <c r="LW37" s="779"/>
      <c r="LX37" s="779"/>
      <c r="LY37" s="779"/>
      <c r="LZ37" s="779"/>
      <c r="MA37" s="779"/>
      <c r="MB37" s="779"/>
      <c r="MC37" s="779"/>
      <c r="MD37" s="779"/>
      <c r="ME37" s="779"/>
      <c r="MF37" s="779"/>
      <c r="MG37" s="779"/>
      <c r="MH37" s="779"/>
      <c r="MI37" s="779"/>
      <c r="MJ37" s="779"/>
      <c r="MK37" s="779"/>
      <c r="ML37" s="779"/>
      <c r="MM37" s="779"/>
      <c r="MN37" s="779"/>
      <c r="MO37" s="779"/>
      <c r="MP37" s="779"/>
      <c r="MQ37" s="779"/>
      <c r="MR37" s="779"/>
      <c r="MS37" s="779"/>
      <c r="MT37" s="779"/>
      <c r="MU37" s="779"/>
      <c r="MV37" s="779"/>
      <c r="MW37" s="779"/>
      <c r="MX37" s="779"/>
      <c r="MY37" s="779"/>
      <c r="MZ37" s="779"/>
      <c r="NA37" s="779"/>
      <c r="NB37" s="779"/>
      <c r="NC37" s="779"/>
      <c r="ND37" s="779"/>
      <c r="NE37" s="779"/>
      <c r="NF37" s="779"/>
      <c r="NG37" s="779"/>
      <c r="NH37" s="779"/>
      <c r="NI37" s="779"/>
      <c r="NJ37" s="779"/>
      <c r="NK37" s="779"/>
      <c r="NL37" s="779"/>
      <c r="NM37" s="779"/>
      <c r="NN37" s="779"/>
      <c r="NO37" s="779"/>
      <c r="NP37" s="779"/>
      <c r="NQ37" s="779"/>
      <c r="NR37" s="779"/>
      <c r="NS37" s="779"/>
      <c r="NT37" s="779"/>
      <c r="NU37" s="779"/>
      <c r="NV37" s="779"/>
      <c r="NW37" s="779"/>
      <c r="NX37" s="779"/>
      <c r="NY37" s="779"/>
      <c r="NZ37" s="779"/>
      <c r="OA37" s="779"/>
      <c r="OB37" s="779"/>
      <c r="OC37" s="779"/>
      <c r="OD37" s="779"/>
      <c r="OE37" s="779"/>
      <c r="OF37" s="779"/>
      <c r="OG37" s="779"/>
      <c r="OH37" s="779"/>
      <c r="OI37" s="779"/>
      <c r="OJ37" s="779"/>
      <c r="OK37" s="779"/>
      <c r="OL37" s="779"/>
      <c r="OM37" s="779"/>
      <c r="ON37" s="779"/>
      <c r="OO37" s="779"/>
      <c r="OP37" s="779"/>
      <c r="OQ37" s="779"/>
      <c r="OR37" s="779"/>
      <c r="OS37" s="779"/>
      <c r="OT37" s="779"/>
      <c r="OU37" s="779"/>
      <c r="OV37" s="779"/>
      <c r="OW37" s="779"/>
      <c r="OX37" s="779"/>
      <c r="OY37" s="779"/>
      <c r="OZ37" s="779"/>
      <c r="PA37" s="779"/>
      <c r="PB37" s="779"/>
      <c r="PC37" s="779"/>
      <c r="PD37" s="779"/>
      <c r="PE37" s="779"/>
      <c r="PF37" s="779"/>
      <c r="PG37" s="779"/>
      <c r="PH37" s="779"/>
      <c r="PI37" s="779"/>
      <c r="PJ37" s="779"/>
      <c r="PK37" s="779"/>
      <c r="PL37" s="779"/>
      <c r="PM37" s="779"/>
      <c r="PN37" s="779"/>
      <c r="PO37" s="779"/>
    </row>
    <row r="38" spans="1:431" s="143" customFormat="1">
      <c r="A38" s="779"/>
      <c r="B38" s="779"/>
      <c r="C38" s="782"/>
      <c r="D38" s="782"/>
      <c r="E38" s="782"/>
      <c r="F38" s="782"/>
      <c r="G38" s="782"/>
      <c r="H38" s="782"/>
      <c r="I38" s="782"/>
      <c r="J38" s="782"/>
      <c r="K38" s="782"/>
      <c r="L38" s="782"/>
      <c r="M38" s="779"/>
      <c r="N38" s="779"/>
      <c r="O38" s="779"/>
      <c r="P38" s="779"/>
      <c r="Q38" s="779"/>
      <c r="R38" s="779"/>
      <c r="S38" s="779"/>
      <c r="T38" s="779"/>
      <c r="U38" s="779"/>
      <c r="V38" s="779"/>
      <c r="W38" s="779"/>
      <c r="X38" s="779"/>
      <c r="Y38" s="779"/>
      <c r="Z38" s="779"/>
      <c r="AA38" s="779"/>
      <c r="AB38" s="779"/>
      <c r="AC38" s="779"/>
      <c r="AD38" s="779"/>
      <c r="AE38" s="779"/>
      <c r="AF38" s="779"/>
      <c r="AG38" s="779"/>
      <c r="AH38" s="779"/>
      <c r="AI38" s="779"/>
      <c r="AJ38" s="779"/>
      <c r="AK38" s="779"/>
      <c r="AL38" s="779"/>
      <c r="AM38" s="779"/>
      <c r="AN38" s="779"/>
      <c r="AO38" s="779"/>
      <c r="AP38" s="779"/>
      <c r="AQ38" s="779"/>
      <c r="AR38" s="779"/>
      <c r="AS38" s="779"/>
      <c r="AT38" s="779"/>
      <c r="AU38" s="779"/>
      <c r="AV38" s="779"/>
      <c r="AW38" s="779"/>
      <c r="AX38" s="779"/>
      <c r="AY38" s="779"/>
      <c r="AZ38" s="779"/>
      <c r="BA38" s="779"/>
      <c r="BB38" s="779"/>
      <c r="BC38" s="779"/>
      <c r="BD38" s="779"/>
      <c r="BE38" s="779"/>
      <c r="BF38" s="779"/>
      <c r="BG38" s="779"/>
      <c r="BH38" s="779"/>
      <c r="BI38" s="779"/>
      <c r="BJ38" s="779"/>
      <c r="BK38" s="779"/>
      <c r="BL38" s="779"/>
      <c r="BM38" s="779"/>
      <c r="BN38" s="779"/>
      <c r="BO38" s="779"/>
      <c r="BP38" s="779"/>
      <c r="BQ38" s="779"/>
      <c r="BR38" s="779"/>
      <c r="BS38" s="779"/>
      <c r="BT38" s="779"/>
      <c r="BU38" s="779"/>
      <c r="BV38" s="779"/>
      <c r="BW38" s="779"/>
      <c r="BX38" s="779"/>
      <c r="BY38" s="779"/>
      <c r="BZ38" s="779"/>
      <c r="CA38" s="779"/>
      <c r="CB38" s="779"/>
      <c r="CC38" s="779"/>
      <c r="CD38" s="779"/>
      <c r="CE38" s="779"/>
      <c r="CF38" s="779"/>
      <c r="CG38" s="779"/>
      <c r="CH38" s="779"/>
      <c r="CI38" s="779"/>
      <c r="CJ38" s="779"/>
      <c r="CK38" s="779"/>
      <c r="CL38" s="779"/>
      <c r="CM38" s="779"/>
      <c r="CN38" s="779"/>
      <c r="CO38" s="779"/>
      <c r="CP38" s="779"/>
      <c r="CQ38" s="779"/>
      <c r="CR38" s="779"/>
      <c r="CS38" s="779"/>
      <c r="CT38" s="779"/>
      <c r="CU38" s="779"/>
      <c r="CV38" s="779"/>
      <c r="CW38" s="779"/>
      <c r="CX38" s="779"/>
      <c r="CY38" s="779"/>
      <c r="CZ38" s="779"/>
      <c r="DA38" s="779"/>
      <c r="DB38" s="779"/>
      <c r="DC38" s="779"/>
      <c r="DD38" s="779"/>
      <c r="DE38" s="779"/>
      <c r="DF38" s="779"/>
      <c r="DG38" s="779"/>
      <c r="DH38" s="779"/>
      <c r="DI38" s="779"/>
      <c r="DJ38" s="779"/>
      <c r="DK38" s="779"/>
      <c r="DL38" s="779"/>
      <c r="DM38" s="779"/>
      <c r="DN38" s="779"/>
      <c r="DO38" s="779"/>
      <c r="DP38" s="779"/>
      <c r="DQ38" s="779"/>
      <c r="DR38" s="779"/>
      <c r="DS38" s="779"/>
      <c r="DT38" s="779"/>
      <c r="DU38" s="779"/>
      <c r="DV38" s="779"/>
      <c r="DW38" s="779"/>
      <c r="DX38" s="779"/>
      <c r="DY38" s="779"/>
      <c r="DZ38" s="779"/>
      <c r="EA38" s="779"/>
      <c r="EB38" s="779"/>
      <c r="EC38" s="779"/>
      <c r="ED38" s="779"/>
      <c r="EE38" s="779"/>
      <c r="EF38" s="779"/>
      <c r="EG38" s="779"/>
      <c r="EH38" s="779"/>
      <c r="EI38" s="779"/>
      <c r="EJ38" s="779"/>
      <c r="EK38" s="779"/>
      <c r="EL38" s="779"/>
      <c r="EM38" s="779"/>
      <c r="EN38" s="779"/>
      <c r="EO38" s="779"/>
      <c r="EP38" s="779"/>
      <c r="EQ38" s="779"/>
      <c r="ER38" s="779"/>
      <c r="ES38" s="779"/>
      <c r="ET38" s="779"/>
      <c r="EU38" s="779"/>
      <c r="EV38" s="779"/>
      <c r="EW38" s="779"/>
      <c r="EX38" s="779"/>
      <c r="EY38" s="779"/>
      <c r="EZ38" s="779"/>
      <c r="FA38" s="779"/>
      <c r="FB38" s="779"/>
      <c r="FC38" s="779"/>
      <c r="FD38" s="779"/>
      <c r="FE38" s="779"/>
      <c r="FF38" s="779"/>
      <c r="FG38" s="779"/>
      <c r="FH38" s="779"/>
      <c r="FI38" s="779"/>
      <c r="FJ38" s="779"/>
      <c r="FK38" s="779"/>
      <c r="FL38" s="779"/>
      <c r="FM38" s="779"/>
      <c r="FN38" s="779"/>
      <c r="FO38" s="779"/>
      <c r="FP38" s="779"/>
      <c r="FQ38" s="779"/>
      <c r="FR38" s="779"/>
      <c r="FS38" s="779"/>
      <c r="FT38" s="779"/>
      <c r="FU38" s="779"/>
      <c r="FV38" s="779"/>
      <c r="FW38" s="779"/>
      <c r="FX38" s="779"/>
      <c r="FY38" s="779"/>
      <c r="FZ38" s="779"/>
      <c r="GA38" s="779"/>
      <c r="GB38" s="779"/>
      <c r="GC38" s="779"/>
      <c r="GD38" s="779"/>
      <c r="GE38" s="779"/>
      <c r="GF38" s="779"/>
      <c r="GG38" s="779"/>
      <c r="GH38" s="779"/>
      <c r="GI38" s="779"/>
      <c r="GJ38" s="779"/>
      <c r="GK38" s="779"/>
      <c r="GL38" s="779"/>
      <c r="GM38" s="779"/>
      <c r="GN38" s="779"/>
      <c r="GO38" s="779"/>
      <c r="GP38" s="779"/>
      <c r="GQ38" s="779"/>
      <c r="GR38" s="779"/>
      <c r="GS38" s="779"/>
      <c r="GT38" s="779"/>
      <c r="GU38" s="779"/>
      <c r="GV38" s="779"/>
      <c r="GW38" s="779"/>
      <c r="GX38" s="779"/>
      <c r="GY38" s="779"/>
      <c r="GZ38" s="779"/>
      <c r="HA38" s="779"/>
      <c r="HB38" s="779"/>
      <c r="HC38" s="779"/>
      <c r="HD38" s="779"/>
      <c r="HE38" s="779"/>
      <c r="HF38" s="779"/>
      <c r="HG38" s="779"/>
      <c r="HH38" s="779"/>
      <c r="HI38" s="779"/>
      <c r="HJ38" s="779"/>
      <c r="HK38" s="779"/>
      <c r="HL38" s="779"/>
      <c r="HM38" s="779"/>
      <c r="HN38" s="779"/>
      <c r="HO38" s="779"/>
      <c r="HP38" s="779"/>
      <c r="HQ38" s="779"/>
      <c r="HR38" s="779"/>
      <c r="HS38" s="779"/>
      <c r="HT38" s="779"/>
      <c r="HU38" s="779"/>
      <c r="HV38" s="779"/>
      <c r="HW38" s="779"/>
      <c r="HX38" s="779"/>
      <c r="HY38" s="779"/>
      <c r="HZ38" s="779"/>
      <c r="IA38" s="779"/>
      <c r="IB38" s="779"/>
      <c r="IC38" s="779"/>
      <c r="ID38" s="779"/>
      <c r="IE38" s="779"/>
      <c r="IF38" s="779"/>
      <c r="IG38" s="779"/>
      <c r="IH38" s="779"/>
      <c r="II38" s="779"/>
      <c r="IJ38" s="779"/>
      <c r="IK38" s="779"/>
      <c r="IL38" s="779"/>
      <c r="IM38" s="779"/>
      <c r="IN38" s="779"/>
      <c r="IO38" s="779"/>
      <c r="IP38" s="779"/>
      <c r="IQ38" s="779"/>
      <c r="IR38" s="779"/>
      <c r="IS38" s="779"/>
      <c r="IT38" s="779"/>
      <c r="IU38" s="779"/>
      <c r="IV38" s="779"/>
      <c r="IW38" s="779"/>
      <c r="IX38" s="779"/>
      <c r="IY38" s="779"/>
      <c r="IZ38" s="779"/>
      <c r="JA38" s="779"/>
      <c r="JB38" s="779"/>
      <c r="JC38" s="779"/>
      <c r="JD38" s="779"/>
      <c r="JE38" s="779"/>
      <c r="JF38" s="779"/>
      <c r="JG38" s="779"/>
      <c r="JH38" s="779"/>
      <c r="JI38" s="779"/>
      <c r="JJ38" s="779"/>
      <c r="JK38" s="779"/>
      <c r="JL38" s="779"/>
      <c r="JM38" s="779"/>
      <c r="JN38" s="779"/>
      <c r="JO38" s="779"/>
      <c r="JP38" s="779"/>
      <c r="JQ38" s="779"/>
      <c r="JR38" s="779"/>
      <c r="JS38" s="779"/>
      <c r="JT38" s="779"/>
      <c r="JU38" s="779"/>
      <c r="JV38" s="779"/>
      <c r="JW38" s="779"/>
      <c r="JX38" s="779"/>
      <c r="JY38" s="779"/>
      <c r="JZ38" s="779"/>
      <c r="KA38" s="779"/>
      <c r="KB38" s="779"/>
      <c r="KC38" s="779"/>
      <c r="KD38" s="779"/>
      <c r="KE38" s="779"/>
      <c r="KF38" s="779"/>
      <c r="KG38" s="779"/>
      <c r="KH38" s="779"/>
      <c r="KI38" s="779"/>
      <c r="KJ38" s="779"/>
      <c r="KK38" s="779"/>
      <c r="KL38" s="779"/>
      <c r="KM38" s="779"/>
      <c r="KN38" s="779"/>
      <c r="KO38" s="779"/>
      <c r="KP38" s="779"/>
      <c r="KQ38" s="779"/>
      <c r="KR38" s="779"/>
      <c r="KS38" s="779"/>
      <c r="KT38" s="779"/>
      <c r="KU38" s="779"/>
      <c r="KV38" s="779"/>
      <c r="KW38" s="779"/>
      <c r="KX38" s="779"/>
      <c r="KY38" s="779"/>
      <c r="KZ38" s="779"/>
      <c r="LA38" s="779"/>
      <c r="LB38" s="779"/>
      <c r="LC38" s="779"/>
      <c r="LD38" s="779"/>
      <c r="LE38" s="779"/>
      <c r="LF38" s="779"/>
      <c r="LG38" s="779"/>
      <c r="LH38" s="779"/>
      <c r="LI38" s="779"/>
      <c r="LJ38" s="779"/>
      <c r="LK38" s="779"/>
      <c r="LL38" s="779"/>
      <c r="LM38" s="779"/>
      <c r="LN38" s="779"/>
      <c r="LO38" s="779"/>
      <c r="LP38" s="779"/>
      <c r="LQ38" s="779"/>
      <c r="LR38" s="779"/>
      <c r="LS38" s="779"/>
      <c r="LT38" s="779"/>
      <c r="LU38" s="779"/>
      <c r="LV38" s="779"/>
      <c r="LW38" s="779"/>
      <c r="LX38" s="779"/>
      <c r="LY38" s="779"/>
      <c r="LZ38" s="779"/>
      <c r="MA38" s="779"/>
      <c r="MB38" s="779"/>
      <c r="MC38" s="779"/>
      <c r="MD38" s="779"/>
      <c r="ME38" s="779"/>
      <c r="MF38" s="779"/>
      <c r="MG38" s="779"/>
      <c r="MH38" s="779"/>
      <c r="MI38" s="779"/>
      <c r="MJ38" s="779"/>
      <c r="MK38" s="779"/>
      <c r="ML38" s="779"/>
      <c r="MM38" s="779"/>
      <c r="MN38" s="779"/>
      <c r="MO38" s="779"/>
      <c r="MP38" s="779"/>
      <c r="MQ38" s="779"/>
      <c r="MR38" s="779"/>
      <c r="MS38" s="779"/>
      <c r="MT38" s="779"/>
      <c r="MU38" s="779"/>
      <c r="MV38" s="779"/>
      <c r="MW38" s="779"/>
      <c r="MX38" s="779"/>
      <c r="MY38" s="779"/>
      <c r="MZ38" s="779"/>
      <c r="NA38" s="779"/>
      <c r="NB38" s="779"/>
      <c r="NC38" s="779"/>
      <c r="ND38" s="779"/>
      <c r="NE38" s="779"/>
      <c r="NF38" s="779"/>
      <c r="NG38" s="779"/>
      <c r="NH38" s="779"/>
      <c r="NI38" s="779"/>
      <c r="NJ38" s="779"/>
      <c r="NK38" s="779"/>
      <c r="NL38" s="779"/>
      <c r="NM38" s="779"/>
      <c r="NN38" s="779"/>
      <c r="NO38" s="779"/>
      <c r="NP38" s="779"/>
      <c r="NQ38" s="779"/>
      <c r="NR38" s="779"/>
      <c r="NS38" s="779"/>
      <c r="NT38" s="779"/>
      <c r="NU38" s="779"/>
      <c r="NV38" s="779"/>
      <c r="NW38" s="779"/>
      <c r="NX38" s="779"/>
      <c r="NY38" s="779"/>
      <c r="NZ38" s="779"/>
      <c r="OA38" s="779"/>
      <c r="OB38" s="779"/>
      <c r="OC38" s="779"/>
      <c r="OD38" s="779"/>
      <c r="OE38" s="779"/>
      <c r="OF38" s="779"/>
      <c r="OG38" s="779"/>
      <c r="OH38" s="779"/>
      <c r="OI38" s="779"/>
      <c r="OJ38" s="779"/>
      <c r="OK38" s="779"/>
      <c r="OL38" s="779"/>
      <c r="OM38" s="779"/>
      <c r="ON38" s="779"/>
      <c r="OO38" s="779"/>
      <c r="OP38" s="779"/>
      <c r="OQ38" s="779"/>
      <c r="OR38" s="779"/>
      <c r="OS38" s="779"/>
      <c r="OT38" s="779"/>
      <c r="OU38" s="779"/>
      <c r="OV38" s="779"/>
      <c r="OW38" s="779"/>
      <c r="OX38" s="779"/>
      <c r="OY38" s="779"/>
      <c r="OZ38" s="779"/>
      <c r="PA38" s="779"/>
      <c r="PB38" s="779"/>
      <c r="PC38" s="779"/>
      <c r="PD38" s="779"/>
      <c r="PE38" s="779"/>
      <c r="PF38" s="779"/>
      <c r="PG38" s="779"/>
      <c r="PH38" s="779"/>
      <c r="PI38" s="779"/>
      <c r="PJ38" s="779"/>
      <c r="PK38" s="779"/>
      <c r="PL38" s="779"/>
      <c r="PM38" s="779"/>
      <c r="PN38" s="779"/>
      <c r="PO38" s="779"/>
    </row>
    <row r="39" spans="1:431" s="143" customFormat="1">
      <c r="A39" s="779"/>
      <c r="B39" s="779"/>
      <c r="C39" s="782"/>
      <c r="D39" s="782"/>
      <c r="E39" s="782"/>
      <c r="F39" s="782"/>
      <c r="G39" s="782"/>
      <c r="H39" s="782"/>
      <c r="I39" s="782"/>
      <c r="J39" s="782"/>
      <c r="K39" s="782"/>
      <c r="L39" s="782"/>
      <c r="M39" s="779"/>
      <c r="N39" s="779"/>
      <c r="O39" s="779"/>
      <c r="P39" s="779"/>
      <c r="Q39" s="779"/>
      <c r="R39" s="779"/>
      <c r="S39" s="779"/>
      <c r="T39" s="779"/>
      <c r="U39" s="779"/>
      <c r="V39" s="779"/>
      <c r="W39" s="779"/>
      <c r="X39" s="779"/>
      <c r="Y39" s="779"/>
      <c r="Z39" s="779"/>
      <c r="AA39" s="779"/>
      <c r="AB39" s="779"/>
      <c r="AC39" s="779"/>
      <c r="AD39" s="779"/>
      <c r="AE39" s="779"/>
      <c r="AF39" s="779"/>
      <c r="AG39" s="779"/>
      <c r="AH39" s="779"/>
      <c r="AI39" s="779"/>
      <c r="AJ39" s="779"/>
      <c r="AK39" s="779"/>
      <c r="AL39" s="779"/>
      <c r="AM39" s="779"/>
      <c r="AN39" s="779"/>
      <c r="AO39" s="779"/>
      <c r="AP39" s="779"/>
      <c r="AQ39" s="779"/>
      <c r="AR39" s="779"/>
      <c r="AS39" s="779"/>
      <c r="AT39" s="779"/>
      <c r="AU39" s="779"/>
      <c r="AV39" s="779"/>
      <c r="AW39" s="779"/>
      <c r="AX39" s="779"/>
      <c r="AY39" s="779"/>
      <c r="AZ39" s="779"/>
      <c r="BA39" s="779"/>
      <c r="BB39" s="779"/>
      <c r="BC39" s="779"/>
      <c r="BD39" s="779"/>
      <c r="BE39" s="779"/>
      <c r="BF39" s="779"/>
      <c r="BG39" s="779"/>
      <c r="BH39" s="779"/>
      <c r="BI39" s="779"/>
      <c r="BJ39" s="779"/>
      <c r="BK39" s="779"/>
      <c r="BL39" s="779"/>
      <c r="BM39" s="779"/>
      <c r="BN39" s="779"/>
      <c r="BO39" s="779"/>
      <c r="BP39" s="779"/>
      <c r="BQ39" s="779"/>
      <c r="BR39" s="779"/>
      <c r="BS39" s="779"/>
      <c r="BT39" s="779"/>
      <c r="BU39" s="779"/>
      <c r="BV39" s="779"/>
      <c r="BW39" s="779"/>
      <c r="BX39" s="779"/>
      <c r="BY39" s="779"/>
      <c r="BZ39" s="779"/>
      <c r="CA39" s="779"/>
      <c r="CB39" s="779"/>
      <c r="CC39" s="779"/>
      <c r="CD39" s="779"/>
      <c r="CE39" s="779"/>
      <c r="CF39" s="779"/>
      <c r="CG39" s="779"/>
      <c r="CH39" s="779"/>
      <c r="CI39" s="779"/>
      <c r="CJ39" s="779"/>
      <c r="CK39" s="779"/>
      <c r="CL39" s="779"/>
      <c r="CM39" s="779"/>
      <c r="CN39" s="779"/>
      <c r="CO39" s="779"/>
      <c r="CP39" s="779"/>
      <c r="CQ39" s="779"/>
      <c r="CR39" s="779"/>
      <c r="CS39" s="779"/>
      <c r="CT39" s="779"/>
      <c r="CU39" s="779"/>
      <c r="CV39" s="779"/>
      <c r="CW39" s="779"/>
      <c r="CX39" s="779"/>
      <c r="CY39" s="779"/>
      <c r="CZ39" s="779"/>
      <c r="DA39" s="779"/>
      <c r="DB39" s="779"/>
      <c r="DC39" s="779"/>
      <c r="DD39" s="779"/>
      <c r="DE39" s="779"/>
      <c r="DF39" s="779"/>
      <c r="DG39" s="779"/>
      <c r="DH39" s="779"/>
      <c r="DI39" s="779"/>
      <c r="DJ39" s="779"/>
      <c r="DK39" s="779"/>
      <c r="DL39" s="779"/>
      <c r="DM39" s="779"/>
      <c r="DN39" s="779"/>
      <c r="DO39" s="779"/>
      <c r="DP39" s="779"/>
      <c r="DQ39" s="779"/>
      <c r="DR39" s="779"/>
      <c r="DS39" s="779"/>
      <c r="DT39" s="779"/>
      <c r="DU39" s="779"/>
      <c r="DV39" s="779"/>
      <c r="DW39" s="779"/>
      <c r="DX39" s="779"/>
      <c r="DY39" s="779"/>
      <c r="DZ39" s="779"/>
      <c r="EA39" s="779"/>
      <c r="EB39" s="779"/>
      <c r="EC39" s="779"/>
      <c r="ED39" s="779"/>
      <c r="EE39" s="779"/>
      <c r="EF39" s="779"/>
      <c r="EG39" s="779"/>
      <c r="EH39" s="779"/>
      <c r="EI39" s="779"/>
      <c r="EJ39" s="779"/>
      <c r="EK39" s="779"/>
      <c r="EL39" s="779"/>
      <c r="EM39" s="779"/>
      <c r="EN39" s="779"/>
      <c r="EO39" s="779"/>
      <c r="EP39" s="779"/>
      <c r="EQ39" s="779"/>
      <c r="ER39" s="779"/>
      <c r="ES39" s="779"/>
      <c r="ET39" s="779"/>
      <c r="EU39" s="779"/>
      <c r="EV39" s="779"/>
      <c r="EW39" s="779"/>
      <c r="EX39" s="779"/>
      <c r="EY39" s="779"/>
      <c r="EZ39" s="779"/>
      <c r="FA39" s="779"/>
      <c r="FB39" s="779"/>
      <c r="FC39" s="779"/>
      <c r="FD39" s="779"/>
      <c r="FE39" s="779"/>
      <c r="FF39" s="779"/>
      <c r="FG39" s="779"/>
      <c r="FH39" s="779"/>
      <c r="FI39" s="779"/>
      <c r="FJ39" s="779"/>
      <c r="FK39" s="779"/>
      <c r="FL39" s="779"/>
      <c r="FM39" s="779"/>
      <c r="FN39" s="779"/>
      <c r="FO39" s="779"/>
      <c r="FP39" s="779"/>
      <c r="FQ39" s="779"/>
      <c r="FR39" s="779"/>
      <c r="FS39" s="779"/>
      <c r="FT39" s="779"/>
      <c r="FU39" s="779"/>
      <c r="FV39" s="779"/>
      <c r="FW39" s="779"/>
      <c r="FX39" s="779"/>
      <c r="FY39" s="779"/>
      <c r="FZ39" s="779"/>
      <c r="GA39" s="779"/>
      <c r="GB39" s="779"/>
      <c r="GC39" s="779"/>
      <c r="GD39" s="779"/>
      <c r="GE39" s="779"/>
      <c r="GF39" s="779"/>
      <c r="GG39" s="779"/>
      <c r="GH39" s="779"/>
      <c r="GI39" s="779"/>
      <c r="GJ39" s="779"/>
      <c r="GK39" s="779"/>
      <c r="GL39" s="779"/>
      <c r="GM39" s="779"/>
      <c r="GN39" s="779"/>
      <c r="GO39" s="779"/>
      <c r="GP39" s="779"/>
      <c r="GQ39" s="779"/>
      <c r="GR39" s="779"/>
      <c r="GS39" s="779"/>
      <c r="GT39" s="779"/>
      <c r="GU39" s="779"/>
      <c r="GV39" s="779"/>
      <c r="GW39" s="779"/>
      <c r="GX39" s="779"/>
      <c r="GY39" s="779"/>
      <c r="GZ39" s="779"/>
      <c r="HA39" s="779"/>
      <c r="HB39" s="779"/>
      <c r="HC39" s="779"/>
      <c r="HD39" s="779"/>
      <c r="HE39" s="779"/>
      <c r="HF39" s="779"/>
      <c r="HG39" s="779"/>
      <c r="HH39" s="779"/>
      <c r="HI39" s="779"/>
      <c r="HJ39" s="779"/>
      <c r="HK39" s="779"/>
      <c r="HL39" s="779"/>
      <c r="HM39" s="779"/>
      <c r="HN39" s="779"/>
      <c r="HO39" s="779"/>
      <c r="HP39" s="779"/>
      <c r="HQ39" s="779"/>
      <c r="HR39" s="779"/>
      <c r="HS39" s="779"/>
      <c r="HT39" s="779"/>
      <c r="HU39" s="779"/>
      <c r="HV39" s="779"/>
      <c r="HW39" s="779"/>
      <c r="HX39" s="779"/>
      <c r="HY39" s="779"/>
      <c r="HZ39" s="779"/>
      <c r="IA39" s="779"/>
      <c r="IB39" s="779"/>
      <c r="IC39" s="779"/>
      <c r="ID39" s="779"/>
      <c r="IE39" s="779"/>
      <c r="IF39" s="779"/>
      <c r="IG39" s="779"/>
      <c r="IH39" s="779"/>
      <c r="II39" s="779"/>
      <c r="IJ39" s="779"/>
      <c r="IK39" s="779"/>
      <c r="IL39" s="779"/>
      <c r="IM39" s="779"/>
      <c r="IN39" s="779"/>
      <c r="IO39" s="779"/>
      <c r="IP39" s="779"/>
      <c r="IQ39" s="779"/>
      <c r="IR39" s="779"/>
      <c r="IS39" s="779"/>
      <c r="IT39" s="779"/>
      <c r="IU39" s="779"/>
      <c r="IV39" s="779"/>
      <c r="IW39" s="779"/>
      <c r="IX39" s="779"/>
      <c r="IY39" s="779"/>
      <c r="IZ39" s="779"/>
      <c r="JA39" s="779"/>
      <c r="JB39" s="779"/>
      <c r="JC39" s="779"/>
      <c r="JD39" s="779"/>
      <c r="JE39" s="779"/>
      <c r="JF39" s="779"/>
      <c r="JG39" s="779"/>
      <c r="JH39" s="779"/>
      <c r="JI39" s="779"/>
      <c r="JJ39" s="779"/>
      <c r="JK39" s="779"/>
      <c r="JL39" s="779"/>
      <c r="JM39" s="779"/>
      <c r="JN39" s="779"/>
      <c r="JO39" s="779"/>
      <c r="JP39" s="779"/>
      <c r="JQ39" s="779"/>
      <c r="JR39" s="779"/>
      <c r="JS39" s="779"/>
      <c r="JT39" s="779"/>
      <c r="JU39" s="779"/>
      <c r="JV39" s="779"/>
      <c r="JW39" s="779"/>
      <c r="JX39" s="779"/>
      <c r="JY39" s="779"/>
      <c r="JZ39" s="779"/>
      <c r="KA39" s="779"/>
      <c r="KB39" s="779"/>
      <c r="KC39" s="779"/>
      <c r="KD39" s="779"/>
      <c r="KE39" s="779"/>
      <c r="KF39" s="779"/>
      <c r="KG39" s="779"/>
      <c r="KH39" s="779"/>
      <c r="KI39" s="779"/>
      <c r="KJ39" s="779"/>
      <c r="KK39" s="779"/>
      <c r="KL39" s="779"/>
      <c r="KM39" s="779"/>
      <c r="KN39" s="779"/>
      <c r="KO39" s="779"/>
      <c r="KP39" s="779"/>
      <c r="KQ39" s="779"/>
      <c r="KR39" s="779"/>
      <c r="KS39" s="779"/>
      <c r="KT39" s="779"/>
      <c r="KU39" s="779"/>
      <c r="KV39" s="779"/>
      <c r="KW39" s="779"/>
      <c r="KX39" s="779"/>
      <c r="KY39" s="779"/>
      <c r="KZ39" s="779"/>
      <c r="LA39" s="779"/>
      <c r="LB39" s="779"/>
      <c r="LC39" s="779"/>
      <c r="LD39" s="779"/>
      <c r="LE39" s="779"/>
      <c r="LF39" s="779"/>
      <c r="LG39" s="779"/>
      <c r="LH39" s="779"/>
      <c r="LI39" s="779"/>
      <c r="LJ39" s="779"/>
      <c r="LK39" s="779"/>
      <c r="LL39" s="779"/>
      <c r="LM39" s="779"/>
      <c r="LN39" s="779"/>
      <c r="LO39" s="779"/>
      <c r="LP39" s="779"/>
      <c r="LQ39" s="779"/>
      <c r="LR39" s="779"/>
      <c r="LS39" s="779"/>
      <c r="LT39" s="779"/>
      <c r="LU39" s="779"/>
      <c r="LV39" s="779"/>
      <c r="LW39" s="779"/>
      <c r="LX39" s="779"/>
      <c r="LY39" s="779"/>
      <c r="LZ39" s="779"/>
      <c r="MA39" s="779"/>
      <c r="MB39" s="779"/>
      <c r="MC39" s="779"/>
      <c r="MD39" s="779"/>
      <c r="ME39" s="779"/>
      <c r="MF39" s="779"/>
      <c r="MG39" s="779"/>
      <c r="MH39" s="779"/>
      <c r="MI39" s="779"/>
      <c r="MJ39" s="779"/>
      <c r="MK39" s="779"/>
      <c r="ML39" s="779"/>
      <c r="MM39" s="779"/>
      <c r="MN39" s="779"/>
      <c r="MO39" s="779"/>
      <c r="MP39" s="779"/>
      <c r="MQ39" s="779"/>
      <c r="MR39" s="779"/>
      <c r="MS39" s="779"/>
      <c r="MT39" s="779"/>
      <c r="MU39" s="779"/>
      <c r="MV39" s="779"/>
      <c r="MW39" s="779"/>
      <c r="MX39" s="779"/>
      <c r="MY39" s="779"/>
      <c r="MZ39" s="779"/>
      <c r="NA39" s="779"/>
      <c r="NB39" s="779"/>
      <c r="NC39" s="779"/>
      <c r="ND39" s="779"/>
      <c r="NE39" s="779"/>
      <c r="NF39" s="779"/>
      <c r="NG39" s="779"/>
      <c r="NH39" s="779"/>
      <c r="NI39" s="779"/>
      <c r="NJ39" s="779"/>
      <c r="NK39" s="779"/>
      <c r="NL39" s="779"/>
      <c r="NM39" s="779"/>
      <c r="NN39" s="779"/>
      <c r="NO39" s="779"/>
      <c r="NP39" s="779"/>
      <c r="NQ39" s="779"/>
      <c r="NR39" s="779"/>
      <c r="NS39" s="779"/>
      <c r="NT39" s="779"/>
      <c r="NU39" s="779"/>
      <c r="NV39" s="779"/>
      <c r="NW39" s="779"/>
      <c r="NX39" s="779"/>
      <c r="NY39" s="779"/>
      <c r="NZ39" s="779"/>
      <c r="OA39" s="779"/>
      <c r="OB39" s="779"/>
      <c r="OC39" s="779"/>
      <c r="OD39" s="779"/>
      <c r="OE39" s="779"/>
      <c r="OF39" s="779"/>
      <c r="OG39" s="779"/>
      <c r="OH39" s="779"/>
      <c r="OI39" s="779"/>
      <c r="OJ39" s="779"/>
      <c r="OK39" s="779"/>
      <c r="OL39" s="779"/>
      <c r="OM39" s="779"/>
      <c r="ON39" s="779"/>
      <c r="OO39" s="779"/>
      <c r="OP39" s="779"/>
      <c r="OQ39" s="779"/>
      <c r="OR39" s="779"/>
      <c r="OS39" s="779"/>
      <c r="OT39" s="779"/>
      <c r="OU39" s="779"/>
      <c r="OV39" s="779"/>
      <c r="OW39" s="779"/>
      <c r="OX39" s="779"/>
      <c r="OY39" s="779"/>
      <c r="OZ39" s="779"/>
      <c r="PA39" s="779"/>
      <c r="PB39" s="779"/>
      <c r="PC39" s="779"/>
      <c r="PD39" s="779"/>
      <c r="PE39" s="779"/>
      <c r="PF39" s="779"/>
      <c r="PG39" s="779"/>
      <c r="PH39" s="779"/>
      <c r="PI39" s="779"/>
      <c r="PJ39" s="779"/>
      <c r="PK39" s="779"/>
      <c r="PL39" s="779"/>
      <c r="PM39" s="779"/>
      <c r="PN39" s="779"/>
      <c r="PO39" s="779"/>
    </row>
    <row r="40" spans="1:431" s="143" customFormat="1">
      <c r="A40" s="779"/>
      <c r="B40" s="779"/>
      <c r="C40" s="782"/>
      <c r="D40" s="782"/>
      <c r="E40" s="782"/>
      <c r="F40" s="782"/>
      <c r="G40" s="782"/>
      <c r="H40" s="782"/>
      <c r="I40" s="782"/>
      <c r="J40" s="782"/>
      <c r="K40" s="782"/>
      <c r="L40" s="782"/>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79"/>
      <c r="AY40" s="779"/>
      <c r="AZ40" s="779"/>
      <c r="BA40" s="779"/>
      <c r="BB40" s="779"/>
      <c r="BC40" s="779"/>
      <c r="BD40" s="779"/>
      <c r="BE40" s="779"/>
      <c r="BF40" s="779"/>
      <c r="BG40" s="779"/>
      <c r="BH40" s="779"/>
      <c r="BI40" s="779"/>
      <c r="BJ40" s="779"/>
      <c r="BK40" s="779"/>
      <c r="BL40" s="779"/>
      <c r="BM40" s="779"/>
      <c r="BN40" s="779"/>
      <c r="BO40" s="779"/>
      <c r="BP40" s="779"/>
      <c r="BQ40" s="779"/>
      <c r="BR40" s="779"/>
      <c r="BS40" s="779"/>
      <c r="BT40" s="779"/>
      <c r="BU40" s="779"/>
      <c r="BV40" s="779"/>
      <c r="BW40" s="779"/>
      <c r="BX40" s="779"/>
      <c r="BY40" s="779"/>
      <c r="BZ40" s="779"/>
      <c r="CA40" s="779"/>
      <c r="CB40" s="779"/>
      <c r="CC40" s="779"/>
      <c r="CD40" s="779"/>
      <c r="CE40" s="779"/>
      <c r="CF40" s="779"/>
      <c r="CG40" s="779"/>
      <c r="CH40" s="779"/>
      <c r="CI40" s="779"/>
      <c r="CJ40" s="779"/>
      <c r="CK40" s="779"/>
      <c r="CL40" s="779"/>
      <c r="CM40" s="779"/>
      <c r="CN40" s="779"/>
      <c r="CO40" s="779"/>
      <c r="CP40" s="779"/>
      <c r="CQ40" s="779"/>
      <c r="CR40" s="779"/>
      <c r="CS40" s="779"/>
      <c r="CT40" s="779"/>
      <c r="CU40" s="779"/>
      <c r="CV40" s="779"/>
      <c r="CW40" s="779"/>
      <c r="CX40" s="779"/>
      <c r="CY40" s="779"/>
      <c r="CZ40" s="779"/>
      <c r="DA40" s="779"/>
      <c r="DB40" s="779"/>
      <c r="DC40" s="779"/>
      <c r="DD40" s="779"/>
      <c r="DE40" s="779"/>
      <c r="DF40" s="779"/>
      <c r="DG40" s="779"/>
      <c r="DH40" s="779"/>
      <c r="DI40" s="779"/>
      <c r="DJ40" s="779"/>
      <c r="DK40" s="779"/>
      <c r="DL40" s="779"/>
      <c r="DM40" s="779"/>
      <c r="DN40" s="779"/>
      <c r="DO40" s="779"/>
      <c r="DP40" s="779"/>
      <c r="DQ40" s="779"/>
      <c r="DR40" s="779"/>
      <c r="DS40" s="779"/>
      <c r="DT40" s="779"/>
      <c r="DU40" s="779"/>
      <c r="DV40" s="779"/>
      <c r="DW40" s="779"/>
      <c r="DX40" s="779"/>
      <c r="DY40" s="779"/>
      <c r="DZ40" s="779"/>
      <c r="EA40" s="779"/>
      <c r="EB40" s="779"/>
      <c r="EC40" s="779"/>
      <c r="ED40" s="779"/>
      <c r="EE40" s="779"/>
      <c r="EF40" s="779"/>
      <c r="EG40" s="779"/>
      <c r="EH40" s="779"/>
      <c r="EI40" s="779"/>
      <c r="EJ40" s="779"/>
      <c r="EK40" s="779"/>
      <c r="EL40" s="779"/>
      <c r="EM40" s="779"/>
      <c r="EN40" s="779"/>
      <c r="EO40" s="779"/>
      <c r="EP40" s="779"/>
      <c r="EQ40" s="779"/>
      <c r="ER40" s="779"/>
      <c r="ES40" s="779"/>
      <c r="ET40" s="779"/>
      <c r="EU40" s="779"/>
      <c r="EV40" s="779"/>
      <c r="EW40" s="779"/>
      <c r="EX40" s="779"/>
      <c r="EY40" s="779"/>
      <c r="EZ40" s="779"/>
      <c r="FA40" s="779"/>
      <c r="FB40" s="779"/>
      <c r="FC40" s="779"/>
      <c r="FD40" s="779"/>
      <c r="FE40" s="779"/>
      <c r="FF40" s="779"/>
      <c r="FG40" s="779"/>
      <c r="FH40" s="779"/>
      <c r="FI40" s="779"/>
      <c r="FJ40" s="779"/>
      <c r="FK40" s="779"/>
      <c r="FL40" s="779"/>
      <c r="FM40" s="779"/>
      <c r="FN40" s="779"/>
      <c r="FO40" s="779"/>
      <c r="FP40" s="779"/>
      <c r="FQ40" s="779"/>
      <c r="FR40" s="779"/>
      <c r="FS40" s="779"/>
      <c r="FT40" s="779"/>
      <c r="FU40" s="779"/>
      <c r="FV40" s="779"/>
      <c r="FW40" s="779"/>
      <c r="FX40" s="779"/>
      <c r="FY40" s="779"/>
      <c r="FZ40" s="779"/>
      <c r="GA40" s="779"/>
      <c r="GB40" s="779"/>
      <c r="GC40" s="779"/>
      <c r="GD40" s="779"/>
      <c r="GE40" s="779"/>
      <c r="GF40" s="779"/>
      <c r="GG40" s="779"/>
      <c r="GH40" s="779"/>
      <c r="GI40" s="779"/>
      <c r="GJ40" s="779"/>
      <c r="GK40" s="779"/>
      <c r="GL40" s="779"/>
      <c r="GM40" s="779"/>
      <c r="GN40" s="779"/>
      <c r="GO40" s="779"/>
      <c r="GP40" s="779"/>
      <c r="GQ40" s="779"/>
      <c r="GR40" s="779"/>
      <c r="GS40" s="779"/>
      <c r="GT40" s="779"/>
      <c r="GU40" s="779"/>
      <c r="GV40" s="779"/>
      <c r="GW40" s="779"/>
      <c r="GX40" s="779"/>
      <c r="GY40" s="779"/>
      <c r="GZ40" s="779"/>
      <c r="HA40" s="779"/>
      <c r="HB40" s="779"/>
      <c r="HC40" s="779"/>
      <c r="HD40" s="779"/>
      <c r="HE40" s="779"/>
      <c r="HF40" s="779"/>
      <c r="HG40" s="779"/>
      <c r="HH40" s="779"/>
      <c r="HI40" s="779"/>
      <c r="HJ40" s="779"/>
      <c r="HK40" s="779"/>
      <c r="HL40" s="779"/>
      <c r="HM40" s="779"/>
      <c r="HN40" s="779"/>
      <c r="HO40" s="779"/>
      <c r="HP40" s="779"/>
      <c r="HQ40" s="779"/>
      <c r="HR40" s="779"/>
      <c r="HS40" s="779"/>
      <c r="HT40" s="779"/>
      <c r="HU40" s="779"/>
      <c r="HV40" s="779"/>
      <c r="HW40" s="779"/>
      <c r="HX40" s="779"/>
      <c r="HY40" s="779"/>
      <c r="HZ40" s="779"/>
      <c r="IA40" s="779"/>
      <c r="IB40" s="779"/>
      <c r="IC40" s="779"/>
      <c r="ID40" s="779"/>
      <c r="IE40" s="779"/>
      <c r="IF40" s="779"/>
      <c r="IG40" s="779"/>
      <c r="IH40" s="779"/>
      <c r="II40" s="779"/>
      <c r="IJ40" s="779"/>
      <c r="IK40" s="779"/>
      <c r="IL40" s="779"/>
      <c r="IM40" s="779"/>
      <c r="IN40" s="779"/>
      <c r="IO40" s="779"/>
      <c r="IP40" s="779"/>
      <c r="IQ40" s="779"/>
      <c r="IR40" s="779"/>
      <c r="IS40" s="779"/>
      <c r="IT40" s="779"/>
      <c r="IU40" s="779"/>
      <c r="IV40" s="779"/>
      <c r="IW40" s="779"/>
      <c r="IX40" s="779"/>
      <c r="IY40" s="779"/>
      <c r="IZ40" s="779"/>
      <c r="JA40" s="779"/>
      <c r="JB40" s="779"/>
      <c r="JC40" s="779"/>
      <c r="JD40" s="779"/>
      <c r="JE40" s="779"/>
      <c r="JF40" s="779"/>
      <c r="JG40" s="779"/>
      <c r="JH40" s="779"/>
      <c r="JI40" s="779"/>
      <c r="JJ40" s="779"/>
      <c r="JK40" s="779"/>
      <c r="JL40" s="779"/>
      <c r="JM40" s="779"/>
      <c r="JN40" s="779"/>
      <c r="JO40" s="779"/>
      <c r="JP40" s="779"/>
      <c r="JQ40" s="779"/>
      <c r="JR40" s="779"/>
      <c r="JS40" s="779"/>
      <c r="JT40" s="779"/>
      <c r="JU40" s="779"/>
      <c r="JV40" s="779"/>
      <c r="JW40" s="779"/>
      <c r="JX40" s="779"/>
      <c r="JY40" s="779"/>
      <c r="JZ40" s="779"/>
      <c r="KA40" s="779"/>
      <c r="KB40" s="779"/>
      <c r="KC40" s="779"/>
      <c r="KD40" s="779"/>
      <c r="KE40" s="779"/>
      <c r="KF40" s="779"/>
      <c r="KG40" s="779"/>
      <c r="KH40" s="779"/>
      <c r="KI40" s="779"/>
      <c r="KJ40" s="779"/>
      <c r="KK40" s="779"/>
      <c r="KL40" s="779"/>
      <c r="KM40" s="779"/>
      <c r="KN40" s="779"/>
      <c r="KO40" s="779"/>
      <c r="KP40" s="779"/>
      <c r="KQ40" s="779"/>
      <c r="KR40" s="779"/>
      <c r="KS40" s="779"/>
      <c r="KT40" s="779"/>
      <c r="KU40" s="779"/>
      <c r="KV40" s="779"/>
      <c r="KW40" s="779"/>
      <c r="KX40" s="779"/>
      <c r="KY40" s="779"/>
      <c r="KZ40" s="779"/>
      <c r="LA40" s="779"/>
      <c r="LB40" s="779"/>
      <c r="LC40" s="779"/>
      <c r="LD40" s="779"/>
      <c r="LE40" s="779"/>
      <c r="LF40" s="779"/>
      <c r="LG40" s="779"/>
      <c r="LH40" s="779"/>
      <c r="LI40" s="779"/>
      <c r="LJ40" s="779"/>
      <c r="LK40" s="779"/>
      <c r="LL40" s="779"/>
      <c r="LM40" s="779"/>
      <c r="LN40" s="779"/>
      <c r="LO40" s="779"/>
      <c r="LP40" s="779"/>
      <c r="LQ40" s="779"/>
      <c r="LR40" s="779"/>
      <c r="LS40" s="779"/>
      <c r="LT40" s="779"/>
      <c r="LU40" s="779"/>
      <c r="LV40" s="779"/>
      <c r="LW40" s="779"/>
      <c r="LX40" s="779"/>
      <c r="LY40" s="779"/>
      <c r="LZ40" s="779"/>
      <c r="MA40" s="779"/>
      <c r="MB40" s="779"/>
      <c r="MC40" s="779"/>
      <c r="MD40" s="779"/>
      <c r="ME40" s="779"/>
      <c r="MF40" s="779"/>
      <c r="MG40" s="779"/>
      <c r="MH40" s="779"/>
      <c r="MI40" s="779"/>
      <c r="MJ40" s="779"/>
      <c r="MK40" s="779"/>
      <c r="ML40" s="779"/>
      <c r="MM40" s="779"/>
      <c r="MN40" s="779"/>
      <c r="MO40" s="779"/>
      <c r="MP40" s="779"/>
      <c r="MQ40" s="779"/>
      <c r="MR40" s="779"/>
      <c r="MS40" s="779"/>
      <c r="MT40" s="779"/>
      <c r="MU40" s="779"/>
      <c r="MV40" s="779"/>
      <c r="MW40" s="779"/>
      <c r="MX40" s="779"/>
      <c r="MY40" s="779"/>
      <c r="MZ40" s="779"/>
      <c r="NA40" s="779"/>
      <c r="NB40" s="779"/>
      <c r="NC40" s="779"/>
      <c r="ND40" s="779"/>
      <c r="NE40" s="779"/>
      <c r="NF40" s="779"/>
      <c r="NG40" s="779"/>
      <c r="NH40" s="779"/>
      <c r="NI40" s="779"/>
      <c r="NJ40" s="779"/>
      <c r="NK40" s="779"/>
      <c r="NL40" s="779"/>
      <c r="NM40" s="779"/>
      <c r="NN40" s="779"/>
      <c r="NO40" s="779"/>
      <c r="NP40" s="779"/>
      <c r="NQ40" s="779"/>
      <c r="NR40" s="779"/>
      <c r="NS40" s="779"/>
      <c r="NT40" s="779"/>
      <c r="NU40" s="779"/>
      <c r="NV40" s="779"/>
      <c r="NW40" s="779"/>
      <c r="NX40" s="779"/>
      <c r="NY40" s="779"/>
      <c r="NZ40" s="779"/>
      <c r="OA40" s="779"/>
      <c r="OB40" s="779"/>
      <c r="OC40" s="779"/>
      <c r="OD40" s="779"/>
      <c r="OE40" s="779"/>
      <c r="OF40" s="779"/>
      <c r="OG40" s="779"/>
      <c r="OH40" s="779"/>
      <c r="OI40" s="779"/>
      <c r="OJ40" s="779"/>
      <c r="OK40" s="779"/>
      <c r="OL40" s="779"/>
      <c r="OM40" s="779"/>
      <c r="ON40" s="779"/>
      <c r="OO40" s="779"/>
      <c r="OP40" s="779"/>
      <c r="OQ40" s="779"/>
      <c r="OR40" s="779"/>
      <c r="OS40" s="779"/>
      <c r="OT40" s="779"/>
      <c r="OU40" s="779"/>
      <c r="OV40" s="779"/>
      <c r="OW40" s="779"/>
      <c r="OX40" s="779"/>
      <c r="OY40" s="779"/>
      <c r="OZ40" s="779"/>
      <c r="PA40" s="779"/>
      <c r="PB40" s="779"/>
      <c r="PC40" s="779"/>
      <c r="PD40" s="779"/>
      <c r="PE40" s="779"/>
      <c r="PF40" s="779"/>
      <c r="PG40" s="779"/>
      <c r="PH40" s="779"/>
      <c r="PI40" s="779"/>
      <c r="PJ40" s="779"/>
      <c r="PK40" s="779"/>
      <c r="PL40" s="779"/>
      <c r="PM40" s="779"/>
      <c r="PN40" s="779"/>
      <c r="PO40" s="779"/>
    </row>
    <row r="41" spans="1:431" s="143" customFormat="1">
      <c r="A41" s="779"/>
      <c r="B41" s="779"/>
      <c r="C41" s="782"/>
      <c r="D41" s="782"/>
      <c r="E41" s="782"/>
      <c r="F41" s="782"/>
      <c r="G41" s="782"/>
      <c r="H41" s="782"/>
      <c r="I41" s="782"/>
      <c r="J41" s="782"/>
      <c r="K41" s="782"/>
      <c r="L41" s="782"/>
      <c r="M41" s="779"/>
      <c r="N41" s="779"/>
      <c r="O41" s="779"/>
      <c r="P41" s="779"/>
      <c r="Q41" s="779"/>
      <c r="R41" s="779"/>
      <c r="S41" s="779"/>
      <c r="T41" s="779"/>
      <c r="U41" s="779"/>
      <c r="V41" s="779"/>
      <c r="W41" s="779"/>
      <c r="X41" s="779"/>
      <c r="Y41" s="779"/>
      <c r="Z41" s="779"/>
      <c r="AA41" s="779"/>
      <c r="AB41" s="779"/>
      <c r="AC41" s="779"/>
      <c r="AD41" s="779"/>
      <c r="AE41" s="779"/>
      <c r="AF41" s="779"/>
      <c r="AG41" s="779"/>
      <c r="AH41" s="779"/>
      <c r="AI41" s="779"/>
      <c r="AJ41" s="779"/>
      <c r="AK41" s="779"/>
      <c r="AL41" s="779"/>
      <c r="AM41" s="779"/>
      <c r="AN41" s="779"/>
      <c r="AO41" s="779"/>
      <c r="AP41" s="779"/>
      <c r="AQ41" s="779"/>
      <c r="AR41" s="779"/>
      <c r="AS41" s="779"/>
      <c r="AT41" s="779"/>
      <c r="AU41" s="779"/>
      <c r="AV41" s="779"/>
      <c r="AW41" s="779"/>
      <c r="AX41" s="779"/>
      <c r="AY41" s="779"/>
      <c r="AZ41" s="779"/>
      <c r="BA41" s="779"/>
      <c r="BB41" s="779"/>
      <c r="BC41" s="779"/>
      <c r="BD41" s="779"/>
      <c r="BE41" s="779"/>
      <c r="BF41" s="779"/>
      <c r="BG41" s="779"/>
      <c r="BH41" s="779"/>
      <c r="BI41" s="779"/>
      <c r="BJ41" s="779"/>
      <c r="BK41" s="779"/>
      <c r="BL41" s="779"/>
      <c r="BM41" s="779"/>
      <c r="BN41" s="779"/>
      <c r="BO41" s="779"/>
      <c r="BP41" s="779"/>
      <c r="BQ41" s="779"/>
      <c r="BR41" s="779"/>
      <c r="BS41" s="779"/>
      <c r="BT41" s="779"/>
      <c r="BU41" s="779"/>
      <c r="BV41" s="779"/>
      <c r="BW41" s="779"/>
      <c r="BX41" s="779"/>
      <c r="BY41" s="779"/>
      <c r="BZ41" s="779"/>
      <c r="CA41" s="779"/>
      <c r="CB41" s="779"/>
      <c r="CC41" s="779"/>
      <c r="CD41" s="779"/>
      <c r="CE41" s="779"/>
      <c r="CF41" s="779"/>
      <c r="CG41" s="779"/>
      <c r="CH41" s="779"/>
      <c r="CI41" s="779"/>
      <c r="CJ41" s="779"/>
      <c r="CK41" s="779"/>
      <c r="CL41" s="779"/>
      <c r="CM41" s="779"/>
      <c r="CN41" s="779"/>
      <c r="CO41" s="779"/>
      <c r="CP41" s="779"/>
      <c r="CQ41" s="779"/>
      <c r="CR41" s="779"/>
      <c r="CS41" s="779"/>
      <c r="CT41" s="779"/>
      <c r="CU41" s="779"/>
      <c r="CV41" s="779"/>
      <c r="CW41" s="779"/>
      <c r="CX41" s="779"/>
      <c r="CY41" s="779"/>
      <c r="CZ41" s="779"/>
      <c r="DA41" s="779"/>
      <c r="DB41" s="779"/>
      <c r="DC41" s="779"/>
      <c r="DD41" s="779"/>
      <c r="DE41" s="779"/>
      <c r="DF41" s="779"/>
      <c r="DG41" s="779"/>
      <c r="DH41" s="779"/>
      <c r="DI41" s="779"/>
      <c r="DJ41" s="779"/>
      <c r="DK41" s="779"/>
      <c r="DL41" s="779"/>
      <c r="DM41" s="779"/>
      <c r="DN41" s="779"/>
      <c r="DO41" s="779"/>
      <c r="DP41" s="779"/>
      <c r="DQ41" s="779"/>
      <c r="DR41" s="779"/>
      <c r="DS41" s="779"/>
      <c r="DT41" s="779"/>
      <c r="DU41" s="779"/>
      <c r="DV41" s="779"/>
      <c r="DW41" s="779"/>
      <c r="DX41" s="779"/>
      <c r="DY41" s="779"/>
      <c r="DZ41" s="779"/>
      <c r="EA41" s="779"/>
      <c r="EB41" s="779"/>
      <c r="EC41" s="779"/>
      <c r="ED41" s="779"/>
      <c r="EE41" s="779"/>
      <c r="EF41" s="779"/>
      <c r="EG41" s="779"/>
      <c r="EH41" s="779"/>
      <c r="EI41" s="779"/>
      <c r="EJ41" s="779"/>
      <c r="EK41" s="779"/>
      <c r="EL41" s="779"/>
      <c r="EM41" s="779"/>
      <c r="EN41" s="779"/>
      <c r="EO41" s="779"/>
      <c r="EP41" s="779"/>
      <c r="EQ41" s="779"/>
      <c r="ER41" s="779"/>
      <c r="ES41" s="779"/>
      <c r="ET41" s="779"/>
      <c r="EU41" s="779"/>
      <c r="EV41" s="779"/>
      <c r="EW41" s="779"/>
      <c r="EX41" s="779"/>
      <c r="EY41" s="779"/>
      <c r="EZ41" s="779"/>
      <c r="FA41" s="779"/>
      <c r="FB41" s="779"/>
      <c r="FC41" s="779"/>
      <c r="FD41" s="779"/>
      <c r="FE41" s="779"/>
      <c r="FF41" s="779"/>
      <c r="FG41" s="779"/>
      <c r="FH41" s="779"/>
      <c r="FI41" s="779"/>
      <c r="FJ41" s="779"/>
      <c r="FK41" s="779"/>
      <c r="FL41" s="779"/>
      <c r="FM41" s="779"/>
      <c r="FN41" s="779"/>
      <c r="FO41" s="779"/>
      <c r="FP41" s="779"/>
      <c r="FQ41" s="779"/>
      <c r="FR41" s="779"/>
      <c r="FS41" s="779"/>
      <c r="FT41" s="779"/>
      <c r="FU41" s="779"/>
      <c r="FV41" s="779"/>
      <c r="FW41" s="779"/>
      <c r="FX41" s="779"/>
      <c r="FY41" s="779"/>
      <c r="FZ41" s="779"/>
      <c r="GA41" s="779"/>
      <c r="GB41" s="779"/>
      <c r="GC41" s="779"/>
      <c r="GD41" s="779"/>
      <c r="GE41" s="779"/>
      <c r="GF41" s="779"/>
      <c r="GG41" s="779"/>
      <c r="GH41" s="779"/>
      <c r="GI41" s="779"/>
      <c r="GJ41" s="779"/>
      <c r="GK41" s="779"/>
      <c r="GL41" s="779"/>
      <c r="GM41" s="779"/>
      <c r="GN41" s="779"/>
      <c r="GO41" s="779"/>
      <c r="GP41" s="779"/>
      <c r="GQ41" s="779"/>
      <c r="GR41" s="779"/>
      <c r="GS41" s="779"/>
      <c r="GT41" s="779"/>
      <c r="GU41" s="779"/>
      <c r="GV41" s="779"/>
      <c r="GW41" s="779"/>
      <c r="GX41" s="779"/>
      <c r="GY41" s="779"/>
      <c r="GZ41" s="779"/>
      <c r="HA41" s="779"/>
      <c r="HB41" s="779"/>
      <c r="HC41" s="779"/>
      <c r="HD41" s="779"/>
      <c r="HE41" s="779"/>
      <c r="HF41" s="779"/>
      <c r="HG41" s="779"/>
      <c r="HH41" s="779"/>
      <c r="HI41" s="779"/>
      <c r="HJ41" s="779"/>
      <c r="HK41" s="779"/>
      <c r="HL41" s="779"/>
      <c r="HM41" s="779"/>
      <c r="HN41" s="779"/>
      <c r="HO41" s="779"/>
      <c r="HP41" s="779"/>
      <c r="HQ41" s="779"/>
      <c r="HR41" s="779"/>
      <c r="HS41" s="779"/>
      <c r="HT41" s="779"/>
      <c r="HU41" s="779"/>
      <c r="HV41" s="779"/>
      <c r="HW41" s="779"/>
      <c r="HX41" s="779"/>
      <c r="HY41" s="779"/>
      <c r="HZ41" s="779"/>
      <c r="IA41" s="779"/>
      <c r="IB41" s="779"/>
      <c r="IC41" s="779"/>
      <c r="ID41" s="779"/>
      <c r="IE41" s="779"/>
      <c r="IF41" s="779"/>
      <c r="IG41" s="779"/>
      <c r="IH41" s="779"/>
      <c r="II41" s="779"/>
      <c r="IJ41" s="779"/>
      <c r="IK41" s="779"/>
      <c r="IL41" s="779"/>
      <c r="IM41" s="779"/>
      <c r="IN41" s="779"/>
      <c r="IO41" s="779"/>
      <c r="IP41" s="779"/>
      <c r="IQ41" s="779"/>
      <c r="IR41" s="779"/>
      <c r="IS41" s="779"/>
      <c r="IT41" s="779"/>
      <c r="IU41" s="779"/>
      <c r="IV41" s="779"/>
      <c r="IW41" s="779"/>
      <c r="IX41" s="779"/>
      <c r="IY41" s="779"/>
      <c r="IZ41" s="779"/>
      <c r="JA41" s="779"/>
      <c r="JB41" s="779"/>
      <c r="JC41" s="779"/>
      <c r="JD41" s="779"/>
      <c r="JE41" s="779"/>
      <c r="JF41" s="779"/>
      <c r="JG41" s="779"/>
      <c r="JH41" s="779"/>
      <c r="JI41" s="779"/>
      <c r="JJ41" s="779"/>
      <c r="JK41" s="779"/>
      <c r="JL41" s="779"/>
      <c r="JM41" s="779"/>
      <c r="JN41" s="779"/>
      <c r="JO41" s="779"/>
      <c r="JP41" s="779"/>
      <c r="JQ41" s="779"/>
      <c r="JR41" s="779"/>
      <c r="JS41" s="779"/>
      <c r="JT41" s="779"/>
      <c r="JU41" s="779"/>
      <c r="JV41" s="779"/>
      <c r="JW41" s="779"/>
      <c r="JX41" s="779"/>
      <c r="JY41" s="779"/>
      <c r="JZ41" s="779"/>
      <c r="KA41" s="779"/>
      <c r="KB41" s="779"/>
      <c r="KC41" s="779"/>
      <c r="KD41" s="779"/>
      <c r="KE41" s="779"/>
      <c r="KF41" s="779"/>
      <c r="KG41" s="779"/>
      <c r="KH41" s="779"/>
      <c r="KI41" s="779"/>
      <c r="KJ41" s="779"/>
      <c r="KK41" s="779"/>
      <c r="KL41" s="779"/>
      <c r="KM41" s="779"/>
      <c r="KN41" s="779"/>
      <c r="KO41" s="779"/>
      <c r="KP41" s="779"/>
      <c r="KQ41" s="779"/>
      <c r="KR41" s="779"/>
      <c r="KS41" s="779"/>
      <c r="KT41" s="779"/>
      <c r="KU41" s="779"/>
      <c r="KV41" s="779"/>
      <c r="KW41" s="779"/>
      <c r="KX41" s="779"/>
      <c r="KY41" s="779"/>
      <c r="KZ41" s="779"/>
      <c r="LA41" s="779"/>
      <c r="LB41" s="779"/>
      <c r="LC41" s="779"/>
      <c r="LD41" s="779"/>
      <c r="LE41" s="779"/>
      <c r="LF41" s="779"/>
      <c r="LG41" s="779"/>
      <c r="LH41" s="779"/>
      <c r="LI41" s="779"/>
      <c r="LJ41" s="779"/>
      <c r="LK41" s="779"/>
      <c r="LL41" s="779"/>
      <c r="LM41" s="779"/>
      <c r="LN41" s="779"/>
      <c r="LO41" s="779"/>
      <c r="LP41" s="779"/>
      <c r="LQ41" s="779"/>
      <c r="LR41" s="779"/>
      <c r="LS41" s="779"/>
      <c r="LT41" s="779"/>
      <c r="LU41" s="779"/>
      <c r="LV41" s="779"/>
      <c r="LW41" s="779"/>
      <c r="LX41" s="779"/>
      <c r="LY41" s="779"/>
      <c r="LZ41" s="779"/>
      <c r="MA41" s="779"/>
      <c r="MB41" s="779"/>
      <c r="MC41" s="779"/>
      <c r="MD41" s="779"/>
      <c r="ME41" s="779"/>
      <c r="MF41" s="779"/>
      <c r="MG41" s="779"/>
      <c r="MH41" s="779"/>
      <c r="MI41" s="779"/>
      <c r="MJ41" s="779"/>
      <c r="MK41" s="779"/>
      <c r="ML41" s="779"/>
      <c r="MM41" s="779"/>
      <c r="MN41" s="779"/>
      <c r="MO41" s="779"/>
      <c r="MP41" s="779"/>
      <c r="MQ41" s="779"/>
      <c r="MR41" s="779"/>
      <c r="MS41" s="779"/>
      <c r="MT41" s="779"/>
      <c r="MU41" s="779"/>
      <c r="MV41" s="779"/>
      <c r="MW41" s="779"/>
      <c r="MX41" s="779"/>
      <c r="MY41" s="779"/>
      <c r="MZ41" s="779"/>
      <c r="NA41" s="779"/>
      <c r="NB41" s="779"/>
      <c r="NC41" s="779"/>
      <c r="ND41" s="779"/>
      <c r="NE41" s="779"/>
      <c r="NF41" s="779"/>
      <c r="NG41" s="779"/>
      <c r="NH41" s="779"/>
      <c r="NI41" s="779"/>
      <c r="NJ41" s="779"/>
      <c r="NK41" s="779"/>
      <c r="NL41" s="779"/>
      <c r="NM41" s="779"/>
      <c r="NN41" s="779"/>
      <c r="NO41" s="779"/>
      <c r="NP41" s="779"/>
      <c r="NQ41" s="779"/>
      <c r="NR41" s="779"/>
      <c r="NS41" s="779"/>
      <c r="NT41" s="779"/>
      <c r="NU41" s="779"/>
      <c r="NV41" s="779"/>
      <c r="NW41" s="779"/>
      <c r="NX41" s="779"/>
      <c r="NY41" s="779"/>
      <c r="NZ41" s="779"/>
      <c r="OA41" s="779"/>
      <c r="OB41" s="779"/>
      <c r="OC41" s="779"/>
      <c r="OD41" s="779"/>
      <c r="OE41" s="779"/>
      <c r="OF41" s="779"/>
      <c r="OG41" s="779"/>
      <c r="OH41" s="779"/>
      <c r="OI41" s="779"/>
      <c r="OJ41" s="779"/>
      <c r="OK41" s="779"/>
      <c r="OL41" s="779"/>
      <c r="OM41" s="779"/>
      <c r="ON41" s="779"/>
      <c r="OO41" s="779"/>
      <c r="OP41" s="779"/>
      <c r="OQ41" s="779"/>
      <c r="OR41" s="779"/>
      <c r="OS41" s="779"/>
      <c r="OT41" s="779"/>
      <c r="OU41" s="779"/>
      <c r="OV41" s="779"/>
      <c r="OW41" s="779"/>
      <c r="OX41" s="779"/>
      <c r="OY41" s="779"/>
      <c r="OZ41" s="779"/>
      <c r="PA41" s="779"/>
      <c r="PB41" s="779"/>
      <c r="PC41" s="779"/>
      <c r="PD41" s="779"/>
      <c r="PE41" s="779"/>
      <c r="PF41" s="779"/>
      <c r="PG41" s="779"/>
      <c r="PH41" s="779"/>
      <c r="PI41" s="779"/>
      <c r="PJ41" s="779"/>
      <c r="PK41" s="779"/>
      <c r="PL41" s="779"/>
      <c r="PM41" s="779"/>
      <c r="PN41" s="779"/>
      <c r="PO41" s="779"/>
    </row>
    <row r="42" spans="1:431" s="143" customFormat="1">
      <c r="A42" s="779"/>
      <c r="B42" s="779"/>
      <c r="C42" s="782"/>
      <c r="D42" s="782"/>
      <c r="E42" s="782"/>
      <c r="F42" s="782"/>
      <c r="G42" s="782"/>
      <c r="H42" s="782"/>
      <c r="I42" s="782"/>
      <c r="J42" s="782"/>
      <c r="K42" s="782"/>
      <c r="L42" s="782"/>
      <c r="M42" s="779"/>
      <c r="N42" s="779"/>
      <c r="O42" s="779"/>
      <c r="P42" s="779"/>
      <c r="Q42" s="779"/>
      <c r="R42" s="779"/>
      <c r="S42" s="779"/>
      <c r="T42" s="779"/>
      <c r="U42" s="779"/>
      <c r="V42" s="779"/>
      <c r="W42" s="779"/>
      <c r="X42" s="779"/>
      <c r="Y42" s="779"/>
      <c r="Z42" s="779"/>
      <c r="AA42" s="779"/>
      <c r="AB42" s="779"/>
      <c r="AC42" s="779"/>
      <c r="AD42" s="779"/>
      <c r="AE42" s="779"/>
      <c r="AF42" s="779"/>
      <c r="AG42" s="779"/>
      <c r="AH42" s="779"/>
      <c r="AI42" s="779"/>
      <c r="AJ42" s="779"/>
      <c r="AK42" s="779"/>
      <c r="AL42" s="779"/>
      <c r="AM42" s="779"/>
      <c r="AN42" s="779"/>
      <c r="AO42" s="779"/>
      <c r="AP42" s="779"/>
      <c r="AQ42" s="779"/>
      <c r="AR42" s="779"/>
      <c r="AS42" s="779"/>
      <c r="AT42" s="779"/>
      <c r="AU42" s="779"/>
      <c r="AV42" s="779"/>
      <c r="AW42" s="779"/>
      <c r="AX42" s="779"/>
      <c r="AY42" s="779"/>
      <c r="AZ42" s="779"/>
      <c r="BA42" s="779"/>
      <c r="BB42" s="779"/>
      <c r="BC42" s="779"/>
      <c r="BD42" s="779"/>
      <c r="BE42" s="779"/>
      <c r="BF42" s="779"/>
      <c r="BG42" s="779"/>
      <c r="BH42" s="779"/>
      <c r="BI42" s="779"/>
      <c r="BJ42" s="779"/>
      <c r="BK42" s="779"/>
      <c r="BL42" s="779"/>
      <c r="BM42" s="779"/>
      <c r="BN42" s="779"/>
      <c r="BO42" s="779"/>
      <c r="BP42" s="779"/>
      <c r="BQ42" s="779"/>
      <c r="BR42" s="779"/>
      <c r="BS42" s="779"/>
      <c r="BT42" s="779"/>
      <c r="BU42" s="779"/>
      <c r="BV42" s="779"/>
      <c r="BW42" s="779"/>
      <c r="BX42" s="779"/>
      <c r="BY42" s="779"/>
      <c r="BZ42" s="779"/>
      <c r="CA42" s="779"/>
      <c r="CB42" s="779"/>
      <c r="CC42" s="779"/>
      <c r="CD42" s="779"/>
      <c r="CE42" s="779"/>
      <c r="CF42" s="779"/>
      <c r="CG42" s="779"/>
      <c r="CH42" s="779"/>
      <c r="CI42" s="779"/>
      <c r="CJ42" s="779"/>
      <c r="CK42" s="779"/>
      <c r="CL42" s="779"/>
      <c r="CM42" s="779"/>
      <c r="CN42" s="779"/>
      <c r="CO42" s="779"/>
      <c r="CP42" s="779"/>
      <c r="CQ42" s="779"/>
      <c r="CR42" s="779"/>
      <c r="CS42" s="779"/>
      <c r="CT42" s="779"/>
      <c r="CU42" s="779"/>
      <c r="CV42" s="779"/>
      <c r="CW42" s="779"/>
      <c r="CX42" s="779"/>
      <c r="CY42" s="779"/>
      <c r="CZ42" s="779"/>
      <c r="DA42" s="779"/>
      <c r="DB42" s="779"/>
      <c r="DC42" s="779"/>
      <c r="DD42" s="779"/>
      <c r="DE42" s="779"/>
      <c r="DF42" s="779"/>
      <c r="DG42" s="779"/>
      <c r="DH42" s="779"/>
      <c r="DI42" s="779"/>
      <c r="DJ42" s="779"/>
      <c r="DK42" s="779"/>
      <c r="DL42" s="779"/>
      <c r="DM42" s="779"/>
      <c r="DN42" s="779"/>
      <c r="DO42" s="779"/>
      <c r="DP42" s="779"/>
      <c r="DQ42" s="779"/>
      <c r="DR42" s="779"/>
      <c r="DS42" s="779"/>
      <c r="DT42" s="779"/>
      <c r="DU42" s="779"/>
      <c r="DV42" s="779"/>
      <c r="DW42" s="779"/>
      <c r="DX42" s="779"/>
      <c r="DY42" s="779"/>
      <c r="DZ42" s="779"/>
      <c r="EA42" s="779"/>
      <c r="EB42" s="779"/>
      <c r="EC42" s="779"/>
      <c r="ED42" s="779"/>
      <c r="EE42" s="779"/>
      <c r="EF42" s="779"/>
      <c r="EG42" s="779"/>
      <c r="EH42" s="779"/>
      <c r="EI42" s="779"/>
      <c r="EJ42" s="779"/>
      <c r="EK42" s="779"/>
      <c r="EL42" s="779"/>
      <c r="EM42" s="779"/>
      <c r="EN42" s="779"/>
      <c r="EO42" s="779"/>
      <c r="EP42" s="779"/>
      <c r="EQ42" s="779"/>
      <c r="ER42" s="779"/>
      <c r="ES42" s="779"/>
      <c r="ET42" s="779"/>
      <c r="EU42" s="779"/>
      <c r="EV42" s="779"/>
      <c r="EW42" s="779"/>
      <c r="EX42" s="779"/>
      <c r="EY42" s="779"/>
      <c r="EZ42" s="779"/>
      <c r="FA42" s="779"/>
      <c r="FB42" s="779"/>
      <c r="FC42" s="779"/>
      <c r="FD42" s="779"/>
      <c r="FE42" s="779"/>
      <c r="FF42" s="779"/>
      <c r="FG42" s="779"/>
      <c r="FH42" s="779"/>
      <c r="FI42" s="779"/>
      <c r="FJ42" s="779"/>
      <c r="FK42" s="779"/>
      <c r="FL42" s="779"/>
      <c r="FM42" s="779"/>
      <c r="FN42" s="779"/>
      <c r="FO42" s="779"/>
      <c r="FP42" s="779"/>
      <c r="FQ42" s="779"/>
      <c r="FR42" s="779"/>
      <c r="FS42" s="779"/>
      <c r="FT42" s="779"/>
      <c r="FU42" s="779"/>
      <c r="FV42" s="779"/>
      <c r="FW42" s="779"/>
      <c r="FX42" s="779"/>
      <c r="FY42" s="779"/>
      <c r="FZ42" s="779"/>
      <c r="GA42" s="779"/>
      <c r="GB42" s="779"/>
      <c r="GC42" s="779"/>
      <c r="GD42" s="779"/>
      <c r="GE42" s="779"/>
      <c r="GF42" s="779"/>
      <c r="GG42" s="779"/>
      <c r="GH42" s="779"/>
      <c r="GI42" s="779"/>
      <c r="GJ42" s="779"/>
      <c r="GK42" s="779"/>
      <c r="GL42" s="779"/>
      <c r="GM42" s="779"/>
      <c r="GN42" s="779"/>
      <c r="GO42" s="779"/>
      <c r="GP42" s="779"/>
      <c r="GQ42" s="779"/>
      <c r="GR42" s="779"/>
      <c r="GS42" s="779"/>
      <c r="GT42" s="779"/>
      <c r="GU42" s="779"/>
      <c r="GV42" s="779"/>
      <c r="GW42" s="779"/>
      <c r="GX42" s="779"/>
      <c r="GY42" s="779"/>
      <c r="GZ42" s="779"/>
      <c r="HA42" s="779"/>
      <c r="HB42" s="779"/>
      <c r="HC42" s="779"/>
      <c r="HD42" s="779"/>
      <c r="HE42" s="779"/>
      <c r="HF42" s="779"/>
      <c r="HG42" s="779"/>
      <c r="HH42" s="779"/>
      <c r="HI42" s="779"/>
      <c r="HJ42" s="779"/>
      <c r="HK42" s="779"/>
      <c r="HL42" s="779"/>
      <c r="HM42" s="779"/>
      <c r="HN42" s="779"/>
      <c r="HO42" s="779"/>
      <c r="HP42" s="779"/>
      <c r="HQ42" s="779"/>
      <c r="HR42" s="779"/>
      <c r="HS42" s="779"/>
      <c r="HT42" s="779"/>
      <c r="HU42" s="779"/>
      <c r="HV42" s="779"/>
      <c r="HW42" s="779"/>
      <c r="HX42" s="779"/>
      <c r="HY42" s="779"/>
      <c r="HZ42" s="779"/>
      <c r="IA42" s="779"/>
      <c r="IB42" s="779"/>
      <c r="IC42" s="779"/>
      <c r="ID42" s="779"/>
      <c r="IE42" s="779"/>
      <c r="IF42" s="779"/>
      <c r="IG42" s="779"/>
      <c r="IH42" s="779"/>
      <c r="II42" s="779"/>
      <c r="IJ42" s="779"/>
      <c r="IK42" s="779"/>
      <c r="IL42" s="779"/>
      <c r="IM42" s="779"/>
      <c r="IN42" s="779"/>
      <c r="IO42" s="779"/>
      <c r="IP42" s="779"/>
      <c r="IQ42" s="779"/>
      <c r="IR42" s="779"/>
      <c r="IS42" s="779"/>
      <c r="IT42" s="779"/>
      <c r="IU42" s="779"/>
      <c r="IV42" s="779"/>
      <c r="IW42" s="779"/>
      <c r="IX42" s="779"/>
      <c r="IY42" s="779"/>
      <c r="IZ42" s="779"/>
      <c r="JA42" s="779"/>
      <c r="JB42" s="779"/>
      <c r="JC42" s="779"/>
      <c r="JD42" s="779"/>
      <c r="JE42" s="779"/>
      <c r="JF42" s="779"/>
      <c r="JG42" s="779"/>
      <c r="JH42" s="779"/>
      <c r="JI42" s="779"/>
      <c r="JJ42" s="779"/>
      <c r="JK42" s="779"/>
      <c r="JL42" s="779"/>
      <c r="JM42" s="779"/>
      <c r="JN42" s="779"/>
      <c r="JO42" s="779"/>
      <c r="JP42" s="779"/>
      <c r="JQ42" s="779"/>
      <c r="JR42" s="779"/>
      <c r="JS42" s="779"/>
      <c r="JT42" s="779"/>
      <c r="JU42" s="779"/>
      <c r="JV42" s="779"/>
      <c r="JW42" s="779"/>
      <c r="JX42" s="779"/>
      <c r="JY42" s="779"/>
      <c r="JZ42" s="779"/>
      <c r="KA42" s="779"/>
      <c r="KB42" s="779"/>
      <c r="KC42" s="779"/>
      <c r="KD42" s="779"/>
      <c r="KE42" s="779"/>
      <c r="KF42" s="779"/>
      <c r="KG42" s="779"/>
      <c r="KH42" s="779"/>
      <c r="KI42" s="779"/>
      <c r="KJ42" s="779"/>
      <c r="KK42" s="779"/>
      <c r="KL42" s="779"/>
      <c r="KM42" s="779"/>
      <c r="KN42" s="779"/>
      <c r="KO42" s="779"/>
      <c r="KP42" s="779"/>
      <c r="KQ42" s="779"/>
      <c r="KR42" s="779"/>
      <c r="KS42" s="779"/>
      <c r="KT42" s="779"/>
      <c r="KU42" s="779"/>
      <c r="KV42" s="779"/>
      <c r="KW42" s="779"/>
      <c r="KX42" s="779"/>
      <c r="KY42" s="779"/>
      <c r="KZ42" s="779"/>
      <c r="LA42" s="779"/>
      <c r="LB42" s="779"/>
      <c r="LC42" s="779"/>
      <c r="LD42" s="779"/>
      <c r="LE42" s="779"/>
      <c r="LF42" s="779"/>
      <c r="LG42" s="779"/>
      <c r="LH42" s="779"/>
      <c r="LI42" s="779"/>
      <c r="LJ42" s="779"/>
      <c r="LK42" s="779"/>
      <c r="LL42" s="779"/>
      <c r="LM42" s="779"/>
      <c r="LN42" s="779"/>
      <c r="LO42" s="779"/>
      <c r="LP42" s="779"/>
      <c r="LQ42" s="779"/>
      <c r="LR42" s="779"/>
      <c r="LS42" s="779"/>
      <c r="LT42" s="779"/>
      <c r="LU42" s="779"/>
      <c r="LV42" s="779"/>
      <c r="LW42" s="779"/>
      <c r="LX42" s="779"/>
      <c r="LY42" s="779"/>
      <c r="LZ42" s="779"/>
      <c r="MA42" s="779"/>
      <c r="MB42" s="779"/>
      <c r="MC42" s="779"/>
      <c r="MD42" s="779"/>
      <c r="ME42" s="779"/>
      <c r="MF42" s="779"/>
      <c r="MG42" s="779"/>
      <c r="MH42" s="779"/>
      <c r="MI42" s="779"/>
      <c r="MJ42" s="779"/>
      <c r="MK42" s="779"/>
      <c r="ML42" s="779"/>
      <c r="MM42" s="779"/>
      <c r="MN42" s="779"/>
      <c r="MO42" s="779"/>
      <c r="MP42" s="779"/>
      <c r="MQ42" s="779"/>
      <c r="MR42" s="779"/>
      <c r="MS42" s="779"/>
      <c r="MT42" s="779"/>
      <c r="MU42" s="779"/>
      <c r="MV42" s="779"/>
      <c r="MW42" s="779"/>
      <c r="MX42" s="779"/>
      <c r="MY42" s="779"/>
      <c r="MZ42" s="779"/>
      <c r="NA42" s="779"/>
      <c r="NB42" s="779"/>
      <c r="NC42" s="779"/>
      <c r="ND42" s="779"/>
      <c r="NE42" s="779"/>
      <c r="NF42" s="779"/>
      <c r="NG42" s="779"/>
      <c r="NH42" s="779"/>
      <c r="NI42" s="779"/>
      <c r="NJ42" s="779"/>
      <c r="NK42" s="779"/>
      <c r="NL42" s="779"/>
      <c r="NM42" s="779"/>
      <c r="NN42" s="779"/>
      <c r="NO42" s="779"/>
      <c r="NP42" s="779"/>
      <c r="NQ42" s="779"/>
      <c r="NR42" s="779"/>
      <c r="NS42" s="779"/>
      <c r="NT42" s="779"/>
      <c r="NU42" s="779"/>
      <c r="NV42" s="779"/>
      <c r="NW42" s="779"/>
      <c r="NX42" s="779"/>
      <c r="NY42" s="779"/>
      <c r="NZ42" s="779"/>
      <c r="OA42" s="779"/>
      <c r="OB42" s="779"/>
      <c r="OC42" s="779"/>
      <c r="OD42" s="779"/>
      <c r="OE42" s="779"/>
      <c r="OF42" s="779"/>
      <c r="OG42" s="779"/>
      <c r="OH42" s="779"/>
      <c r="OI42" s="779"/>
      <c r="OJ42" s="779"/>
      <c r="OK42" s="779"/>
      <c r="OL42" s="779"/>
      <c r="OM42" s="779"/>
      <c r="ON42" s="779"/>
      <c r="OO42" s="779"/>
      <c r="OP42" s="779"/>
      <c r="OQ42" s="779"/>
      <c r="OR42" s="779"/>
      <c r="OS42" s="779"/>
      <c r="OT42" s="779"/>
      <c r="OU42" s="779"/>
      <c r="OV42" s="779"/>
      <c r="OW42" s="779"/>
      <c r="OX42" s="779"/>
      <c r="OY42" s="779"/>
      <c r="OZ42" s="779"/>
      <c r="PA42" s="779"/>
      <c r="PB42" s="779"/>
      <c r="PC42" s="779"/>
      <c r="PD42" s="779"/>
      <c r="PE42" s="779"/>
      <c r="PF42" s="779"/>
      <c r="PG42" s="779"/>
      <c r="PH42" s="779"/>
      <c r="PI42" s="779"/>
      <c r="PJ42" s="779"/>
      <c r="PK42" s="779"/>
      <c r="PL42" s="779"/>
      <c r="PM42" s="779"/>
      <c r="PN42" s="779"/>
      <c r="PO42" s="779"/>
    </row>
    <row r="43" spans="1:431" s="143" customFormat="1">
      <c r="A43" s="779"/>
      <c r="B43" s="779"/>
      <c r="C43" s="782"/>
      <c r="D43" s="782"/>
      <c r="E43" s="782"/>
      <c r="F43" s="782"/>
      <c r="G43" s="782"/>
      <c r="H43" s="782"/>
      <c r="I43" s="782"/>
      <c r="J43" s="782"/>
      <c r="K43" s="782"/>
      <c r="L43" s="782"/>
      <c r="M43" s="779"/>
      <c r="N43" s="779"/>
      <c r="O43" s="779"/>
      <c r="P43" s="779"/>
      <c r="Q43" s="779"/>
      <c r="R43" s="779"/>
      <c r="S43" s="779"/>
      <c r="T43" s="779"/>
      <c r="U43" s="779"/>
      <c r="V43" s="779"/>
      <c r="W43" s="779"/>
      <c r="X43" s="779"/>
      <c r="Y43" s="779"/>
      <c r="Z43" s="779"/>
      <c r="AA43" s="779"/>
      <c r="AB43" s="779"/>
      <c r="AC43" s="779"/>
      <c r="AD43" s="779"/>
      <c r="AE43" s="779"/>
      <c r="AF43" s="779"/>
      <c r="AG43" s="779"/>
      <c r="AH43" s="779"/>
      <c r="AI43" s="779"/>
      <c r="AJ43" s="779"/>
      <c r="AK43" s="779"/>
      <c r="AL43" s="779"/>
      <c r="AM43" s="779"/>
      <c r="AN43" s="779"/>
      <c r="AO43" s="779"/>
      <c r="AP43" s="779"/>
      <c r="AQ43" s="779"/>
      <c r="AR43" s="779"/>
      <c r="AS43" s="779"/>
      <c r="AT43" s="779"/>
      <c r="AU43" s="779"/>
      <c r="AV43" s="779"/>
      <c r="AW43" s="779"/>
      <c r="AX43" s="779"/>
      <c r="AY43" s="779"/>
      <c r="AZ43" s="779"/>
      <c r="BA43" s="779"/>
      <c r="BB43" s="779"/>
      <c r="BC43" s="779"/>
      <c r="BD43" s="779"/>
      <c r="BE43" s="779"/>
      <c r="BF43" s="779"/>
      <c r="BG43" s="779"/>
      <c r="BH43" s="779"/>
      <c r="BI43" s="779"/>
      <c r="BJ43" s="779"/>
      <c r="BK43" s="779"/>
      <c r="BL43" s="779"/>
      <c r="BM43" s="779"/>
      <c r="BN43" s="779"/>
      <c r="BO43" s="779"/>
      <c r="BP43" s="779"/>
      <c r="BQ43" s="779"/>
      <c r="BR43" s="779"/>
      <c r="BS43" s="779"/>
      <c r="BT43" s="779"/>
      <c r="BU43" s="779"/>
      <c r="BV43" s="779"/>
      <c r="BW43" s="779"/>
      <c r="BX43" s="779"/>
      <c r="BY43" s="779"/>
      <c r="BZ43" s="779"/>
      <c r="CA43" s="779"/>
      <c r="CB43" s="779"/>
      <c r="CC43" s="779"/>
      <c r="CD43" s="779"/>
      <c r="CE43" s="779"/>
      <c r="CF43" s="779"/>
      <c r="CG43" s="779"/>
      <c r="CH43" s="779"/>
      <c r="CI43" s="779"/>
      <c r="CJ43" s="779"/>
      <c r="CK43" s="779"/>
      <c r="CL43" s="779"/>
      <c r="CM43" s="779"/>
      <c r="CN43" s="779"/>
      <c r="CO43" s="779"/>
      <c r="CP43" s="779"/>
      <c r="CQ43" s="779"/>
      <c r="CR43" s="779"/>
      <c r="CS43" s="779"/>
      <c r="CT43" s="779"/>
      <c r="CU43" s="779"/>
      <c r="CV43" s="779"/>
      <c r="CW43" s="779"/>
      <c r="CX43" s="779"/>
      <c r="CY43" s="779"/>
      <c r="CZ43" s="779"/>
      <c r="DA43" s="779"/>
      <c r="DB43" s="779"/>
      <c r="DC43" s="779"/>
      <c r="DD43" s="779"/>
      <c r="DE43" s="779"/>
      <c r="DF43" s="779"/>
      <c r="DG43" s="779"/>
      <c r="DH43" s="779"/>
      <c r="DI43" s="779"/>
      <c r="DJ43" s="779"/>
      <c r="DK43" s="779"/>
      <c r="DL43" s="779"/>
      <c r="DM43" s="779"/>
      <c r="DN43" s="779"/>
      <c r="DO43" s="779"/>
      <c r="DP43" s="779"/>
      <c r="DQ43" s="779"/>
      <c r="DR43" s="779"/>
      <c r="DS43" s="779"/>
      <c r="DT43" s="779"/>
      <c r="DU43" s="779"/>
      <c r="DV43" s="779"/>
      <c r="DW43" s="779"/>
      <c r="DX43" s="779"/>
      <c r="DY43" s="779"/>
      <c r="DZ43" s="779"/>
      <c r="EA43" s="779"/>
      <c r="EB43" s="779"/>
      <c r="EC43" s="779"/>
      <c r="ED43" s="779"/>
      <c r="EE43" s="779"/>
      <c r="EF43" s="779"/>
      <c r="EG43" s="779"/>
      <c r="EH43" s="779"/>
      <c r="EI43" s="779"/>
      <c r="EJ43" s="779"/>
      <c r="EK43" s="779"/>
      <c r="EL43" s="779"/>
      <c r="EM43" s="779"/>
      <c r="EN43" s="779"/>
      <c r="EO43" s="779"/>
      <c r="EP43" s="779"/>
      <c r="EQ43" s="779"/>
      <c r="ER43" s="779"/>
      <c r="ES43" s="779"/>
      <c r="ET43" s="779"/>
      <c r="EU43" s="779"/>
      <c r="EV43" s="779"/>
      <c r="EW43" s="779"/>
      <c r="EX43" s="779"/>
      <c r="EY43" s="779"/>
      <c r="EZ43" s="779"/>
      <c r="FA43" s="779"/>
      <c r="FB43" s="779"/>
      <c r="FC43" s="779"/>
      <c r="FD43" s="779"/>
      <c r="FE43" s="779"/>
      <c r="FF43" s="779"/>
      <c r="FG43" s="779"/>
      <c r="FH43" s="779"/>
      <c r="FI43" s="779"/>
      <c r="FJ43" s="779"/>
      <c r="FK43" s="779"/>
      <c r="FL43" s="779"/>
      <c r="FM43" s="779"/>
      <c r="FN43" s="779"/>
      <c r="FO43" s="779"/>
      <c r="FP43" s="779"/>
      <c r="FQ43" s="779"/>
      <c r="FR43" s="779"/>
      <c r="FS43" s="779"/>
      <c r="FT43" s="779"/>
      <c r="FU43" s="779"/>
      <c r="FV43" s="779"/>
      <c r="FW43" s="779"/>
      <c r="FX43" s="779"/>
      <c r="FY43" s="779"/>
      <c r="FZ43" s="779"/>
      <c r="GA43" s="779"/>
      <c r="GB43" s="779"/>
      <c r="GC43" s="779"/>
      <c r="GD43" s="779"/>
      <c r="GE43" s="779"/>
      <c r="GF43" s="779"/>
      <c r="GG43" s="779"/>
      <c r="GH43" s="779"/>
      <c r="GI43" s="779"/>
      <c r="GJ43" s="779"/>
      <c r="GK43" s="779"/>
      <c r="GL43" s="779"/>
      <c r="GM43" s="779"/>
      <c r="GN43" s="779"/>
      <c r="GO43" s="779"/>
      <c r="GP43" s="779"/>
      <c r="GQ43" s="779"/>
      <c r="GR43" s="779"/>
      <c r="GS43" s="779"/>
      <c r="GT43" s="779"/>
      <c r="GU43" s="779"/>
      <c r="GV43" s="779"/>
      <c r="GW43" s="779"/>
      <c r="GX43" s="779"/>
      <c r="GY43" s="779"/>
      <c r="GZ43" s="779"/>
      <c r="HA43" s="779"/>
      <c r="HB43" s="779"/>
      <c r="HC43" s="779"/>
      <c r="HD43" s="779"/>
      <c r="HE43" s="779"/>
      <c r="HF43" s="779"/>
      <c r="HG43" s="779"/>
      <c r="HH43" s="779"/>
      <c r="HI43" s="779"/>
      <c r="HJ43" s="779"/>
      <c r="HK43" s="779"/>
      <c r="HL43" s="779"/>
      <c r="HM43" s="779"/>
      <c r="HN43" s="779"/>
      <c r="HO43" s="779"/>
      <c r="HP43" s="779"/>
      <c r="HQ43" s="779"/>
      <c r="HR43" s="779"/>
      <c r="HS43" s="779"/>
      <c r="HT43" s="779"/>
      <c r="HU43" s="779"/>
      <c r="HV43" s="779"/>
      <c r="HW43" s="779"/>
      <c r="HX43" s="779"/>
      <c r="HY43" s="779"/>
      <c r="HZ43" s="779"/>
      <c r="IA43" s="779"/>
      <c r="IB43" s="779"/>
      <c r="IC43" s="779"/>
      <c r="ID43" s="779"/>
      <c r="IE43" s="779"/>
      <c r="IF43" s="779"/>
      <c r="IG43" s="779"/>
      <c r="IH43" s="779"/>
      <c r="II43" s="779"/>
      <c r="IJ43" s="779"/>
      <c r="IK43" s="779"/>
      <c r="IL43" s="779"/>
      <c r="IM43" s="779"/>
      <c r="IN43" s="779"/>
      <c r="IO43" s="779"/>
      <c r="IP43" s="779"/>
      <c r="IQ43" s="779"/>
      <c r="IR43" s="779"/>
      <c r="IS43" s="779"/>
      <c r="IT43" s="779"/>
      <c r="IU43" s="779"/>
      <c r="IV43" s="779"/>
      <c r="IW43" s="779"/>
      <c r="IX43" s="779"/>
      <c r="IY43" s="779"/>
      <c r="IZ43" s="779"/>
      <c r="JA43" s="779"/>
      <c r="JB43" s="779"/>
      <c r="JC43" s="779"/>
      <c r="JD43" s="779"/>
      <c r="JE43" s="779"/>
      <c r="JF43" s="779"/>
      <c r="JG43" s="779"/>
      <c r="JH43" s="779"/>
      <c r="JI43" s="779"/>
      <c r="JJ43" s="779"/>
      <c r="JK43" s="779"/>
      <c r="JL43" s="779"/>
      <c r="JM43" s="779"/>
      <c r="JN43" s="779"/>
      <c r="JO43" s="779"/>
      <c r="JP43" s="779"/>
      <c r="JQ43" s="779"/>
      <c r="JR43" s="779"/>
      <c r="JS43" s="779"/>
      <c r="JT43" s="779"/>
      <c r="JU43" s="779"/>
      <c r="JV43" s="779"/>
      <c r="JW43" s="779"/>
      <c r="JX43" s="779"/>
      <c r="JY43" s="779"/>
      <c r="JZ43" s="779"/>
      <c r="KA43" s="779"/>
      <c r="KB43" s="779"/>
      <c r="KC43" s="779"/>
      <c r="KD43" s="779"/>
      <c r="KE43" s="779"/>
      <c r="KF43" s="779"/>
      <c r="KG43" s="779"/>
      <c r="KH43" s="779"/>
      <c r="KI43" s="779"/>
      <c r="KJ43" s="779"/>
      <c r="KK43" s="779"/>
      <c r="KL43" s="779"/>
      <c r="KM43" s="779"/>
      <c r="KN43" s="779"/>
      <c r="KO43" s="779"/>
      <c r="KP43" s="779"/>
      <c r="KQ43" s="779"/>
      <c r="KR43" s="779"/>
      <c r="KS43" s="779"/>
      <c r="KT43" s="779"/>
      <c r="KU43" s="779"/>
      <c r="KV43" s="779"/>
      <c r="KW43" s="779"/>
      <c r="KX43" s="779"/>
      <c r="KY43" s="779"/>
      <c r="KZ43" s="779"/>
      <c r="LA43" s="779"/>
      <c r="LB43" s="779"/>
      <c r="LC43" s="779"/>
      <c r="LD43" s="779"/>
      <c r="LE43" s="779"/>
      <c r="LF43" s="779"/>
      <c r="LG43" s="779"/>
      <c r="LH43" s="779"/>
      <c r="LI43" s="779"/>
      <c r="LJ43" s="779"/>
      <c r="LK43" s="779"/>
      <c r="LL43" s="779"/>
      <c r="LM43" s="779"/>
      <c r="LN43" s="779"/>
      <c r="LO43" s="779"/>
      <c r="LP43" s="779"/>
      <c r="LQ43" s="779"/>
      <c r="LR43" s="779"/>
      <c r="LS43" s="779"/>
      <c r="LT43" s="779"/>
      <c r="LU43" s="779"/>
      <c r="LV43" s="779"/>
      <c r="LW43" s="779"/>
      <c r="LX43" s="779"/>
      <c r="LY43" s="779"/>
      <c r="LZ43" s="779"/>
      <c r="MA43" s="779"/>
      <c r="MB43" s="779"/>
      <c r="MC43" s="779"/>
      <c r="MD43" s="779"/>
      <c r="ME43" s="779"/>
      <c r="MF43" s="779"/>
      <c r="MG43" s="779"/>
      <c r="MH43" s="779"/>
      <c r="MI43" s="779"/>
      <c r="MJ43" s="779"/>
      <c r="MK43" s="779"/>
      <c r="ML43" s="779"/>
      <c r="MM43" s="779"/>
      <c r="MN43" s="779"/>
      <c r="MO43" s="779"/>
      <c r="MP43" s="779"/>
      <c r="MQ43" s="779"/>
      <c r="MR43" s="779"/>
      <c r="MS43" s="779"/>
      <c r="MT43" s="779"/>
      <c r="MU43" s="779"/>
      <c r="MV43" s="779"/>
      <c r="MW43" s="779"/>
      <c r="MX43" s="779"/>
      <c r="MY43" s="779"/>
      <c r="MZ43" s="779"/>
      <c r="NA43" s="779"/>
      <c r="NB43" s="779"/>
      <c r="NC43" s="779"/>
      <c r="ND43" s="779"/>
      <c r="NE43" s="779"/>
      <c r="NF43" s="779"/>
      <c r="NG43" s="779"/>
      <c r="NH43" s="779"/>
      <c r="NI43" s="779"/>
      <c r="NJ43" s="779"/>
      <c r="NK43" s="779"/>
      <c r="NL43" s="779"/>
      <c r="NM43" s="779"/>
      <c r="NN43" s="779"/>
      <c r="NO43" s="779"/>
      <c r="NP43" s="779"/>
      <c r="NQ43" s="779"/>
      <c r="NR43" s="779"/>
      <c r="NS43" s="779"/>
      <c r="NT43" s="779"/>
      <c r="NU43" s="779"/>
      <c r="NV43" s="779"/>
      <c r="NW43" s="779"/>
      <c r="NX43" s="779"/>
      <c r="NY43" s="779"/>
      <c r="NZ43" s="779"/>
      <c r="OA43" s="779"/>
      <c r="OB43" s="779"/>
      <c r="OC43" s="779"/>
      <c r="OD43" s="779"/>
      <c r="OE43" s="779"/>
      <c r="OF43" s="779"/>
      <c r="OG43" s="779"/>
      <c r="OH43" s="779"/>
      <c r="OI43" s="779"/>
      <c r="OJ43" s="779"/>
      <c r="OK43" s="779"/>
      <c r="OL43" s="779"/>
      <c r="OM43" s="779"/>
      <c r="ON43" s="779"/>
      <c r="OO43" s="779"/>
      <c r="OP43" s="779"/>
      <c r="OQ43" s="779"/>
      <c r="OR43" s="779"/>
      <c r="OS43" s="779"/>
      <c r="OT43" s="779"/>
      <c r="OU43" s="779"/>
      <c r="OV43" s="779"/>
      <c r="OW43" s="779"/>
      <c r="OX43" s="779"/>
      <c r="OY43" s="779"/>
      <c r="OZ43" s="779"/>
      <c r="PA43" s="779"/>
      <c r="PB43" s="779"/>
      <c r="PC43" s="779"/>
      <c r="PD43" s="779"/>
      <c r="PE43" s="779"/>
      <c r="PF43" s="779"/>
      <c r="PG43" s="779"/>
      <c r="PH43" s="779"/>
      <c r="PI43" s="779"/>
      <c r="PJ43" s="779"/>
      <c r="PK43" s="779"/>
      <c r="PL43" s="779"/>
      <c r="PM43" s="779"/>
      <c r="PN43" s="779"/>
      <c r="PO43" s="779"/>
    </row>
    <row r="44" spans="1:431" s="143" customFormat="1">
      <c r="A44" s="779"/>
      <c r="B44" s="779"/>
      <c r="C44" s="782"/>
      <c r="D44" s="782"/>
      <c r="E44" s="782"/>
      <c r="F44" s="782"/>
      <c r="G44" s="782"/>
      <c r="H44" s="782"/>
      <c r="I44" s="782"/>
      <c r="J44" s="782"/>
      <c r="K44" s="782"/>
      <c r="L44" s="782"/>
      <c r="M44" s="779"/>
      <c r="N44" s="779"/>
      <c r="O44" s="779"/>
      <c r="P44" s="779"/>
      <c r="Q44" s="779"/>
      <c r="R44" s="779"/>
      <c r="S44" s="779"/>
      <c r="T44" s="779"/>
      <c r="U44" s="779"/>
      <c r="V44" s="779"/>
      <c r="W44" s="779"/>
      <c r="X44" s="779"/>
      <c r="Y44" s="779"/>
      <c r="Z44" s="779"/>
      <c r="AA44" s="779"/>
      <c r="AB44" s="779"/>
      <c r="AC44" s="779"/>
      <c r="AD44" s="779"/>
      <c r="AE44" s="779"/>
      <c r="AF44" s="779"/>
      <c r="AG44" s="779"/>
      <c r="AH44" s="779"/>
      <c r="AI44" s="779"/>
      <c r="AJ44" s="779"/>
      <c r="AK44" s="779"/>
      <c r="AL44" s="779"/>
      <c r="AM44" s="779"/>
      <c r="AN44" s="779"/>
      <c r="AO44" s="779"/>
      <c r="AP44" s="779"/>
      <c r="AQ44" s="779"/>
      <c r="AR44" s="779"/>
      <c r="AS44" s="779"/>
      <c r="AT44" s="779"/>
      <c r="AU44" s="779"/>
      <c r="AV44" s="779"/>
      <c r="AW44" s="779"/>
      <c r="AX44" s="779"/>
      <c r="AY44" s="779"/>
      <c r="AZ44" s="779"/>
      <c r="BA44" s="779"/>
      <c r="BB44" s="779"/>
      <c r="BC44" s="779"/>
      <c r="BD44" s="779"/>
      <c r="BE44" s="779"/>
      <c r="BF44" s="779"/>
      <c r="BG44" s="779"/>
      <c r="BH44" s="779"/>
      <c r="BI44" s="779"/>
      <c r="BJ44" s="779"/>
      <c r="BK44" s="779"/>
      <c r="BL44" s="779"/>
      <c r="BM44" s="779"/>
      <c r="BN44" s="779"/>
      <c r="BO44" s="779"/>
      <c r="BP44" s="779"/>
      <c r="BQ44" s="779"/>
      <c r="BR44" s="779"/>
      <c r="BS44" s="779"/>
      <c r="BT44" s="779"/>
      <c r="BU44" s="779"/>
      <c r="BV44" s="779"/>
      <c r="BW44" s="779"/>
      <c r="BX44" s="779"/>
      <c r="BY44" s="779"/>
      <c r="BZ44" s="779"/>
      <c r="CA44" s="779"/>
      <c r="CB44" s="779"/>
      <c r="CC44" s="779"/>
      <c r="CD44" s="779"/>
      <c r="CE44" s="779"/>
      <c r="CF44" s="779"/>
      <c r="CG44" s="779"/>
      <c r="CH44" s="779"/>
      <c r="CI44" s="779"/>
      <c r="CJ44" s="779"/>
      <c r="CK44" s="779"/>
      <c r="CL44" s="779"/>
      <c r="CM44" s="779"/>
      <c r="CN44" s="779"/>
      <c r="CO44" s="779"/>
      <c r="CP44" s="779"/>
      <c r="CQ44" s="779"/>
      <c r="CR44" s="779"/>
      <c r="CS44" s="779"/>
      <c r="CT44" s="779"/>
      <c r="CU44" s="779"/>
      <c r="CV44" s="779"/>
      <c r="CW44" s="779"/>
      <c r="CX44" s="779"/>
      <c r="CY44" s="779"/>
      <c r="CZ44" s="779"/>
      <c r="DA44" s="779"/>
      <c r="DB44" s="779"/>
      <c r="DC44" s="779"/>
      <c r="DD44" s="779"/>
      <c r="DE44" s="779"/>
      <c r="DF44" s="779"/>
      <c r="DG44" s="779"/>
      <c r="DH44" s="779"/>
      <c r="DI44" s="779"/>
      <c r="DJ44" s="779"/>
      <c r="DK44" s="779"/>
      <c r="DL44" s="779"/>
      <c r="DM44" s="779"/>
      <c r="DN44" s="779"/>
      <c r="DO44" s="779"/>
      <c r="DP44" s="779"/>
      <c r="DQ44" s="779"/>
      <c r="DR44" s="779"/>
      <c r="DS44" s="779"/>
      <c r="DT44" s="779"/>
      <c r="DU44" s="779"/>
      <c r="DV44" s="779"/>
      <c r="DW44" s="779"/>
      <c r="DX44" s="779"/>
      <c r="DY44" s="779"/>
      <c r="DZ44" s="779"/>
      <c r="EA44" s="779"/>
      <c r="EB44" s="779"/>
      <c r="EC44" s="779"/>
      <c r="ED44" s="779"/>
      <c r="EE44" s="779"/>
      <c r="EF44" s="779"/>
      <c r="EG44" s="779"/>
      <c r="EH44" s="779"/>
      <c r="EI44" s="779"/>
      <c r="EJ44" s="779"/>
      <c r="EK44" s="779"/>
      <c r="EL44" s="779"/>
      <c r="EM44" s="779"/>
      <c r="EN44" s="779"/>
      <c r="EO44" s="779"/>
      <c r="EP44" s="779"/>
      <c r="EQ44" s="779"/>
      <c r="ER44" s="779"/>
      <c r="ES44" s="779"/>
      <c r="ET44" s="779"/>
      <c r="EU44" s="779"/>
      <c r="EV44" s="779"/>
      <c r="EW44" s="779"/>
      <c r="EX44" s="779"/>
      <c r="EY44" s="779"/>
      <c r="EZ44" s="779"/>
      <c r="FA44" s="779"/>
      <c r="FB44" s="779"/>
      <c r="FC44" s="779"/>
      <c r="FD44" s="779"/>
      <c r="FE44" s="779"/>
      <c r="FF44" s="779"/>
      <c r="FG44" s="779"/>
      <c r="FH44" s="779"/>
      <c r="FI44" s="779"/>
      <c r="FJ44" s="779"/>
      <c r="FK44" s="779"/>
      <c r="FL44" s="779"/>
      <c r="FM44" s="779"/>
      <c r="FN44" s="779"/>
      <c r="FO44" s="779"/>
      <c r="FP44" s="779"/>
      <c r="FQ44" s="779"/>
      <c r="FR44" s="779"/>
      <c r="FS44" s="779"/>
      <c r="FT44" s="779"/>
      <c r="FU44" s="779"/>
      <c r="FV44" s="779"/>
      <c r="FW44" s="779"/>
      <c r="FX44" s="779"/>
      <c r="FY44" s="779"/>
      <c r="FZ44" s="779"/>
      <c r="GA44" s="779"/>
      <c r="GB44" s="779"/>
      <c r="GC44" s="779"/>
      <c r="GD44" s="779"/>
      <c r="GE44" s="779"/>
      <c r="GF44" s="779"/>
      <c r="GG44" s="779"/>
      <c r="GH44" s="779"/>
      <c r="GI44" s="779"/>
      <c r="GJ44" s="779"/>
      <c r="GK44" s="779"/>
      <c r="GL44" s="779"/>
      <c r="GM44" s="779"/>
      <c r="GN44" s="779"/>
      <c r="GO44" s="779"/>
      <c r="GP44" s="779"/>
      <c r="GQ44" s="779"/>
      <c r="GR44" s="779"/>
      <c r="GS44" s="779"/>
      <c r="GT44" s="779"/>
      <c r="GU44" s="779"/>
      <c r="GV44" s="779"/>
      <c r="GW44" s="779"/>
      <c r="GX44" s="779"/>
      <c r="GY44" s="779"/>
      <c r="GZ44" s="779"/>
      <c r="HA44" s="779"/>
      <c r="HB44" s="779"/>
      <c r="HC44" s="779"/>
      <c r="HD44" s="779"/>
      <c r="HE44" s="779"/>
      <c r="HF44" s="779"/>
      <c r="HG44" s="779"/>
      <c r="HH44" s="779"/>
      <c r="HI44" s="779"/>
      <c r="HJ44" s="779"/>
      <c r="HK44" s="779"/>
      <c r="HL44" s="779"/>
      <c r="HM44" s="779"/>
      <c r="HN44" s="779"/>
      <c r="HO44" s="779"/>
      <c r="HP44" s="779"/>
      <c r="HQ44" s="779"/>
      <c r="HR44" s="779"/>
      <c r="HS44" s="779"/>
      <c r="HT44" s="779"/>
      <c r="HU44" s="779"/>
      <c r="HV44" s="779"/>
      <c r="HW44" s="779"/>
      <c r="HX44" s="779"/>
      <c r="HY44" s="779"/>
      <c r="HZ44" s="779"/>
      <c r="IA44" s="779"/>
      <c r="IB44" s="779"/>
      <c r="IC44" s="779"/>
      <c r="ID44" s="779"/>
      <c r="IE44" s="779"/>
      <c r="IF44" s="779"/>
      <c r="IG44" s="779"/>
      <c r="IH44" s="779"/>
      <c r="II44" s="779"/>
      <c r="IJ44" s="779"/>
      <c r="IK44" s="779"/>
      <c r="IL44" s="779"/>
      <c r="IM44" s="779"/>
      <c r="IN44" s="779"/>
      <c r="IO44" s="779"/>
      <c r="IP44" s="779"/>
      <c r="IQ44" s="779"/>
      <c r="IR44" s="779"/>
      <c r="IS44" s="779"/>
      <c r="IT44" s="779"/>
      <c r="IU44" s="779"/>
      <c r="IV44" s="779"/>
      <c r="IW44" s="779"/>
      <c r="IX44" s="779"/>
      <c r="IY44" s="779"/>
      <c r="IZ44" s="779"/>
      <c r="JA44" s="779"/>
      <c r="JB44" s="779"/>
      <c r="JC44" s="779"/>
      <c r="JD44" s="779"/>
      <c r="JE44" s="779"/>
      <c r="JF44" s="779"/>
      <c r="JG44" s="779"/>
      <c r="JH44" s="779"/>
      <c r="JI44" s="779"/>
      <c r="JJ44" s="779"/>
      <c r="JK44" s="779"/>
      <c r="JL44" s="779"/>
      <c r="JM44" s="779"/>
      <c r="JN44" s="779"/>
      <c r="JO44" s="779"/>
      <c r="JP44" s="779"/>
      <c r="JQ44" s="779"/>
      <c r="JR44" s="779"/>
      <c r="JS44" s="779"/>
      <c r="JT44" s="779"/>
      <c r="JU44" s="779"/>
      <c r="JV44" s="779"/>
      <c r="JW44" s="779"/>
      <c r="JX44" s="779"/>
      <c r="JY44" s="779"/>
      <c r="JZ44" s="779"/>
      <c r="KA44" s="779"/>
      <c r="KB44" s="779"/>
      <c r="KC44" s="779"/>
      <c r="KD44" s="779"/>
      <c r="KE44" s="779"/>
      <c r="KF44" s="779"/>
      <c r="KG44" s="779"/>
      <c r="KH44" s="779"/>
      <c r="KI44" s="779"/>
      <c r="KJ44" s="779"/>
      <c r="KK44" s="779"/>
      <c r="KL44" s="779"/>
      <c r="KM44" s="779"/>
      <c r="KN44" s="779"/>
      <c r="KO44" s="779"/>
      <c r="KP44" s="779"/>
      <c r="KQ44" s="779"/>
      <c r="KR44" s="779"/>
      <c r="KS44" s="779"/>
      <c r="KT44" s="779"/>
      <c r="KU44" s="779"/>
      <c r="KV44" s="779"/>
      <c r="KW44" s="779"/>
      <c r="KX44" s="779"/>
      <c r="KY44" s="779"/>
      <c r="KZ44" s="779"/>
      <c r="LA44" s="779"/>
      <c r="LB44" s="779"/>
      <c r="LC44" s="779"/>
      <c r="LD44" s="779"/>
      <c r="LE44" s="779"/>
      <c r="LF44" s="779"/>
      <c r="LG44" s="779"/>
      <c r="LH44" s="779"/>
      <c r="LI44" s="779"/>
      <c r="LJ44" s="779"/>
      <c r="LK44" s="779"/>
      <c r="LL44" s="779"/>
      <c r="LM44" s="779"/>
      <c r="LN44" s="779"/>
      <c r="LO44" s="779"/>
      <c r="LP44" s="779"/>
      <c r="LQ44" s="779"/>
      <c r="LR44" s="779"/>
      <c r="LS44" s="779"/>
      <c r="LT44" s="779"/>
      <c r="LU44" s="779"/>
      <c r="LV44" s="779"/>
      <c r="LW44" s="779"/>
      <c r="LX44" s="779"/>
      <c r="LY44" s="779"/>
      <c r="LZ44" s="779"/>
      <c r="MA44" s="779"/>
      <c r="MB44" s="779"/>
      <c r="MC44" s="779"/>
      <c r="MD44" s="779"/>
      <c r="ME44" s="779"/>
      <c r="MF44" s="779"/>
      <c r="MG44" s="779"/>
      <c r="MH44" s="779"/>
      <c r="MI44" s="779"/>
      <c r="MJ44" s="779"/>
      <c r="MK44" s="779"/>
      <c r="ML44" s="779"/>
      <c r="MM44" s="779"/>
      <c r="MN44" s="779"/>
      <c r="MO44" s="779"/>
      <c r="MP44" s="779"/>
      <c r="MQ44" s="779"/>
      <c r="MR44" s="779"/>
      <c r="MS44" s="779"/>
      <c r="MT44" s="779"/>
      <c r="MU44" s="779"/>
      <c r="MV44" s="779"/>
      <c r="MW44" s="779"/>
      <c r="MX44" s="779"/>
      <c r="MY44" s="779"/>
      <c r="MZ44" s="779"/>
      <c r="NA44" s="779"/>
      <c r="NB44" s="779"/>
      <c r="NC44" s="779"/>
      <c r="ND44" s="779"/>
      <c r="NE44" s="779"/>
      <c r="NF44" s="779"/>
      <c r="NG44" s="779"/>
      <c r="NH44" s="779"/>
      <c r="NI44" s="779"/>
      <c r="NJ44" s="779"/>
      <c r="NK44" s="779"/>
      <c r="NL44" s="779"/>
      <c r="NM44" s="779"/>
      <c r="NN44" s="779"/>
      <c r="NO44" s="779"/>
      <c r="NP44" s="779"/>
      <c r="NQ44" s="779"/>
      <c r="NR44" s="779"/>
      <c r="NS44" s="779"/>
      <c r="NT44" s="779"/>
      <c r="NU44" s="779"/>
      <c r="NV44" s="779"/>
      <c r="NW44" s="779"/>
      <c r="NX44" s="779"/>
      <c r="NY44" s="779"/>
      <c r="NZ44" s="779"/>
      <c r="OA44" s="779"/>
      <c r="OB44" s="779"/>
      <c r="OC44" s="779"/>
      <c r="OD44" s="779"/>
      <c r="OE44" s="779"/>
      <c r="OF44" s="779"/>
      <c r="OG44" s="779"/>
      <c r="OH44" s="779"/>
      <c r="OI44" s="779"/>
      <c r="OJ44" s="779"/>
      <c r="OK44" s="779"/>
      <c r="OL44" s="779"/>
      <c r="OM44" s="779"/>
      <c r="ON44" s="779"/>
      <c r="OO44" s="779"/>
      <c r="OP44" s="779"/>
      <c r="OQ44" s="779"/>
      <c r="OR44" s="779"/>
      <c r="OS44" s="779"/>
      <c r="OT44" s="779"/>
      <c r="OU44" s="779"/>
      <c r="OV44" s="779"/>
      <c r="OW44" s="779"/>
      <c r="OX44" s="779"/>
      <c r="OY44" s="779"/>
      <c r="OZ44" s="779"/>
      <c r="PA44" s="779"/>
      <c r="PB44" s="779"/>
      <c r="PC44" s="779"/>
      <c r="PD44" s="779"/>
      <c r="PE44" s="779"/>
      <c r="PF44" s="779"/>
      <c r="PG44" s="779"/>
      <c r="PH44" s="779"/>
      <c r="PI44" s="779"/>
      <c r="PJ44" s="779"/>
      <c r="PK44" s="779"/>
      <c r="PL44" s="779"/>
      <c r="PM44" s="779"/>
      <c r="PN44" s="779"/>
      <c r="PO44" s="779"/>
    </row>
    <row r="45" spans="1:431" s="143" customFormat="1">
      <c r="A45" s="779"/>
      <c r="B45" s="779"/>
      <c r="C45" s="782"/>
      <c r="D45" s="782"/>
      <c r="E45" s="782"/>
      <c r="F45" s="782"/>
      <c r="G45" s="782"/>
      <c r="H45" s="782"/>
      <c r="I45" s="782"/>
      <c r="J45" s="782"/>
      <c r="K45" s="782"/>
      <c r="L45" s="782"/>
      <c r="M45" s="779"/>
      <c r="N45" s="779"/>
      <c r="O45" s="779"/>
      <c r="P45" s="779"/>
      <c r="Q45" s="779"/>
      <c r="R45" s="779"/>
      <c r="S45" s="779"/>
      <c r="T45" s="779"/>
      <c r="U45" s="779"/>
      <c r="V45" s="779"/>
      <c r="W45" s="779"/>
      <c r="X45" s="779"/>
      <c r="Y45" s="779"/>
      <c r="Z45" s="779"/>
      <c r="AA45" s="779"/>
      <c r="AB45" s="779"/>
      <c r="AC45" s="779"/>
      <c r="AD45" s="779"/>
      <c r="AE45" s="779"/>
      <c r="AF45" s="779"/>
      <c r="AG45" s="779"/>
      <c r="AH45" s="779"/>
      <c r="AI45" s="779"/>
      <c r="AJ45" s="779"/>
      <c r="AK45" s="779"/>
      <c r="AL45" s="779"/>
      <c r="AM45" s="779"/>
      <c r="AN45" s="779"/>
      <c r="AO45" s="779"/>
      <c r="AP45" s="779"/>
      <c r="AQ45" s="779"/>
      <c r="AR45" s="779"/>
      <c r="AS45" s="779"/>
      <c r="AT45" s="779"/>
      <c r="AU45" s="779"/>
      <c r="AV45" s="779"/>
      <c r="AW45" s="779"/>
      <c r="AX45" s="779"/>
      <c r="AY45" s="779"/>
      <c r="AZ45" s="779"/>
      <c r="BA45" s="779"/>
      <c r="BB45" s="779"/>
      <c r="BC45" s="779"/>
      <c r="BD45" s="779"/>
      <c r="BE45" s="779"/>
      <c r="BF45" s="779"/>
      <c r="BG45" s="779"/>
      <c r="BH45" s="779"/>
      <c r="BI45" s="779"/>
      <c r="BJ45" s="779"/>
      <c r="BK45" s="779"/>
      <c r="BL45" s="779"/>
      <c r="BM45" s="779"/>
      <c r="BN45" s="779"/>
      <c r="BO45" s="779"/>
      <c r="BP45" s="779"/>
      <c r="BQ45" s="779"/>
      <c r="BR45" s="779"/>
      <c r="BS45" s="779"/>
      <c r="BT45" s="779"/>
      <c r="BU45" s="779"/>
      <c r="BV45" s="779"/>
      <c r="BW45" s="779"/>
      <c r="BX45" s="779"/>
      <c r="BY45" s="779"/>
      <c r="BZ45" s="779"/>
      <c r="CA45" s="779"/>
      <c r="CB45" s="779"/>
      <c r="CC45" s="779"/>
      <c r="CD45" s="779"/>
      <c r="CE45" s="779"/>
      <c r="CF45" s="779"/>
      <c r="CG45" s="779"/>
      <c r="CH45" s="779"/>
      <c r="CI45" s="779"/>
      <c r="CJ45" s="779"/>
      <c r="CK45" s="779"/>
      <c r="CL45" s="779"/>
      <c r="CM45" s="779"/>
      <c r="CN45" s="779"/>
      <c r="CO45" s="779"/>
      <c r="CP45" s="779"/>
      <c r="CQ45" s="779"/>
      <c r="CR45" s="779"/>
      <c r="CS45" s="779"/>
      <c r="CT45" s="779"/>
      <c r="CU45" s="779"/>
      <c r="CV45" s="779"/>
      <c r="CW45" s="779"/>
      <c r="CX45" s="779"/>
      <c r="CY45" s="779"/>
      <c r="CZ45" s="779"/>
      <c r="DA45" s="779"/>
      <c r="DB45" s="779"/>
      <c r="DC45" s="779"/>
      <c r="DD45" s="779"/>
      <c r="DE45" s="779"/>
      <c r="DF45" s="779"/>
      <c r="DG45" s="779"/>
      <c r="DH45" s="779"/>
      <c r="DI45" s="779"/>
      <c r="DJ45" s="779"/>
      <c r="DK45" s="779"/>
      <c r="DL45" s="779"/>
      <c r="DM45" s="779"/>
      <c r="DN45" s="779"/>
      <c r="DO45" s="779"/>
      <c r="DP45" s="779"/>
      <c r="DQ45" s="779"/>
      <c r="DR45" s="779"/>
      <c r="DS45" s="779"/>
      <c r="DT45" s="779"/>
      <c r="DU45" s="779"/>
      <c r="DV45" s="779"/>
      <c r="DW45" s="779"/>
      <c r="DX45" s="779"/>
      <c r="DY45" s="779"/>
      <c r="DZ45" s="779"/>
      <c r="EA45" s="779"/>
      <c r="EB45" s="779"/>
      <c r="EC45" s="779"/>
      <c r="ED45" s="779"/>
      <c r="EE45" s="779"/>
      <c r="EF45" s="779"/>
      <c r="EG45" s="779"/>
      <c r="EH45" s="779"/>
      <c r="EI45" s="779"/>
      <c r="EJ45" s="779"/>
      <c r="EK45" s="779"/>
      <c r="EL45" s="779"/>
      <c r="EM45" s="779"/>
      <c r="EN45" s="779"/>
      <c r="EO45" s="779"/>
      <c r="EP45" s="779"/>
      <c r="EQ45" s="779"/>
      <c r="ER45" s="779"/>
      <c r="ES45" s="779"/>
      <c r="ET45" s="779"/>
      <c r="EU45" s="779"/>
      <c r="EV45" s="779"/>
      <c r="EW45" s="779"/>
      <c r="EX45" s="779"/>
      <c r="EY45" s="779"/>
      <c r="EZ45" s="779"/>
      <c r="FA45" s="779"/>
      <c r="FB45" s="779"/>
      <c r="FC45" s="779"/>
      <c r="FD45" s="779"/>
      <c r="FE45" s="779"/>
      <c r="FF45" s="779"/>
      <c r="FG45" s="779"/>
      <c r="FH45" s="779"/>
      <c r="FI45" s="779"/>
      <c r="FJ45" s="779"/>
      <c r="FK45" s="779"/>
      <c r="FL45" s="779"/>
      <c r="FM45" s="779"/>
      <c r="FN45" s="779"/>
      <c r="FO45" s="779"/>
      <c r="FP45" s="779"/>
      <c r="FQ45" s="779"/>
      <c r="FR45" s="779"/>
      <c r="FS45" s="779"/>
      <c r="FT45" s="779"/>
      <c r="FU45" s="779"/>
      <c r="FV45" s="779"/>
      <c r="FW45" s="779"/>
      <c r="FX45" s="779"/>
      <c r="FY45" s="779"/>
      <c r="FZ45" s="779"/>
      <c r="GA45" s="779"/>
      <c r="GB45" s="779"/>
      <c r="GC45" s="779"/>
      <c r="GD45" s="779"/>
      <c r="GE45" s="779"/>
      <c r="GF45" s="779"/>
      <c r="GG45" s="779"/>
      <c r="GH45" s="779"/>
      <c r="GI45" s="779"/>
      <c r="GJ45" s="779"/>
      <c r="GK45" s="779"/>
      <c r="GL45" s="779"/>
      <c r="GM45" s="779"/>
      <c r="GN45" s="779"/>
      <c r="GO45" s="779"/>
      <c r="GP45" s="779"/>
      <c r="GQ45" s="779"/>
      <c r="GR45" s="779"/>
      <c r="GS45" s="779"/>
      <c r="GT45" s="779"/>
      <c r="GU45" s="779"/>
      <c r="GV45" s="779"/>
      <c r="GW45" s="779"/>
      <c r="GX45" s="779"/>
      <c r="GY45" s="779"/>
      <c r="GZ45" s="779"/>
      <c r="HA45" s="779"/>
      <c r="HB45" s="779"/>
      <c r="HC45" s="779"/>
      <c r="HD45" s="779"/>
      <c r="HE45" s="779"/>
      <c r="HF45" s="779"/>
      <c r="HG45" s="779"/>
      <c r="HH45" s="779"/>
      <c r="HI45" s="779"/>
      <c r="HJ45" s="779"/>
      <c r="HK45" s="779"/>
      <c r="HL45" s="779"/>
      <c r="HM45" s="779"/>
      <c r="HN45" s="779"/>
      <c r="HO45" s="779"/>
      <c r="HP45" s="779"/>
      <c r="HQ45" s="779"/>
      <c r="HR45" s="779"/>
      <c r="HS45" s="779"/>
      <c r="HT45" s="779"/>
      <c r="HU45" s="779"/>
      <c r="HV45" s="779"/>
      <c r="HW45" s="779"/>
      <c r="HX45" s="779"/>
      <c r="HY45" s="779"/>
      <c r="HZ45" s="779"/>
      <c r="IA45" s="779"/>
      <c r="IB45" s="779"/>
      <c r="IC45" s="779"/>
      <c r="ID45" s="779"/>
      <c r="IE45" s="779"/>
      <c r="IF45" s="779"/>
      <c r="IG45" s="779"/>
      <c r="IH45" s="779"/>
      <c r="II45" s="779"/>
      <c r="IJ45" s="779"/>
      <c r="IK45" s="779"/>
      <c r="IL45" s="779"/>
      <c r="IM45" s="779"/>
      <c r="IN45" s="779"/>
      <c r="IO45" s="779"/>
      <c r="IP45" s="779"/>
      <c r="IQ45" s="779"/>
      <c r="IR45" s="779"/>
      <c r="IS45" s="779"/>
      <c r="IT45" s="779"/>
      <c r="IU45" s="779"/>
      <c r="IV45" s="779"/>
      <c r="IW45" s="779"/>
      <c r="IX45" s="779"/>
      <c r="IY45" s="779"/>
      <c r="IZ45" s="779"/>
      <c r="JA45" s="779"/>
      <c r="JB45" s="779"/>
      <c r="JC45" s="779"/>
      <c r="JD45" s="779"/>
      <c r="JE45" s="779"/>
      <c r="JF45" s="779"/>
      <c r="JG45" s="779"/>
      <c r="JH45" s="779"/>
      <c r="JI45" s="779"/>
      <c r="JJ45" s="779"/>
      <c r="JK45" s="779"/>
      <c r="JL45" s="779"/>
      <c r="JM45" s="779"/>
      <c r="JN45" s="779"/>
      <c r="JO45" s="779"/>
      <c r="JP45" s="779"/>
      <c r="JQ45" s="779"/>
      <c r="JR45" s="779"/>
      <c r="JS45" s="779"/>
      <c r="JT45" s="779"/>
      <c r="JU45" s="779"/>
      <c r="JV45" s="779"/>
      <c r="JW45" s="779"/>
      <c r="JX45" s="779"/>
      <c r="JY45" s="779"/>
      <c r="JZ45" s="779"/>
      <c r="KA45" s="779"/>
      <c r="KB45" s="779"/>
      <c r="KC45" s="779"/>
      <c r="KD45" s="779"/>
      <c r="KE45" s="779"/>
      <c r="KF45" s="779"/>
      <c r="KG45" s="779"/>
      <c r="KH45" s="779"/>
      <c r="KI45" s="779"/>
      <c r="KJ45" s="779"/>
      <c r="KK45" s="779"/>
      <c r="KL45" s="779"/>
      <c r="KM45" s="779"/>
      <c r="KN45" s="779"/>
      <c r="KO45" s="779"/>
      <c r="KP45" s="779"/>
      <c r="KQ45" s="779"/>
      <c r="KR45" s="779"/>
      <c r="KS45" s="779"/>
      <c r="KT45" s="779"/>
      <c r="KU45" s="779"/>
      <c r="KV45" s="779"/>
      <c r="KW45" s="779"/>
      <c r="KX45" s="779"/>
      <c r="KY45" s="779"/>
      <c r="KZ45" s="779"/>
      <c r="LA45" s="779"/>
      <c r="LB45" s="779"/>
      <c r="LC45" s="779"/>
      <c r="LD45" s="779"/>
      <c r="LE45" s="779"/>
      <c r="LF45" s="779"/>
      <c r="LG45" s="779"/>
      <c r="LH45" s="779"/>
      <c r="LI45" s="779"/>
      <c r="LJ45" s="779"/>
      <c r="LK45" s="779"/>
      <c r="LL45" s="779"/>
      <c r="LM45" s="779"/>
      <c r="LN45" s="779"/>
      <c r="LO45" s="779"/>
      <c r="LP45" s="779"/>
      <c r="LQ45" s="779"/>
      <c r="LR45" s="779"/>
      <c r="LS45" s="779"/>
      <c r="LT45" s="779"/>
      <c r="LU45" s="779"/>
      <c r="LV45" s="779"/>
      <c r="LW45" s="779"/>
      <c r="LX45" s="779"/>
      <c r="LY45" s="779"/>
      <c r="LZ45" s="779"/>
      <c r="MA45" s="779"/>
      <c r="MB45" s="779"/>
      <c r="MC45" s="779"/>
      <c r="MD45" s="779"/>
      <c r="ME45" s="779"/>
      <c r="MF45" s="779"/>
      <c r="MG45" s="779"/>
      <c r="MH45" s="779"/>
      <c r="MI45" s="779"/>
      <c r="MJ45" s="779"/>
      <c r="MK45" s="779"/>
      <c r="ML45" s="779"/>
      <c r="MM45" s="779"/>
      <c r="MN45" s="779"/>
      <c r="MO45" s="779"/>
      <c r="MP45" s="779"/>
      <c r="MQ45" s="779"/>
      <c r="MR45" s="779"/>
      <c r="MS45" s="779"/>
      <c r="MT45" s="779"/>
      <c r="MU45" s="779"/>
      <c r="MV45" s="779"/>
      <c r="MW45" s="779"/>
      <c r="MX45" s="779"/>
      <c r="MY45" s="779"/>
      <c r="MZ45" s="779"/>
      <c r="NA45" s="779"/>
      <c r="NB45" s="779"/>
      <c r="NC45" s="779"/>
      <c r="ND45" s="779"/>
      <c r="NE45" s="779"/>
      <c r="NF45" s="779"/>
      <c r="NG45" s="779"/>
      <c r="NH45" s="779"/>
      <c r="NI45" s="779"/>
      <c r="NJ45" s="779"/>
      <c r="NK45" s="779"/>
      <c r="NL45" s="779"/>
      <c r="NM45" s="779"/>
      <c r="NN45" s="779"/>
      <c r="NO45" s="779"/>
      <c r="NP45" s="779"/>
      <c r="NQ45" s="779"/>
      <c r="NR45" s="779"/>
      <c r="NS45" s="779"/>
      <c r="NT45" s="779"/>
      <c r="NU45" s="779"/>
      <c r="NV45" s="779"/>
      <c r="NW45" s="779"/>
      <c r="NX45" s="779"/>
      <c r="NY45" s="779"/>
      <c r="NZ45" s="779"/>
      <c r="OA45" s="779"/>
      <c r="OB45" s="779"/>
      <c r="OC45" s="779"/>
      <c r="OD45" s="779"/>
      <c r="OE45" s="779"/>
      <c r="OF45" s="779"/>
      <c r="OG45" s="779"/>
      <c r="OH45" s="779"/>
      <c r="OI45" s="779"/>
      <c r="OJ45" s="779"/>
      <c r="OK45" s="779"/>
      <c r="OL45" s="779"/>
      <c r="OM45" s="779"/>
      <c r="ON45" s="779"/>
      <c r="OO45" s="779"/>
      <c r="OP45" s="779"/>
      <c r="OQ45" s="779"/>
      <c r="OR45" s="779"/>
      <c r="OS45" s="779"/>
      <c r="OT45" s="779"/>
      <c r="OU45" s="779"/>
      <c r="OV45" s="779"/>
      <c r="OW45" s="779"/>
      <c r="OX45" s="779"/>
      <c r="OY45" s="779"/>
      <c r="OZ45" s="779"/>
      <c r="PA45" s="779"/>
      <c r="PB45" s="779"/>
      <c r="PC45" s="779"/>
      <c r="PD45" s="779"/>
      <c r="PE45" s="779"/>
      <c r="PF45" s="779"/>
      <c r="PG45" s="779"/>
      <c r="PH45" s="779"/>
      <c r="PI45" s="779"/>
      <c r="PJ45" s="779"/>
      <c r="PK45" s="779"/>
      <c r="PL45" s="779"/>
      <c r="PM45" s="779"/>
      <c r="PN45" s="779"/>
      <c r="PO45" s="779"/>
    </row>
    <row r="46" spans="1:431" s="143" customFormat="1">
      <c r="A46" s="779"/>
      <c r="B46" s="779"/>
      <c r="C46" s="782"/>
      <c r="D46" s="782"/>
      <c r="E46" s="782"/>
      <c r="F46" s="782"/>
      <c r="G46" s="782"/>
      <c r="H46" s="782"/>
      <c r="I46" s="782"/>
      <c r="J46" s="782"/>
      <c r="K46" s="782"/>
      <c r="L46" s="782"/>
      <c r="M46" s="779"/>
      <c r="N46" s="779"/>
      <c r="O46" s="779"/>
      <c r="P46" s="779"/>
      <c r="Q46" s="779"/>
      <c r="R46" s="779"/>
      <c r="S46" s="779"/>
      <c r="T46" s="779"/>
      <c r="U46" s="779"/>
      <c r="V46" s="779"/>
      <c r="W46" s="779"/>
      <c r="X46" s="779"/>
      <c r="Y46" s="779"/>
      <c r="Z46" s="779"/>
      <c r="AA46" s="779"/>
      <c r="AB46" s="779"/>
      <c r="AC46" s="779"/>
      <c r="AD46" s="779"/>
      <c r="AE46" s="779"/>
      <c r="AF46" s="779"/>
      <c r="AG46" s="779"/>
      <c r="AH46" s="779"/>
      <c r="AI46" s="779"/>
      <c r="AJ46" s="779"/>
      <c r="AK46" s="779"/>
      <c r="AL46" s="779"/>
      <c r="AM46" s="779"/>
      <c r="AN46" s="779"/>
      <c r="AO46" s="779"/>
      <c r="AP46" s="779"/>
      <c r="AQ46" s="779"/>
      <c r="AR46" s="779"/>
      <c r="AS46" s="779"/>
      <c r="AT46" s="779"/>
      <c r="AU46" s="779"/>
      <c r="AV46" s="779"/>
      <c r="AW46" s="779"/>
      <c r="AX46" s="779"/>
      <c r="AY46" s="779"/>
      <c r="AZ46" s="779"/>
      <c r="BA46" s="779"/>
      <c r="BB46" s="779"/>
      <c r="BC46" s="779"/>
      <c r="BD46" s="779"/>
      <c r="BE46" s="779"/>
      <c r="BF46" s="779"/>
      <c r="BG46" s="779"/>
      <c r="BH46" s="779"/>
      <c r="BI46" s="779"/>
      <c r="BJ46" s="779"/>
      <c r="BK46" s="779"/>
      <c r="BL46" s="779"/>
      <c r="BM46" s="779"/>
      <c r="BN46" s="779"/>
      <c r="BO46" s="779"/>
      <c r="BP46" s="779"/>
      <c r="BQ46" s="779"/>
      <c r="BR46" s="779"/>
      <c r="BS46" s="779"/>
      <c r="BT46" s="779"/>
      <c r="BU46" s="779"/>
      <c r="BV46" s="779"/>
      <c r="BW46" s="779"/>
      <c r="BX46" s="779"/>
      <c r="BY46" s="779"/>
      <c r="BZ46" s="779"/>
      <c r="CA46" s="779"/>
      <c r="CB46" s="779"/>
      <c r="CC46" s="779"/>
      <c r="CD46" s="779"/>
      <c r="CE46" s="779"/>
      <c r="CF46" s="779"/>
      <c r="CG46" s="779"/>
      <c r="CH46" s="779"/>
      <c r="CI46" s="779"/>
      <c r="CJ46" s="779"/>
      <c r="CK46" s="779"/>
      <c r="CL46" s="779"/>
      <c r="CM46" s="779"/>
      <c r="CN46" s="779"/>
      <c r="CO46" s="779"/>
      <c r="CP46" s="779"/>
      <c r="CQ46" s="779"/>
      <c r="CR46" s="779"/>
      <c r="CS46" s="779"/>
      <c r="CT46" s="779"/>
      <c r="CU46" s="779"/>
      <c r="CV46" s="779"/>
      <c r="CW46" s="779"/>
      <c r="CX46" s="779"/>
      <c r="CY46" s="779"/>
      <c r="CZ46" s="779"/>
      <c r="DA46" s="779"/>
      <c r="DB46" s="779"/>
      <c r="DC46" s="779"/>
      <c r="DD46" s="779"/>
      <c r="DE46" s="779"/>
      <c r="DF46" s="779"/>
      <c r="DG46" s="779"/>
      <c r="DH46" s="779"/>
      <c r="DI46" s="779"/>
      <c r="DJ46" s="779"/>
      <c r="DK46" s="779"/>
      <c r="DL46" s="779"/>
      <c r="DM46" s="779"/>
      <c r="DN46" s="779"/>
      <c r="DO46" s="779"/>
      <c r="DP46" s="779"/>
      <c r="DQ46" s="779"/>
      <c r="DR46" s="779"/>
      <c r="DS46" s="779"/>
      <c r="DT46" s="779"/>
      <c r="DU46" s="779"/>
      <c r="DV46" s="779"/>
      <c r="DW46" s="779"/>
      <c r="DX46" s="779"/>
      <c r="DY46" s="779"/>
      <c r="DZ46" s="779"/>
      <c r="EA46" s="779"/>
      <c r="EB46" s="779"/>
      <c r="EC46" s="779"/>
      <c r="ED46" s="779"/>
      <c r="EE46" s="779"/>
      <c r="EF46" s="779"/>
      <c r="EG46" s="779"/>
      <c r="EH46" s="779"/>
      <c r="EI46" s="779"/>
      <c r="EJ46" s="779"/>
      <c r="EK46" s="779"/>
      <c r="EL46" s="779"/>
      <c r="EM46" s="779"/>
      <c r="EN46" s="779"/>
      <c r="EO46" s="779"/>
      <c r="EP46" s="779"/>
      <c r="EQ46" s="779"/>
      <c r="ER46" s="779"/>
      <c r="ES46" s="779"/>
      <c r="ET46" s="779"/>
      <c r="EU46" s="779"/>
      <c r="EV46" s="779"/>
      <c r="EW46" s="779"/>
      <c r="EX46" s="779"/>
      <c r="EY46" s="779"/>
      <c r="EZ46" s="779"/>
      <c r="FA46" s="779"/>
      <c r="FB46" s="779"/>
      <c r="FC46" s="779"/>
      <c r="FD46" s="779"/>
      <c r="FE46" s="779"/>
      <c r="FF46" s="779"/>
      <c r="FG46" s="779"/>
      <c r="FH46" s="779"/>
      <c r="FI46" s="779"/>
      <c r="FJ46" s="779"/>
      <c r="FK46" s="779"/>
      <c r="FL46" s="779"/>
      <c r="FM46" s="779"/>
      <c r="FN46" s="779"/>
      <c r="FO46" s="779"/>
      <c r="FP46" s="779"/>
      <c r="FQ46" s="779"/>
      <c r="FR46" s="779"/>
      <c r="FS46" s="779"/>
      <c r="FT46" s="779"/>
      <c r="FU46" s="779"/>
      <c r="FV46" s="779"/>
      <c r="FW46" s="779"/>
      <c r="FX46" s="779"/>
      <c r="FY46" s="779"/>
      <c r="FZ46" s="779"/>
      <c r="GA46" s="779"/>
      <c r="GB46" s="779"/>
      <c r="GC46" s="779"/>
      <c r="GD46" s="779"/>
      <c r="GE46" s="779"/>
      <c r="GF46" s="779"/>
      <c r="GG46" s="779"/>
      <c r="GH46" s="779"/>
      <c r="GI46" s="779"/>
      <c r="GJ46" s="779"/>
      <c r="GK46" s="779"/>
      <c r="GL46" s="779"/>
      <c r="GM46" s="779"/>
      <c r="GN46" s="779"/>
      <c r="GO46" s="779"/>
      <c r="GP46" s="779"/>
      <c r="GQ46" s="779"/>
      <c r="GR46" s="779"/>
      <c r="GS46" s="779"/>
      <c r="GT46" s="779"/>
      <c r="GU46" s="779"/>
      <c r="GV46" s="779"/>
      <c r="GW46" s="779"/>
      <c r="GX46" s="779"/>
      <c r="GY46" s="779"/>
      <c r="GZ46" s="779"/>
      <c r="HA46" s="779"/>
      <c r="HB46" s="779"/>
      <c r="HC46" s="779"/>
      <c r="HD46" s="779"/>
      <c r="HE46" s="779"/>
      <c r="HF46" s="779"/>
      <c r="HG46" s="779"/>
      <c r="HH46" s="779"/>
      <c r="HI46" s="779"/>
      <c r="HJ46" s="779"/>
      <c r="HK46" s="779"/>
      <c r="HL46" s="779"/>
      <c r="HM46" s="779"/>
      <c r="HN46" s="779"/>
      <c r="HO46" s="779"/>
      <c r="HP46" s="779"/>
      <c r="HQ46" s="779"/>
      <c r="HR46" s="779"/>
      <c r="HS46" s="779"/>
      <c r="HT46" s="779"/>
      <c r="HU46" s="779"/>
      <c r="HV46" s="779"/>
      <c r="HW46" s="779"/>
      <c r="HX46" s="779"/>
      <c r="HY46" s="779"/>
      <c r="HZ46" s="779"/>
      <c r="IA46" s="779"/>
      <c r="IB46" s="779"/>
      <c r="IC46" s="779"/>
      <c r="ID46" s="779"/>
      <c r="IE46" s="779"/>
      <c r="IF46" s="779"/>
      <c r="IG46" s="779"/>
      <c r="IH46" s="779"/>
      <c r="II46" s="779"/>
      <c r="IJ46" s="779"/>
      <c r="IK46" s="779"/>
      <c r="IL46" s="779"/>
      <c r="IM46" s="779"/>
      <c r="IN46" s="779"/>
      <c r="IO46" s="779"/>
      <c r="IP46" s="779"/>
      <c r="IQ46" s="779"/>
      <c r="IR46" s="779"/>
      <c r="IS46" s="779"/>
      <c r="IT46" s="779"/>
      <c r="IU46" s="779"/>
      <c r="IV46" s="779"/>
      <c r="IW46" s="779"/>
      <c r="IX46" s="779"/>
      <c r="IY46" s="779"/>
      <c r="IZ46" s="779"/>
      <c r="JA46" s="779"/>
      <c r="JB46" s="779"/>
      <c r="JC46" s="779"/>
      <c r="JD46" s="779"/>
      <c r="JE46" s="779"/>
      <c r="JF46" s="779"/>
      <c r="JG46" s="779"/>
      <c r="JH46" s="779"/>
      <c r="JI46" s="779"/>
      <c r="JJ46" s="779"/>
      <c r="JK46" s="779"/>
      <c r="JL46" s="779"/>
      <c r="JM46" s="779"/>
      <c r="JN46" s="779"/>
      <c r="JO46" s="779"/>
      <c r="JP46" s="779"/>
      <c r="JQ46" s="779"/>
      <c r="JR46" s="779"/>
      <c r="JS46" s="779"/>
      <c r="JT46" s="779"/>
      <c r="JU46" s="779"/>
      <c r="JV46" s="779"/>
      <c r="JW46" s="779"/>
      <c r="JX46" s="779"/>
      <c r="JY46" s="779"/>
      <c r="JZ46" s="779"/>
      <c r="KA46" s="779"/>
      <c r="KB46" s="779"/>
      <c r="KC46" s="779"/>
      <c r="KD46" s="779"/>
      <c r="KE46" s="779"/>
      <c r="KF46" s="779"/>
      <c r="KG46" s="779"/>
      <c r="KH46" s="779"/>
      <c r="KI46" s="779"/>
      <c r="KJ46" s="779"/>
      <c r="KK46" s="779"/>
      <c r="KL46" s="779"/>
      <c r="KM46" s="779"/>
      <c r="KN46" s="779"/>
      <c r="KO46" s="779"/>
      <c r="KP46" s="779"/>
      <c r="KQ46" s="779"/>
      <c r="KR46" s="779"/>
      <c r="KS46" s="779"/>
      <c r="KT46" s="779"/>
      <c r="KU46" s="779"/>
      <c r="KV46" s="779"/>
      <c r="KW46" s="779"/>
      <c r="KX46" s="779"/>
      <c r="KY46" s="779"/>
      <c r="KZ46" s="779"/>
      <c r="LA46" s="779"/>
      <c r="LB46" s="779"/>
      <c r="LC46" s="779"/>
      <c r="LD46" s="779"/>
      <c r="LE46" s="779"/>
      <c r="LF46" s="779"/>
      <c r="LG46" s="779"/>
      <c r="LH46" s="779"/>
      <c r="LI46" s="779"/>
      <c r="LJ46" s="779"/>
      <c r="LK46" s="779"/>
      <c r="LL46" s="779"/>
      <c r="LM46" s="779"/>
      <c r="LN46" s="779"/>
      <c r="LO46" s="779"/>
      <c r="LP46" s="779"/>
      <c r="LQ46" s="779"/>
      <c r="LR46" s="779"/>
      <c r="LS46" s="779"/>
      <c r="LT46" s="779"/>
      <c r="LU46" s="779"/>
      <c r="LV46" s="779"/>
      <c r="LW46" s="779"/>
      <c r="LX46" s="779"/>
      <c r="LY46" s="779"/>
      <c r="LZ46" s="779"/>
      <c r="MA46" s="779"/>
      <c r="MB46" s="779"/>
      <c r="MC46" s="779"/>
      <c r="MD46" s="779"/>
      <c r="ME46" s="779"/>
      <c r="MF46" s="779"/>
      <c r="MG46" s="779"/>
      <c r="MH46" s="779"/>
      <c r="MI46" s="779"/>
      <c r="MJ46" s="779"/>
      <c r="MK46" s="779"/>
      <c r="ML46" s="779"/>
      <c r="MM46" s="779"/>
      <c r="MN46" s="779"/>
      <c r="MO46" s="779"/>
      <c r="MP46" s="779"/>
      <c r="MQ46" s="779"/>
      <c r="MR46" s="779"/>
      <c r="MS46" s="779"/>
      <c r="MT46" s="779"/>
      <c r="MU46" s="779"/>
      <c r="MV46" s="779"/>
      <c r="MW46" s="779"/>
      <c r="MX46" s="779"/>
      <c r="MY46" s="779"/>
      <c r="MZ46" s="779"/>
      <c r="NA46" s="779"/>
      <c r="NB46" s="779"/>
      <c r="NC46" s="779"/>
      <c r="ND46" s="779"/>
      <c r="NE46" s="779"/>
      <c r="NF46" s="779"/>
      <c r="NG46" s="779"/>
      <c r="NH46" s="779"/>
      <c r="NI46" s="779"/>
      <c r="NJ46" s="779"/>
      <c r="NK46" s="779"/>
      <c r="NL46" s="779"/>
      <c r="NM46" s="779"/>
      <c r="NN46" s="779"/>
      <c r="NO46" s="779"/>
      <c r="NP46" s="779"/>
      <c r="NQ46" s="779"/>
      <c r="NR46" s="779"/>
      <c r="NS46" s="779"/>
      <c r="NT46" s="779"/>
      <c r="NU46" s="779"/>
      <c r="NV46" s="779"/>
      <c r="NW46" s="779"/>
      <c r="NX46" s="779"/>
      <c r="NY46" s="779"/>
      <c r="NZ46" s="779"/>
      <c r="OA46" s="779"/>
      <c r="OB46" s="779"/>
      <c r="OC46" s="779"/>
      <c r="OD46" s="779"/>
      <c r="OE46" s="779"/>
      <c r="OF46" s="779"/>
      <c r="OG46" s="779"/>
      <c r="OH46" s="779"/>
      <c r="OI46" s="779"/>
      <c r="OJ46" s="779"/>
      <c r="OK46" s="779"/>
      <c r="OL46" s="779"/>
      <c r="OM46" s="779"/>
      <c r="ON46" s="779"/>
      <c r="OO46" s="779"/>
      <c r="OP46" s="779"/>
      <c r="OQ46" s="779"/>
      <c r="OR46" s="779"/>
      <c r="OS46" s="779"/>
      <c r="OT46" s="779"/>
      <c r="OU46" s="779"/>
      <c r="OV46" s="779"/>
      <c r="OW46" s="779"/>
      <c r="OX46" s="779"/>
      <c r="OY46" s="779"/>
      <c r="OZ46" s="779"/>
      <c r="PA46" s="779"/>
      <c r="PB46" s="779"/>
      <c r="PC46" s="779"/>
      <c r="PD46" s="779"/>
      <c r="PE46" s="779"/>
      <c r="PF46" s="779"/>
      <c r="PG46" s="779"/>
      <c r="PH46" s="779"/>
      <c r="PI46" s="779"/>
      <c r="PJ46" s="779"/>
      <c r="PK46" s="779"/>
      <c r="PL46" s="779"/>
      <c r="PM46" s="779"/>
      <c r="PN46" s="779"/>
      <c r="PO46" s="779"/>
    </row>
    <row r="47" spans="1:431" s="143" customFormat="1">
      <c r="A47" s="779"/>
      <c r="B47" s="779"/>
      <c r="C47" s="782"/>
      <c r="D47" s="782"/>
      <c r="E47" s="782"/>
      <c r="F47" s="782"/>
      <c r="G47" s="782"/>
      <c r="H47" s="782"/>
      <c r="I47" s="782"/>
      <c r="J47" s="782"/>
      <c r="K47" s="782"/>
      <c r="L47" s="782"/>
      <c r="M47" s="779"/>
      <c r="N47" s="779"/>
      <c r="O47" s="779"/>
      <c r="P47" s="779"/>
      <c r="Q47" s="779"/>
      <c r="R47" s="779"/>
      <c r="S47" s="779"/>
      <c r="T47" s="779"/>
      <c r="U47" s="779"/>
      <c r="V47" s="779"/>
      <c r="W47" s="779"/>
      <c r="X47" s="779"/>
      <c r="Y47" s="779"/>
      <c r="Z47" s="779"/>
      <c r="AA47" s="779"/>
      <c r="AB47" s="779"/>
      <c r="AC47" s="779"/>
      <c r="AD47" s="779"/>
      <c r="AE47" s="779"/>
      <c r="AF47" s="779"/>
      <c r="AG47" s="779"/>
      <c r="AH47" s="779"/>
      <c r="AI47" s="779"/>
      <c r="AJ47" s="779"/>
      <c r="AK47" s="779"/>
      <c r="AL47" s="779"/>
      <c r="AM47" s="779"/>
      <c r="AN47" s="779"/>
      <c r="AO47" s="779"/>
      <c r="AP47" s="779"/>
      <c r="AQ47" s="779"/>
      <c r="AR47" s="779"/>
      <c r="AS47" s="779"/>
      <c r="AT47" s="779"/>
      <c r="AU47" s="779"/>
      <c r="AV47" s="779"/>
      <c r="AW47" s="779"/>
      <c r="AX47" s="779"/>
      <c r="AY47" s="779"/>
      <c r="AZ47" s="779"/>
      <c r="BA47" s="779"/>
      <c r="BB47" s="779"/>
      <c r="BC47" s="779"/>
      <c r="BD47" s="779"/>
      <c r="BE47" s="779"/>
      <c r="BF47" s="779"/>
      <c r="BG47" s="779"/>
      <c r="BH47" s="779"/>
      <c r="BI47" s="779"/>
      <c r="BJ47" s="779"/>
      <c r="BK47" s="779"/>
      <c r="BL47" s="779"/>
      <c r="BM47" s="779"/>
      <c r="BN47" s="779"/>
      <c r="BO47" s="779"/>
      <c r="BP47" s="779"/>
      <c r="BQ47" s="779"/>
      <c r="BR47" s="779"/>
      <c r="BS47" s="779"/>
      <c r="BT47" s="779"/>
      <c r="BU47" s="779"/>
      <c r="BV47" s="779"/>
      <c r="BW47" s="779"/>
      <c r="BX47" s="779"/>
      <c r="BY47" s="779"/>
      <c r="BZ47" s="779"/>
      <c r="CA47" s="779"/>
      <c r="CB47" s="779"/>
      <c r="CC47" s="779"/>
      <c r="CD47" s="779"/>
      <c r="CE47" s="779"/>
      <c r="CF47" s="779"/>
      <c r="CG47" s="779"/>
      <c r="CH47" s="779"/>
      <c r="CI47" s="779"/>
      <c r="CJ47" s="779"/>
      <c r="CK47" s="779"/>
      <c r="CL47" s="779"/>
      <c r="CM47" s="779"/>
      <c r="CN47" s="779"/>
      <c r="CO47" s="779"/>
      <c r="CP47" s="779"/>
      <c r="CQ47" s="779"/>
      <c r="CR47" s="779"/>
      <c r="CS47" s="779"/>
      <c r="CT47" s="779"/>
      <c r="CU47" s="779"/>
      <c r="CV47" s="779"/>
      <c r="CW47" s="779"/>
      <c r="CX47" s="779"/>
      <c r="CY47" s="779"/>
      <c r="CZ47" s="779"/>
      <c r="DA47" s="779"/>
      <c r="DB47" s="779"/>
      <c r="DC47" s="779"/>
      <c r="DD47" s="779"/>
      <c r="DE47" s="779"/>
      <c r="DF47" s="779"/>
      <c r="DG47" s="779"/>
      <c r="DH47" s="779"/>
      <c r="DI47" s="779"/>
      <c r="DJ47" s="779"/>
      <c r="DK47" s="779"/>
      <c r="DL47" s="779"/>
      <c r="DM47" s="779"/>
      <c r="DN47" s="779"/>
      <c r="DO47" s="779"/>
      <c r="DP47" s="779"/>
      <c r="DQ47" s="779"/>
      <c r="DR47" s="779"/>
      <c r="DS47" s="779"/>
      <c r="DT47" s="779"/>
      <c r="DU47" s="779"/>
      <c r="DV47" s="779"/>
      <c r="DW47" s="779"/>
      <c r="DX47" s="779"/>
      <c r="DY47" s="779"/>
      <c r="DZ47" s="779"/>
      <c r="EA47" s="779"/>
      <c r="EB47" s="779"/>
      <c r="EC47" s="779"/>
      <c r="ED47" s="779"/>
      <c r="EE47" s="779"/>
      <c r="EF47" s="779"/>
      <c r="EG47" s="779"/>
      <c r="EH47" s="779"/>
      <c r="EI47" s="779"/>
      <c r="EJ47" s="779"/>
      <c r="EK47" s="779"/>
      <c r="EL47" s="779"/>
      <c r="EM47" s="779"/>
      <c r="EN47" s="779"/>
      <c r="EO47" s="779"/>
      <c r="EP47" s="779"/>
      <c r="EQ47" s="779"/>
      <c r="ER47" s="779"/>
      <c r="ES47" s="779"/>
      <c r="ET47" s="779"/>
      <c r="EU47" s="779"/>
      <c r="EV47" s="779"/>
      <c r="EW47" s="779"/>
      <c r="EX47" s="779"/>
      <c r="EY47" s="779"/>
      <c r="EZ47" s="779"/>
      <c r="FA47" s="779"/>
      <c r="FB47" s="779"/>
      <c r="FC47" s="779"/>
      <c r="FD47" s="779"/>
      <c r="FE47" s="779"/>
      <c r="FF47" s="779"/>
      <c r="FG47" s="779"/>
      <c r="FH47" s="779"/>
      <c r="FI47" s="779"/>
      <c r="FJ47" s="779"/>
      <c r="FK47" s="779"/>
      <c r="FL47" s="779"/>
      <c r="FM47" s="779"/>
      <c r="FN47" s="779"/>
      <c r="FO47" s="779"/>
      <c r="FP47" s="779"/>
      <c r="FQ47" s="779"/>
      <c r="FR47" s="779"/>
      <c r="FS47" s="779"/>
      <c r="FT47" s="779"/>
      <c r="FU47" s="779"/>
      <c r="FV47" s="779"/>
      <c r="FW47" s="779"/>
      <c r="FX47" s="779"/>
      <c r="FY47" s="779"/>
      <c r="FZ47" s="779"/>
      <c r="GA47" s="779"/>
      <c r="GB47" s="779"/>
      <c r="GC47" s="779"/>
      <c r="GD47" s="779"/>
      <c r="GE47" s="779"/>
      <c r="GF47" s="779"/>
      <c r="GG47" s="779"/>
      <c r="GH47" s="779"/>
      <c r="GI47" s="779"/>
      <c r="GJ47" s="779"/>
      <c r="GK47" s="779"/>
      <c r="GL47" s="779"/>
      <c r="GM47" s="779"/>
      <c r="GN47" s="779"/>
      <c r="GO47" s="779"/>
      <c r="GP47" s="779"/>
      <c r="GQ47" s="779"/>
      <c r="GR47" s="779"/>
      <c r="GS47" s="779"/>
      <c r="GT47" s="779"/>
      <c r="GU47" s="779"/>
      <c r="GV47" s="779"/>
      <c r="GW47" s="779"/>
      <c r="GX47" s="779"/>
      <c r="GY47" s="779"/>
      <c r="GZ47" s="779"/>
      <c r="HA47" s="779"/>
      <c r="HB47" s="779"/>
      <c r="HC47" s="779"/>
      <c r="HD47" s="779"/>
      <c r="HE47" s="779"/>
      <c r="HF47" s="779"/>
      <c r="HG47" s="779"/>
      <c r="HH47" s="779"/>
      <c r="HI47" s="779"/>
      <c r="HJ47" s="779"/>
      <c r="HK47" s="779"/>
      <c r="HL47" s="779"/>
      <c r="HM47" s="779"/>
      <c r="HN47" s="779"/>
      <c r="HO47" s="779"/>
      <c r="HP47" s="779"/>
      <c r="HQ47" s="779"/>
      <c r="HR47" s="779"/>
      <c r="HS47" s="779"/>
      <c r="HT47" s="779"/>
      <c r="HU47" s="779"/>
      <c r="HV47" s="779"/>
      <c r="HW47" s="779"/>
      <c r="HX47" s="779"/>
      <c r="HY47" s="779"/>
      <c r="HZ47" s="779"/>
      <c r="IA47" s="779"/>
      <c r="IB47" s="779"/>
      <c r="IC47" s="779"/>
      <c r="ID47" s="779"/>
      <c r="IE47" s="779"/>
      <c r="IF47" s="779"/>
      <c r="IG47" s="779"/>
      <c r="IH47" s="779"/>
      <c r="II47" s="779"/>
      <c r="IJ47" s="779"/>
      <c r="IK47" s="779"/>
      <c r="IL47" s="779"/>
      <c r="IM47" s="779"/>
      <c r="IN47" s="779"/>
      <c r="IO47" s="779"/>
      <c r="IP47" s="779"/>
      <c r="IQ47" s="779"/>
      <c r="IR47" s="779"/>
      <c r="IS47" s="779"/>
      <c r="IT47" s="779"/>
      <c r="IU47" s="779"/>
      <c r="IV47" s="779"/>
      <c r="IW47" s="779"/>
      <c r="IX47" s="779"/>
      <c r="IY47" s="779"/>
      <c r="IZ47" s="779"/>
      <c r="JA47" s="779"/>
      <c r="JB47" s="779"/>
      <c r="JC47" s="779"/>
      <c r="JD47" s="779"/>
      <c r="JE47" s="779"/>
      <c r="JF47" s="779"/>
      <c r="JG47" s="779"/>
      <c r="JH47" s="779"/>
      <c r="JI47" s="779"/>
      <c r="JJ47" s="779"/>
      <c r="JK47" s="779"/>
      <c r="JL47" s="779"/>
      <c r="JM47" s="779"/>
      <c r="JN47" s="779"/>
      <c r="JO47" s="779"/>
      <c r="JP47" s="779"/>
      <c r="JQ47" s="779"/>
      <c r="JR47" s="779"/>
      <c r="JS47" s="779"/>
      <c r="JT47" s="779"/>
      <c r="JU47" s="779"/>
      <c r="JV47" s="779"/>
      <c r="JW47" s="779"/>
      <c r="JX47" s="779"/>
      <c r="JY47" s="779"/>
      <c r="JZ47" s="779"/>
      <c r="KA47" s="779"/>
      <c r="KB47" s="779"/>
      <c r="KC47" s="779"/>
      <c r="KD47" s="779"/>
      <c r="KE47" s="779"/>
      <c r="KF47" s="779"/>
      <c r="KG47" s="779"/>
      <c r="KH47" s="779"/>
      <c r="KI47" s="779"/>
      <c r="KJ47" s="779"/>
      <c r="KK47" s="779"/>
      <c r="KL47" s="779"/>
      <c r="KM47" s="779"/>
      <c r="KN47" s="779"/>
      <c r="KO47" s="779"/>
      <c r="KP47" s="779"/>
      <c r="KQ47" s="779"/>
      <c r="KR47" s="779"/>
      <c r="KS47" s="779"/>
      <c r="KT47" s="779"/>
      <c r="KU47" s="779"/>
      <c r="KV47" s="779"/>
      <c r="KW47" s="779"/>
      <c r="KX47" s="779"/>
      <c r="KY47" s="779"/>
      <c r="KZ47" s="779"/>
      <c r="LA47" s="779"/>
      <c r="LB47" s="779"/>
      <c r="LC47" s="779"/>
      <c r="LD47" s="779"/>
      <c r="LE47" s="779"/>
      <c r="LF47" s="779"/>
      <c r="LG47" s="779"/>
      <c r="LH47" s="779"/>
      <c r="LI47" s="779"/>
      <c r="LJ47" s="779"/>
      <c r="LK47" s="779"/>
      <c r="LL47" s="779"/>
      <c r="LM47" s="779"/>
      <c r="LN47" s="779"/>
      <c r="LO47" s="779"/>
      <c r="LP47" s="779"/>
      <c r="LQ47" s="779"/>
      <c r="LR47" s="779"/>
      <c r="LS47" s="779"/>
      <c r="LT47" s="779"/>
      <c r="LU47" s="779"/>
      <c r="LV47" s="779"/>
      <c r="LW47" s="779"/>
      <c r="LX47" s="779"/>
      <c r="LY47" s="779"/>
      <c r="LZ47" s="779"/>
      <c r="MA47" s="779"/>
      <c r="MB47" s="779"/>
      <c r="MC47" s="779"/>
      <c r="MD47" s="779"/>
      <c r="ME47" s="779"/>
      <c r="MF47" s="779"/>
      <c r="MG47" s="779"/>
      <c r="MH47" s="779"/>
      <c r="MI47" s="779"/>
      <c r="MJ47" s="779"/>
      <c r="MK47" s="779"/>
      <c r="ML47" s="779"/>
      <c r="MM47" s="779"/>
      <c r="MN47" s="779"/>
      <c r="MO47" s="779"/>
      <c r="MP47" s="779"/>
      <c r="MQ47" s="779"/>
      <c r="MR47" s="779"/>
      <c r="MS47" s="779"/>
      <c r="MT47" s="779"/>
      <c r="MU47" s="779"/>
      <c r="MV47" s="779"/>
      <c r="MW47" s="779"/>
      <c r="MX47" s="779"/>
      <c r="MY47" s="779"/>
      <c r="MZ47" s="779"/>
      <c r="NA47" s="779"/>
      <c r="NB47" s="779"/>
      <c r="NC47" s="779"/>
      <c r="ND47" s="779"/>
      <c r="NE47" s="779"/>
      <c r="NF47" s="779"/>
      <c r="NG47" s="779"/>
      <c r="NH47" s="779"/>
      <c r="NI47" s="779"/>
      <c r="NJ47" s="779"/>
      <c r="NK47" s="779"/>
      <c r="NL47" s="779"/>
      <c r="NM47" s="779"/>
      <c r="NN47" s="779"/>
      <c r="NO47" s="779"/>
      <c r="NP47" s="779"/>
      <c r="NQ47" s="779"/>
      <c r="NR47" s="779"/>
      <c r="NS47" s="779"/>
      <c r="NT47" s="779"/>
      <c r="NU47" s="779"/>
      <c r="NV47" s="779"/>
      <c r="NW47" s="779"/>
      <c r="NX47" s="779"/>
      <c r="NY47" s="779"/>
      <c r="NZ47" s="779"/>
      <c r="OA47" s="779"/>
      <c r="OB47" s="779"/>
      <c r="OC47" s="779"/>
      <c r="OD47" s="779"/>
      <c r="OE47" s="779"/>
      <c r="OF47" s="779"/>
      <c r="OG47" s="779"/>
      <c r="OH47" s="779"/>
      <c r="OI47" s="779"/>
      <c r="OJ47" s="779"/>
      <c r="OK47" s="779"/>
      <c r="OL47" s="779"/>
      <c r="OM47" s="779"/>
      <c r="ON47" s="779"/>
      <c r="OO47" s="779"/>
      <c r="OP47" s="779"/>
      <c r="OQ47" s="779"/>
      <c r="OR47" s="779"/>
      <c r="OS47" s="779"/>
      <c r="OT47" s="779"/>
      <c r="OU47" s="779"/>
      <c r="OV47" s="779"/>
      <c r="OW47" s="779"/>
      <c r="OX47" s="779"/>
      <c r="OY47" s="779"/>
      <c r="OZ47" s="779"/>
      <c r="PA47" s="779"/>
      <c r="PB47" s="779"/>
      <c r="PC47" s="779"/>
      <c r="PD47" s="779"/>
      <c r="PE47" s="779"/>
      <c r="PF47" s="779"/>
      <c r="PG47" s="779"/>
      <c r="PH47" s="779"/>
      <c r="PI47" s="779"/>
      <c r="PJ47" s="779"/>
      <c r="PK47" s="779"/>
      <c r="PL47" s="779"/>
      <c r="PM47" s="779"/>
      <c r="PN47" s="779"/>
      <c r="PO47" s="779"/>
    </row>
    <row r="48" spans="1:431" s="143" customFormat="1">
      <c r="C48" s="782"/>
      <c r="D48" s="782"/>
      <c r="E48" s="782"/>
      <c r="F48" s="782"/>
      <c r="G48" s="782"/>
      <c r="H48" s="782"/>
      <c r="I48" s="782"/>
      <c r="J48" s="782"/>
      <c r="K48" s="782"/>
      <c r="L48" s="782"/>
    </row>
    <row r="49" spans="3:12" s="143" customFormat="1">
      <c r="C49" s="782"/>
      <c r="D49" s="782"/>
      <c r="E49" s="782"/>
      <c r="F49" s="782"/>
      <c r="G49" s="782"/>
      <c r="H49" s="782"/>
      <c r="I49" s="782"/>
      <c r="J49" s="782"/>
      <c r="K49" s="782"/>
      <c r="L49" s="782"/>
    </row>
    <row r="50" spans="3:12" s="143" customFormat="1">
      <c r="C50" s="782"/>
      <c r="D50" s="782"/>
      <c r="E50" s="782"/>
      <c r="F50" s="782"/>
      <c r="G50" s="782"/>
      <c r="H50" s="782"/>
      <c r="I50" s="782"/>
      <c r="J50" s="782"/>
      <c r="K50" s="782"/>
      <c r="L50" s="782"/>
    </row>
    <row r="51" spans="3:12" s="143" customFormat="1">
      <c r="C51" s="782"/>
      <c r="D51" s="782"/>
      <c r="E51" s="782"/>
      <c r="F51" s="782"/>
      <c r="G51" s="782"/>
      <c r="H51" s="782"/>
      <c r="I51" s="782"/>
      <c r="J51" s="782"/>
      <c r="K51" s="782"/>
      <c r="L51" s="782"/>
    </row>
    <row r="52" spans="3:12" s="143" customFormat="1">
      <c r="C52" s="782"/>
      <c r="D52" s="782"/>
      <c r="E52" s="782"/>
      <c r="F52" s="782"/>
      <c r="G52" s="782"/>
      <c r="H52" s="782"/>
      <c r="I52" s="782"/>
      <c r="J52" s="782"/>
      <c r="K52" s="782"/>
      <c r="L52" s="782"/>
    </row>
    <row r="53" spans="3:12" s="143" customFormat="1">
      <c r="C53" s="782"/>
      <c r="D53" s="782"/>
      <c r="E53" s="782"/>
      <c r="F53" s="782"/>
      <c r="G53" s="782"/>
      <c r="H53" s="782"/>
      <c r="I53" s="782"/>
      <c r="J53" s="782"/>
      <c r="K53" s="782"/>
      <c r="L53" s="782"/>
    </row>
    <row r="54" spans="3:12" s="143" customFormat="1">
      <c r="C54" s="782"/>
      <c r="D54" s="782"/>
      <c r="E54" s="782"/>
      <c r="F54" s="782"/>
      <c r="G54" s="782"/>
      <c r="H54" s="782"/>
      <c r="I54" s="782"/>
      <c r="J54" s="782"/>
      <c r="K54" s="782"/>
      <c r="L54" s="782"/>
    </row>
    <row r="55" spans="3:12" s="143" customFormat="1">
      <c r="C55" s="782"/>
      <c r="D55" s="782"/>
      <c r="E55" s="782"/>
      <c r="F55" s="782"/>
      <c r="G55" s="782"/>
      <c r="H55" s="782"/>
      <c r="I55" s="782"/>
      <c r="J55" s="782"/>
      <c r="K55" s="782"/>
      <c r="L55" s="782"/>
    </row>
    <row r="56" spans="3:12" s="143" customFormat="1">
      <c r="C56" s="782"/>
      <c r="D56" s="782"/>
      <c r="E56" s="782"/>
      <c r="F56" s="782"/>
      <c r="G56" s="782"/>
      <c r="H56" s="782"/>
      <c r="I56" s="782"/>
      <c r="J56" s="782"/>
      <c r="K56" s="782"/>
      <c r="L56" s="782"/>
    </row>
    <row r="57" spans="3:12" s="143" customFormat="1">
      <c r="C57" s="782"/>
      <c r="D57" s="782"/>
      <c r="E57" s="782"/>
      <c r="F57" s="782"/>
      <c r="G57" s="782"/>
      <c r="H57" s="782"/>
      <c r="I57" s="782"/>
      <c r="J57" s="782"/>
      <c r="K57" s="782"/>
      <c r="L57" s="782"/>
    </row>
    <row r="58" spans="3:12" s="143" customFormat="1">
      <c r="C58" s="782"/>
      <c r="D58" s="782"/>
      <c r="E58" s="782"/>
      <c r="F58" s="782"/>
      <c r="G58" s="782"/>
      <c r="H58" s="782"/>
      <c r="I58" s="782"/>
      <c r="J58" s="782"/>
      <c r="K58" s="782"/>
      <c r="L58" s="782"/>
    </row>
    <row r="59" spans="3:12" s="143" customFormat="1">
      <c r="C59" s="782"/>
      <c r="D59" s="782"/>
      <c r="E59" s="782"/>
      <c r="F59" s="782"/>
      <c r="G59" s="782"/>
      <c r="H59" s="782"/>
      <c r="I59" s="782"/>
      <c r="J59" s="782"/>
      <c r="K59" s="782"/>
      <c r="L59" s="782"/>
    </row>
    <row r="60" spans="3:12" s="143" customFormat="1">
      <c r="C60" s="782"/>
      <c r="D60" s="782"/>
      <c r="E60" s="782"/>
      <c r="F60" s="782"/>
      <c r="G60" s="782"/>
      <c r="H60" s="782"/>
      <c r="I60" s="782"/>
      <c r="J60" s="782"/>
      <c r="K60" s="782"/>
      <c r="L60" s="782"/>
    </row>
    <row r="61" spans="3:12" s="143" customFormat="1">
      <c r="C61" s="782"/>
      <c r="D61" s="782"/>
      <c r="E61" s="782"/>
      <c r="F61" s="782"/>
      <c r="G61" s="782"/>
      <c r="H61" s="782"/>
      <c r="I61" s="782"/>
      <c r="J61" s="782"/>
      <c r="K61" s="782"/>
      <c r="L61" s="782"/>
    </row>
    <row r="62" spans="3:12" s="143" customFormat="1">
      <c r="C62" s="782"/>
      <c r="D62" s="782"/>
      <c r="E62" s="782"/>
      <c r="F62" s="782"/>
      <c r="G62" s="782"/>
      <c r="H62" s="782"/>
      <c r="I62" s="782"/>
      <c r="J62" s="782"/>
      <c r="K62" s="782"/>
      <c r="L62" s="782"/>
    </row>
    <row r="63" spans="3:12" s="143" customFormat="1">
      <c r="C63" s="782"/>
      <c r="D63" s="782"/>
      <c r="E63" s="782"/>
      <c r="F63" s="782"/>
      <c r="G63" s="782"/>
      <c r="H63" s="782"/>
      <c r="I63" s="782"/>
      <c r="J63" s="782"/>
      <c r="K63" s="782"/>
      <c r="L63" s="782"/>
    </row>
    <row r="64" spans="3:12" s="143" customFormat="1">
      <c r="C64" s="782"/>
      <c r="D64" s="782"/>
      <c r="E64" s="782"/>
      <c r="F64" s="782"/>
      <c r="G64" s="782"/>
      <c r="H64" s="782"/>
      <c r="I64" s="782"/>
      <c r="J64" s="782"/>
      <c r="K64" s="782"/>
      <c r="L64" s="782"/>
    </row>
    <row r="65" spans="3:12" s="143" customFormat="1">
      <c r="C65" s="782"/>
      <c r="D65" s="782"/>
      <c r="E65" s="782"/>
      <c r="F65" s="782"/>
      <c r="G65" s="782"/>
      <c r="H65" s="782"/>
      <c r="I65" s="782"/>
      <c r="J65" s="782"/>
      <c r="K65" s="782"/>
      <c r="L65" s="782"/>
    </row>
    <row r="66" spans="3:12" s="143" customFormat="1">
      <c r="C66" s="782"/>
      <c r="D66" s="782"/>
      <c r="E66" s="782"/>
      <c r="F66" s="782"/>
      <c r="G66" s="782"/>
      <c r="H66" s="782"/>
      <c r="I66" s="782"/>
      <c r="J66" s="782"/>
      <c r="K66" s="782"/>
      <c r="L66" s="782"/>
    </row>
    <row r="67" spans="3:12" s="143" customFormat="1">
      <c r="C67" s="782"/>
      <c r="D67" s="782"/>
      <c r="E67" s="782"/>
      <c r="F67" s="782"/>
      <c r="G67" s="782"/>
      <c r="H67" s="782"/>
      <c r="I67" s="782"/>
      <c r="J67" s="782"/>
      <c r="K67" s="782"/>
      <c r="L67" s="782"/>
    </row>
    <row r="68" spans="3:12" s="143" customFormat="1">
      <c r="C68" s="782"/>
      <c r="D68" s="782"/>
      <c r="E68" s="782"/>
      <c r="F68" s="782"/>
      <c r="G68" s="782"/>
      <c r="H68" s="782"/>
      <c r="I68" s="782"/>
      <c r="J68" s="782"/>
      <c r="K68" s="782"/>
      <c r="L68" s="782"/>
    </row>
    <row r="69" spans="3:12" s="143" customFormat="1">
      <c r="C69" s="782"/>
      <c r="D69" s="782"/>
      <c r="E69" s="782"/>
      <c r="F69" s="782"/>
      <c r="G69" s="782"/>
      <c r="H69" s="782"/>
      <c r="I69" s="782"/>
      <c r="J69" s="782"/>
      <c r="K69" s="782"/>
      <c r="L69" s="782"/>
    </row>
    <row r="70" spans="3:12" s="143" customFormat="1">
      <c r="C70" s="782"/>
      <c r="D70" s="782"/>
      <c r="E70" s="782"/>
      <c r="F70" s="782"/>
      <c r="G70" s="782"/>
      <c r="H70" s="782"/>
      <c r="I70" s="782"/>
      <c r="J70" s="782"/>
      <c r="K70" s="782"/>
      <c r="L70" s="782"/>
    </row>
    <row r="71" spans="3:12" s="143" customFormat="1">
      <c r="C71" s="782"/>
      <c r="D71" s="782"/>
      <c r="E71" s="782"/>
      <c r="F71" s="782"/>
      <c r="G71" s="782"/>
      <c r="H71" s="782"/>
      <c r="I71" s="782"/>
      <c r="J71" s="782"/>
      <c r="K71" s="782"/>
      <c r="L71" s="782"/>
    </row>
    <row r="72" spans="3:12" s="143" customFormat="1">
      <c r="C72" s="782"/>
      <c r="D72" s="782"/>
      <c r="E72" s="782"/>
      <c r="F72" s="782"/>
      <c r="G72" s="782"/>
      <c r="H72" s="782"/>
      <c r="I72" s="782"/>
      <c r="J72" s="782"/>
      <c r="K72" s="782"/>
      <c r="L72" s="782"/>
    </row>
    <row r="73" spans="3:12" s="143" customFormat="1">
      <c r="C73" s="782"/>
      <c r="D73" s="782"/>
      <c r="E73" s="782"/>
      <c r="F73" s="782"/>
      <c r="G73" s="782"/>
      <c r="H73" s="782"/>
      <c r="I73" s="782"/>
      <c r="J73" s="782"/>
      <c r="K73" s="782"/>
      <c r="L73" s="782"/>
    </row>
    <row r="74" spans="3:12" s="143" customFormat="1">
      <c r="C74" s="782"/>
      <c r="D74" s="782"/>
      <c r="E74" s="782"/>
      <c r="F74" s="782"/>
      <c r="G74" s="782"/>
      <c r="H74" s="782"/>
      <c r="I74" s="782"/>
      <c r="J74" s="782"/>
      <c r="K74" s="782"/>
      <c r="L74" s="782"/>
    </row>
    <row r="75" spans="3:12" s="143" customFormat="1">
      <c r="C75" s="782"/>
      <c r="D75" s="782"/>
      <c r="E75" s="782"/>
      <c r="F75" s="782"/>
      <c r="G75" s="782"/>
      <c r="H75" s="782"/>
      <c r="I75" s="782"/>
      <c r="J75" s="782"/>
      <c r="K75" s="782"/>
      <c r="L75" s="782"/>
    </row>
    <row r="76" spans="3:12" s="143" customFormat="1">
      <c r="C76" s="782"/>
      <c r="D76" s="782"/>
      <c r="E76" s="782"/>
      <c r="F76" s="782"/>
      <c r="G76" s="782"/>
      <c r="H76" s="782"/>
      <c r="I76" s="782"/>
      <c r="J76" s="782"/>
      <c r="K76" s="782"/>
      <c r="L76" s="782"/>
    </row>
    <row r="77" spans="3:12" s="143" customFormat="1">
      <c r="C77" s="782"/>
      <c r="D77" s="782"/>
      <c r="E77" s="782"/>
      <c r="F77" s="782"/>
      <c r="G77" s="782"/>
      <c r="H77" s="782"/>
      <c r="I77" s="782"/>
      <c r="J77" s="782"/>
      <c r="K77" s="782"/>
      <c r="L77" s="782"/>
    </row>
    <row r="78" spans="3:12" s="143" customFormat="1">
      <c r="C78" s="782"/>
      <c r="D78" s="782"/>
      <c r="E78" s="782"/>
      <c r="F78" s="782"/>
      <c r="G78" s="782"/>
      <c r="H78" s="782"/>
      <c r="I78" s="782"/>
      <c r="J78" s="782"/>
      <c r="K78" s="782"/>
      <c r="L78" s="782"/>
    </row>
    <row r="79" spans="3:12" s="143" customFormat="1">
      <c r="C79" s="782"/>
      <c r="D79" s="782"/>
      <c r="E79" s="782"/>
      <c r="F79" s="782"/>
      <c r="G79" s="782"/>
      <c r="H79" s="782"/>
      <c r="I79" s="782"/>
      <c r="J79" s="782"/>
      <c r="K79" s="782"/>
      <c r="L79" s="782"/>
    </row>
    <row r="80" spans="3:12" s="143" customFormat="1">
      <c r="C80" s="782"/>
      <c r="D80" s="782"/>
      <c r="E80" s="782"/>
      <c r="F80" s="782"/>
      <c r="G80" s="782"/>
      <c r="H80" s="782"/>
      <c r="I80" s="782"/>
      <c r="J80" s="782"/>
      <c r="K80" s="782"/>
      <c r="L80" s="782"/>
    </row>
    <row r="81" spans="3:12" s="143" customFormat="1">
      <c r="C81" s="782"/>
      <c r="D81" s="782"/>
      <c r="E81" s="782"/>
      <c r="F81" s="782"/>
      <c r="G81" s="782"/>
      <c r="H81" s="782"/>
      <c r="I81" s="782"/>
      <c r="J81" s="782"/>
      <c r="K81" s="782"/>
      <c r="L81" s="782"/>
    </row>
    <row r="82" spans="3:12" s="143" customFormat="1">
      <c r="C82" s="782"/>
      <c r="D82" s="782"/>
      <c r="E82" s="782"/>
      <c r="F82" s="782"/>
      <c r="G82" s="782"/>
      <c r="H82" s="782"/>
      <c r="I82" s="782"/>
      <c r="J82" s="782"/>
      <c r="K82" s="782"/>
      <c r="L82" s="782"/>
    </row>
    <row r="83" spans="3:12" s="143" customFormat="1">
      <c r="C83" s="782"/>
      <c r="D83" s="782"/>
      <c r="E83" s="782"/>
      <c r="F83" s="782"/>
      <c r="G83" s="782"/>
      <c r="H83" s="782"/>
      <c r="I83" s="782"/>
      <c r="J83" s="782"/>
      <c r="K83" s="782"/>
      <c r="L83" s="782"/>
    </row>
    <row r="84" spans="3:12" s="143" customFormat="1">
      <c r="C84" s="782"/>
      <c r="D84" s="782"/>
      <c r="E84" s="782"/>
      <c r="F84" s="782"/>
      <c r="G84" s="782"/>
      <c r="H84" s="782"/>
      <c r="I84" s="782"/>
      <c r="J84" s="782"/>
      <c r="K84" s="782"/>
      <c r="L84" s="782"/>
    </row>
    <row r="85" spans="3:12" s="143" customFormat="1">
      <c r="C85" s="782"/>
      <c r="D85" s="782"/>
      <c r="E85" s="782"/>
      <c r="F85" s="782"/>
      <c r="G85" s="782"/>
      <c r="H85" s="782"/>
      <c r="I85" s="782"/>
      <c r="J85" s="782"/>
      <c r="K85" s="782"/>
      <c r="L85" s="782"/>
    </row>
    <row r="86" spans="3:12" s="143" customFormat="1">
      <c r="C86" s="782"/>
      <c r="D86" s="782"/>
      <c r="E86" s="782"/>
      <c r="F86" s="782"/>
      <c r="G86" s="782"/>
      <c r="H86" s="782"/>
      <c r="I86" s="782"/>
      <c r="J86" s="782"/>
      <c r="K86" s="782"/>
      <c r="L86" s="782"/>
    </row>
    <row r="87" spans="3:12" s="143" customFormat="1">
      <c r="C87" s="782"/>
      <c r="D87" s="782"/>
      <c r="E87" s="782"/>
      <c r="F87" s="782"/>
      <c r="G87" s="782"/>
      <c r="H87" s="782"/>
      <c r="I87" s="782"/>
      <c r="J87" s="782"/>
      <c r="K87" s="782"/>
      <c r="L87" s="782"/>
    </row>
    <row r="88" spans="3:12" s="143" customFormat="1">
      <c r="C88" s="782"/>
      <c r="D88" s="782"/>
      <c r="E88" s="782"/>
      <c r="F88" s="782"/>
      <c r="G88" s="782"/>
      <c r="H88" s="782"/>
      <c r="I88" s="782"/>
      <c r="J88" s="782"/>
      <c r="K88" s="782"/>
      <c r="L88" s="782"/>
    </row>
    <row r="89" spans="3:12" s="143" customFormat="1">
      <c r="C89" s="782"/>
      <c r="D89" s="782"/>
      <c r="E89" s="782"/>
      <c r="F89" s="782"/>
      <c r="G89" s="782"/>
      <c r="H89" s="782"/>
      <c r="I89" s="782"/>
      <c r="J89" s="782"/>
      <c r="K89" s="782"/>
      <c r="L89" s="782"/>
    </row>
    <row r="90" spans="3:12" s="143" customFormat="1">
      <c r="C90" s="782"/>
      <c r="D90" s="782"/>
      <c r="E90" s="782"/>
      <c r="F90" s="782"/>
      <c r="G90" s="782"/>
      <c r="H90" s="782"/>
      <c r="I90" s="782"/>
      <c r="J90" s="782"/>
      <c r="K90" s="782"/>
      <c r="L90" s="782"/>
    </row>
    <row r="91" spans="3:12" s="143" customFormat="1">
      <c r="C91" s="782"/>
      <c r="D91" s="782"/>
      <c r="E91" s="782"/>
      <c r="F91" s="782"/>
      <c r="G91" s="782"/>
      <c r="H91" s="782"/>
      <c r="I91" s="782"/>
      <c r="J91" s="782"/>
      <c r="K91" s="782"/>
      <c r="L91" s="782"/>
    </row>
    <row r="92" spans="3:12" s="143" customFormat="1">
      <c r="C92" s="782"/>
      <c r="D92" s="782"/>
      <c r="E92" s="782"/>
      <c r="F92" s="782"/>
      <c r="G92" s="782"/>
      <c r="H92" s="782"/>
      <c r="I92" s="782"/>
      <c r="J92" s="782"/>
      <c r="K92" s="782"/>
      <c r="L92" s="782"/>
    </row>
    <row r="93" spans="3:12" s="143" customFormat="1">
      <c r="C93" s="782"/>
      <c r="D93" s="782"/>
      <c r="E93" s="782"/>
      <c r="F93" s="782"/>
      <c r="G93" s="782"/>
      <c r="H93" s="782"/>
      <c r="I93" s="782"/>
      <c r="J93" s="782"/>
      <c r="K93" s="782"/>
      <c r="L93" s="782"/>
    </row>
    <row r="94" spans="3:12" s="143" customFormat="1">
      <c r="C94" s="782"/>
      <c r="D94" s="782"/>
      <c r="E94" s="782"/>
      <c r="F94" s="782"/>
      <c r="G94" s="782"/>
      <c r="H94" s="782"/>
      <c r="I94" s="782"/>
      <c r="J94" s="782"/>
      <c r="K94" s="782"/>
      <c r="L94" s="782"/>
    </row>
    <row r="95" spans="3:12" s="143" customFormat="1">
      <c r="C95" s="782"/>
      <c r="D95" s="782"/>
      <c r="E95" s="782"/>
      <c r="F95" s="782"/>
      <c r="G95" s="782"/>
      <c r="H95" s="782"/>
      <c r="I95" s="782"/>
      <c r="J95" s="782"/>
      <c r="K95" s="782"/>
      <c r="L95" s="782"/>
    </row>
    <row r="96" spans="3:12" s="143" customFormat="1">
      <c r="C96" s="782"/>
      <c r="D96" s="782"/>
      <c r="E96" s="782"/>
      <c r="F96" s="782"/>
      <c r="G96" s="782"/>
      <c r="H96" s="782"/>
      <c r="I96" s="782"/>
      <c r="J96" s="782"/>
      <c r="K96" s="782"/>
      <c r="L96" s="782"/>
    </row>
    <row r="97" spans="3:12" s="143" customFormat="1">
      <c r="C97" s="782"/>
      <c r="D97" s="782"/>
      <c r="E97" s="782"/>
      <c r="F97" s="782"/>
      <c r="G97" s="782"/>
      <c r="H97" s="782"/>
      <c r="I97" s="782"/>
      <c r="J97" s="782"/>
      <c r="K97" s="782"/>
      <c r="L97" s="782"/>
    </row>
    <row r="98" spans="3:12" s="143" customFormat="1">
      <c r="C98" s="782"/>
      <c r="D98" s="782"/>
      <c r="E98" s="782"/>
      <c r="F98" s="782"/>
      <c r="G98" s="782"/>
      <c r="H98" s="782"/>
      <c r="I98" s="782"/>
      <c r="J98" s="782"/>
      <c r="K98" s="782"/>
      <c r="L98" s="782"/>
    </row>
    <row r="99" spans="3:12" s="143" customFormat="1">
      <c r="C99" s="782"/>
      <c r="D99" s="782"/>
      <c r="E99" s="782"/>
      <c r="F99" s="782"/>
      <c r="G99" s="782"/>
      <c r="H99" s="782"/>
      <c r="I99" s="782"/>
      <c r="J99" s="782"/>
      <c r="K99" s="782"/>
      <c r="L99" s="782"/>
    </row>
    <row r="100" spans="3:12" s="143" customFormat="1">
      <c r="C100" s="782"/>
      <c r="D100" s="782"/>
      <c r="E100" s="782"/>
      <c r="F100" s="782"/>
      <c r="G100" s="782"/>
      <c r="H100" s="782"/>
      <c r="I100" s="782"/>
      <c r="J100" s="782"/>
      <c r="K100" s="782"/>
      <c r="L100" s="782"/>
    </row>
    <row r="101" spans="3:12" s="143" customFormat="1">
      <c r="C101" s="782"/>
      <c r="D101" s="782"/>
      <c r="E101" s="782"/>
      <c r="F101" s="782"/>
      <c r="G101" s="782"/>
      <c r="H101" s="782"/>
      <c r="I101" s="782"/>
      <c r="J101" s="782"/>
      <c r="K101" s="782"/>
      <c r="L101" s="782"/>
    </row>
    <row r="102" spans="3:12" s="143" customFormat="1">
      <c r="C102" s="782"/>
      <c r="D102" s="782"/>
      <c r="E102" s="782"/>
      <c r="F102" s="782"/>
      <c r="G102" s="782"/>
      <c r="H102" s="782"/>
      <c r="I102" s="782"/>
      <c r="J102" s="782"/>
      <c r="K102" s="782"/>
      <c r="L102" s="782"/>
    </row>
    <row r="103" spans="3:12" s="143" customFormat="1">
      <c r="C103" s="782"/>
      <c r="D103" s="782"/>
      <c r="E103" s="782"/>
      <c r="F103" s="782"/>
      <c r="G103" s="782"/>
      <c r="H103" s="782"/>
      <c r="I103" s="782"/>
      <c r="J103" s="782"/>
      <c r="K103" s="782"/>
      <c r="L103" s="782"/>
    </row>
    <row r="104" spans="3:12" s="143" customFormat="1">
      <c r="C104" s="782"/>
      <c r="D104" s="782"/>
      <c r="E104" s="782"/>
      <c r="F104" s="782"/>
      <c r="G104" s="782"/>
      <c r="H104" s="782"/>
      <c r="I104" s="782"/>
      <c r="J104" s="782"/>
      <c r="K104" s="782"/>
      <c r="L104" s="782"/>
    </row>
    <row r="105" spans="3:12" s="143" customFormat="1">
      <c r="C105" s="782"/>
      <c r="D105" s="782"/>
      <c r="E105" s="782"/>
      <c r="F105" s="782"/>
      <c r="G105" s="782"/>
      <c r="H105" s="782"/>
      <c r="I105" s="782"/>
      <c r="J105" s="782"/>
      <c r="K105" s="782"/>
      <c r="L105" s="782"/>
    </row>
    <row r="106" spans="3:12" s="143" customFormat="1">
      <c r="C106" s="782"/>
      <c r="D106" s="782"/>
      <c r="E106" s="782"/>
      <c r="F106" s="782"/>
      <c r="G106" s="782"/>
      <c r="H106" s="782"/>
      <c r="I106" s="782"/>
      <c r="J106" s="782"/>
      <c r="K106" s="782"/>
      <c r="L106" s="782"/>
    </row>
    <row r="107" spans="3:12" s="143" customFormat="1">
      <c r="C107" s="782"/>
      <c r="D107" s="782"/>
      <c r="E107" s="782"/>
      <c r="F107" s="782"/>
      <c r="G107" s="782"/>
      <c r="H107" s="782"/>
      <c r="I107" s="782"/>
      <c r="J107" s="782"/>
      <c r="K107" s="782"/>
      <c r="L107" s="782"/>
    </row>
    <row r="108" spans="3:12" s="143" customFormat="1">
      <c r="C108" s="782"/>
      <c r="D108" s="782"/>
      <c r="E108" s="782"/>
      <c r="F108" s="782"/>
      <c r="G108" s="782"/>
      <c r="H108" s="782"/>
      <c r="I108" s="782"/>
      <c r="J108" s="782"/>
      <c r="K108" s="782"/>
      <c r="L108" s="782"/>
    </row>
    <row r="109" spans="3:12" s="143" customFormat="1">
      <c r="C109" s="782"/>
      <c r="D109" s="782"/>
      <c r="E109" s="782"/>
      <c r="F109" s="782"/>
      <c r="G109" s="782"/>
      <c r="H109" s="782"/>
      <c r="I109" s="782"/>
      <c r="J109" s="782"/>
      <c r="K109" s="782"/>
      <c r="L109" s="782"/>
    </row>
    <row r="110" spans="3:12" s="143" customFormat="1">
      <c r="C110" s="782"/>
      <c r="D110" s="782"/>
      <c r="E110" s="782"/>
      <c r="F110" s="782"/>
      <c r="G110" s="782"/>
      <c r="H110" s="782"/>
      <c r="I110" s="782"/>
      <c r="J110" s="782"/>
      <c r="K110" s="782"/>
      <c r="L110" s="782"/>
    </row>
    <row r="111" spans="3:12" s="143" customFormat="1">
      <c r="C111" s="782"/>
      <c r="D111" s="782"/>
      <c r="E111" s="782"/>
      <c r="F111" s="782"/>
      <c r="G111" s="782"/>
      <c r="H111" s="782"/>
      <c r="I111" s="782"/>
      <c r="J111" s="782"/>
      <c r="K111" s="782"/>
      <c r="L111" s="782"/>
    </row>
    <row r="112" spans="3:12" s="143" customFormat="1">
      <c r="C112" s="782"/>
      <c r="D112" s="782"/>
      <c r="E112" s="782"/>
      <c r="F112" s="782"/>
      <c r="G112" s="782"/>
      <c r="H112" s="782"/>
      <c r="I112" s="782"/>
      <c r="J112" s="782"/>
      <c r="K112" s="782"/>
      <c r="L112" s="782"/>
    </row>
    <row r="113" spans="3:12" s="143" customFormat="1">
      <c r="C113" s="782"/>
      <c r="D113" s="782"/>
      <c r="E113" s="782"/>
      <c r="F113" s="782"/>
      <c r="G113" s="782"/>
      <c r="H113" s="782"/>
      <c r="I113" s="782"/>
      <c r="J113" s="782"/>
      <c r="K113" s="782"/>
      <c r="L113" s="782"/>
    </row>
    <row r="114" spans="3:12" s="143" customFormat="1">
      <c r="C114" s="782"/>
      <c r="D114" s="782"/>
      <c r="E114" s="782"/>
      <c r="F114" s="782"/>
      <c r="G114" s="782"/>
      <c r="H114" s="782"/>
      <c r="I114" s="782"/>
      <c r="J114" s="782"/>
      <c r="K114" s="782"/>
      <c r="L114" s="782"/>
    </row>
    <row r="115" spans="3:12" s="143" customFormat="1">
      <c r="C115" s="782"/>
      <c r="D115" s="782"/>
      <c r="E115" s="782"/>
      <c r="F115" s="782"/>
      <c r="G115" s="782"/>
      <c r="H115" s="782"/>
      <c r="I115" s="782"/>
      <c r="J115" s="782"/>
      <c r="K115" s="782"/>
      <c r="L115" s="782"/>
    </row>
    <row r="116" spans="3:12" s="143" customFormat="1">
      <c r="C116" s="782"/>
      <c r="D116" s="782"/>
      <c r="E116" s="782"/>
      <c r="F116" s="782"/>
      <c r="G116" s="782"/>
      <c r="H116" s="782"/>
      <c r="I116" s="782"/>
      <c r="J116" s="782"/>
      <c r="K116" s="782"/>
      <c r="L116" s="782"/>
    </row>
    <row r="117" spans="3:12" s="143" customFormat="1">
      <c r="C117" s="782"/>
      <c r="D117" s="782"/>
      <c r="E117" s="782"/>
      <c r="F117" s="782"/>
      <c r="G117" s="782"/>
      <c r="H117" s="782"/>
      <c r="I117" s="782"/>
      <c r="J117" s="782"/>
      <c r="K117" s="782"/>
      <c r="L117" s="782"/>
    </row>
    <row r="118" spans="3:12" s="143" customFormat="1">
      <c r="C118" s="782"/>
      <c r="D118" s="782"/>
      <c r="E118" s="782"/>
      <c r="F118" s="782"/>
      <c r="G118" s="782"/>
      <c r="H118" s="782"/>
      <c r="I118" s="782"/>
      <c r="J118" s="782"/>
      <c r="K118" s="782"/>
      <c r="L118" s="782"/>
    </row>
    <row r="119" spans="3:12" s="143" customFormat="1">
      <c r="C119" s="782"/>
      <c r="D119" s="782"/>
      <c r="E119" s="782"/>
      <c r="F119" s="782"/>
      <c r="G119" s="782"/>
      <c r="H119" s="782"/>
      <c r="I119" s="782"/>
      <c r="J119" s="782"/>
      <c r="K119" s="782"/>
      <c r="L119" s="782"/>
    </row>
    <row r="120" spans="3:12" s="143" customFormat="1">
      <c r="C120" s="782"/>
      <c r="D120" s="782"/>
      <c r="E120" s="782"/>
      <c r="F120" s="782"/>
      <c r="G120" s="782"/>
      <c r="H120" s="782"/>
      <c r="I120" s="782"/>
      <c r="J120" s="782"/>
      <c r="K120" s="782"/>
      <c r="L120" s="782"/>
    </row>
    <row r="121" spans="3:12" s="143" customFormat="1">
      <c r="C121" s="782"/>
      <c r="D121" s="782"/>
      <c r="E121" s="782"/>
      <c r="F121" s="782"/>
      <c r="G121" s="782"/>
      <c r="H121" s="782"/>
      <c r="I121" s="782"/>
      <c r="J121" s="782"/>
      <c r="K121" s="782"/>
      <c r="L121" s="782"/>
    </row>
    <row r="122" spans="3:12" s="143" customFormat="1">
      <c r="C122" s="782"/>
      <c r="D122" s="782"/>
      <c r="E122" s="782"/>
      <c r="F122" s="782"/>
      <c r="G122" s="782"/>
      <c r="H122" s="782"/>
      <c r="I122" s="782"/>
      <c r="J122" s="782"/>
      <c r="K122" s="782"/>
      <c r="L122" s="782"/>
    </row>
    <row r="123" spans="3:12" s="143" customFormat="1">
      <c r="C123" s="782"/>
      <c r="D123" s="782"/>
      <c r="E123" s="782"/>
      <c r="F123" s="782"/>
      <c r="G123" s="782"/>
      <c r="H123" s="782"/>
      <c r="I123" s="782"/>
      <c r="J123" s="782"/>
      <c r="K123" s="782"/>
      <c r="L123" s="782"/>
    </row>
    <row r="124" spans="3:12" s="143" customFormat="1">
      <c r="C124" s="782"/>
      <c r="D124" s="782"/>
      <c r="E124" s="782"/>
      <c r="F124" s="782"/>
      <c r="G124" s="782"/>
      <c r="H124" s="782"/>
      <c r="I124" s="782"/>
      <c r="J124" s="782"/>
      <c r="K124" s="782"/>
      <c r="L124" s="782"/>
    </row>
    <row r="125" spans="3:12" s="143" customFormat="1">
      <c r="C125" s="782"/>
      <c r="D125" s="782"/>
      <c r="E125" s="782"/>
      <c r="F125" s="782"/>
      <c r="G125" s="782"/>
      <c r="H125" s="782"/>
      <c r="I125" s="782"/>
      <c r="J125" s="782"/>
      <c r="K125" s="782"/>
      <c r="L125" s="782"/>
    </row>
    <row r="126" spans="3:12" s="143" customFormat="1">
      <c r="C126" s="782"/>
      <c r="D126" s="782"/>
      <c r="E126" s="782"/>
      <c r="F126" s="782"/>
      <c r="G126" s="782"/>
      <c r="H126" s="782"/>
      <c r="I126" s="782"/>
      <c r="J126" s="782"/>
      <c r="K126" s="782"/>
      <c r="L126" s="782"/>
    </row>
    <row r="127" spans="3:12" s="143" customFormat="1">
      <c r="C127" s="782"/>
      <c r="D127" s="782"/>
      <c r="E127" s="782"/>
      <c r="F127" s="782"/>
      <c r="G127" s="782"/>
      <c r="H127" s="782"/>
      <c r="I127" s="782"/>
      <c r="J127" s="782"/>
      <c r="K127" s="782"/>
      <c r="L127" s="782"/>
    </row>
    <row r="128" spans="3:12" s="143" customFormat="1">
      <c r="C128" s="782"/>
      <c r="D128" s="782"/>
      <c r="E128" s="782"/>
      <c r="F128" s="782"/>
      <c r="G128" s="782"/>
      <c r="H128" s="782"/>
      <c r="I128" s="782"/>
      <c r="J128" s="782"/>
      <c r="K128" s="782"/>
      <c r="L128" s="782"/>
    </row>
    <row r="129" spans="3:12" s="143" customFormat="1">
      <c r="C129" s="782"/>
      <c r="D129" s="782"/>
      <c r="E129" s="782"/>
      <c r="F129" s="782"/>
      <c r="G129" s="782"/>
      <c r="H129" s="782"/>
      <c r="I129" s="782"/>
      <c r="J129" s="782"/>
      <c r="K129" s="782"/>
      <c r="L129" s="782"/>
    </row>
    <row r="130" spans="3:12" s="143" customFormat="1">
      <c r="C130" s="782"/>
      <c r="D130" s="782"/>
      <c r="E130" s="782"/>
      <c r="F130" s="782"/>
      <c r="G130" s="782"/>
      <c r="H130" s="782"/>
      <c r="I130" s="782"/>
      <c r="J130" s="782"/>
      <c r="K130" s="782"/>
      <c r="L130" s="782"/>
    </row>
    <row r="131" spans="3:12" s="143" customFormat="1">
      <c r="C131" s="782"/>
      <c r="D131" s="782"/>
      <c r="E131" s="782"/>
      <c r="F131" s="782"/>
      <c r="G131" s="782"/>
      <c r="H131" s="782"/>
      <c r="I131" s="782"/>
      <c r="J131" s="782"/>
      <c r="K131" s="782"/>
      <c r="L131" s="782"/>
    </row>
    <row r="132" spans="3:12" s="143" customFormat="1">
      <c r="C132" s="782"/>
      <c r="D132" s="782"/>
      <c r="E132" s="782"/>
      <c r="F132" s="782"/>
      <c r="G132" s="782"/>
      <c r="H132" s="782"/>
      <c r="I132" s="782"/>
      <c r="J132" s="782"/>
      <c r="K132" s="782"/>
      <c r="L132" s="782"/>
    </row>
    <row r="133" spans="3:12" s="143" customFormat="1">
      <c r="C133" s="782"/>
      <c r="D133" s="782"/>
      <c r="E133" s="782"/>
      <c r="F133" s="782"/>
      <c r="G133" s="782"/>
      <c r="H133" s="782"/>
      <c r="I133" s="782"/>
      <c r="J133" s="782"/>
      <c r="K133" s="782"/>
      <c r="L133" s="782"/>
    </row>
    <row r="134" spans="3:12" s="143" customFormat="1">
      <c r="C134" s="782"/>
      <c r="D134" s="782"/>
      <c r="E134" s="782"/>
      <c r="F134" s="782"/>
      <c r="G134" s="782"/>
      <c r="H134" s="782"/>
      <c r="I134" s="782"/>
      <c r="J134" s="782"/>
      <c r="K134" s="782"/>
      <c r="L134" s="782"/>
    </row>
    <row r="135" spans="3:12" s="143" customFormat="1">
      <c r="C135" s="782"/>
      <c r="D135" s="782"/>
      <c r="E135" s="782"/>
      <c r="F135" s="782"/>
      <c r="G135" s="782"/>
      <c r="H135" s="782"/>
      <c r="I135" s="782"/>
      <c r="J135" s="782"/>
      <c r="K135" s="782"/>
      <c r="L135" s="782"/>
    </row>
    <row r="136" spans="3:12" s="143" customFormat="1">
      <c r="C136" s="782"/>
      <c r="D136" s="782"/>
      <c r="E136" s="782"/>
      <c r="F136" s="782"/>
      <c r="G136" s="782"/>
      <c r="H136" s="782"/>
      <c r="I136" s="782"/>
      <c r="J136" s="782"/>
      <c r="K136" s="782"/>
      <c r="L136" s="782"/>
    </row>
    <row r="137" spans="3:12" s="143" customFormat="1">
      <c r="C137" s="782"/>
      <c r="D137" s="782"/>
      <c r="E137" s="782"/>
      <c r="F137" s="782"/>
      <c r="G137" s="782"/>
      <c r="H137" s="782"/>
      <c r="I137" s="782"/>
      <c r="J137" s="782"/>
      <c r="K137" s="782"/>
      <c r="L137" s="782"/>
    </row>
    <row r="138" spans="3:12" s="143" customFormat="1">
      <c r="C138" s="782"/>
      <c r="D138" s="782"/>
      <c r="E138" s="782"/>
      <c r="F138" s="782"/>
      <c r="G138" s="782"/>
      <c r="H138" s="782"/>
      <c r="I138" s="782"/>
      <c r="J138" s="782"/>
      <c r="K138" s="782"/>
      <c r="L138" s="782"/>
    </row>
    <row r="139" spans="3:12" s="143" customFormat="1">
      <c r="C139" s="782"/>
      <c r="D139" s="782"/>
      <c r="E139" s="782"/>
      <c r="F139" s="782"/>
      <c r="G139" s="782"/>
      <c r="H139" s="782"/>
      <c r="I139" s="782"/>
      <c r="J139" s="782"/>
      <c r="K139" s="782"/>
      <c r="L139" s="782"/>
    </row>
    <row r="140" spans="3:12" s="143" customFormat="1">
      <c r="C140" s="782"/>
      <c r="D140" s="782"/>
      <c r="E140" s="782"/>
      <c r="F140" s="782"/>
      <c r="G140" s="782"/>
      <c r="H140" s="782"/>
      <c r="I140" s="782"/>
      <c r="J140" s="782"/>
      <c r="K140" s="782"/>
      <c r="L140" s="782"/>
    </row>
    <row r="141" spans="3:12" s="143" customFormat="1">
      <c r="C141" s="782"/>
      <c r="D141" s="782"/>
      <c r="E141" s="782"/>
      <c r="F141" s="782"/>
      <c r="G141" s="782"/>
      <c r="H141" s="782"/>
      <c r="I141" s="782"/>
      <c r="J141" s="782"/>
      <c r="K141" s="782"/>
      <c r="L141" s="782"/>
    </row>
    <row r="142" spans="3:12" s="143" customFormat="1">
      <c r="C142" s="782"/>
      <c r="D142" s="782"/>
      <c r="E142" s="782"/>
      <c r="F142" s="782"/>
      <c r="G142" s="782"/>
      <c r="H142" s="782"/>
      <c r="I142" s="782"/>
      <c r="J142" s="782"/>
      <c r="K142" s="782"/>
      <c r="L142" s="782"/>
    </row>
    <row r="143" spans="3:12" s="143" customFormat="1">
      <c r="C143" s="782"/>
      <c r="D143" s="782"/>
      <c r="E143" s="782"/>
      <c r="F143" s="782"/>
      <c r="G143" s="782"/>
      <c r="H143" s="782"/>
      <c r="I143" s="782"/>
      <c r="J143" s="782"/>
      <c r="K143" s="782"/>
      <c r="L143" s="782"/>
    </row>
    <row r="144" spans="3:12" s="143" customFormat="1">
      <c r="C144" s="782"/>
      <c r="D144" s="782"/>
      <c r="E144" s="782"/>
      <c r="F144" s="782"/>
      <c r="G144" s="782"/>
      <c r="H144" s="782"/>
      <c r="I144" s="782"/>
      <c r="J144" s="782"/>
      <c r="K144" s="782"/>
      <c r="L144" s="782"/>
    </row>
    <row r="145" spans="3:12" s="143" customFormat="1">
      <c r="C145" s="782"/>
      <c r="D145" s="782"/>
      <c r="E145" s="782"/>
      <c r="F145" s="782"/>
      <c r="G145" s="782"/>
      <c r="H145" s="782"/>
      <c r="I145" s="782"/>
      <c r="J145" s="782"/>
      <c r="K145" s="782"/>
      <c r="L145" s="782"/>
    </row>
    <row r="146" spans="3:12" s="143" customFormat="1">
      <c r="C146" s="782"/>
      <c r="D146" s="782"/>
      <c r="E146" s="782"/>
      <c r="F146" s="782"/>
      <c r="G146" s="782"/>
      <c r="H146" s="782"/>
      <c r="I146" s="782"/>
      <c r="J146" s="782"/>
      <c r="K146" s="782"/>
      <c r="L146" s="782"/>
    </row>
    <row r="147" spans="3:12" s="143" customFormat="1">
      <c r="C147" s="782"/>
      <c r="D147" s="782"/>
      <c r="E147" s="782"/>
      <c r="F147" s="782"/>
      <c r="G147" s="782"/>
      <c r="H147" s="782"/>
      <c r="I147" s="782"/>
      <c r="J147" s="782"/>
      <c r="K147" s="782"/>
      <c r="L147" s="782"/>
    </row>
    <row r="148" spans="3:12" s="143" customFormat="1">
      <c r="C148" s="782"/>
      <c r="D148" s="782"/>
      <c r="E148" s="782"/>
      <c r="F148" s="782"/>
      <c r="G148" s="782"/>
      <c r="H148" s="782"/>
      <c r="I148" s="782"/>
      <c r="J148" s="782"/>
      <c r="K148" s="782"/>
      <c r="L148" s="782"/>
    </row>
    <row r="149" spans="3:12" s="143" customFormat="1">
      <c r="C149" s="782"/>
      <c r="D149" s="782"/>
      <c r="E149" s="782"/>
      <c r="F149" s="782"/>
      <c r="G149" s="782"/>
      <c r="H149" s="782"/>
      <c r="I149" s="782"/>
      <c r="J149" s="782"/>
      <c r="K149" s="782"/>
      <c r="L149" s="782"/>
    </row>
    <row r="150" spans="3:12" s="143" customFormat="1">
      <c r="C150" s="782"/>
      <c r="D150" s="782"/>
      <c r="E150" s="782"/>
      <c r="F150" s="782"/>
      <c r="G150" s="782"/>
      <c r="H150" s="782"/>
      <c r="I150" s="782"/>
      <c r="J150" s="782"/>
      <c r="K150" s="782"/>
      <c r="L150" s="782"/>
    </row>
    <row r="151" spans="3:12" s="143" customFormat="1">
      <c r="C151" s="782"/>
      <c r="D151" s="782"/>
      <c r="E151" s="782"/>
      <c r="F151" s="782"/>
      <c r="G151" s="782"/>
      <c r="H151" s="782"/>
      <c r="I151" s="782"/>
      <c r="J151" s="782"/>
      <c r="K151" s="782"/>
      <c r="L151" s="782"/>
    </row>
    <row r="152" spans="3:12" s="143" customFormat="1">
      <c r="C152" s="782"/>
      <c r="D152" s="782"/>
      <c r="E152" s="782"/>
      <c r="F152" s="782"/>
      <c r="G152" s="782"/>
      <c r="H152" s="782"/>
      <c r="I152" s="782"/>
      <c r="J152" s="782"/>
      <c r="K152" s="782"/>
      <c r="L152" s="782"/>
    </row>
    <row r="153" spans="3:12" s="143" customFormat="1">
      <c r="C153" s="782"/>
      <c r="D153" s="782"/>
      <c r="E153" s="782"/>
      <c r="F153" s="782"/>
      <c r="G153" s="782"/>
      <c r="H153" s="782"/>
      <c r="I153" s="782"/>
      <c r="J153" s="782"/>
      <c r="K153" s="782"/>
      <c r="L153" s="782"/>
    </row>
    <row r="154" spans="3:12" s="143" customFormat="1">
      <c r="C154" s="782"/>
      <c r="D154" s="782"/>
      <c r="E154" s="782"/>
      <c r="F154" s="782"/>
      <c r="G154" s="782"/>
      <c r="H154" s="782"/>
      <c r="I154" s="782"/>
      <c r="J154" s="782"/>
      <c r="K154" s="782"/>
      <c r="L154" s="782"/>
    </row>
    <row r="155" spans="3:12" s="143" customFormat="1">
      <c r="C155" s="782"/>
      <c r="D155" s="782"/>
      <c r="E155" s="782"/>
      <c r="F155" s="782"/>
      <c r="G155" s="782"/>
      <c r="H155" s="782"/>
      <c r="I155" s="782"/>
      <c r="J155" s="782"/>
      <c r="K155" s="782"/>
      <c r="L155" s="782"/>
    </row>
    <row r="156" spans="3:12" s="143" customFormat="1">
      <c r="C156" s="782"/>
      <c r="D156" s="782"/>
      <c r="E156" s="782"/>
      <c r="F156" s="782"/>
      <c r="G156" s="782"/>
      <c r="H156" s="782"/>
      <c r="I156" s="782"/>
      <c r="J156" s="782"/>
      <c r="K156" s="782"/>
      <c r="L156" s="782"/>
    </row>
    <row r="157" spans="3:12" s="143" customFormat="1">
      <c r="C157" s="782"/>
      <c r="D157" s="782"/>
      <c r="E157" s="782"/>
      <c r="F157" s="782"/>
      <c r="G157" s="782"/>
      <c r="H157" s="782"/>
      <c r="I157" s="782"/>
      <c r="J157" s="782"/>
      <c r="K157" s="782"/>
      <c r="L157" s="782"/>
    </row>
    <row r="158" spans="3:12" s="143" customFormat="1">
      <c r="C158" s="782"/>
      <c r="D158" s="782"/>
      <c r="E158" s="782"/>
      <c r="F158" s="782"/>
      <c r="G158" s="782"/>
      <c r="H158" s="782"/>
      <c r="I158" s="782"/>
      <c r="J158" s="782"/>
      <c r="K158" s="782"/>
      <c r="L158" s="782"/>
    </row>
    <row r="159" spans="3:12" s="143" customFormat="1">
      <c r="C159" s="782"/>
      <c r="D159" s="782"/>
      <c r="E159" s="782"/>
      <c r="F159" s="782"/>
      <c r="G159" s="782"/>
      <c r="H159" s="782"/>
      <c r="I159" s="782"/>
      <c r="J159" s="782"/>
      <c r="K159" s="782"/>
      <c r="L159" s="782"/>
    </row>
    <row r="160" spans="3:12" s="143" customFormat="1">
      <c r="C160" s="782"/>
      <c r="D160" s="782"/>
      <c r="E160" s="782"/>
      <c r="F160" s="782"/>
      <c r="G160" s="782"/>
      <c r="H160" s="782"/>
      <c r="I160" s="782"/>
      <c r="J160" s="782"/>
      <c r="K160" s="782"/>
      <c r="L160" s="782"/>
    </row>
    <row r="161" spans="3:12" s="143" customFormat="1">
      <c r="C161" s="782"/>
      <c r="D161" s="782"/>
      <c r="E161" s="782"/>
      <c r="F161" s="782"/>
      <c r="G161" s="782"/>
      <c r="H161" s="782"/>
      <c r="I161" s="782"/>
      <c r="J161" s="782"/>
      <c r="K161" s="782"/>
      <c r="L161" s="782"/>
    </row>
    <row r="162" spans="3:12" s="143" customFormat="1">
      <c r="C162" s="782"/>
      <c r="D162" s="782"/>
      <c r="E162" s="782"/>
      <c r="F162" s="782"/>
      <c r="G162" s="782"/>
      <c r="H162" s="782"/>
      <c r="I162" s="782"/>
      <c r="J162" s="782"/>
      <c r="K162" s="782"/>
      <c r="L162" s="782"/>
    </row>
    <row r="163" spans="3:12" s="143" customFormat="1">
      <c r="C163" s="782"/>
      <c r="D163" s="782"/>
      <c r="E163" s="782"/>
      <c r="F163" s="782"/>
      <c r="G163" s="782"/>
      <c r="H163" s="782"/>
      <c r="I163" s="782"/>
      <c r="J163" s="782"/>
      <c r="K163" s="782"/>
      <c r="L163" s="782"/>
    </row>
    <row r="164" spans="3:12" s="143" customFormat="1">
      <c r="C164" s="782"/>
      <c r="D164" s="782"/>
      <c r="E164" s="782"/>
      <c r="F164" s="782"/>
      <c r="G164" s="782"/>
      <c r="H164" s="782"/>
      <c r="I164" s="782"/>
      <c r="J164" s="782"/>
      <c r="K164" s="782"/>
      <c r="L164" s="782"/>
    </row>
    <row r="165" spans="3:12" s="143" customFormat="1">
      <c r="C165" s="782"/>
      <c r="D165" s="782"/>
      <c r="E165" s="782"/>
      <c r="F165" s="782"/>
      <c r="G165" s="782"/>
      <c r="H165" s="782"/>
      <c r="I165" s="782"/>
      <c r="J165" s="782"/>
      <c r="K165" s="782"/>
      <c r="L165" s="782"/>
    </row>
    <row r="166" spans="3:12" s="143" customFormat="1">
      <c r="C166" s="782"/>
      <c r="D166" s="782"/>
      <c r="E166" s="782"/>
      <c r="F166" s="782"/>
      <c r="G166" s="782"/>
      <c r="H166" s="782"/>
      <c r="I166" s="782"/>
      <c r="J166" s="782"/>
      <c r="K166" s="782"/>
      <c r="L166" s="782"/>
    </row>
    <row r="167" spans="3:12" s="143" customFormat="1">
      <c r="C167" s="782"/>
      <c r="D167" s="782"/>
      <c r="E167" s="782"/>
      <c r="F167" s="782"/>
      <c r="G167" s="782"/>
      <c r="H167" s="782"/>
      <c r="I167" s="782"/>
      <c r="J167" s="782"/>
      <c r="K167" s="782"/>
      <c r="L167" s="782"/>
    </row>
    <row r="168" spans="3:12" s="143" customFormat="1">
      <c r="C168" s="782"/>
      <c r="D168" s="782"/>
      <c r="E168" s="782"/>
      <c r="F168" s="782"/>
      <c r="G168" s="782"/>
      <c r="H168" s="782"/>
      <c r="I168" s="782"/>
      <c r="J168" s="782"/>
      <c r="K168" s="782"/>
      <c r="L168" s="782"/>
    </row>
    <row r="169" spans="3:12" s="143" customFormat="1">
      <c r="C169" s="782"/>
      <c r="D169" s="782"/>
      <c r="E169" s="782"/>
      <c r="F169" s="782"/>
      <c r="G169" s="782"/>
      <c r="H169" s="782"/>
      <c r="I169" s="782"/>
      <c r="J169" s="782"/>
      <c r="K169" s="782"/>
      <c r="L169" s="782"/>
    </row>
    <row r="170" spans="3:12" s="143" customFormat="1">
      <c r="C170" s="782"/>
      <c r="D170" s="782"/>
      <c r="E170" s="782"/>
      <c r="F170" s="782"/>
      <c r="G170" s="782"/>
      <c r="H170" s="782"/>
      <c r="I170" s="782"/>
      <c r="J170" s="782"/>
      <c r="K170" s="782"/>
      <c r="L170" s="782"/>
    </row>
    <row r="171" spans="3:12" s="143" customFormat="1">
      <c r="C171" s="782"/>
      <c r="D171" s="782"/>
      <c r="E171" s="782"/>
      <c r="F171" s="782"/>
      <c r="G171" s="782"/>
      <c r="H171" s="782"/>
      <c r="I171" s="782"/>
      <c r="J171" s="782"/>
      <c r="K171" s="782"/>
      <c r="L171" s="782"/>
    </row>
    <row r="172" spans="3:12" s="143" customFormat="1">
      <c r="C172" s="782"/>
      <c r="D172" s="782"/>
      <c r="E172" s="782"/>
      <c r="F172" s="782"/>
      <c r="G172" s="782"/>
      <c r="H172" s="782"/>
      <c r="I172" s="782"/>
      <c r="J172" s="782"/>
      <c r="K172" s="782"/>
      <c r="L172" s="782"/>
    </row>
    <row r="173" spans="3:12" s="143" customFormat="1">
      <c r="C173" s="782"/>
      <c r="D173" s="782"/>
      <c r="E173" s="782"/>
      <c r="F173" s="782"/>
      <c r="G173" s="782"/>
      <c r="H173" s="782"/>
      <c r="I173" s="782"/>
      <c r="J173" s="782"/>
      <c r="K173" s="782"/>
      <c r="L173" s="782"/>
    </row>
    <row r="174" spans="3:12" s="143" customFormat="1">
      <c r="C174" s="782"/>
      <c r="D174" s="782"/>
      <c r="E174" s="782"/>
      <c r="F174" s="782"/>
      <c r="G174" s="782"/>
      <c r="H174" s="782"/>
      <c r="I174" s="782"/>
      <c r="J174" s="782"/>
      <c r="K174" s="782"/>
      <c r="L174" s="782"/>
    </row>
    <row r="175" spans="3:12" s="143" customFormat="1">
      <c r="C175" s="782"/>
      <c r="D175" s="782"/>
      <c r="E175" s="782"/>
      <c r="F175" s="782"/>
      <c r="G175" s="782"/>
      <c r="H175" s="782"/>
      <c r="I175" s="782"/>
      <c r="J175" s="782"/>
      <c r="K175" s="782"/>
      <c r="L175" s="782"/>
    </row>
    <row r="176" spans="3:12" s="143" customFormat="1">
      <c r="C176" s="782"/>
      <c r="D176" s="782"/>
      <c r="E176" s="782"/>
      <c r="F176" s="782"/>
      <c r="G176" s="782"/>
      <c r="H176" s="782"/>
      <c r="I176" s="782"/>
      <c r="J176" s="782"/>
      <c r="K176" s="782"/>
      <c r="L176" s="782"/>
    </row>
    <row r="177" spans="3:12" s="143" customFormat="1">
      <c r="C177" s="782"/>
      <c r="D177" s="782"/>
      <c r="E177" s="782"/>
      <c r="F177" s="782"/>
      <c r="G177" s="782"/>
      <c r="H177" s="782"/>
      <c r="I177" s="782"/>
      <c r="J177" s="782"/>
      <c r="K177" s="782"/>
      <c r="L177" s="782"/>
    </row>
    <row r="178" spans="3:12" s="143" customFormat="1">
      <c r="C178" s="782"/>
      <c r="D178" s="782"/>
      <c r="E178" s="782"/>
      <c r="F178" s="782"/>
      <c r="G178" s="782"/>
      <c r="H178" s="782"/>
      <c r="I178" s="782"/>
      <c r="J178" s="782"/>
      <c r="K178" s="782"/>
      <c r="L178" s="782"/>
    </row>
    <row r="179" spans="3:12" s="143" customFormat="1">
      <c r="C179" s="782"/>
      <c r="D179" s="782"/>
      <c r="E179" s="782"/>
      <c r="F179" s="782"/>
      <c r="G179" s="782"/>
      <c r="H179" s="782"/>
      <c r="I179" s="782"/>
      <c r="J179" s="782"/>
      <c r="K179" s="782"/>
      <c r="L179" s="782"/>
    </row>
    <row r="180" spans="3:12" s="143" customFormat="1">
      <c r="C180" s="782"/>
      <c r="D180" s="782"/>
      <c r="E180" s="782"/>
      <c r="F180" s="782"/>
      <c r="G180" s="782"/>
      <c r="H180" s="782"/>
      <c r="I180" s="782"/>
      <c r="J180" s="782"/>
      <c r="K180" s="782"/>
      <c r="L180" s="782"/>
    </row>
    <row r="181" spans="3:12" s="143" customFormat="1">
      <c r="C181" s="782"/>
      <c r="D181" s="782"/>
      <c r="E181" s="782"/>
      <c r="F181" s="782"/>
      <c r="G181" s="782"/>
      <c r="H181" s="782"/>
      <c r="I181" s="782"/>
      <c r="J181" s="782"/>
      <c r="K181" s="782"/>
      <c r="L181" s="782"/>
    </row>
    <row r="182" spans="3:12" s="143" customFormat="1">
      <c r="C182" s="782"/>
      <c r="D182" s="782"/>
      <c r="E182" s="782"/>
      <c r="F182" s="782"/>
      <c r="G182" s="782"/>
      <c r="H182" s="782"/>
      <c r="I182" s="782"/>
      <c r="J182" s="782"/>
      <c r="K182" s="782"/>
      <c r="L182" s="782"/>
    </row>
    <row r="183" spans="3:12" s="143" customFormat="1">
      <c r="C183" s="782"/>
      <c r="D183" s="782"/>
      <c r="E183" s="782"/>
      <c r="F183" s="782"/>
      <c r="G183" s="782"/>
      <c r="H183" s="782"/>
      <c r="I183" s="782"/>
      <c r="J183" s="782"/>
      <c r="K183" s="782"/>
      <c r="L183" s="782"/>
    </row>
    <row r="184" spans="3:12" s="143" customFormat="1">
      <c r="C184" s="782"/>
      <c r="D184" s="782"/>
      <c r="E184" s="782"/>
      <c r="F184" s="782"/>
      <c r="G184" s="782"/>
      <c r="H184" s="782"/>
      <c r="I184" s="782"/>
      <c r="J184" s="782"/>
      <c r="K184" s="782"/>
      <c r="L184" s="782"/>
    </row>
    <row r="185" spans="3:12" s="143" customFormat="1">
      <c r="C185" s="782"/>
      <c r="D185" s="782"/>
      <c r="E185" s="782"/>
      <c r="F185" s="782"/>
      <c r="G185" s="782"/>
      <c r="H185" s="782"/>
      <c r="I185" s="782"/>
      <c r="J185" s="782"/>
      <c r="K185" s="782"/>
      <c r="L185" s="782"/>
    </row>
    <row r="186" spans="3:12" s="143" customFormat="1">
      <c r="C186" s="782"/>
      <c r="D186" s="782"/>
      <c r="E186" s="782"/>
      <c r="F186" s="782"/>
      <c r="G186" s="782"/>
      <c r="H186" s="782"/>
      <c r="I186" s="782"/>
      <c r="J186" s="782"/>
      <c r="K186" s="782"/>
      <c r="L186" s="782"/>
    </row>
    <row r="187" spans="3:12" s="143" customFormat="1">
      <c r="C187" s="782"/>
      <c r="D187" s="782"/>
      <c r="E187" s="782"/>
      <c r="F187" s="782"/>
      <c r="G187" s="782"/>
      <c r="H187" s="782"/>
      <c r="I187" s="782"/>
      <c r="J187" s="782"/>
      <c r="K187" s="782"/>
      <c r="L187" s="782"/>
    </row>
    <row r="188" spans="3:12" s="143" customFormat="1">
      <c r="C188" s="782"/>
      <c r="D188" s="782"/>
      <c r="E188" s="782"/>
      <c r="F188" s="782"/>
      <c r="G188" s="782"/>
      <c r="H188" s="782"/>
      <c r="I188" s="782"/>
      <c r="J188" s="782"/>
      <c r="K188" s="782"/>
      <c r="L188" s="782"/>
    </row>
    <row r="189" spans="3:12" s="143" customFormat="1">
      <c r="C189" s="782"/>
      <c r="D189" s="782"/>
      <c r="E189" s="782"/>
      <c r="F189" s="782"/>
      <c r="G189" s="782"/>
      <c r="H189" s="782"/>
      <c r="I189" s="782"/>
      <c r="J189" s="782"/>
      <c r="K189" s="782"/>
      <c r="L189" s="782"/>
    </row>
    <row r="190" spans="3:12" s="143" customFormat="1">
      <c r="C190" s="782"/>
      <c r="D190" s="782"/>
      <c r="E190" s="782"/>
      <c r="F190" s="782"/>
      <c r="G190" s="782"/>
      <c r="H190" s="782"/>
      <c r="I190" s="782"/>
      <c r="J190" s="782"/>
      <c r="K190" s="782"/>
      <c r="L190" s="782"/>
    </row>
    <row r="191" spans="3:12" s="143" customFormat="1">
      <c r="C191" s="782"/>
      <c r="D191" s="782"/>
      <c r="E191" s="782"/>
      <c r="F191" s="782"/>
      <c r="G191" s="782"/>
      <c r="H191" s="782"/>
      <c r="I191" s="782"/>
      <c r="J191" s="782"/>
      <c r="K191" s="782"/>
      <c r="L191" s="782"/>
    </row>
    <row r="192" spans="3:12" s="143" customFormat="1">
      <c r="C192" s="782"/>
      <c r="D192" s="782"/>
      <c r="E192" s="782"/>
      <c r="F192" s="782"/>
      <c r="G192" s="782"/>
      <c r="H192" s="782"/>
      <c r="I192" s="782"/>
      <c r="J192" s="782"/>
      <c r="K192" s="782"/>
      <c r="L192" s="782"/>
    </row>
    <row r="193" spans="3:12" s="143" customFormat="1">
      <c r="C193" s="782"/>
      <c r="D193" s="782"/>
      <c r="E193" s="782"/>
      <c r="F193" s="782"/>
      <c r="G193" s="782"/>
      <c r="H193" s="782"/>
      <c r="I193" s="782"/>
      <c r="J193" s="782"/>
      <c r="K193" s="782"/>
      <c r="L193" s="782"/>
    </row>
    <row r="194" spans="3:12" s="143" customFormat="1">
      <c r="C194" s="779"/>
      <c r="D194" s="779"/>
      <c r="E194" s="779"/>
      <c r="F194" s="779"/>
      <c r="G194" s="779"/>
      <c r="H194" s="779"/>
      <c r="I194" s="779"/>
      <c r="J194" s="779"/>
      <c r="K194" s="779"/>
      <c r="L194" s="779"/>
    </row>
    <row r="195" spans="3:12" s="143" customFormat="1">
      <c r="C195" s="779"/>
      <c r="D195" s="779"/>
      <c r="E195" s="779"/>
      <c r="F195" s="779"/>
      <c r="G195" s="779"/>
      <c r="H195" s="779"/>
      <c r="I195" s="779"/>
      <c r="J195" s="779"/>
      <c r="K195" s="779"/>
      <c r="L195" s="779"/>
    </row>
    <row r="196" spans="3:12" s="143" customFormat="1">
      <c r="C196" s="779"/>
      <c r="D196" s="779"/>
      <c r="E196" s="779"/>
      <c r="F196" s="779"/>
      <c r="G196" s="779"/>
      <c r="H196" s="779"/>
      <c r="I196" s="779"/>
      <c r="J196" s="779"/>
      <c r="K196" s="779"/>
      <c r="L196" s="779"/>
    </row>
    <row r="197" spans="3:12" s="143" customFormat="1">
      <c r="C197" s="779"/>
      <c r="D197" s="779"/>
      <c r="E197" s="779"/>
      <c r="F197" s="779"/>
      <c r="G197" s="779"/>
      <c r="H197" s="779"/>
      <c r="I197" s="779"/>
      <c r="J197" s="779"/>
      <c r="K197" s="779"/>
      <c r="L197" s="779"/>
    </row>
    <row r="198" spans="3:12" s="143" customFormat="1">
      <c r="C198" s="779"/>
      <c r="D198" s="779"/>
      <c r="E198" s="779"/>
      <c r="F198" s="779"/>
      <c r="G198" s="779"/>
      <c r="H198" s="779"/>
      <c r="I198" s="779"/>
      <c r="J198" s="779"/>
      <c r="K198" s="779"/>
      <c r="L198" s="779"/>
    </row>
    <row r="199" spans="3:12" s="143" customFormat="1">
      <c r="C199" s="779"/>
      <c r="D199" s="779"/>
      <c r="E199" s="779"/>
      <c r="F199" s="779"/>
      <c r="G199" s="779"/>
      <c r="H199" s="779"/>
      <c r="I199" s="779"/>
      <c r="J199" s="779"/>
      <c r="K199" s="779"/>
      <c r="L199" s="779"/>
    </row>
    <row r="200" spans="3:12" s="143" customFormat="1">
      <c r="C200" s="779"/>
      <c r="D200" s="779"/>
      <c r="E200" s="779"/>
      <c r="F200" s="779"/>
      <c r="G200" s="779"/>
      <c r="H200" s="779"/>
      <c r="I200" s="779"/>
      <c r="J200" s="779"/>
      <c r="K200" s="779"/>
      <c r="L200" s="779"/>
    </row>
    <row r="201" spans="3:12" s="143" customFormat="1">
      <c r="C201" s="779"/>
      <c r="D201" s="779"/>
      <c r="E201" s="779"/>
      <c r="F201" s="779"/>
      <c r="G201" s="779"/>
      <c r="H201" s="779"/>
      <c r="I201" s="779"/>
      <c r="J201" s="779"/>
      <c r="K201" s="779"/>
      <c r="L201" s="779"/>
    </row>
    <row r="202" spans="3:12" s="143" customFormat="1">
      <c r="C202" s="779"/>
      <c r="D202" s="779"/>
      <c r="E202" s="779"/>
      <c r="F202" s="779"/>
      <c r="G202" s="779"/>
      <c r="H202" s="779"/>
      <c r="I202" s="779"/>
      <c r="J202" s="779"/>
      <c r="K202" s="779"/>
      <c r="L202" s="779"/>
    </row>
    <row r="203" spans="3:12" s="143" customFormat="1">
      <c r="C203" s="779"/>
      <c r="D203" s="779"/>
      <c r="E203" s="779"/>
      <c r="F203" s="779"/>
      <c r="G203" s="779"/>
      <c r="H203" s="779"/>
      <c r="I203" s="779"/>
      <c r="J203" s="779"/>
      <c r="K203" s="779"/>
      <c r="L203" s="779"/>
    </row>
    <row r="204" spans="3:12" s="143" customFormat="1">
      <c r="C204" s="779"/>
      <c r="D204" s="779"/>
      <c r="E204" s="779"/>
      <c r="F204" s="779"/>
      <c r="G204" s="779"/>
      <c r="H204" s="779"/>
      <c r="I204" s="779"/>
      <c r="J204" s="779"/>
      <c r="K204" s="779"/>
      <c r="L204" s="779"/>
    </row>
    <row r="205" spans="3:12" s="143" customFormat="1">
      <c r="C205" s="779"/>
      <c r="D205" s="779"/>
      <c r="E205" s="779"/>
      <c r="F205" s="779"/>
      <c r="G205" s="779"/>
      <c r="H205" s="779"/>
      <c r="I205" s="779"/>
      <c r="J205" s="779"/>
      <c r="K205" s="779"/>
      <c r="L205" s="779"/>
    </row>
    <row r="206" spans="3:12" s="143" customFormat="1">
      <c r="C206" s="779"/>
      <c r="D206" s="779"/>
      <c r="E206" s="779"/>
      <c r="F206" s="779"/>
      <c r="G206" s="779"/>
      <c r="H206" s="779"/>
      <c r="I206" s="779"/>
      <c r="J206" s="779"/>
      <c r="K206" s="779"/>
      <c r="L206" s="779"/>
    </row>
    <row r="207" spans="3:12" s="143" customFormat="1">
      <c r="C207" s="779"/>
      <c r="D207" s="779"/>
      <c r="E207" s="779"/>
      <c r="F207" s="779"/>
      <c r="G207" s="779"/>
      <c r="H207" s="779"/>
      <c r="I207" s="779"/>
      <c r="J207" s="779"/>
      <c r="K207" s="779"/>
      <c r="L207" s="779"/>
    </row>
    <row r="208" spans="3:12" s="143" customFormat="1">
      <c r="C208" s="779"/>
      <c r="D208" s="779"/>
      <c r="E208" s="779"/>
      <c r="F208" s="779"/>
      <c r="G208" s="779"/>
      <c r="H208" s="779"/>
      <c r="I208" s="779"/>
      <c r="J208" s="779"/>
      <c r="K208" s="779"/>
      <c r="L208" s="779"/>
    </row>
    <row r="209" spans="3:12" s="143" customFormat="1">
      <c r="C209" s="779"/>
      <c r="D209" s="779"/>
      <c r="E209" s="779"/>
      <c r="F209" s="779"/>
      <c r="G209" s="779"/>
      <c r="H209" s="779"/>
      <c r="I209" s="779"/>
      <c r="J209" s="779"/>
      <c r="K209" s="779"/>
      <c r="L209" s="779"/>
    </row>
    <row r="210" spans="3:12" s="143" customFormat="1">
      <c r="C210" s="779"/>
      <c r="D210" s="779"/>
      <c r="E210" s="779"/>
      <c r="F210" s="779"/>
      <c r="G210" s="779"/>
      <c r="H210" s="779"/>
      <c r="I210" s="779"/>
      <c r="J210" s="779"/>
      <c r="K210" s="779"/>
      <c r="L210" s="779"/>
    </row>
    <row r="211" spans="3:12" s="143" customFormat="1">
      <c r="C211" s="779"/>
      <c r="D211" s="779"/>
      <c r="E211" s="779"/>
      <c r="F211" s="779"/>
      <c r="G211" s="779"/>
      <c r="H211" s="779"/>
      <c r="I211" s="779"/>
      <c r="J211" s="779"/>
      <c r="K211" s="779"/>
      <c r="L211" s="779"/>
    </row>
    <row r="212" spans="3:12" s="143" customFormat="1">
      <c r="C212" s="779"/>
      <c r="D212" s="779"/>
      <c r="E212" s="779"/>
      <c r="F212" s="779"/>
      <c r="G212" s="779"/>
      <c r="H212" s="779"/>
      <c r="I212" s="779"/>
      <c r="J212" s="779"/>
      <c r="K212" s="779"/>
      <c r="L212" s="779"/>
    </row>
    <row r="213" spans="3:12" s="143" customFormat="1">
      <c r="C213" s="779"/>
      <c r="D213" s="779"/>
      <c r="E213" s="779"/>
      <c r="F213" s="779"/>
      <c r="G213" s="779"/>
      <c r="H213" s="779"/>
      <c r="I213" s="779"/>
      <c r="J213" s="779"/>
      <c r="K213" s="779"/>
      <c r="L213" s="779"/>
    </row>
    <row r="214" spans="3:12" s="143" customFormat="1">
      <c r="C214" s="779"/>
      <c r="D214" s="779"/>
      <c r="E214" s="779"/>
      <c r="F214" s="779"/>
      <c r="G214" s="779"/>
      <c r="H214" s="779"/>
      <c r="I214" s="779"/>
      <c r="J214" s="779"/>
      <c r="K214" s="779"/>
      <c r="L214" s="779"/>
    </row>
    <row r="215" spans="3:12" s="143" customFormat="1">
      <c r="C215" s="779"/>
      <c r="D215" s="779"/>
      <c r="E215" s="779"/>
      <c r="F215" s="779"/>
      <c r="G215" s="779"/>
      <c r="H215" s="779"/>
      <c r="I215" s="779"/>
      <c r="J215" s="779"/>
      <c r="K215" s="779"/>
      <c r="L215" s="779"/>
    </row>
    <row r="216" spans="3:12" s="143" customFormat="1">
      <c r="C216" s="779"/>
      <c r="D216" s="779"/>
      <c r="E216" s="779"/>
      <c r="F216" s="779"/>
      <c r="G216" s="779"/>
      <c r="H216" s="779"/>
      <c r="I216" s="779"/>
      <c r="J216" s="779"/>
      <c r="K216" s="779"/>
      <c r="L216" s="779"/>
    </row>
    <row r="217" spans="3:12" s="143" customFormat="1">
      <c r="C217" s="779"/>
      <c r="D217" s="779"/>
      <c r="E217" s="779"/>
      <c r="F217" s="779"/>
      <c r="G217" s="779"/>
      <c r="H217" s="779"/>
      <c r="I217" s="779"/>
      <c r="J217" s="779"/>
      <c r="K217" s="779"/>
      <c r="L217" s="779"/>
    </row>
    <row r="218" spans="3:12" s="143" customFormat="1">
      <c r="C218" s="779"/>
      <c r="D218" s="779"/>
      <c r="E218" s="779"/>
      <c r="F218" s="779"/>
      <c r="G218" s="779"/>
      <c r="H218" s="779"/>
      <c r="I218" s="779"/>
      <c r="J218" s="779"/>
      <c r="K218" s="779"/>
      <c r="L218" s="779"/>
    </row>
    <row r="219" spans="3:12" s="143" customFormat="1">
      <c r="C219" s="779"/>
      <c r="D219" s="779"/>
      <c r="E219" s="779"/>
      <c r="F219" s="779"/>
      <c r="G219" s="779"/>
      <c r="H219" s="779"/>
      <c r="I219" s="779"/>
      <c r="J219" s="779"/>
      <c r="K219" s="779"/>
      <c r="L219" s="779"/>
    </row>
    <row r="220" spans="3:12" s="143" customFormat="1">
      <c r="C220" s="779"/>
      <c r="D220" s="779"/>
      <c r="E220" s="779"/>
      <c r="F220" s="779"/>
      <c r="G220" s="779"/>
      <c r="H220" s="779"/>
      <c r="I220" s="779"/>
      <c r="J220" s="779"/>
      <c r="K220" s="779"/>
      <c r="L220" s="779"/>
    </row>
    <row r="221" spans="3:12" s="143" customFormat="1">
      <c r="C221" s="779"/>
      <c r="D221" s="779"/>
      <c r="E221" s="779"/>
      <c r="F221" s="779"/>
      <c r="G221" s="779"/>
      <c r="H221" s="779"/>
      <c r="I221" s="779"/>
      <c r="J221" s="779"/>
      <c r="K221" s="779"/>
      <c r="L221" s="779"/>
    </row>
    <row r="222" spans="3:12" s="143" customFormat="1">
      <c r="C222" s="779"/>
      <c r="D222" s="779"/>
      <c r="E222" s="779"/>
      <c r="F222" s="779"/>
      <c r="G222" s="779"/>
      <c r="H222" s="779"/>
      <c r="I222" s="779"/>
      <c r="J222" s="779"/>
      <c r="K222" s="779"/>
      <c r="L222" s="779"/>
    </row>
    <row r="223" spans="3:12" s="143" customFormat="1">
      <c r="C223" s="779"/>
      <c r="D223" s="779"/>
      <c r="E223" s="779"/>
      <c r="F223" s="779"/>
      <c r="G223" s="779"/>
      <c r="H223" s="779"/>
      <c r="I223" s="779"/>
      <c r="J223" s="779"/>
      <c r="K223" s="779"/>
      <c r="L223" s="779"/>
    </row>
    <row r="224" spans="3:12" s="143" customFormat="1">
      <c r="C224" s="779"/>
      <c r="D224" s="779"/>
      <c r="E224" s="779"/>
      <c r="F224" s="779"/>
      <c r="G224" s="779"/>
      <c r="H224" s="779"/>
      <c r="I224" s="779"/>
      <c r="J224" s="779"/>
      <c r="K224" s="779"/>
      <c r="L224" s="779"/>
    </row>
    <row r="225" spans="3:12" s="143" customFormat="1">
      <c r="C225" s="779"/>
      <c r="D225" s="779"/>
      <c r="E225" s="779"/>
      <c r="F225" s="779"/>
      <c r="G225" s="779"/>
      <c r="H225" s="779"/>
      <c r="I225" s="779"/>
      <c r="J225" s="779"/>
      <c r="K225" s="779"/>
      <c r="L225" s="779"/>
    </row>
    <row r="226" spans="3:12" s="143" customFormat="1">
      <c r="C226" s="779"/>
      <c r="D226" s="779"/>
      <c r="E226" s="779"/>
      <c r="F226" s="779"/>
      <c r="G226" s="779"/>
      <c r="H226" s="779"/>
      <c r="I226" s="779"/>
      <c r="J226" s="779"/>
      <c r="K226" s="779"/>
      <c r="L226" s="779"/>
    </row>
    <row r="227" spans="3:12" s="143" customFormat="1">
      <c r="C227" s="779"/>
      <c r="D227" s="779"/>
      <c r="E227" s="779"/>
      <c r="F227" s="779"/>
      <c r="G227" s="779"/>
      <c r="H227" s="779"/>
      <c r="I227" s="779"/>
      <c r="J227" s="779"/>
      <c r="K227" s="779"/>
      <c r="L227" s="779"/>
    </row>
    <row r="228" spans="3:12" s="143" customFormat="1">
      <c r="C228" s="779"/>
      <c r="D228" s="779"/>
      <c r="E228" s="779"/>
      <c r="F228" s="779"/>
      <c r="G228" s="779"/>
      <c r="H228" s="779"/>
      <c r="I228" s="779"/>
      <c r="J228" s="779"/>
      <c r="K228" s="779"/>
      <c r="L228" s="779"/>
    </row>
    <row r="229" spans="3:12" s="143" customFormat="1">
      <c r="C229" s="779"/>
      <c r="D229" s="779"/>
      <c r="E229" s="779"/>
      <c r="F229" s="779"/>
      <c r="G229" s="779"/>
      <c r="H229" s="779"/>
      <c r="I229" s="779"/>
      <c r="J229" s="779"/>
      <c r="K229" s="779"/>
      <c r="L229" s="779"/>
    </row>
    <row r="230" spans="3:12" s="143" customFormat="1">
      <c r="C230" s="779"/>
      <c r="D230" s="779"/>
      <c r="E230" s="779"/>
      <c r="F230" s="779"/>
      <c r="G230" s="779"/>
      <c r="H230" s="779"/>
      <c r="I230" s="779"/>
      <c r="J230" s="779"/>
      <c r="K230" s="779"/>
      <c r="L230" s="779"/>
    </row>
    <row r="231" spans="3:12" s="143" customFormat="1">
      <c r="C231" s="779"/>
      <c r="D231" s="779"/>
      <c r="E231" s="779"/>
      <c r="F231" s="779"/>
      <c r="G231" s="779"/>
      <c r="H231" s="779"/>
      <c r="I231" s="779"/>
      <c r="J231" s="779"/>
      <c r="K231" s="779"/>
      <c r="L231" s="779"/>
    </row>
    <row r="232" spans="3:12" s="143" customFormat="1">
      <c r="C232" s="779"/>
      <c r="D232" s="779"/>
      <c r="E232" s="779"/>
      <c r="F232" s="779"/>
      <c r="G232" s="779"/>
      <c r="H232" s="779"/>
      <c r="I232" s="779"/>
      <c r="J232" s="779"/>
      <c r="K232" s="779"/>
      <c r="L232" s="779"/>
    </row>
    <row r="233" spans="3:12" s="143" customFormat="1">
      <c r="C233" s="779"/>
      <c r="D233" s="779"/>
      <c r="E233" s="779"/>
      <c r="F233" s="779"/>
      <c r="G233" s="779"/>
      <c r="H233" s="779"/>
      <c r="I233" s="779"/>
      <c r="J233" s="779"/>
      <c r="K233" s="779"/>
      <c r="L233" s="779"/>
    </row>
    <row r="234" spans="3:12" s="143" customFormat="1">
      <c r="C234" s="779"/>
      <c r="D234" s="779"/>
      <c r="E234" s="779"/>
      <c r="F234" s="779"/>
      <c r="G234" s="779"/>
      <c r="H234" s="779"/>
      <c r="I234" s="779"/>
      <c r="J234" s="779"/>
      <c r="K234" s="779"/>
      <c r="L234" s="779"/>
    </row>
    <row r="235" spans="3:12" s="143" customFormat="1">
      <c r="C235" s="779"/>
      <c r="D235" s="779"/>
      <c r="E235" s="779"/>
      <c r="F235" s="779"/>
      <c r="G235" s="779"/>
      <c r="H235" s="779"/>
      <c r="I235" s="779"/>
      <c r="J235" s="779"/>
      <c r="K235" s="779"/>
      <c r="L235" s="779"/>
    </row>
    <row r="236" spans="3:12" s="143" customFormat="1">
      <c r="C236" s="779"/>
      <c r="D236" s="779"/>
      <c r="E236" s="779"/>
      <c r="F236" s="779"/>
      <c r="G236" s="779"/>
      <c r="H236" s="779"/>
      <c r="I236" s="779"/>
      <c r="J236" s="779"/>
      <c r="K236" s="779"/>
      <c r="L236" s="779"/>
    </row>
    <row r="237" spans="3:12" s="143" customFormat="1">
      <c r="C237" s="779"/>
      <c r="D237" s="779"/>
      <c r="E237" s="779"/>
      <c r="F237" s="779"/>
      <c r="G237" s="779"/>
      <c r="H237" s="779"/>
      <c r="I237" s="779"/>
      <c r="J237" s="779"/>
      <c r="K237" s="779"/>
      <c r="L237" s="779"/>
    </row>
    <row r="238" spans="3:12" s="143" customFormat="1">
      <c r="C238" s="779"/>
      <c r="D238" s="779"/>
      <c r="E238" s="779"/>
      <c r="F238" s="779"/>
      <c r="G238" s="779"/>
      <c r="H238" s="779"/>
      <c r="I238" s="779"/>
      <c r="J238" s="779"/>
      <c r="K238" s="779"/>
      <c r="L238" s="779"/>
    </row>
    <row r="239" spans="3:12" s="143" customFormat="1">
      <c r="C239" s="779"/>
      <c r="D239" s="779"/>
      <c r="E239" s="779"/>
      <c r="F239" s="779"/>
      <c r="G239" s="779"/>
      <c r="H239" s="779"/>
      <c r="I239" s="779"/>
      <c r="J239" s="779"/>
      <c r="K239" s="779"/>
      <c r="L239" s="779"/>
    </row>
    <row r="240" spans="3:12" s="143" customFormat="1"/>
    <row r="241" s="143" customFormat="1"/>
    <row r="242" s="143" customFormat="1"/>
    <row r="243" s="143" customFormat="1"/>
    <row r="244" s="143" customFormat="1"/>
    <row r="245" s="143" customFormat="1"/>
    <row r="246" s="143" customFormat="1"/>
    <row r="247" s="143" customFormat="1"/>
    <row r="248" s="143" customFormat="1"/>
    <row r="249" s="143" customFormat="1"/>
    <row r="250" s="143" customFormat="1"/>
    <row r="251" s="143" customFormat="1"/>
    <row r="252" s="143" customFormat="1"/>
    <row r="253" s="143" customFormat="1"/>
    <row r="254" s="143" customFormat="1"/>
    <row r="255" s="143" customFormat="1"/>
    <row r="256" s="143" customFormat="1"/>
    <row r="257" s="143" customFormat="1"/>
    <row r="258" s="143" customFormat="1"/>
    <row r="259" s="143" customFormat="1"/>
    <row r="260" s="143" customFormat="1"/>
    <row r="261" s="143" customFormat="1"/>
    <row r="262" s="143" customFormat="1"/>
    <row r="263" s="143" customFormat="1"/>
    <row r="264" s="143" customFormat="1"/>
    <row r="265" s="143" customFormat="1"/>
    <row r="266" s="143" customFormat="1"/>
    <row r="267" s="143" customFormat="1"/>
    <row r="268" s="143" customFormat="1"/>
    <row r="269" s="143" customFormat="1"/>
    <row r="270" s="143" customFormat="1"/>
    <row r="271" s="143" customFormat="1"/>
    <row r="272" s="143" customFormat="1"/>
    <row r="273" s="143" customFormat="1"/>
    <row r="274" s="143" customFormat="1"/>
    <row r="275" s="143" customFormat="1"/>
    <row r="276" s="143" customFormat="1"/>
    <row r="277" s="143" customFormat="1"/>
    <row r="278" s="143" customFormat="1"/>
    <row r="279" s="143" customFormat="1"/>
    <row r="280" s="143" customFormat="1"/>
    <row r="281" s="143" customFormat="1"/>
    <row r="282" s="143" customFormat="1"/>
    <row r="283" s="143" customFormat="1"/>
    <row r="284" s="143" customFormat="1"/>
    <row r="285" s="143" customFormat="1"/>
    <row r="286" s="143" customFormat="1"/>
    <row r="287" s="143" customFormat="1"/>
    <row r="288" s="143" customFormat="1"/>
    <row r="289" s="143" customFormat="1"/>
    <row r="290" s="143" customFormat="1"/>
    <row r="291" s="143" customFormat="1"/>
    <row r="292" s="143" customFormat="1"/>
    <row r="293" s="143" customFormat="1"/>
    <row r="294" s="143" customFormat="1"/>
    <row r="295" s="143" customFormat="1"/>
    <row r="296" s="143" customFormat="1"/>
    <row r="297" s="143" customFormat="1"/>
    <row r="298" s="143" customFormat="1"/>
    <row r="299" s="143" customFormat="1"/>
    <row r="300" s="143" customFormat="1"/>
    <row r="301" s="143" customFormat="1"/>
    <row r="302" s="143" customFormat="1"/>
    <row r="303" s="143" customFormat="1"/>
    <row r="304" s="143" customFormat="1"/>
    <row r="305" s="143" customFormat="1"/>
    <row r="306" s="143" customFormat="1"/>
    <row r="307" s="143" customFormat="1"/>
    <row r="308" s="143" customFormat="1"/>
    <row r="309" s="143" customFormat="1"/>
    <row r="310" s="143" customFormat="1"/>
    <row r="311" s="143" customFormat="1"/>
    <row r="312" s="143" customFormat="1"/>
    <row r="313" s="143" customFormat="1"/>
    <row r="314" s="143" customFormat="1"/>
    <row r="315" s="143" customFormat="1"/>
    <row r="316" s="143" customFormat="1"/>
    <row r="317" s="143" customFormat="1"/>
    <row r="318" s="143" customFormat="1"/>
    <row r="319" s="143" customFormat="1"/>
    <row r="320" s="143" customFormat="1"/>
    <row r="321" s="143" customFormat="1"/>
    <row r="322" s="143" customFormat="1"/>
    <row r="323" s="143" customFormat="1"/>
    <row r="324" s="143" customFormat="1"/>
    <row r="325" s="143" customFormat="1"/>
    <row r="326" s="143" customFormat="1"/>
    <row r="327" s="143" customFormat="1"/>
    <row r="328" s="143" customFormat="1"/>
    <row r="329" s="143" customFormat="1"/>
    <row r="330" s="143" customFormat="1"/>
    <row r="331" s="143" customFormat="1"/>
    <row r="332" s="143" customFormat="1"/>
    <row r="333" s="143" customFormat="1"/>
    <row r="334" s="143" customFormat="1"/>
    <row r="335" s="143" customFormat="1"/>
    <row r="336" s="143" customFormat="1"/>
    <row r="337" s="143" customFormat="1"/>
    <row r="338" s="143" customFormat="1"/>
    <row r="339" s="143" customFormat="1"/>
    <row r="340" s="143" customFormat="1"/>
    <row r="341" s="143" customFormat="1"/>
    <row r="342" s="143" customFormat="1"/>
    <row r="343" s="143" customFormat="1"/>
    <row r="344" s="143" customFormat="1"/>
    <row r="345" s="143" customFormat="1"/>
    <row r="346" s="143" customFormat="1"/>
    <row r="347" s="143" customFormat="1"/>
    <row r="348" s="143" customFormat="1"/>
    <row r="349" s="143" customFormat="1"/>
    <row r="350" s="143" customFormat="1"/>
    <row r="351" s="143" customFormat="1"/>
    <row r="352" s="143" customFormat="1"/>
    <row r="353" s="143" customFormat="1"/>
    <row r="354" s="143" customFormat="1"/>
    <row r="355" s="143" customFormat="1"/>
    <row r="356" s="143" customFormat="1"/>
    <row r="357" s="143" customFormat="1"/>
    <row r="358" s="143" customFormat="1"/>
    <row r="359" s="143" customFormat="1"/>
    <row r="360" s="143" customFormat="1"/>
    <row r="361" s="143" customFormat="1"/>
    <row r="362" s="143" customFormat="1"/>
    <row r="363" s="143" customFormat="1"/>
    <row r="364" s="143" customFormat="1"/>
    <row r="365" s="143" customFormat="1"/>
    <row r="366" s="143" customFormat="1"/>
    <row r="367" s="143" customFormat="1"/>
    <row r="368" s="143" customFormat="1"/>
    <row r="369" s="143" customFormat="1"/>
    <row r="370" s="143" customFormat="1"/>
    <row r="371" s="143" customFormat="1"/>
    <row r="372" s="143" customFormat="1"/>
    <row r="373" s="143" customFormat="1"/>
    <row r="374" s="143" customFormat="1"/>
    <row r="375" s="143" customFormat="1"/>
    <row r="376" s="143" customFormat="1"/>
    <row r="377" s="143" customFormat="1"/>
    <row r="378" s="143" customFormat="1"/>
    <row r="379" s="143" customFormat="1"/>
    <row r="380" s="143" customFormat="1"/>
    <row r="381" s="143" customFormat="1"/>
    <row r="382" s="143" customFormat="1"/>
    <row r="383" s="143" customFormat="1"/>
    <row r="384" s="143" customFormat="1"/>
    <row r="385" s="143" customFormat="1"/>
    <row r="386" s="143" customFormat="1"/>
    <row r="387" s="143" customFormat="1"/>
    <row r="388" s="143" customFormat="1"/>
    <row r="389" s="143" customFormat="1"/>
    <row r="390" s="143" customFormat="1"/>
    <row r="391" s="143" customFormat="1"/>
    <row r="392" s="143" customFormat="1"/>
    <row r="393" s="143" customFormat="1"/>
    <row r="394" s="143" customFormat="1"/>
    <row r="395" s="143" customFormat="1"/>
    <row r="396" s="143" customFormat="1"/>
    <row r="397" s="143" customFormat="1"/>
    <row r="398" s="143" customFormat="1"/>
    <row r="399" s="143" customFormat="1"/>
    <row r="400" s="143" customFormat="1"/>
    <row r="401" s="143" customFormat="1"/>
    <row r="402" s="143" customFormat="1"/>
    <row r="403" s="143" customFormat="1"/>
    <row r="404" s="143" customFormat="1"/>
    <row r="405" s="143" customFormat="1"/>
    <row r="406" s="143" customFormat="1"/>
    <row r="407" s="143" customFormat="1"/>
    <row r="408" s="143" customFormat="1"/>
    <row r="409" s="143" customFormat="1"/>
    <row r="410" s="143" customFormat="1"/>
    <row r="411" s="143" customFormat="1"/>
    <row r="412" s="143" customFormat="1"/>
    <row r="413" s="143" customFormat="1"/>
    <row r="414" s="143" customFormat="1"/>
    <row r="415" s="143" customFormat="1"/>
    <row r="416" s="143" customFormat="1"/>
    <row r="417" s="143" customFormat="1"/>
    <row r="418" s="143" customFormat="1"/>
    <row r="419" s="143" customFormat="1"/>
    <row r="420" s="143" customFormat="1"/>
    <row r="421" s="143" customFormat="1"/>
    <row r="422" s="143" customFormat="1"/>
    <row r="423" s="143" customFormat="1"/>
    <row r="424" s="143" customFormat="1"/>
    <row r="425" s="143" customFormat="1"/>
    <row r="426" s="143" customFormat="1"/>
    <row r="427" s="143" customFormat="1"/>
    <row r="428" s="143" customFormat="1"/>
    <row r="429" s="143" customFormat="1"/>
    <row r="430" s="143" customFormat="1"/>
    <row r="431" s="143" customFormat="1"/>
    <row r="432" s="143" customFormat="1"/>
    <row r="433" s="143" customFormat="1"/>
    <row r="434" s="143" customFormat="1"/>
    <row r="435" s="143" customFormat="1"/>
    <row r="436" s="143" customFormat="1"/>
    <row r="437" s="143" customFormat="1"/>
    <row r="438" s="143" customFormat="1"/>
    <row r="439" s="143" customFormat="1"/>
    <row r="440" s="143" customFormat="1"/>
    <row r="441" s="143" customFormat="1"/>
    <row r="442" s="143" customFormat="1"/>
    <row r="443" s="143" customFormat="1"/>
    <row r="444" s="143" customFormat="1"/>
    <row r="445" s="143" customFormat="1"/>
    <row r="446" s="143" customFormat="1"/>
    <row r="447" s="143" customFormat="1"/>
    <row r="448" s="143" customFormat="1"/>
    <row r="449" s="143" customFormat="1"/>
    <row r="450" s="143" customFormat="1"/>
    <row r="451" s="143" customFormat="1"/>
    <row r="452" s="143" customFormat="1"/>
    <row r="453" s="143" customFormat="1"/>
    <row r="454" s="143" customFormat="1"/>
    <row r="455" s="143" customFormat="1"/>
    <row r="456" s="143" customFormat="1"/>
    <row r="457" s="143" customFormat="1"/>
    <row r="458" s="143" customFormat="1"/>
    <row r="459" s="143" customFormat="1"/>
    <row r="460" s="143" customFormat="1"/>
    <row r="461" s="143" customFormat="1"/>
    <row r="462" s="143" customFormat="1"/>
    <row r="463" s="143" customFormat="1"/>
    <row r="464" s="143" customFormat="1"/>
    <row r="465" s="143" customFormat="1"/>
    <row r="466" s="143" customFormat="1"/>
    <row r="467" s="143" customFormat="1"/>
    <row r="468" s="143" customFormat="1"/>
    <row r="469" s="143" customFormat="1"/>
    <row r="470" s="143" customFormat="1"/>
    <row r="471" s="143" customFormat="1"/>
    <row r="472" s="143" customFormat="1"/>
    <row r="473" s="143" customFormat="1"/>
    <row r="474" s="143" customFormat="1"/>
    <row r="475" s="143" customFormat="1"/>
    <row r="476" s="143" customFormat="1"/>
    <row r="477" s="143" customFormat="1"/>
    <row r="478" s="143" customFormat="1"/>
    <row r="479" s="143" customFormat="1"/>
    <row r="480" s="143" customFormat="1"/>
    <row r="481" s="143" customFormat="1"/>
    <row r="482" s="143" customFormat="1"/>
    <row r="483" s="143" customFormat="1"/>
    <row r="484" s="143" customFormat="1"/>
    <row r="485" s="143" customFormat="1"/>
    <row r="486" s="143" customFormat="1"/>
    <row r="487" s="143" customFormat="1"/>
    <row r="488" s="143" customFormat="1"/>
    <row r="489" s="143" customFormat="1"/>
    <row r="490" s="143" customFormat="1"/>
    <row r="491" s="143" customFormat="1"/>
    <row r="492" s="143" customFormat="1"/>
    <row r="493" s="143" customFormat="1"/>
    <row r="494" s="143" customFormat="1"/>
    <row r="495" s="143" customFormat="1"/>
    <row r="496" s="143" customFormat="1"/>
    <row r="497" s="143" customFormat="1"/>
    <row r="498" s="143" customFormat="1"/>
    <row r="499" s="143" customFormat="1"/>
    <row r="500" s="143" customFormat="1"/>
    <row r="501" s="143" customFormat="1"/>
    <row r="502" s="143" customFormat="1"/>
    <row r="503" s="143" customFormat="1"/>
    <row r="504" s="143" customFormat="1"/>
    <row r="505" s="143" customFormat="1"/>
    <row r="506" s="143" customFormat="1"/>
    <row r="507" s="143" customFormat="1"/>
    <row r="508" s="143" customFormat="1"/>
    <row r="509" s="143" customFormat="1"/>
    <row r="510" s="143" customFormat="1"/>
    <row r="511" s="143" customFormat="1"/>
    <row r="512" s="143" customFormat="1"/>
    <row r="513" s="143" customFormat="1"/>
    <row r="514" s="143" customFormat="1"/>
    <row r="515" s="143" customFormat="1"/>
    <row r="516" s="143" customFormat="1"/>
    <row r="517" s="143" customFormat="1"/>
    <row r="518" s="143" customFormat="1"/>
    <row r="519" s="143" customFormat="1"/>
    <row r="520" s="143" customFormat="1"/>
    <row r="521" s="143" customFormat="1"/>
    <row r="522" s="143" customFormat="1"/>
    <row r="523" s="143" customFormat="1"/>
    <row r="524" s="143" customFormat="1"/>
    <row r="525" s="143" customFormat="1"/>
    <row r="526" s="143" customFormat="1"/>
    <row r="527" s="143" customFormat="1"/>
    <row r="528" s="143" customFormat="1"/>
    <row r="529" s="143" customFormat="1"/>
    <row r="530" s="143" customFormat="1"/>
    <row r="531" s="143" customFormat="1"/>
    <row r="532" s="143" customFormat="1"/>
    <row r="533" s="143" customFormat="1"/>
    <row r="534" s="143" customFormat="1"/>
    <row r="535" s="143" customFormat="1"/>
    <row r="536" s="143" customFormat="1"/>
    <row r="537" s="143" customFormat="1"/>
    <row r="538" s="143" customFormat="1"/>
    <row r="539" s="143" customFormat="1"/>
    <row r="540" s="143" customFormat="1"/>
    <row r="541" s="143" customFormat="1"/>
    <row r="542" s="143" customFormat="1"/>
    <row r="543" s="143" customFormat="1"/>
    <row r="544" s="143" customFormat="1"/>
    <row r="545" s="143" customFormat="1"/>
    <row r="546" s="143" customFormat="1"/>
    <row r="547" s="143" customFormat="1"/>
    <row r="548" s="143" customFormat="1"/>
    <row r="549" s="143" customFormat="1"/>
    <row r="550" s="143" customFormat="1"/>
    <row r="551" s="143" customFormat="1"/>
    <row r="552" s="143" customFormat="1"/>
    <row r="553" s="143" customFormat="1"/>
    <row r="554" s="143" customFormat="1"/>
    <row r="555" s="143" customFormat="1"/>
    <row r="556" s="143" customFormat="1"/>
    <row r="557" s="143" customFormat="1"/>
    <row r="558" s="143" customFormat="1"/>
    <row r="559" s="143" customFormat="1"/>
    <row r="560" s="143" customFormat="1"/>
    <row r="561" s="143" customFormat="1"/>
    <row r="562" s="143" customFormat="1"/>
    <row r="563" s="143" customFormat="1"/>
    <row r="564" s="143" customFormat="1"/>
    <row r="565" s="143" customFormat="1"/>
    <row r="566" s="143" customFormat="1"/>
    <row r="567" s="143" customFormat="1"/>
    <row r="568" s="143" customFormat="1"/>
    <row r="569" s="143" customFormat="1"/>
    <row r="570" s="143" customFormat="1"/>
    <row r="571" s="143" customFormat="1"/>
    <row r="572" s="143" customFormat="1"/>
    <row r="573" s="143" customFormat="1"/>
    <row r="574" s="143" customFormat="1"/>
    <row r="575" s="143" customFormat="1"/>
    <row r="576" s="143" customFormat="1"/>
    <row r="577" s="143" customFormat="1"/>
    <row r="578" s="143" customFormat="1"/>
    <row r="579" s="143" customFormat="1"/>
    <row r="580" s="143" customFormat="1"/>
    <row r="581" s="143" customFormat="1"/>
    <row r="582" s="143" customFormat="1"/>
    <row r="583" s="143" customFormat="1"/>
    <row r="584" s="143" customFormat="1"/>
    <row r="585" s="143" customFormat="1"/>
    <row r="586" s="143" customFormat="1"/>
    <row r="587" s="143" customFormat="1"/>
    <row r="588" s="143" customFormat="1"/>
    <row r="589" s="143" customFormat="1"/>
    <row r="590" s="143" customFormat="1"/>
    <row r="591" s="143" customFormat="1"/>
    <row r="592" s="143" customFormat="1"/>
    <row r="593" s="143" customFormat="1"/>
    <row r="594" s="143" customFormat="1"/>
    <row r="595" s="143" customFormat="1"/>
    <row r="596" s="143" customFormat="1"/>
    <row r="597" s="143" customFormat="1"/>
    <row r="598" s="143" customFormat="1"/>
    <row r="599" s="143" customFormat="1"/>
    <row r="600" s="143" customFormat="1"/>
    <row r="601" s="143" customFormat="1"/>
    <row r="602" s="143" customFormat="1"/>
    <row r="603" s="143" customFormat="1"/>
    <row r="604" s="143" customFormat="1"/>
    <row r="605" s="143" customFormat="1"/>
    <row r="606" s="143" customFormat="1"/>
    <row r="607" s="143" customFormat="1"/>
    <row r="608" s="143" customFormat="1"/>
    <row r="609" s="143" customFormat="1"/>
    <row r="610" s="143" customFormat="1"/>
    <row r="611" s="143" customFormat="1"/>
    <row r="612" s="143" customFormat="1"/>
    <row r="613" s="143" customFormat="1"/>
    <row r="614" s="143" customFormat="1"/>
    <row r="615" s="143" customFormat="1"/>
    <row r="616" s="143" customFormat="1"/>
    <row r="617" s="143" customFormat="1"/>
    <row r="618" s="143" customFormat="1"/>
    <row r="619" s="143" customFormat="1"/>
    <row r="620" s="143" customFormat="1"/>
    <row r="621" s="143" customFormat="1"/>
    <row r="622" s="143" customFormat="1"/>
    <row r="623" s="143" customFormat="1"/>
    <row r="624" s="143" customFormat="1"/>
    <row r="625" s="143" customFormat="1"/>
    <row r="626" s="143" customFormat="1"/>
    <row r="627" s="143" customFormat="1"/>
    <row r="628" s="143" customFormat="1"/>
    <row r="629" s="143" customFormat="1"/>
    <row r="630" s="143" customFormat="1"/>
    <row r="631" s="143" customFormat="1"/>
    <row r="632" s="143" customFormat="1"/>
    <row r="633" s="143" customFormat="1"/>
    <row r="634" s="143" customFormat="1"/>
    <row r="635" s="143" customFormat="1"/>
    <row r="636" s="143" customFormat="1"/>
    <row r="637" s="143" customFormat="1"/>
    <row r="638" s="143" customFormat="1"/>
    <row r="639" s="143" customFormat="1"/>
    <row r="640" s="143" customFormat="1"/>
    <row r="641" s="143" customFormat="1"/>
    <row r="642" s="143" customFormat="1"/>
    <row r="643" s="143" customFormat="1"/>
    <row r="644" s="143" customFormat="1"/>
    <row r="645" s="143" customFormat="1"/>
    <row r="646" s="143" customFormat="1"/>
    <row r="647" s="143" customFormat="1"/>
    <row r="648" s="143" customFormat="1"/>
    <row r="649" s="143" customFormat="1"/>
    <row r="650" s="143" customFormat="1"/>
    <row r="651" s="143" customFormat="1"/>
    <row r="652" s="143" customFormat="1"/>
    <row r="653" s="143" customFormat="1"/>
    <row r="654" s="143" customFormat="1"/>
    <row r="655" s="143" customFormat="1"/>
    <row r="656" s="143" customFormat="1"/>
    <row r="657" s="143" customFormat="1"/>
    <row r="658" s="143" customFormat="1"/>
    <row r="659" s="143" customFormat="1"/>
    <row r="660" s="143" customFormat="1"/>
    <row r="661" s="143" customFormat="1"/>
    <row r="662" s="143" customFormat="1"/>
    <row r="663" s="143" customFormat="1"/>
    <row r="664" s="143" customFormat="1"/>
    <row r="665" s="143" customFormat="1"/>
    <row r="666" s="143" customFormat="1"/>
    <row r="667" s="143" customFormat="1"/>
    <row r="668" s="143" customFormat="1"/>
    <row r="669" s="143" customFormat="1"/>
    <row r="670" s="143" customFormat="1"/>
    <row r="671" s="143" customFormat="1"/>
    <row r="672" s="143" customFormat="1"/>
    <row r="673" s="143" customFormat="1"/>
    <row r="674" s="143" customFormat="1"/>
    <row r="675" s="143" customFormat="1"/>
    <row r="676" s="143" customFormat="1"/>
    <row r="677" s="143" customFormat="1"/>
    <row r="678" s="143" customFormat="1"/>
    <row r="679" s="143" customFormat="1"/>
    <row r="680" s="143" customFormat="1"/>
    <row r="681" s="143" customFormat="1"/>
    <row r="682" s="143" customFormat="1"/>
    <row r="683" s="143" customFormat="1"/>
    <row r="684" s="143" customFormat="1"/>
    <row r="685" s="143" customFormat="1"/>
    <row r="686" s="143" customFormat="1"/>
    <row r="687" s="143" customFormat="1"/>
    <row r="688" s="143" customFormat="1"/>
    <row r="689" s="143" customFormat="1"/>
    <row r="690" s="143" customFormat="1"/>
    <row r="691" s="143" customFormat="1"/>
    <row r="692" s="143" customFormat="1"/>
    <row r="693" s="143" customFormat="1"/>
    <row r="694" s="143" customFormat="1"/>
    <row r="695" s="143" customFormat="1"/>
    <row r="696" s="143" customFormat="1"/>
    <row r="697" s="143" customFormat="1"/>
    <row r="698" s="143" customFormat="1"/>
    <row r="699" s="143" customFormat="1"/>
    <row r="700" s="143" customFormat="1"/>
    <row r="701" s="143" customFormat="1"/>
    <row r="702" s="143" customFormat="1"/>
    <row r="703" s="143" customFormat="1"/>
    <row r="704" s="143" customFormat="1"/>
    <row r="705" s="143" customFormat="1"/>
    <row r="706" s="143" customFormat="1"/>
    <row r="707" s="143" customFormat="1"/>
    <row r="708" s="143" customFormat="1"/>
    <row r="709" s="143" customFormat="1"/>
    <row r="710" s="143" customFormat="1"/>
    <row r="711" s="143" customFormat="1"/>
    <row r="712" s="143" customFormat="1"/>
    <row r="713" s="143" customFormat="1"/>
    <row r="714" s="143" customFormat="1"/>
    <row r="715" s="143" customFormat="1"/>
    <row r="716" s="143" customFormat="1"/>
    <row r="717" s="143" customFormat="1"/>
  </sheetData>
  <mergeCells count="4">
    <mergeCell ref="H2:L2"/>
    <mergeCell ref="C2:G2"/>
    <mergeCell ref="M2:Q2"/>
    <mergeCell ref="R2:V2"/>
  </mergeCells>
  <pageMargins left="0.7" right="0.7" top="0.75" bottom="0.75" header="0.3" footer="0.3"/>
  <pageSetup paperSize="9" scale="46" orientation="portrait"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8"/>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80674f5-ae6e-4398-ae1a-e3b039baab99">
      <UserInfo>
        <DisplayName>Alicja Dereń</DisplayName>
        <AccountId>90</AccountId>
        <AccountType/>
      </UserInfo>
    </SharedWithUsers>
    <lcf76f155ced4ddcb4097134ff3c332f xmlns="44ef9d45-7c5b-433e-98b2-0b7979b96efb">
      <Terms xmlns="http://schemas.microsoft.com/office/infopath/2007/PartnerControls"/>
    </lcf76f155ced4ddcb4097134ff3c332f>
    <TaxCatchAll xmlns="380674f5-ae6e-4398-ae1a-e3b039baab9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0C94D8E5B085244EA1243650C0689C53" ma:contentTypeVersion="18" ma:contentTypeDescription="Utwórz nowy dokument." ma:contentTypeScope="" ma:versionID="d3847f0674ee3dbb9434a2ec927a7cc5">
  <xsd:schema xmlns:xsd="http://www.w3.org/2001/XMLSchema" xmlns:xs="http://www.w3.org/2001/XMLSchema" xmlns:p="http://schemas.microsoft.com/office/2006/metadata/properties" xmlns:ns2="44ef9d45-7c5b-433e-98b2-0b7979b96efb" xmlns:ns3="380674f5-ae6e-4398-ae1a-e3b039baab99" targetNamespace="http://schemas.microsoft.com/office/2006/metadata/properties" ma:root="true" ma:fieldsID="f8194428ad5c7b53f0741973833b0fd6" ns2:_="" ns3:_="">
    <xsd:import namespace="44ef9d45-7c5b-433e-98b2-0b7979b96efb"/>
    <xsd:import namespace="380674f5-ae6e-4398-ae1a-e3b039baab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ef9d45-7c5b-433e-98b2-0b7979b96e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Tagi obrazów" ma:readOnly="false" ma:fieldId="{5cf76f15-5ced-4ddc-b409-7134ff3c332f}" ma:taxonomyMulti="true" ma:sspId="c99c7060-1db6-4dae-a216-9b75e8c1a47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80674f5-ae6e-4398-ae1a-e3b039baab99"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element name="TaxCatchAll" ma:index="21" nillable="true" ma:displayName="Taxonomy Catch All Column" ma:hidden="true" ma:list="{e6fdfcdd-7f6a-4252-8590-964496c61453}" ma:internalName="TaxCatchAll" ma:showField="CatchAllData" ma:web="380674f5-ae6e-4398-ae1a-e3b039baab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440E72-627B-49BD-8136-CEF9ECB5C2F6}">
  <ds:schemaRefs>
    <ds:schemaRef ds:uri="http://schemas.openxmlformats.org/package/2006/metadata/core-properties"/>
    <ds:schemaRef ds:uri="http://purl.org/dc/elements/1.1/"/>
    <ds:schemaRef ds:uri="http://schemas.microsoft.com/office/infopath/2007/PartnerControls"/>
    <ds:schemaRef ds:uri="http://purl.org/dc/terms/"/>
    <ds:schemaRef ds:uri="http://schemas.microsoft.com/office/2006/documentManagement/types"/>
    <ds:schemaRef ds:uri="http://purl.org/dc/dcmitype/"/>
    <ds:schemaRef ds:uri="44ef9d45-7c5b-433e-98b2-0b7979b96efb"/>
    <ds:schemaRef ds:uri="380674f5-ae6e-4398-ae1a-e3b039baab99"/>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8079F339-0FD4-4217-8275-A8CD8FB126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ef9d45-7c5b-433e-98b2-0b7979b96efb"/>
    <ds:schemaRef ds:uri="380674f5-ae6e-4398-ae1a-e3b039ba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A09C639-6E81-4C42-9637-EF50EBF18171}">
  <ds:schemaRefs>
    <ds:schemaRef ds:uri="http://schemas.microsoft.com/sharepoint/v3/contenttype/forms"/>
  </ds:schemaRefs>
</ds:datastoreItem>
</file>

<file path=docMetadata/LabelInfo.xml><?xml version="1.0" encoding="utf-8"?>
<clbl:labelList xmlns:clbl="http://schemas.microsoft.com/office/2020/mipLabelMetadata">
  <clbl:label id="{09f712ea-50a0-4d7c-b3f8-0f6197c7b855}" enabled="1" method="Standard" siteId="{e627a4cd-356c-4934-89de-1758b5605eaf}"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Arkusze</vt:lpstr>
      </vt:variant>
      <vt:variant>
        <vt:i4>10</vt:i4>
      </vt:variant>
      <vt:variant>
        <vt:lpstr>Zakresy nazwane</vt:lpstr>
      </vt:variant>
      <vt:variant>
        <vt:i4>6</vt:i4>
      </vt:variant>
    </vt:vector>
  </HeadingPairs>
  <TitlesOfParts>
    <vt:vector size="16" baseType="lpstr">
      <vt:lpstr>P&amp;L</vt:lpstr>
      <vt:lpstr>Balance sheet</vt:lpstr>
      <vt:lpstr>Cash Flow</vt:lpstr>
      <vt:lpstr>Segments</vt:lpstr>
      <vt:lpstr>Ratios</vt:lpstr>
      <vt:lpstr>new KPI_segment B2C&amp;B2B</vt:lpstr>
      <vt:lpstr>KPI TV &amp; online</vt:lpstr>
      <vt:lpstr>KPI_segment Green Energy</vt:lpstr>
      <vt:lpstr>STARE KPI--&gt;</vt:lpstr>
      <vt:lpstr>KPI_segment B2C&amp;B2B</vt:lpstr>
      <vt:lpstr>'Balance sheet'!Obszar_wydruku</vt:lpstr>
      <vt:lpstr>'Cash Flow'!Obszar_wydruku</vt:lpstr>
      <vt:lpstr>'KPI_segment B2C&amp;B2B'!Obszar_wydruku</vt:lpstr>
      <vt:lpstr>'new KPI_segment B2C&amp;B2B'!Obszar_wydruku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Kajetan Szczepuła</cp:lastModifiedBy>
  <cp:revision/>
  <dcterms:created xsi:type="dcterms:W3CDTF">2008-08-25T12:12:22Z</dcterms:created>
  <dcterms:modified xsi:type="dcterms:W3CDTF">2025-09-18T16:31:26Z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0x0101000C94D8E5B085244EA1243650C0689C53</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y fmtid="{D5CDD505-2E9C-101B-9397-08002B2CF9AE}" pid="12" name="MediaServiceImageTags">
    <vt:lpwstr/>
  </property>
  <property fmtid="{D5CDD505-2E9C-101B-9397-08002B2CF9AE}" pid="13" name="ComplianceAssetId">
    <vt:lpwstr/>
  </property>
  <property fmtid="{D5CDD505-2E9C-101B-9397-08002B2CF9AE}" pid="14" name="_ExtendedDescription">
    <vt:lpwstr/>
  </property>
  <property fmtid="{D5CDD505-2E9C-101B-9397-08002B2CF9AE}" pid="15" name="TriggerFlowInfo">
    <vt:lpwstr/>
  </property>
</Properties>
</file>